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10.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11.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12.xml" ContentType="application/vnd.openxmlformats-officedocument.drawing+xml"/>
  <Override PartName="/xl/ctrlProps/ctrlProp46.xml" ContentType="application/vnd.ms-excel.controlproperties+xml"/>
  <Override PartName="/xl/comments6.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3.xml" ContentType="application/vnd.openxmlformats-officedocument.drawing+xml"/>
  <Override PartName="/xl/comments7.xml" ContentType="application/vnd.openxmlformats-officedocument.spreadsheetml.comments+xml"/>
  <Override PartName="/xl/charts/chart8.xml" ContentType="application/vnd.openxmlformats-officedocument.drawingml.chart+xml"/>
  <Override PartName="/xl/charts/chart9.xml" ContentType="application/vnd.openxmlformats-officedocument.drawingml.chart+xml"/>
  <Override PartName="/xl/drawings/drawing14.xml" ContentType="application/vnd.openxmlformats-officedocument.drawing+xml"/>
  <Override PartName="/xl/ctrlProps/ctrlProp47.xml" ContentType="application/vnd.ms-excel.controlproperties+xml"/>
  <Override PartName="/xl/comments8.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drawings/drawing15.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9.xml" ContentType="application/vnd.openxmlformats-officedocument.spreadsheetml.comments+xml"/>
  <Override PartName="/xl/drawings/drawing16.xml" ContentType="application/vnd.openxmlformats-officedocument.drawing+xml"/>
  <Override PartName="/xl/ctrlProps/ctrlProp70.xml" ContentType="application/vnd.ms-excel.controlpropertie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17.xml" ContentType="application/vnd.openxmlformats-officedocument.drawing+xml"/>
  <Override PartName="/xl/comments14.xml" ContentType="application/vnd.openxmlformats-officedocument.spreadsheetml.comments+xml"/>
  <Override PartName="/xl/drawings/drawing18.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beb1329b9e7c452a" Type="http://schemas.microsoft.com/office/2007/relationships/ui/extensibility" Target="customUI/customUI14.xml"/><Relationship Id="Rc0888f9b1c5e4d07"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020" windowWidth="6000" windowHeight="5175" tabRatio="853" firstSheet="13" activeTab="32"/>
  </bookViews>
  <sheets>
    <sheet name="Checker" sheetId="38" r:id="rId1"/>
    <sheet name="FixList" sheetId="55" r:id="rId2"/>
    <sheet name="Controls" sheetId="5" r:id="rId3"/>
    <sheet name="toolIntro" sheetId="20" r:id="rId4"/>
    <sheet name="toolPNL" sheetId="13" r:id="rId5"/>
    <sheet name="toolBalSheet" sheetId="14" r:id="rId6"/>
    <sheet name="toolCashFlow" sheetId="15" r:id="rId7"/>
    <sheet name="toolProfitTree" sheetId="16" r:id="rId8"/>
    <sheet name="toolEvents" sheetId="52" r:id="rId9"/>
    <sheet name="toolProd1Forecast" sheetId="48" r:id="rId10"/>
    <sheet name="toolProd2Forecast" sheetId="53" r:id="rId11"/>
    <sheet name="toolRD" sheetId="49" r:id="rId12"/>
    <sheet name="toolContent" sheetId="54" r:id="rId13"/>
    <sheet name="toolPeople" sheetId="50" r:id="rId14"/>
    <sheet name="toolOperations" sheetId="51" r:id="rId15"/>
    <sheet name="webToolOutputs" sheetId="56" r:id="rId16"/>
    <sheet name="toolPrograms" sheetId="17" r:id="rId17"/>
    <sheet name="Competitor" sheetId="39" r:id="rId18"/>
    <sheet name="Analysis" sheetId="47" r:id="rId19"/>
    <sheet name="dec" sheetId="3" r:id="rId20"/>
    <sheet name="obal" sheetId="1" r:id="rId21"/>
    <sheet name="cbal" sheetId="2" r:id="rId22"/>
    <sheet name="cap" sheetId="19" r:id="rId23"/>
    <sheet name="fin" sheetId="6" r:id="rId24"/>
    <sheet name="adj" sheetId="42" r:id="rId25"/>
    <sheet name="param" sheetId="4" r:id="rId26"/>
    <sheet name="mmProd1" sheetId="10" r:id="rId27"/>
    <sheet name="mmProd2" sheetId="26" r:id="rId28"/>
    <sheet name="DataPage" sheetId="8" r:id="rId29"/>
    <sheet name="feedback" sheetId="11" r:id="rId30"/>
    <sheet name="feedbackTS" sheetId="12" r:id="rId31"/>
    <sheet name="RAWData" sheetId="57" r:id="rId32"/>
    <sheet name="AnalyFormat" sheetId="58" r:id="rId33"/>
    <sheet name="FBFormat" sheetId="59" r:id="rId34"/>
  </sheets>
  <functionGroups builtInGroupCount="17"/>
  <definedNames>
    <definedName name="_xlnm._FilterDatabase" localSheetId="24" hidden="1">adj!$A$1:$W$654</definedName>
    <definedName name="_xlnm._FilterDatabase" localSheetId="1" hidden="1">FixList!$A$2:$E$116</definedName>
    <definedName name="adjEvtName101">adj!$C$364</definedName>
    <definedName name="adjEvtName102">adj!$C$377</definedName>
    <definedName name="adjEvtName103">adj!$C$387</definedName>
    <definedName name="adjEvtName201">adj!$C$397</definedName>
    <definedName name="adjEvtName202">adj!$C$413</definedName>
    <definedName name="adjEvtName203">adj!$C$419</definedName>
    <definedName name="adjEvtName301">adj!$C$435</definedName>
    <definedName name="adjEvtName302">adj!$C$451</definedName>
    <definedName name="adjEvtName401">adj!$C$467</definedName>
    <definedName name="adjEvtName402">adj!$C$477</definedName>
    <definedName name="adjEvtName403">adj!$C$492</definedName>
    <definedName name="adjEvtName501">adj!$C$501</definedName>
    <definedName name="adjEvtName502">adj!$C$511</definedName>
    <definedName name="adjEvtName503">adj!$C$525</definedName>
    <definedName name="adjEvtName601">adj!$C$539</definedName>
    <definedName name="adjEvtName602">adj!$C$552</definedName>
    <definedName name="adjEvtName603">adj!$C$565</definedName>
    <definedName name="adjEvtName701">adj!$C$572</definedName>
    <definedName name="adjEvtName702">adj!$C$582</definedName>
    <definedName name="adjEvtName703">adj!$C$592</definedName>
    <definedName name="adjEvtName801">adj!$C$594</definedName>
    <definedName name="adjEvtName802">adj!$C$603</definedName>
    <definedName name="adjEvtName803">adj!$C$607</definedName>
    <definedName name="adjEvtName901">adj!$C$618</definedName>
    <definedName name="adjEvtName902">adj!$C$633</definedName>
    <definedName name="adjSpecProgName1">adj!$C$31</definedName>
    <definedName name="adjSpecProgName10">adj!$C$162</definedName>
    <definedName name="adjSpecProgName11">adj!$C$189</definedName>
    <definedName name="adjSpecProgName12">adj!$C$204</definedName>
    <definedName name="adjSpecProgName13">adj!$C$221</definedName>
    <definedName name="adjSpecProgName14">adj!$C$239</definedName>
    <definedName name="adjSpecProgName15">adj!$C$252</definedName>
    <definedName name="adjSpecProgName16">adj!$C$268</definedName>
    <definedName name="adjSpecProgName17">adj!$C$282</definedName>
    <definedName name="adjSpecProgName18">adj!$C$292</definedName>
    <definedName name="adjSpecProgName19">adj!$C$305</definedName>
    <definedName name="adjSpecProgName2">adj!$C$42</definedName>
    <definedName name="adjSpecProgName20">adj!$C$318</definedName>
    <definedName name="adjSpecProgName21">adj!$C$328</definedName>
    <definedName name="adjSpecProgName22">adj!$C$348</definedName>
    <definedName name="adjSpecProgName3">adj!$C$52</definedName>
    <definedName name="adjSpecProgName4">adj!$C$66</definedName>
    <definedName name="adjSpecProgName5">adj!$C$82</definedName>
    <definedName name="adjSpecProgName6">adj!$C$98</definedName>
    <definedName name="adjSpecProgName7">adj!$C$108</definedName>
    <definedName name="adjSpecProgName8">adj!$C$121</definedName>
    <definedName name="adjSpecProgName9">adj!$C$144</definedName>
    <definedName name="adjTableInitImpacts">adj!$S$31:$W$63</definedName>
    <definedName name="analyCashOI">Analysis!$E$327:$I$327</definedName>
    <definedName name="analyDataImport">Analysis!$E$21:$I$21</definedName>
    <definedName name="analyRank">Analysis!$E$11:$I$11</definedName>
    <definedName name="analyWinMetric">Analysis!$E$9:$I$9</definedName>
    <definedName name="analyWinMetricAvg">Analysis!$E$10:$I$10</definedName>
    <definedName name="analyWinMetricLastYear">Analysis!$E$12:$I$12</definedName>
    <definedName name="analyWinMetricYr0">Analysis!$E$328:$I$328</definedName>
    <definedName name="analyWinMetricYr1">Analysis!$E$329:$I$329</definedName>
    <definedName name="analyWinMetricYr2">Analysis!$E$330:$I$330</definedName>
    <definedName name="analyWinMetricYr3">Analysis!$E$331:$I$331</definedName>
    <definedName name="AReporttooBalSheet">toolBalSheet!$D$3:$Q$33</definedName>
    <definedName name="AReporttoolAnalysis">Analysis!$B$13:$K$324</definedName>
    <definedName name="AReporttoolCashFlow">toolCashFlow!$D$3:$K$34</definedName>
    <definedName name="AReporttoolCompetitor">Competitor!$B$2:$H$37</definedName>
    <definedName name="AReporttoolPNL">toolPNL!$D$3:$T$41</definedName>
    <definedName name="AReporttoolPrograms">toolPrograms!$C$57:$R$108</definedName>
    <definedName name="capAcquistionCapEx">cap!$E$163:$G$163</definedName>
    <definedName name="capContentEmp1Req">cap!$E$180:$G$180</definedName>
    <definedName name="capCorporateEmp1Req">cap!$E$196:$G$196</definedName>
    <definedName name="capCorporateEmp2Req">cap!$E$254:$G$254</definedName>
    <definedName name="capCSAT">cap!$E$377:$G$377</definedName>
    <definedName name="capCSATMax">cap!$E$362:$G$362</definedName>
    <definedName name="capCSATProd1Pricing">cap!$E$359:$G$359</definedName>
    <definedName name="capCSATProd2Pricing">cap!$E$360:$G$360</definedName>
    <definedName name="capCSATTechnology">cap!$E$356:$G$356</definedName>
    <definedName name="capCSATTechnologyLastYr">cap!$E$355:$G$355</definedName>
    <definedName name="capCurYearInitsRemaining">cap!$E$483:$G$483</definedName>
    <definedName name="capCustomerService">cap!$E$430:$G$430</definedName>
    <definedName name="capDC3rdPartyESATImpact">cap!$E$354:$G$354</definedName>
    <definedName name="capDC3rdPartyTrigger">cap!$E$353:$G$353</definedName>
    <definedName name="capDCEmp2Req">cap!$E$252:$G$252</definedName>
    <definedName name="capEmp1AdminExp">cap!$E$212:$G$212</definedName>
    <definedName name="capEmp1AllocDevProd1">cap!$E$215:$G$215</definedName>
    <definedName name="capEmp1AllocDevProd2">cap!$E$216:$G$216</definedName>
    <definedName name="capEmp1AllocProd1">cap!$E$217:$G$217</definedName>
    <definedName name="capEmp1AllocProd2">cap!$E$218:$G$218</definedName>
    <definedName name="capEmp1Att">cap!$E$203:$G$203</definedName>
    <definedName name="capEmp1Dismissed">cap!$E$202:$G$202</definedName>
    <definedName name="capEmp1End">cap!$E$204:$G$204</definedName>
    <definedName name="capEmp1ExCapCost">cap!$E$209:$G$209</definedName>
    <definedName name="capEmp1Exp">cap!$E$208:$G$208</definedName>
    <definedName name="capEmp1FTERemaining">cap!$E$192:$G$192</definedName>
    <definedName name="capEmp1HoursDelivered">cap!$E$199:$G$199</definedName>
    <definedName name="capEmp1HoursReq">cap!$E$189:$G$189</definedName>
    <definedName name="capEmp1OTCost">cap!$E$207:$G$207</definedName>
    <definedName name="capEmp1RecDismExp">cap!$E$211:$G$211</definedName>
    <definedName name="capEmp1Recruited">cap!$E$201:$G$201</definedName>
    <definedName name="capEmp1Req">cap!$E$190:$G$190</definedName>
    <definedName name="capEmp1TrainingExp">cap!$E$243:$G$243</definedName>
    <definedName name="capEmp1Utiliz">cap!$E$205:$G$205</definedName>
    <definedName name="capEmp2AdminExp">cap!$E$269:$G$269</definedName>
    <definedName name="capEmp2AllocProd1">cap!$E$272:$G$272</definedName>
    <definedName name="capEmp2AllocProd2">cap!$E$273:$G$273</definedName>
    <definedName name="capEmp2Att">cap!$E$260:$G$260</definedName>
    <definedName name="capEmp2Dismiss">cap!$E$259:$G$259</definedName>
    <definedName name="capEmp2End">cap!$E$261:$G$261</definedName>
    <definedName name="capEmp2ExCapCost">cap!$E$266:$G$266</definedName>
    <definedName name="capEmp2Exp">cap!$E$265:$G$265</definedName>
    <definedName name="capEmp2OTCost">cap!$E$264:$G$264</definedName>
    <definedName name="capEmp2RecDismExp">cap!$E$268:$G$268</definedName>
    <definedName name="capEmp2Recruit">cap!$E$258:$G$258</definedName>
    <definedName name="capEmp2Req">cap!$E$256:$G$256</definedName>
    <definedName name="capEmp2Utiliz">cap!$E$262:$G$262</definedName>
    <definedName name="capEmp3AdminExp">cap!$E$312:$G$312</definedName>
    <definedName name="capEmp3AllocProd1">cap!$E$315:$G$315</definedName>
    <definedName name="capEmp3AllocProd2">cap!$E$316:$G$316</definedName>
    <definedName name="capEmp3Att">cap!$E$303:$G$303</definedName>
    <definedName name="capEmp3Dismiss">cap!$E$302:$G$302</definedName>
    <definedName name="capEmp3End">cap!$E$304:$G$304</definedName>
    <definedName name="capEmp3ExCapCost">cap!$E$309:$G$309</definedName>
    <definedName name="capEmp3Exp">cap!$E$308:$G$308</definedName>
    <definedName name="capEmp3HoursReq">cap!$E$297:$G$297</definedName>
    <definedName name="capEmp3OTCost">cap!$E$307:$G$307</definedName>
    <definedName name="capEmp3RecDismExp">cap!$E$311:$G$311</definedName>
    <definedName name="capEmp3Recruit">cap!$E$301:$G$301</definedName>
    <definedName name="capEmp3Utiliz">cap!$E$305:$G$305</definedName>
    <definedName name="capESAT">cap!$E$390:$G$390</definedName>
    <definedName name="capESATMax">cap!$E$379:$G$379</definedName>
    <definedName name="capEventFTEs">cap!$E$513:$G$513</definedName>
    <definedName name="capEventsEmp1Req">cap!$E$187:$G$187</definedName>
    <definedName name="capGlobalEmp2Req">cap!$E$253:$G$253</definedName>
    <definedName name="capGlobalExpansionCapEx">cap!$E$162:$G$162</definedName>
    <definedName name="capGlobalExpansionEmp1Req">cap!$E$183:$G$183</definedName>
    <definedName name="capInitCheckYr1">cap!$E$478:$G$478</definedName>
    <definedName name="capInitCheckYr2">cap!$E$479:$G$479</definedName>
    <definedName name="capInitCheckYr3">cap!$E$480:$G$480</definedName>
    <definedName name="capInitsEmp1Req">cap!$E$186:$G$186</definedName>
    <definedName name="capInitsProd1Emp1Req">cap!$E$174:$G$174</definedName>
    <definedName name="capInitsProd2Emp1Req">cap!$E$178:$G$178</definedName>
    <definedName name="capInternalContentDevExp">cap!$E$242:$G$242</definedName>
    <definedName name="capPlan1UnitsReq">cap!$E$55:$G$55</definedName>
    <definedName name="capPlant1AllocDepExp">cap!$E$90:$G$90</definedName>
    <definedName name="capPlant1AllocFixedExp">cap!$E$83:$G$83</definedName>
    <definedName name="capPlant1CapacityReq">cap!$E$54:$G$54</definedName>
    <definedName name="capPlant1CapitalLoss">cap!$E$71:$G$71</definedName>
    <definedName name="capPlant1Consolidate">cap!$E$57:$G$57</definedName>
    <definedName name="capPlant1ConsolidateCapacity">cap!$E$94:$G$94</definedName>
    <definedName name="capPlant1ConsolidateLabor">cap!$E$96:$G$96</definedName>
    <definedName name="capPlant1ConsolidateMachHrs">cap!$E$95:$G$95</definedName>
    <definedName name="capPlant1ConsolidationEmp1Req">cap!$E$185:$G$185</definedName>
    <definedName name="capPlant1Depreciation">cap!$E$77:$G$77</definedName>
    <definedName name="capPlant1Divestment">cap!$E$70:$G$70</definedName>
    <definedName name="capPlant1DivestmentRevenue">cap!$E$70:$G$70</definedName>
    <definedName name="capPlant1DivestmentValue">cap!$E$69:$G$69</definedName>
    <definedName name="capPlant1HoursAvl">cap!$E$63:$G$63</definedName>
    <definedName name="capPlant1Investment">cap!$E$73:$G$73</definedName>
    <definedName name="capPlant1MachCost">cap!$E$76:$G$76</definedName>
    <definedName name="capPlant1Prod1CapacityReq">cap!$E$49:$G$49</definedName>
    <definedName name="capPlant1Prod1DepExp">cap!$E$87:$G$87</definedName>
    <definedName name="capPlant1Prod1FixedExp">cap!$E$80:$G$80</definedName>
    <definedName name="capPlant1Prod1FixedExp3rdParty">cap!$E$102:$G$102</definedName>
    <definedName name="capPlant1Prod1TechCapacityReq">cap!$E$51:$G$51</definedName>
    <definedName name="capPlant1Prod1Utilization">cap!$E$65:$G$65</definedName>
    <definedName name="capPlant1Prod2CapacityReq">cap!$E$50:$G$50</definedName>
    <definedName name="capPlant1Prod2DepExp">cap!$E$88:$G$88</definedName>
    <definedName name="capPlant1Prod2FixedExp">cap!$E$81:$G$81</definedName>
    <definedName name="capPlant1Prod2FixedExp3rdParty">cap!$E$103:$G$103</definedName>
    <definedName name="capPlant1Prod2TechCapacityReq">cap!$E$52:$G$52</definedName>
    <definedName name="capPlant1Prod2Utilization">cap!$E$66:$G$66</definedName>
    <definedName name="capPlant1UnAllocFixedExp">cap!$E$84:$G$84</definedName>
    <definedName name="capPlant1UnitsAvail">cap!$E$62:$G$62</definedName>
    <definedName name="capPlant1UnitsEnd">cap!$E$61:$G$61</definedName>
    <definedName name="capPlant1UnitsSold">cap!$E$59:$G$59</definedName>
    <definedName name="capPlant1Utiliz">cap!$E$67:$G$67</definedName>
    <definedName name="capPlant2AllocDepExp">cap!$E$143:$G$143</definedName>
    <definedName name="capPlant2AllocFixedExp">cap!$E$137:$G$137</definedName>
    <definedName name="capPlant2CapitalLoss">cap!$E$126:$G$126</definedName>
    <definedName name="capPlant2CorpCapacityReq">cap!$E$111:$G$111</definedName>
    <definedName name="capPlant2Depreciation">cap!$E$164:$G$164</definedName>
    <definedName name="capPlant2DivestmentRevenue">cap!$E$125:$G$125</definedName>
    <definedName name="capPlant2DivestmentValue">cap!$E$124:$G$124</definedName>
    <definedName name="capPlant2FTECapacityReq">cap!$E$112:$G$112</definedName>
    <definedName name="capPlant2GlobalCapacityReq">cap!$E$110:$G$110</definedName>
    <definedName name="capPlant2Investment">cap!$E$128:$G$128</definedName>
    <definedName name="capPlant2MachCost">cap!$E$131:$G$131</definedName>
    <definedName name="capPlant2Prod1CapacityReq">cap!$E$108:$G$108</definedName>
    <definedName name="capPlant2Prod1DepExp">cap!$E$140:$G$140</definedName>
    <definedName name="capPlant2Prod1FixedExp">cap!$E$134:$G$134</definedName>
    <definedName name="capPlant2Prod1Utilization">cap!$E$120:$G$120</definedName>
    <definedName name="capPlant2Prod2CapacityReq">cap!$E$109:$G$109</definedName>
    <definedName name="capPlant2Prod2DepExp">cap!$E$141:$G$141</definedName>
    <definedName name="capPlant2Prod2FixedExp">cap!$E$135:$G$135</definedName>
    <definedName name="capPlant2Prod2Utilization">cap!$E$121:$G$121</definedName>
    <definedName name="capPlant2UnitsBought">cap!$E$117:$G$117</definedName>
    <definedName name="capPlant2UnitsEnd">cap!$E$118:$G$118</definedName>
    <definedName name="capPlant2UnitsReq">cap!$E$114:$G$114</definedName>
    <definedName name="capPlant2UnitsSold">cap!$E$116:$G$116</definedName>
    <definedName name="capPlant2Utiliz">cap!$E$122:$G$122</definedName>
    <definedName name="capProd1CancellationRate">cap!$E$443:$G$443</definedName>
    <definedName name="capProd1Cancellations">cap!$E$8:$G$8</definedName>
    <definedName name="capProd1CancelledSales">cap!$E$20:$G$20</definedName>
    <definedName name="capProd1Emp1AdminExp">cap!$E$238:$G$238</definedName>
    <definedName name="capProd1Emp1DevExp">cap!$E$228:$G$228</definedName>
    <definedName name="capProd1Emp1Exp">cap!$E$230:$G$230</definedName>
    <definedName name="capProd1Emp1NonCapAllocProd1">cap!$E$223:$G$223</definedName>
    <definedName name="capProd1Emp1NonCapFTEs">cap!$E$221:$G$221</definedName>
    <definedName name="capProd1Emp1RecDismExp">cap!$E$234:$G$234</definedName>
    <definedName name="capProd1Emp1Req">cap!$E$194:$G$194</definedName>
    <definedName name="capProd1Emp1SoftwareInvestment">cap!$E$146:$G$146</definedName>
    <definedName name="capProd1Emp2AdminExp">cap!$E$285:$G$285</definedName>
    <definedName name="capProd1Emp2Exp">cap!$E$277:$G$277</definedName>
    <definedName name="capProd1Emp2RecDismExp">cap!$E$281:$G$281</definedName>
    <definedName name="capProd1Emp2Req">cap!$E$250:$G$250</definedName>
    <definedName name="capProd1Emp3AdminExp">cap!$E$328:$G$328</definedName>
    <definedName name="capProd1Emp3Exp">cap!$E$320:$G$320</definedName>
    <definedName name="capProd1Emp3HoursReq">cap!$E$294:$G$294</definedName>
    <definedName name="capProd1Emp3RecDismExp">cap!$E$324:$G$324</definedName>
    <definedName name="capProd1EndSubs">cap!$E$10:$G$10</definedName>
    <definedName name="capProd1ExtFTESoftwareInvestment">cap!$E$147:$G$147</definedName>
    <definedName name="capProd1Ftr1Emp1Req">cap!$E$172:$G$172</definedName>
    <definedName name="capProd1Ftr1TTMEmp1Req">cap!$E$173:$G$173</definedName>
    <definedName name="capProd1GGORevenue">cap!$E$474:$G$474</definedName>
    <definedName name="capProd1InternalDevelopmentBaseExp">cap!$E$469:$G$469</definedName>
    <definedName name="capProd1NetNewSales">cap!$E$22:$G$22</definedName>
    <definedName name="capProd1NetNewSubs">cap!$E$11:$G$11</definedName>
    <definedName name="capProd1NewSales">cap!$E$19:$G$19</definedName>
    <definedName name="capProd1NewSubs">cap!$E$9:$G$9</definedName>
    <definedName name="capProd1OpenSubs">cap!$E$7:$G$7</definedName>
    <definedName name="capProd1OutsideServiceBaseExp">cap!$E$464:$G$464</definedName>
    <definedName name="capProd1ServiceContracts">cap!$E$15:$G$15</definedName>
    <definedName name="capProd1ServiceSales">cap!$E$21:$G$21</definedName>
    <definedName name="capProd1SoftwareAmortization">cap!$E$152:$G$152</definedName>
    <definedName name="capProd1SoftwareInvestment">cap!$E$150:$G$150</definedName>
    <definedName name="capProd1SpecProgExp">cap!$E$459:$G$459</definedName>
    <definedName name="capProd1SubCancellationRate">cap!$E$13:$G$13</definedName>
    <definedName name="capProd1SubGrowth">cap!$E$12:$G$12</definedName>
    <definedName name="capProd1ThirdPartyPerc">cap!$E$399:$G$399</definedName>
    <definedName name="capProd1TrainingExp">cap!$E$244:$G$244</definedName>
    <definedName name="capProd1TTM">cap!$E$341:$G$341</definedName>
    <definedName name="capProd2CancellationRate">cap!$E$454:$G$454</definedName>
    <definedName name="capProd2Cancellations">cap!$E$27:$G$27</definedName>
    <definedName name="capProd2CancelledSales">cap!$E$39:$G$39</definedName>
    <definedName name="capProd2Emp1AdminExp">cap!$E$239:$G$239</definedName>
    <definedName name="capProd2Emp1DevExp">cap!$E$229:$G$229</definedName>
    <definedName name="capProd2Emp1Exp">cap!$E$231:$G$231</definedName>
    <definedName name="capProd2Emp1NonCapAllocProd1">cap!$E$224:$G$224</definedName>
    <definedName name="capProd2Emp1NonCapFTEs">cap!$E$222:$G$222</definedName>
    <definedName name="capProd2Emp1RecDismExp">cap!$E$235:$G$235</definedName>
    <definedName name="capProd2Emp1Req">cap!$E$195:$G$195</definedName>
    <definedName name="capProd2Emp1SoftwareInvestment">cap!$E$154:$G$154</definedName>
    <definedName name="capProd2Emp2AdminExp">cap!$E$286:$G$286</definedName>
    <definedName name="capProd2Emp2Exp">cap!$E$278:$G$278</definedName>
    <definedName name="capProd2Emp2RecDismExp">cap!$E$282:$G$282</definedName>
    <definedName name="capProd2Emp2Req">cap!$E$251:$G$251</definedName>
    <definedName name="capProd2Emp3AdminExp">cap!$E$329:$G$329</definedName>
    <definedName name="capProd2Emp3Exp">cap!$E$321:$G$321</definedName>
    <definedName name="capProd2Emp3HoursReq">cap!$E$295:$G$295</definedName>
    <definedName name="capProd2Emp3RecDismExp">cap!$E$325:$G$325</definedName>
    <definedName name="capProd2EndSubs">cap!$E$29:$G$29</definedName>
    <definedName name="capProd2ExtFTESoftwareInvestment">cap!$E$155:$G$155</definedName>
    <definedName name="capProd2Ftr1Emp1Req">cap!$E$176:$G$176</definedName>
    <definedName name="capProd2Ftr1TTMEmp1Req">cap!$E$177:$G$177</definedName>
    <definedName name="capProd2GGORevenue">cap!$E$475:$G$475</definedName>
    <definedName name="capProd2InternalDevelopmentBaseExp">cap!$E$470:$G$470</definedName>
    <definedName name="capProd2NetNewSales">cap!$E$41:$G$41</definedName>
    <definedName name="capProd2NetNewSubs">cap!$E$30:$G$30</definedName>
    <definedName name="capProd2NewSales">cap!$E$38:$G$38</definedName>
    <definedName name="capProd2NewSubs">cap!$E$28:$G$28</definedName>
    <definedName name="capProd2OpenSubs">cap!$E$26:$G$26</definedName>
    <definedName name="capProd2OutsideServiceBaseExp">cap!$E$465:$G$465</definedName>
    <definedName name="capProd2ServiceContracts">cap!$E$34:$G$34</definedName>
    <definedName name="capProd2ServiceSales">cap!$E$40:$G$40</definedName>
    <definedName name="capProd2SoftwareAmortization">cap!$E$160:$G$160</definedName>
    <definedName name="capProd2SoftwareInvestment">cap!$E$158:$G$158</definedName>
    <definedName name="capProd2SpecProgExp">cap!$E$460:$G$460</definedName>
    <definedName name="capProd2SubCancellationRate">cap!$E$32:$G$32</definedName>
    <definedName name="capProd2SubGrowth">cap!$E$31:$G$31</definedName>
    <definedName name="capProd2ThirdPartyPerc">cap!$E$406:$G$406</definedName>
    <definedName name="capProd2TrainingExp">cap!$E$245:$G$245</definedName>
    <definedName name="capProd2TTM">cap!$E$349:$G$349</definedName>
    <definedName name="capSalesCoverageEmp1Req">cap!$E$184:$G$184</definedName>
    <definedName name="capSalesForceExistingAccounts">cap!$E$422:$G$422</definedName>
    <definedName name="capSalesForceNewAccounts">cap!$E$415:$G$415</definedName>
    <definedName name="capTableCSATImpact">cap!$A$365:$G$375</definedName>
    <definedName name="capTableESATImpact">cap!$A$382:$G$388</definedName>
    <definedName name="capTotalCancellationRate">cap!$E$44:$G$44</definedName>
    <definedName name="capTrainingEmp1Req">cap!$E$182:$G$182</definedName>
    <definedName name="capUnallocatedEmp1Req">cap!$E$197:$G$197</definedName>
    <definedName name="cbalAPValue">cbal!$E$35:$G$35</definedName>
    <definedName name="cbalARValue">cbal!$E$8:$G$8</definedName>
    <definedName name="cbalAssetsValue">cbal!$E$31:$G$31</definedName>
    <definedName name="cbalCAGRY0">cbal!$E$474:$G$474</definedName>
    <definedName name="cbalCashOIY0">cbal!$E$493:$G$493</definedName>
    <definedName name="cbalCashOIY1">cbal!$E$494:$G$494</definedName>
    <definedName name="cbalCashOIY2">cbal!$E$495:$G$495</definedName>
    <definedName name="cbalCashOIY3">cbal!$E$496:$G$496</definedName>
    <definedName name="cbalCashValue">cbal!$E$4:$G$4</definedName>
    <definedName name="cbalContentLvl">cbal!$E$104:$G$104</definedName>
    <definedName name="cbalContentLvlIndAvg">cbal!$E$105:$G$105</definedName>
    <definedName name="cbalCSAT">cbal!$E$56:$G$56</definedName>
    <definedName name="cbalCSATY0">cbal!$E$503:$G$503</definedName>
    <definedName name="cbalCSATY1">cbal!$E$504:$G$504</definedName>
    <definedName name="cbalCSATY2">cbal!$E$505:$G$505</definedName>
    <definedName name="cbalCSATY3">cbal!$E$506:$G$506</definedName>
    <definedName name="cbalCStockShares">cbal!$E$242:$G$242</definedName>
    <definedName name="cbalCStockValue">cbal!$E$47:$G$47</definedName>
    <definedName name="cbalCumulativeTaxLoss">cbal!$E$244:$G$244</definedName>
    <definedName name="cbalDeferredRevValue">cbal!$E$37:$G$37</definedName>
    <definedName name="cbalDividend">cbal!$E$55:$G$55</definedName>
    <definedName name="cbalEBITMulti">cbal!$E$243:$G$243</definedName>
    <definedName name="cbalEmp1">cbal!$E$111:$G$111</definedName>
    <definedName name="cbalEmp1TrainingLvl">cbal!$E$115:$G$115</definedName>
    <definedName name="cbalEmp2">cbal!$E$113:$G$113</definedName>
    <definedName name="cbalEmp3">cbal!$E$114:$G$114</definedName>
    <definedName name="cbalEquity">cbal!$E$51:$G$51</definedName>
    <definedName name="cbalESAT">cbal!$E$110:$G$110</definedName>
    <definedName name="cbalESATY0">cbal!$E$498:$G$498</definedName>
    <definedName name="cbalESATY1">cbal!$E$499:$G$499</definedName>
    <definedName name="cbalESATY2">cbal!$E$500:$G$500</definedName>
    <definedName name="cbalESATY3">cbal!$E$501:$G$501</definedName>
    <definedName name="cbalEvent101Chosen">cbal!$E$413:$G$413</definedName>
    <definedName name="cbalEvent101Duration">cbal!$E$362:$G$362</definedName>
    <definedName name="cbalEvent101Year">cbal!$E$335:$G$335</definedName>
    <definedName name="cbalEvent102Chosen">cbal!$E$414:$G$414</definedName>
    <definedName name="cbalEvent102Duration">cbal!$E$363:$G$363</definedName>
    <definedName name="cbalEvent102Year">cbal!$E$336:$G$336</definedName>
    <definedName name="cbalEvent103Chosen">cbal!$E$415:$G$415</definedName>
    <definedName name="cbalEvent103Duration">cbal!$E$364:$G$364</definedName>
    <definedName name="cbalEvent103Year">cbal!$E$337:$G$337</definedName>
    <definedName name="cbalEvent201Chosen">cbal!$E$416:$G$416</definedName>
    <definedName name="cbalEvent201Duration">cbal!$E$365:$G$365</definedName>
    <definedName name="cbalEvent201Year">cbal!$E$338:$G$338</definedName>
    <definedName name="cbalEvent202Chosen">cbal!$E$417:$G$417</definedName>
    <definedName name="cbalEvent202Duration">cbal!$E$366:$G$366</definedName>
    <definedName name="cbalEvent202Year">cbal!$E$339:$G$339</definedName>
    <definedName name="cbalEvent203Chosen">cbal!$E$418:$G$418</definedName>
    <definedName name="cbalEvent203Duration">cbal!$E$367:$G$367</definedName>
    <definedName name="cbalEvent203Year">cbal!$E$340:$G$340</definedName>
    <definedName name="cbalEvent301Chosen">cbal!$E$419:$G$419</definedName>
    <definedName name="cbalEvent301Duration">cbal!$E$368:$G$368</definedName>
    <definedName name="cbalEvent301Year">cbal!$E$341:$G$341</definedName>
    <definedName name="cbalEvent302Chosen">cbal!$E$420:$G$420</definedName>
    <definedName name="cbalEvent302Duration">cbal!$E$369:$G$369</definedName>
    <definedName name="cbalEvent302Year">cbal!$E$342:$G$342</definedName>
    <definedName name="cbalEvent401Chosen">cbal!$E$421:$G$421</definedName>
    <definedName name="cbalEvent401Duration">cbal!$E$370:$G$370</definedName>
    <definedName name="cbalEvent401Year">cbal!$E$343:$G$343</definedName>
    <definedName name="cbalEvent402Chosen">cbal!$E$422:$G$422</definedName>
    <definedName name="cbalEvent402Duration">cbal!$E$371:$G$371</definedName>
    <definedName name="cbalEvent402Year">cbal!$E$344:$G$344</definedName>
    <definedName name="cbalEvent403Chosen">cbal!$E$423:$G$423</definedName>
    <definedName name="cbalEvent403Duration">cbal!$E$372:$G$372</definedName>
    <definedName name="cbalEvent403Year">cbal!$E$345:$G$345</definedName>
    <definedName name="cbalEvent501Chosen">cbal!$E$424:$G$424</definedName>
    <definedName name="cbalEvent501Duration">cbal!$E$373:$G$373</definedName>
    <definedName name="cbalEvent501Year">cbal!$E$346:$G$346</definedName>
    <definedName name="cbalEvent502Chosen">cbal!$E$425:$G$425</definedName>
    <definedName name="cbalEvent502Duration">cbal!$E$374:$G$374</definedName>
    <definedName name="cbalEvent502Year">cbal!$E$347:$G$347</definedName>
    <definedName name="cbalEvent503Chosen">cbal!$E$426:$G$426</definedName>
    <definedName name="cbalEvent503Duration">cbal!$E$375:$G$375</definedName>
    <definedName name="cbalEvent503Year">cbal!$E$348:$G$348</definedName>
    <definedName name="cbalEvent601Chosen">cbal!$E$427:$G$427</definedName>
    <definedName name="cbalEvent601Duration">cbal!$E$376:$G$376</definedName>
    <definedName name="cbalEvent601Year">cbal!$E$349:$G$349</definedName>
    <definedName name="cbalEvent602Chosen">cbal!$E$428:$G$428</definedName>
    <definedName name="cbalEvent602Duration">cbal!$E$377:$G$377</definedName>
    <definedName name="cbalEvent602Year">cbal!$E$350:$G$350</definedName>
    <definedName name="cbalEvent603Chosen">cbal!$E$429:$G$429</definedName>
    <definedName name="cbalEvent603Duration">cbal!$E$378:$G$378</definedName>
    <definedName name="cbalEvent603Year">cbal!$E$351:$G$351</definedName>
    <definedName name="cbalEvent701Chosen">cbal!$E$430:$G$430</definedName>
    <definedName name="cbalEvent701Duration">cbal!$E$379:$G$379</definedName>
    <definedName name="cbalEvent701Year">cbal!$E$352:$G$352</definedName>
    <definedName name="cbalEvent702Chosen">cbal!$E$431:$G$431</definedName>
    <definedName name="cbalEvent702Duration">cbal!$E$380:$G$380</definedName>
    <definedName name="cbalEvent702Year">cbal!$E$353:$G$353</definedName>
    <definedName name="cbalEvent703Chosen">cbal!$E$432:$G$432</definedName>
    <definedName name="cbalEvent703Duration">cbal!$E$381:$G$381</definedName>
    <definedName name="cbalEvent703Year">cbal!$E$354:$G$354</definedName>
    <definedName name="cbalEvent801Chosen">cbal!$E$433:$G$433</definedName>
    <definedName name="cbalEvent801Duration">cbal!$E$382:$G$382</definedName>
    <definedName name="cbalEvent801Year">cbal!$E$355:$G$355</definedName>
    <definedName name="cbalEvent802Chosen">cbal!$E$434:$G$434</definedName>
    <definedName name="cbalEvent802Duration">cbal!$E$383:$G$383</definedName>
    <definedName name="cbalEvent802Year">cbal!$E$356:$G$356</definedName>
    <definedName name="cbalEvent803Chosen">cbal!$E$435:$G$435</definedName>
    <definedName name="cbalEvent803Duration">cbal!$E$384:$G$384</definedName>
    <definedName name="cbalEvent803Year">cbal!$E$357:$G$357</definedName>
    <definedName name="cbalEvent901Chosen">cbal!$E$436:$G$436</definedName>
    <definedName name="cbalEvent901Duration">cbal!$E$385:$G$385</definedName>
    <definedName name="cbalEvent901Year">cbal!$E$358:$G$358</definedName>
    <definedName name="cbalEvent902Chosen">cbal!$E$437:$G$437</definedName>
    <definedName name="cbalEvent902Duration">cbal!$E$386:$G$386</definedName>
    <definedName name="cbalEvent902Year">cbal!$E$359:$G$359</definedName>
    <definedName name="cbalEVT1Y1">cbal!$E$273:$G$273</definedName>
    <definedName name="cbalEVT1Y2">cbal!$E$277:$G$277</definedName>
    <definedName name="cbalEVT1Y3">cbal!$E$281:$G$281</definedName>
    <definedName name="cbalEVT2Y1">cbal!$E$274:$G$274</definedName>
    <definedName name="cbalEVT2Y2">cbal!$E$278:$G$278</definedName>
    <definedName name="cbalEVT2Y3">cbal!$E$282:$G$282</definedName>
    <definedName name="cbalEVT3Y1">cbal!$E$275:$G$275</definedName>
    <definedName name="cbalEVT3Y2">cbal!$E$279:$G$279</definedName>
    <definedName name="cbalEVT3Y3">cbal!$E$283:$G$283</definedName>
    <definedName name="cbalEVT4Y1">cbal!$E$276:$G$276</definedName>
    <definedName name="cbalEVT4Y2">cbal!$E$280:$G$280</definedName>
    <definedName name="cbalEVT4Y3">cbal!$E$284:$G$284</definedName>
    <definedName name="cbalGlobalExpansionLvl">cbal!$E$131:$G$131</definedName>
    <definedName name="cbalGlobalSalesCoverage">cbal!$E$133:$G$133</definedName>
    <definedName name="cbalGlobalSalesMktLvl">cbal!$E$132:$G$132</definedName>
    <definedName name="cbalGoodwillValue">cbal!$E$27:$G$27</definedName>
    <definedName name="cbalLTDebtValue">cbal!$E$41:$G$41</definedName>
    <definedName name="cbalNetEarnValue">cbal!$E$49:$G$49</definedName>
    <definedName name="cbalOperatingMarginY0">cbal!$E$488:$G$488</definedName>
    <definedName name="cbalOperatingMarginY1">cbal!$E$489:$G$489</definedName>
    <definedName name="cbalOperatingMarginY2">cbal!$E$490:$G$490</definedName>
    <definedName name="cbalOperatingMarginY3">cbal!$E$491:$G$491</definedName>
    <definedName name="cbalOtherCurrentAssets">cbal!$E$14:$G$14</definedName>
    <definedName name="cbalOtherCurrLiabValue">cbal!$E$36:$G$36</definedName>
    <definedName name="cbalOtherFixedAssets">cbal!$E$29:$G$29</definedName>
    <definedName name="cbalOtherLTLiabValue">cbal!$E$42:$G$42</definedName>
    <definedName name="cbalOtherValue">cbal!$E$26:$G$26</definedName>
    <definedName name="cbalPlant1Units">cbal!$E$123:$G$123</definedName>
    <definedName name="cbalPlant1UnitsConsolidate">cap!$E$93:$G$93</definedName>
    <definedName name="cbalPlant1UnitsSold">cbal!$E$124:$G$124</definedName>
    <definedName name="cbalPlant1Value">cbal!$E$19:$G$19</definedName>
    <definedName name="cbalPlant2Value">cbal!$E$20:$G$20</definedName>
    <definedName name="cbalPlantValue">cbal!$E$24:$G$24</definedName>
    <definedName name="cbalPNLCashOI">cbal!$E$469:$G$469</definedName>
    <definedName name="cbalPNLOMPerc">cbal!$E$468:$G$468</definedName>
    <definedName name="cbalPNLOperatingMargin">cbal!$E$229:$G$229</definedName>
    <definedName name="cbalPNLRev">cbal!$E$466:$G$466</definedName>
    <definedName name="cbalPNLRevCAGR">cbal!$E$467:$G$467</definedName>
    <definedName name="cbalProd1ARValue">cbal!$E$6:$G$6</definedName>
    <definedName name="cbalProd1NewSubGrowth">cbal!$E$68:$G$68</definedName>
    <definedName name="cbalProd1ProdTechLvl">cbal!$E$69:$G$69</definedName>
    <definedName name="cbalProd1RevY0">cbal!$E$472:$G$472</definedName>
    <definedName name="cbalProd1SoftwareValue">cbal!$E$21:$G$21</definedName>
    <definedName name="cbalProd1SubGrowth">cbal!$E$67:$G$67</definedName>
    <definedName name="cbalProd1TTM">cbal!$E$71:$G$71</definedName>
    <definedName name="cbalProd1TTMIndAvg">cbal!$E$72:$G$72</definedName>
    <definedName name="cbalProd2ARValue">cbal!$E$7:$G$7</definedName>
    <definedName name="cbalProd2NewSubGrowth">cbal!$E$90:$G$90</definedName>
    <definedName name="cbalProd2ProdTechLvl">cbal!$E$91:$G$91</definedName>
    <definedName name="cbalProd2RevY0">cbal!$E$473:$G$473</definedName>
    <definedName name="cbalProd2SoftwareValue">cbal!$E$22:$G$22</definedName>
    <definedName name="cbalProd2SubGrowth">cbal!$E$89:$G$89</definedName>
    <definedName name="cbalProd2TTM">cbal!$E$93:$G$93</definedName>
    <definedName name="cbalProd2TTMIndAvg">cbal!$E$94:$G$94</definedName>
    <definedName name="cbalProfitMarginY0">cbal!$E$475:$G$475</definedName>
    <definedName name="cbalRetEarnValue">cbal!$E$48:$G$48</definedName>
    <definedName name="cbalRevenueY0">cbal!$E$471:$G$471</definedName>
    <definedName name="cbalScoreY1">cbal!$E$478:$G$478</definedName>
    <definedName name="cbalScoreY2">cbal!$E$479:$G$479</definedName>
    <definedName name="cbalScoreY3">cbal!$E$480:$G$480</definedName>
    <definedName name="cbalSpecLoansValue">cbal!$E$38:$G$38</definedName>
    <definedName name="cbalSpecProg10Chosen">cbal!$E$398:$G$398</definedName>
    <definedName name="cbalSpecProg10Duration">cbal!$E$320:$G$320</definedName>
    <definedName name="cbalSpecProg10Year">cbal!$E$296:$G$296</definedName>
    <definedName name="cbalSpecProg11Chosen">cbal!$E$399:$G$399</definedName>
    <definedName name="cbalSpecProg11Duration">cbal!$E$321:$G$321</definedName>
    <definedName name="cbalSpecProg11Year">cbal!$E$297:$G$297</definedName>
    <definedName name="cbalSpecProg12Chosen">cbal!$E$400:$G$400</definedName>
    <definedName name="cbalSpecProg12Duration">cbal!$E$322:$G$322</definedName>
    <definedName name="cbalSpecProg12Year">cbal!$E$298:$G$298</definedName>
    <definedName name="cbalSpecProg13Chosen">cbal!$E$401:$G$401</definedName>
    <definedName name="cbalSpecProg13Duration">cbal!$E$323:$G$323</definedName>
    <definedName name="cbalSpecProg13Year">cbal!$E$299:$G$299</definedName>
    <definedName name="cbalSpecProg14Chosen">cbal!$E$402:$G$402</definedName>
    <definedName name="cbalSpecProg14Duration">cbal!$E$324:$G$324</definedName>
    <definedName name="cbalSpecProg14Year">cbal!$E$300:$G$300</definedName>
    <definedName name="cbalSpecProg15Chosen">cbal!$E$403:$G$403</definedName>
    <definedName name="cbalSpecProg15Duration">cbal!$E$325:$G$325</definedName>
    <definedName name="cbalSpecProg15Year">cbal!$E$301:$G$301</definedName>
    <definedName name="cbalSpecProg16Chosen">cbal!$E$404:$G$404</definedName>
    <definedName name="cbalSpecProg16Duration">cbal!$E$326:$G$326</definedName>
    <definedName name="cbalSpecProg16Year">cbal!$E$302:$G$302</definedName>
    <definedName name="cbalSpecProg17Chosen">cbal!$E$405:$G$405</definedName>
    <definedName name="cbalSpecProg17Duration">cbal!$E$327:$G$327</definedName>
    <definedName name="cbalSpecProg17Year">cbal!$E$303:$G$303</definedName>
    <definedName name="cbalSpecProg18Chosen">cbal!$E$406:$G$406</definedName>
    <definedName name="cbalSpecProg18Duration">cbal!$E$328:$G$328</definedName>
    <definedName name="cbalSpecProg18Year">cbal!$E$304:$G$304</definedName>
    <definedName name="cbalSpecProg19Chosen">cbal!$E$407:$G$407</definedName>
    <definedName name="cbalSpecProg19Duration">cbal!$E$329:$G$329</definedName>
    <definedName name="cbalSpecProg19Year">cbal!$E$305:$G$305</definedName>
    <definedName name="cbalSpecProg1Chosen">cbal!$E$389:$G$389</definedName>
    <definedName name="cbalSpecProg1Duration">cbal!$E$311:$G$311</definedName>
    <definedName name="cbalSpecProg1Year">cbal!$E$287:$G$287</definedName>
    <definedName name="cbalSpecProg1Yr1">cbal!$E$248:$G$248</definedName>
    <definedName name="cbalSpecProg1Yr2">cbal!$E$256:$G$256</definedName>
    <definedName name="cbalSpecProg1Yr3">cbal!$E$264:$G$264</definedName>
    <definedName name="cbalSpecProg20Chosen">cbal!$E$408:$G$408</definedName>
    <definedName name="cbalSpecProg20Duration">cbal!$E$330:$G$330</definedName>
    <definedName name="cbalSpecProg20Year">cbal!$E$306:$G$306</definedName>
    <definedName name="cbalSpecProg21Chosen">cbal!$E$409:$G$409</definedName>
    <definedName name="cbalSpecProg21Duration">cbal!$E$331:$G$331</definedName>
    <definedName name="cbalSpecProg21Year">cbal!$E$307:$G$307</definedName>
    <definedName name="cbalSpecProg22Chosen">cbal!$E$410:$G$410</definedName>
    <definedName name="cbalSpecProg22Duration">cbal!$E$332:$G$332</definedName>
    <definedName name="cbalSpecProg22Year">cbal!$E$308:$G$308</definedName>
    <definedName name="cbalSpecProg2Chosen">cbal!$E$390:$G$390</definedName>
    <definedName name="cbalSpecProg2Duration">cbal!$E$312:$G$312</definedName>
    <definedName name="cbalSpecProg2Year">cbal!$E$288:$G$288</definedName>
    <definedName name="cbalSpecProg2Yr1">cbal!$E$249:$G$249</definedName>
    <definedName name="cbalSpecProg2Yr2">cbal!$E$257:$G$257</definedName>
    <definedName name="cbalSpecProg2Yr3">cbal!$E$265:$G$265</definedName>
    <definedName name="cbalSpecProg3Chosen">cbal!$E$391:$G$391</definedName>
    <definedName name="cbalSpecProg3Duration">cbal!$E$313:$G$313</definedName>
    <definedName name="cbalSpecProg3Year">cbal!$E$289:$G$289</definedName>
    <definedName name="cbalSpecProg3Yr1">cbal!$E$250:$G$250</definedName>
    <definedName name="cbalSpecProg3Yr2">cbal!$E$258:$G$258</definedName>
    <definedName name="cbalSpecProg3Yr3">cbal!$E$266:$G$266</definedName>
    <definedName name="cbalSpecProg4Chosen">cbal!$E$392:$G$392</definedName>
    <definedName name="cbalSpecProg4Duration">cbal!$E$314:$G$314</definedName>
    <definedName name="cbalSpecProg4Year">cbal!$E$290:$G$290</definedName>
    <definedName name="cbalSpecProg4Yr1">cbal!$E$251:$G$251</definedName>
    <definedName name="cbalSpecProg4Yr2">cbal!$E$259:$G$259</definedName>
    <definedName name="cbalSpecProg4Yr3">cbal!$E$267:$G$267</definedName>
    <definedName name="cbalSpecProg5Chosen">cbal!$E$393:$G$393</definedName>
    <definedName name="cbalSpecProg5Duration">cbal!$E$315:$G$315</definedName>
    <definedName name="cbalSpecProg5Year">cbal!$E$291:$G$291</definedName>
    <definedName name="cbalSpecProg5Yr1">cbal!$E$252:$G$252</definedName>
    <definedName name="cbalSpecProg5Yr2">cbal!$E$260:$G$260</definedName>
    <definedName name="cbalSpecProg5Yr3">cbal!$E$268:$G$268</definedName>
    <definedName name="cbalSpecProg6Chosen">cbal!$E$394:$G$394</definedName>
    <definedName name="cbalSpecProg6Duration">cbal!$E$316:$G$316</definedName>
    <definedName name="cbalSpecProg6Year">cbal!$E$292:$G$292</definedName>
    <definedName name="cbalSpecProg6Yr1">cbal!$E$253:$G$253</definedName>
    <definedName name="cbalSpecProg6Yr2">cbal!$E$261:$G$261</definedName>
    <definedName name="cbalSpecProg6Yr3">cbal!$E$269:$G$269</definedName>
    <definedName name="cbalSpecProg7Chosen">cbal!$E$395:$G$395</definedName>
    <definedName name="cbalSpecProg7Duration">cbal!$E$317:$G$317</definedName>
    <definedName name="cbalSpecProg7Year">cbal!$E$293:$G$293</definedName>
    <definedName name="cbalSpecProg7Yr1">cbal!$E$254:$G$254</definedName>
    <definedName name="cbalSpecProg7Yr2">cbal!$E$262:$G$262</definedName>
    <definedName name="cbalSpecProg7Yr3">cbal!$E$270:$G$270</definedName>
    <definedName name="cbalSpecProg8Chosen">cbal!$E$396:$G$396</definedName>
    <definedName name="cbalSpecProg8Duration">cbal!$E$318:$G$318</definedName>
    <definedName name="cbalSpecProg8Year">cbal!$E$294:$G$294</definedName>
    <definedName name="cbalSpecProg8Yr1">cbal!$E$255:$G$255</definedName>
    <definedName name="cbalSpecProg8Yr2">cbal!$E$263:$G$263</definedName>
    <definedName name="cbalSpecProg8Yr3">cbal!$E$271:$G$271</definedName>
    <definedName name="cbalSpecProg9Chosen">cbal!$E$397:$G$397</definedName>
    <definedName name="cbalSpecProg9Duration">cbal!$E$319:$G$319</definedName>
    <definedName name="cbalSpecProg9Year">cbal!$E$295:$G$295</definedName>
    <definedName name="cbalTotalLiabilities">cbal!$E$44:$G$44</definedName>
    <definedName name="cbalTotalRevY0">cbal!$E$483:$G$483</definedName>
    <definedName name="cbalTotalRevY1">cbal!$E$484:$G$484</definedName>
    <definedName name="cbalTotalRevY2">cbal!$E$485:$G$485</definedName>
    <definedName name="cbalTotalRevY3">cbal!$E$486:$G$486</definedName>
    <definedName name="checkercorrect">Checker!$P$5</definedName>
    <definedName name="checkerflagged">Checker!$K$5:$K$8</definedName>
    <definedName name="checkerignore">Checker!$M$5:$M$27</definedName>
    <definedName name="checkermark">Checker!$P$9</definedName>
    <definedName name="checksheets">Checker!$O$5:$O$27</definedName>
    <definedName name="Completed">FixList!$H$3:$H$5</definedName>
    <definedName name="compTeamNumber">dec!$F$3:$G$3</definedName>
    <definedName name="DAreatoolPrograms">toolPrograms!$C$5:$R$55</definedName>
    <definedName name="datalist0_3">DataPage!$H$407:$H$410</definedName>
    <definedName name="datalist0to10">DataPage!$D$407:$D$417</definedName>
    <definedName name="datalist0to5">DataPage!$F$407:$F$412</definedName>
    <definedName name="datalist0to6">DataPage!$I$407:$I$413</definedName>
    <definedName name="datalist1_3">DataPage!$G$407:$G$409</definedName>
    <definedName name="datalist1to10">DataPage!$C$407:$C$416</definedName>
    <definedName name="datalist1to5">DataPage!$E$407:$E$411</definedName>
    <definedName name="datalist1to6">DataPage!$J$407:$J$412</definedName>
    <definedName name="datalistBundle">DataPage!$Q$407:$Q$411</definedName>
    <definedName name="datalistDiscountProd1">DataPage!$K$407:$K$411</definedName>
    <definedName name="datalistDiscountProd2">DataPage!$L$407:$L$411</definedName>
    <definedName name="datalistDiscountProd3">DataPage!$M$407:$M$411</definedName>
    <definedName name="datalistDiscountProd5">DataPage!$N$407:$N$411</definedName>
    <definedName name="datalistPlannedUtiliz">DataPage!$P$407:$P$411</definedName>
    <definedName name="datalistPriceProd4">DataPage!$O$407:$O$409</definedName>
    <definedName name="datalistTrueFalse">DataPage!$B$407:$B$408</definedName>
    <definedName name="DataNameDept1">DataPage!$C$22</definedName>
    <definedName name="DataNameDiv1Prod1">DataPage!$C$6</definedName>
    <definedName name="DataNameEmp1">DataPage!$C$11</definedName>
    <definedName name="DataNameEmp10">DataPage!$C$20</definedName>
    <definedName name="DataNameEmp2">DataPage!$C$12</definedName>
    <definedName name="DataNameEmp3">DataPage!$C$13</definedName>
    <definedName name="DataNameEmp4">DataPage!$C$14</definedName>
    <definedName name="DataNameEmp5">DataPage!$C$15</definedName>
    <definedName name="DataNameEmp6">DataPage!$C$16</definedName>
    <definedName name="DataNameEmp7">DataPage!$C$17</definedName>
    <definedName name="DataNameEmp8">DataPage!$C$18</definedName>
    <definedName name="DataNameEmp9">DataPage!$C$19</definedName>
    <definedName name="DataNamePlant1">DataPage!$C$21</definedName>
    <definedName name="DataNamePlant2">DataPage!$C$22</definedName>
    <definedName name="DataNamePlant3">DataPage!$C$23</definedName>
    <definedName name="DataNameProd1">DataPage!$C$5</definedName>
    <definedName name="DataNameProd1Seg1">DataPage!$C$24</definedName>
    <definedName name="DataNameProd1Seg2">DataPage!$C$25</definedName>
    <definedName name="DataNameProd1Seg3">DataPage!$C$26</definedName>
    <definedName name="DataNameProd1Seg4">DataPage!$C$27</definedName>
    <definedName name="DataNameProd1Seg5">DataPage!$C$28</definedName>
    <definedName name="DataNameProd2">DataPage!$C$6</definedName>
    <definedName name="DataNameProd2Seg1">DataPage!$C$29</definedName>
    <definedName name="DataNameProd2Seg2">DataPage!$C$30</definedName>
    <definedName name="DataNameProd2Seg3">DataPage!$C$31</definedName>
    <definedName name="DataNameProd2Seg4">DataPage!$C$32</definedName>
    <definedName name="DataNameProd2Seg5">DataPage!$C$33</definedName>
    <definedName name="DataNameProd3">DataPage!$C$7</definedName>
    <definedName name="DataNameProd3Seg1">DataPage!$C$34</definedName>
    <definedName name="DataNameProd3Seg2">DataPage!$C$35</definedName>
    <definedName name="DataNameProd3Seg3">DataPage!$C$36</definedName>
    <definedName name="DataNameProd3Seg4">DataPage!$C$37</definedName>
    <definedName name="DataNameProd3Seg5">DataPage!$C$38</definedName>
    <definedName name="DataNameProd4">DataPage!$C$8</definedName>
    <definedName name="DataNameProd4Seg1">DataPage!$C$39</definedName>
    <definedName name="DataNameProd4Seg2">DataPage!$C$40</definedName>
    <definedName name="DataNameProd4Seg3">DataPage!$C$41</definedName>
    <definedName name="DataNameProd4Seg4">DataPage!$C$42</definedName>
    <definedName name="DataNameProd4Seg5">DataPage!$C$43</definedName>
    <definedName name="DataNameProd5">DataPage!$C$9</definedName>
    <definedName name="DataNameProd5Seg1">DataPage!$C$44</definedName>
    <definedName name="DataNameProd5Seg2">DataPage!$C$45</definedName>
    <definedName name="DataNameProd5Seg3">DataPage!$C$46</definedName>
    <definedName name="DataNameProd5Seg4">DataPage!$C$47</definedName>
    <definedName name="DataNameProd5Seg5">DataPage!$C$48</definedName>
    <definedName name="DataNameProd6">DataPage!$C$10</definedName>
    <definedName name="DataNameProd6Seg1">DataPage!$C$49</definedName>
    <definedName name="DataNameProd6Seg2">DataPage!$C$50</definedName>
    <definedName name="DataNameProd6Seg3">DataPage!$C$51</definedName>
    <definedName name="DataNameProd6Seg4">DataPage!$C$52</definedName>
    <definedName name="DataNameProd6Seg5">DataPage!$C$53</definedName>
    <definedName name="datapageCompdecContentLvl">DataPage!$E$439:$G$439</definedName>
    <definedName name="datapageCompdecContentMethod">DataPage!$E$440:$G$440</definedName>
    <definedName name="datapageCompdecDCConsolidation">DataPage!$E$449:$G$449</definedName>
    <definedName name="datapageCompdecEmp1Change">DataPage!$E$442:$G$442</definedName>
    <definedName name="datapageCompdecEmp1TrainingLvl">DataPage!$E$443:$G$443</definedName>
    <definedName name="datapageCompdecEvent101">DataPage!$E$477:$G$477</definedName>
    <definedName name="datapageCompdecEvent102">DataPage!$E$478:$G$478</definedName>
    <definedName name="datapageCompdecEvent103">DataPage!$E$479:$G$479</definedName>
    <definedName name="datapageCompdecEvent201">DataPage!$E$480:$G$480</definedName>
    <definedName name="datapageCompdecEvent202">DataPage!$E$481:$G$481</definedName>
    <definedName name="datapageCompdecEvent203">DataPage!$E$482:$G$482</definedName>
    <definedName name="datapageCompdecEvent301">DataPage!$E$483:$G$483</definedName>
    <definedName name="datapageCompdecEvent302">DataPage!$E$484:$G$484</definedName>
    <definedName name="datapageCompdecEvent401">DataPage!$E$485:$G$485</definedName>
    <definedName name="datapageCompdecEvent402">DataPage!$E$486:$G$486</definedName>
    <definedName name="datapageCompdecEvent403">DataPage!$E$487:$G$487</definedName>
    <definedName name="datapageCompdecEvent501">DataPage!$E$488:$G$488</definedName>
    <definedName name="datapageCompdecEvent502">DataPage!$E$489:$G$489</definedName>
    <definedName name="datapageCompdecEvent503">DataPage!$E$490:$G$490</definedName>
    <definedName name="datapageCompdecEvent601">DataPage!$E$491:$G$491</definedName>
    <definedName name="datapageCompdecEvent602">DataPage!$E$492:$G$492</definedName>
    <definedName name="datapageCompdecEvent603">DataPage!$E$493:$G$493</definedName>
    <definedName name="datapageCompdecEvent701">DataPage!$E$494:$G$494</definedName>
    <definedName name="datapageCompdecEvent702">DataPage!$E$495:$G$495</definedName>
    <definedName name="datapageCompdecEvent703">DataPage!$E$496:$G$496</definedName>
    <definedName name="datapageCompdecEvent801">DataPage!$E$497:$G$497</definedName>
    <definedName name="datapageCompdecEvent802">DataPage!$E$498:$G$498</definedName>
    <definedName name="datapageCompdecEvent803">DataPage!$E$499:$G$499</definedName>
    <definedName name="datapageCompdecEvent901">DataPage!$E$500:$G$500</definedName>
    <definedName name="datapageCompdecEvent902">DataPage!$E$501:$G$501</definedName>
    <definedName name="datapageCompdecGlobalExpansion">DataPage!$E$447:$G$447</definedName>
    <definedName name="datapageCompdecMarketing">DataPage!$E$450:$G$450</definedName>
    <definedName name="datapageCompdecProd1Price">DataPage!$E$429:$G$429</definedName>
    <definedName name="datapageCompdecProd1ProdTechLvl">DataPage!$E$433:$G$433</definedName>
    <definedName name="datapageCompdecProd1TTMConFTEs">DataPage!$E$435:$G$435</definedName>
    <definedName name="datapageCompdecProd1TTMIntFTEs">DataPage!$E$434:$G$434</definedName>
    <definedName name="datapageCompdecProd1Units">DataPage!$E$428:$G$428</definedName>
    <definedName name="datapageCompdecProd2Price">DataPage!$E$431:$G$431</definedName>
    <definedName name="datapageCompdecProd2ProdTechLvl">DataPage!$E$436:$G$436</definedName>
    <definedName name="datapageCompdecProd2TTMConFTEs">DataPage!$E$438:$G$438</definedName>
    <definedName name="datapageCompdecProd2TTMIntFTEs">DataPage!$E$437:$G$437</definedName>
    <definedName name="datapageCompdecProd2Units">DataPage!$E$430:$G$430</definedName>
    <definedName name="datapageCompdecSalesExistingPerc">DataPage!$E$445:$G$445</definedName>
    <definedName name="datapageCompdecSalesNewPerc">DataPage!$E$444:$G$444</definedName>
    <definedName name="datapageCompdecSFCoverage">DataPage!$E$448:$G$448</definedName>
    <definedName name="datapageCompdecSpecProg1">DataPage!$E$452:$G$452</definedName>
    <definedName name="datapageCompdecSpecProg10">DataPage!$E$461:$G$461</definedName>
    <definedName name="datapageCompdecSpecProg11">DataPage!$E$462:$G$462</definedName>
    <definedName name="datapageCompdecSpecProg12">DataPage!$E$463:$G$463</definedName>
    <definedName name="datapageCompdecSpecProg13">DataPage!$E$464:$G$464</definedName>
    <definedName name="datapageCompdecSpecProg14">DataPage!$E$465:$G$465</definedName>
    <definedName name="datapageCompdecSpecProg15">DataPage!$E$466:$G$466</definedName>
    <definedName name="datapageCompdecSpecProg16">DataPage!$E$467:$G$467</definedName>
    <definedName name="datapageCompdecSpecProg17">DataPage!$E$468:$G$468</definedName>
    <definedName name="datapageCompdecSpecProg18">DataPage!$E$469:$G$469</definedName>
    <definedName name="datapageCompdecSpecProg19">DataPage!$E$470:$G$470</definedName>
    <definedName name="datapageCompdecSpecProg2">DataPage!$E$453:$G$453</definedName>
    <definedName name="datapageCompdecSpecProg20">DataPage!$E$471:$G$471</definedName>
    <definedName name="datapageCompdecSpecProg21">DataPage!$E$472:$G$472</definedName>
    <definedName name="datapageCompdecSpecProg22">DataPage!$E$473:$G$473</definedName>
    <definedName name="datapageCompdecSpecProg23">DataPage!$E$474:$G$474</definedName>
    <definedName name="datapageCompdecSpecProg24">DataPage!$E$475:$G$475</definedName>
    <definedName name="datapageCompdecSpecProg3">DataPage!$E$454:$G$454</definedName>
    <definedName name="datapageCompdecSpecProg4">DataPage!$E$455:$G$455</definedName>
    <definedName name="datapageCompdecSpecProg5">DataPage!$E$456:$G$456</definedName>
    <definedName name="datapageCompdecSpecProg6">DataPage!$E$457:$G$457</definedName>
    <definedName name="datapageCompdecSpecProg7">DataPage!$E$458:$G$458</definedName>
    <definedName name="datapageCompdecSpecProg8">DataPage!$E$459:$G$459</definedName>
    <definedName name="datapageCompdecSpecProg9">DataPage!$E$460:$G$460</definedName>
    <definedName name="datapageCompdecTeamName">DataPage!$E$423:$G$423</definedName>
    <definedName name="datapageCompdecTeamNumber">DataPage!$E$422:$G$422</definedName>
    <definedName name="datapageCompdecTeamYear">DataPage!$E$424:$G$424</definedName>
    <definedName name="datapageCompdecWobbler1">DataPage!$E$502:$G$502</definedName>
    <definedName name="datapageCompdecWobbler2">DataPage!$E$503:$G$503</definedName>
    <definedName name="datapageCompdecWobbler3">DataPage!$E$504:$G$504</definedName>
    <definedName name="datapageCompdecWobbler4">DataPage!$E$505:$G$505</definedName>
    <definedName name="datapageCompProd1MktShare">DataPage!$E$508:$G$508</definedName>
    <definedName name="datapageCompProd1ShareBoost">DataPage!$E$512:$G$512</definedName>
    <definedName name="datapageCompProd2MktShare">DataPage!$E$509:$G$509</definedName>
    <definedName name="datapageCompProd2ShareBoost">DataPage!$E$513:$G$513</definedName>
    <definedName name="dataTableEventTitles">DataPage!$B$651:$G$659</definedName>
    <definedName name="dataTableEvtResponses">DataPage!$B$661:$C$688</definedName>
    <definedName name="dataTableProd1Growth">DataPage!$C$92:$J$93</definedName>
    <definedName name="dataTableProd1Volume">DataPage!$C$102:$J$103</definedName>
    <definedName name="dataTableProd2Growth">DataPage!$C$127:$J$128</definedName>
    <definedName name="dataTableProd2Volume">DataPage!$C$131:$J$132</definedName>
    <definedName name="dataTableProd3Growth">DataPage!$C$156:$J$157</definedName>
    <definedName name="dataTableProd3Volume">DataPage!$C$160:$J$161</definedName>
    <definedName name="dataTableProd4Growth">DataPage!$C$185:$J$186</definedName>
    <definedName name="dataTableProd4Volume">DataPage!$C$189:$J$190</definedName>
    <definedName name="dataTableProd5Growth">DataPage!$C$214:$J$215</definedName>
    <definedName name="dataTableProd5Volume">DataPage!$C$218:$J$219</definedName>
    <definedName name="dataTableProd6Growth">DataPage!$C$243:$J$244</definedName>
    <definedName name="dataTableProd6Volume">DataPage!$C$247:$J$248</definedName>
    <definedName name="DBoardtoolPrograms">toolPrograms!$C$3:$R$3</definedName>
    <definedName name="decContentLvl">dec!$E$22:$G$22</definedName>
    <definedName name="decContentMethod">dec!$E$23:$G$23</definedName>
    <definedName name="decDCConsolidation">dec!$E$33:$G$33</definedName>
    <definedName name="decDividendAmount">dec!$E$38:$G$38</definedName>
    <definedName name="decEmp1Change">dec!$E$26:$G$26</definedName>
    <definedName name="decEmp1TrainingLvl">dec!$E$27:$G$27</definedName>
    <definedName name="decEvent101Chosen">dec!$E$65:$G$65</definedName>
    <definedName name="decEvent102Chosen">dec!$E$66:$G$66</definedName>
    <definedName name="decEvent103Chosen">dec!$E$67:$G$67</definedName>
    <definedName name="decEvent201Chosen">dec!$E$68:$G$68</definedName>
    <definedName name="decEvent202Chosen">dec!$E$69:$G$69</definedName>
    <definedName name="decEvent203Chosen">dec!$E$70:$G$70</definedName>
    <definedName name="decEvent301Chosen">dec!$E$71:$G$71</definedName>
    <definedName name="decEvent302Chosen">dec!$E$72:$G$72</definedName>
    <definedName name="decEvent401Chosen">dec!$E$73:$G$73</definedName>
    <definedName name="decEvent402Chosen">dec!$E$74:$G$74</definedName>
    <definedName name="decEvent403Chosen">dec!$E$75:$G$75</definedName>
    <definedName name="decEvent501Chosen">dec!$E$76:$G$76</definedName>
    <definedName name="decEvent502Chosen">dec!$E$77:$G$77</definedName>
    <definedName name="decEvent503Chosen">dec!$E$78:$G$78</definedName>
    <definedName name="decEvent601Chosen">dec!$E$79:$G$79</definedName>
    <definedName name="decEvent602Chosen">dec!$E$80:$G$80</definedName>
    <definedName name="decEvent603Chosen">dec!$E$81:$G$81</definedName>
    <definedName name="decEvent701Chosen">dec!$E$82:$G$82</definedName>
    <definedName name="decEvent702Chosen">dec!$E$83:$G$83</definedName>
    <definedName name="decEvent703Chosen">dec!$E$84:$G$84</definedName>
    <definedName name="decEvent801Chosen">dec!$E$85:$G$85</definedName>
    <definedName name="decEvent802Chosen">dec!$E$86:$G$86</definedName>
    <definedName name="decEvent803Chosen">dec!$E$87:$G$87</definedName>
    <definedName name="decEvent901Chosen">dec!$E$88:$G$88</definedName>
    <definedName name="decEvent902Chosen">dec!$E$89:$G$89</definedName>
    <definedName name="decExportType">dec!$E$6:$G$6</definedName>
    <definedName name="decGlobalExpansion">dec!$E$31:$G$31</definedName>
    <definedName name="decLTDebtChange">dec!$E$37:$G$37</definedName>
    <definedName name="decMarketing">dec!$E$34:$G$34</definedName>
    <definedName name="decPopUpWobblerTime">dec!$E$7:$G$7</definedName>
    <definedName name="decProd1Price">dec!$E$11:$G$11</definedName>
    <definedName name="decProd1ProdTechLvl">dec!$E$16:$G$16</definedName>
    <definedName name="decProd1TTMConFTEs">dec!$E$18:$G$18</definedName>
    <definedName name="decProd1TTMIntFTEs">dec!$E$17:$G$17</definedName>
    <definedName name="decProd1Units">dec!$E$10:$G$10</definedName>
    <definedName name="decProd2Price">dec!$E$13:$G$13</definedName>
    <definedName name="decProd2ProdTechLvl">dec!$E$19:$G$19</definedName>
    <definedName name="decProd2TTMConFTEs">dec!$E$21:$G$21</definedName>
    <definedName name="decProd2TTMIntFTEs">dec!$E$20:$G$20</definedName>
    <definedName name="decProd2Units">dec!$E$12:$G$12</definedName>
    <definedName name="decSalesNewPerc">dec!$E$28:$G$28</definedName>
    <definedName name="decSFCoverage">dec!$E$32:$G$32</definedName>
    <definedName name="decSpecProg1">dec!$E$41:$G$41</definedName>
    <definedName name="decSpecProg10Chosen">dec!$E$50:$G$50</definedName>
    <definedName name="decSpecProg11Chosen">dec!$E$51:$G$51</definedName>
    <definedName name="decSpecProg12Chosen">dec!$E$52:$G$52</definedName>
    <definedName name="decSpecProg13Chosen">dec!$E$53:$G$53</definedName>
    <definedName name="decSpecProg14Chosen">dec!$E$54:$G$54</definedName>
    <definedName name="decSpecProg15Chosen">dec!$E$55:$G$55</definedName>
    <definedName name="decSpecProg16Chosen">dec!$E$56:$G$56</definedName>
    <definedName name="decSpecProg17Chosen">dec!$E$57:$G$57</definedName>
    <definedName name="decSpecProg18Chosen">dec!$E$58:$G$58</definedName>
    <definedName name="decSpecProg19Chosen">dec!$E$59:$G$59</definedName>
    <definedName name="decSpecProg1Chosen">dec!$E$41:$G$41</definedName>
    <definedName name="decSpecProg2">dec!$E$42:$G$42</definedName>
    <definedName name="decSpecProg20Chosen">dec!$E$60:$G$60</definedName>
    <definedName name="decSpecProg21Chosen">dec!$E$61:$G$61</definedName>
    <definedName name="decSpecProg22Chosen">dec!$E$62:$G$62</definedName>
    <definedName name="decSpecProg23Chosen">dec!$E$63:$G$63</definedName>
    <definedName name="decSpecProg24Chosen">dec!$E$64:$G$64</definedName>
    <definedName name="decSpecProg2Chosen">dec!$E$42:$G$42</definedName>
    <definedName name="decSpecProg3">dec!$E$43:$G$43</definedName>
    <definedName name="decSpecProg3Chosen">dec!$E$43:$G$43</definedName>
    <definedName name="decSpecProg4">dec!$E$44:$G$44</definedName>
    <definedName name="decSpecProg4Chosen">dec!$E$44:$G$44</definedName>
    <definedName name="decSpecProg5">dec!$E$45:$G$45</definedName>
    <definedName name="decSpecProg5Chosen">dec!$E$45:$G$45</definedName>
    <definedName name="decSpecProg6">dec!$E$46:$G$46</definedName>
    <definedName name="decSpecProg6Chosen">dec!$E$46:$G$46</definedName>
    <definedName name="decSpecProg7">dec!$E$47:$G$47</definedName>
    <definedName name="decSpecProg7Chosen">dec!$E$47:$G$47</definedName>
    <definedName name="decSpecProg8">dec!$E$48:$G$48</definedName>
    <definedName name="decSpecProg8Chosen">dec!$E$48:$G$48</definedName>
    <definedName name="decSpecProg9Chosen">dec!$E$49:$G$49</definedName>
    <definedName name="decTeamName">dec!$E$4:$G$4</definedName>
    <definedName name="decTeamNumber">dec!$E$3:$G$3</definedName>
    <definedName name="decTeamYear">dec!$E$5:$G$5</definedName>
    <definedName name="ExportAsValue_SpecProgDropdowns">DataPage!$A$306:$V$402</definedName>
    <definedName name="exportAsValueAdjustmentLabels">adj!$D$2:$D$640</definedName>
    <definedName name="exportAsValueAdjustmentValues">adj!$J$2:$AG$640</definedName>
    <definedName name="exportAsValueAnalysisLabels">Analysis!$B$13:$B$377</definedName>
    <definedName name="exportAsValueProgramsReport">toolPrograms!$C$58:$R$108</definedName>
    <definedName name="ExportAsValueProgramValidation">toolPrograms!$K$12:$M$54</definedName>
    <definedName name="exportParamOptimize">param!$L$4:$N$163</definedName>
    <definedName name="ffbCopyProd1GrossMargin">feedbackTS!$E$7:$G$7</definedName>
    <definedName name="ffbCopyProd1OpsMargin">feedbackTS!$E$15:$G$15</definedName>
    <definedName name="ffbCopyRev">feedbackTS!$E$25:$G$25</definedName>
    <definedName name="ffbCopyROA">feedbackTS!$E$35:$G$35</definedName>
    <definedName name="ffbROA">feedbackTS!$E$35:$G$35</definedName>
    <definedName name="finAssetTurnover">fin!$E$218:$G$218</definedName>
    <definedName name="finCAGR">fin!$E$220:$G$220</definedName>
    <definedName name="finCashClosingValue">fin!$E$205:$G$205</definedName>
    <definedName name="finCashExpense">fin!$E$164:$G$164</definedName>
    <definedName name="finCashFlowAcquireInvest">fin!$E$190:$G$190</definedName>
    <definedName name="finCashFlowAmort">fin!$E$172:$G$172</definedName>
    <definedName name="finCashFlowAPChange">fin!$E$178:$G$178</definedName>
    <definedName name="finCashFlowARChange">fin!$E$176:$G$176</definedName>
    <definedName name="finCashFlowAssetLoss">fin!$E$170:$G$170</definedName>
    <definedName name="finCashFlowDCInvest">fin!$E$187:$G$187</definedName>
    <definedName name="finCashFlowDeferredRevLiabChange">fin!$E$180:$G$180</definedName>
    <definedName name="finCashFlowDep">fin!$E$171:$G$171</definedName>
    <definedName name="finCashFlowDividendPayOut">fin!$E$197:$G$197</definedName>
    <definedName name="finCashFlowFinance">fin!$E$201:$G$201</definedName>
    <definedName name="finCashFlowInvest">fin!$E$193:$G$193</definedName>
    <definedName name="finCashFlowLTDebtChange">fin!$E$198:$G$198</definedName>
    <definedName name="finCashFlowOperating">fin!$E$185:$G$185</definedName>
    <definedName name="finCashFlowOtherCurrAssetsChange">fin!$E$177:$G$177</definedName>
    <definedName name="finCashFlowOtherCurrLiabChange">fin!$E$179:$G$179</definedName>
    <definedName name="finCashFlowOtherLTLiabChange">fin!$E$181:$G$181</definedName>
    <definedName name="finCashFlowPropertyDivest">fin!$E$191:$G$191</definedName>
    <definedName name="finCashFlowPropertyInvest">fin!$E$188:$G$188</definedName>
    <definedName name="finCashFlowSoftwareInvest">fin!$E$189:$G$189</definedName>
    <definedName name="finCashFlowSpecLoansChange">fin!$E$199:$G$199</definedName>
    <definedName name="finCashFlowWorkCap">fin!$E$183:$G$183</definedName>
    <definedName name="finCashOI">fin!$E$221:$G$221</definedName>
    <definedName name="finCashOIMargin">fin!$E$222:$G$222</definedName>
    <definedName name="finCommonStockChange">fin!$E$211:$G$211</definedName>
    <definedName name="finEBIT">fin!$E$160:$G$160</definedName>
    <definedName name="finFinancingNotSpecLoan">fin!$E$195:$G$195</definedName>
    <definedName name="finPNLAdminExp">fin!$E$131:$G$131</definedName>
    <definedName name="finPNLAdminInfraExp">fin!$E$133:$G$133</definedName>
    <definedName name="finPNLAmortExp">fin!$E$144:$G$144</definedName>
    <definedName name="finPNLCapLossExp">fin!$E$150:$G$150</definedName>
    <definedName name="finPNLDeprAmortExp">fin!$E$146:$G$146</definedName>
    <definedName name="finPNLDeprExp">fin!$E$143:$G$143</definedName>
    <definedName name="finPNLEBITDA">fin!$E$140:$G$140</definedName>
    <definedName name="finPNLEBITDAMargin">fin!$E$141:$G$141</definedName>
    <definedName name="finPNLEmp1Exp">fin!$E$112:$G$112</definedName>
    <definedName name="finPNLEmp1ProdDevExp">fin!$E$115:$G$115</definedName>
    <definedName name="finPNLEmp2Exp">fin!$E$113:$G$113</definedName>
    <definedName name="finPNLEmp3Exp">fin!$E$114:$G$114</definedName>
    <definedName name="finPNLEmpExp">fin!$E$117:$G$117</definedName>
    <definedName name="finPNLExistSubRev">fin!$E$104:$G$104</definedName>
    <definedName name="finPNLExtFTEProdDevExp">fin!$E$126:$G$126</definedName>
    <definedName name="finPNLExtraOrdExp">fin!$E$153:$G$153</definedName>
    <definedName name="finPNLGGORev">fin!$E$107:$G$107</definedName>
    <definedName name="finPNLIntExp">fin!$E$156:$G$156</definedName>
    <definedName name="finPNLIntInc">fin!$E$155:$G$155</definedName>
    <definedName name="finPNLMktExp">fin!$E$121:$G$121</definedName>
    <definedName name="finPNLNetEarn">fin!$E$162:$G$162</definedName>
    <definedName name="finPNLNetIntExp">fin!$E$158:$G$158</definedName>
    <definedName name="finPNLNewSubRev">fin!$E$105:$G$105</definedName>
    <definedName name="finPNLOperatingExp">fin!$E$139:$G$139</definedName>
    <definedName name="finPNLOperatingIncome">fin!$E$147:$G$147</definedName>
    <definedName name="finPNLOperatingMargin">fin!$E$148:$G$148</definedName>
    <definedName name="finPNLOtherExp">fin!$E$135:$G$135</definedName>
    <definedName name="finPNLOtherOpExp">fin!$E$138:$G$138</definedName>
    <definedName name="finPNLPlant1Exp">fin!$E$130:$G$130</definedName>
    <definedName name="finPNLPrintExp">fin!$E$120:$G$120</definedName>
    <definedName name="finPNLProd1AdminExp">fin!$E$34:$G$34</definedName>
    <definedName name="finPNLProd1AdminInfraExp">fin!$E$36:$G$36</definedName>
    <definedName name="finPNLProd1AmortExp">fin!$E$47:$G$47</definedName>
    <definedName name="finPNLProd1DeprAmortExp">fin!$E$49:$G$49</definedName>
    <definedName name="finPNLProd1DeprExp">fin!$E$46:$G$46</definedName>
    <definedName name="finPNLProd1EBITDA">fin!$E$43:$G$43</definedName>
    <definedName name="finPNLProd1EBITDAMargin">fin!$E$44:$G$44</definedName>
    <definedName name="finPNLProd1Emp1Exp">fin!$E$15:$G$15</definedName>
    <definedName name="finPNLProd1Emp1ProdDevExp">fin!$E$18:$G$18</definedName>
    <definedName name="finPNLProd1Emp2Exp">fin!$E$16:$G$16</definedName>
    <definedName name="finPNLProd1Emp3Exp">fin!$E$17:$G$17</definedName>
    <definedName name="finPNLProd1EmpExp">fin!$E$20:$G$20</definedName>
    <definedName name="finPNLProd1ExistSubRev">fin!$E$7:$G$7</definedName>
    <definedName name="finPNLProd1ExtFTEProdDevExp">fin!$E$29:$G$29</definedName>
    <definedName name="finPNLProd1GGORev">fin!$E$10:$G$10</definedName>
    <definedName name="finPNLProd1MktExp">fin!$E$24:$G$24</definedName>
    <definedName name="finPNLProd1NewSubRev">fin!$E$8:$G$8</definedName>
    <definedName name="finPNLProd1OperatingExp">fin!$E$42:$G$42</definedName>
    <definedName name="finPNLProd1OperatingIncome">fin!$E$50:$G$50</definedName>
    <definedName name="finPNLProd1OperatingMargin">fin!$E$51:$G$51</definedName>
    <definedName name="finPNLProd1OtherExp">fin!$E$38:$G$38</definedName>
    <definedName name="finPNLProd1OtherOpExp">fin!$E$41:$G$41</definedName>
    <definedName name="finPNLProd1Plant1Exp">fin!$E$33:$G$33</definedName>
    <definedName name="finPNLProd1PrintExp">fin!$E$23:$G$23</definedName>
    <definedName name="finPNLProd1ProdDevExp">fin!$E$31:$G$31</definedName>
    <definedName name="finPNLProd1Rev">fin!$E$12:$G$12</definedName>
    <definedName name="finPNLProd1RevExp">fin!$E$27:$G$27</definedName>
    <definedName name="finPNLProd1RoyalityExp">fin!$E$22:$G$22</definedName>
    <definedName name="finPNLProd1ServiceRev">fin!$E$9:$G$9</definedName>
    <definedName name="finPNLProd1SpecProgExp">fin!$E$39:$G$39</definedName>
    <definedName name="finPNLProd2AdminExp">fin!$E$82:$G$82</definedName>
    <definedName name="finPNLProd2AdminInfraExp">fin!$E$84:$G$84</definedName>
    <definedName name="finPNLProd2AmortExp">fin!$E$95:$G$95</definedName>
    <definedName name="finPNLProd2DeprAmortExp">fin!$E$97:$G$97</definedName>
    <definedName name="finPNLProd2DeprExp">fin!$E$94:$G$94</definedName>
    <definedName name="finPNLProd2EBITDA">fin!$E$91:$G$91</definedName>
    <definedName name="finPNLProd2EBITDAMargin">fin!$E$92:$G$92</definedName>
    <definedName name="finPNLProd2Emp1Exp">fin!$E$63:$G$63</definedName>
    <definedName name="finPNLProd2Emp1ProdDevExp">fin!$E$66:$G$66</definedName>
    <definedName name="finPNLProd2Emp2Exp">fin!$E$64:$G$64</definedName>
    <definedName name="finPNLProd2Emp3Exp">fin!$E$65:$G$65</definedName>
    <definedName name="finPNLProd2EmpExp">fin!$E$68:$G$68</definedName>
    <definedName name="finPNLProd2ExistSubRev">fin!$E$55:$G$55</definedName>
    <definedName name="finPNLProd2ExtFTEProdDevExp">fin!$E$77:$G$77</definedName>
    <definedName name="finPNLProd2GGORev">fin!$E$58:$G$58</definedName>
    <definedName name="finPNLProd2MktExp">fin!$E$72:$G$72</definedName>
    <definedName name="finPNLProd2NewSubRev">fin!$E$56:$G$56</definedName>
    <definedName name="finPNLProd2OperatingExp">fin!$E$90:$G$90</definedName>
    <definedName name="finPNLProd2OperatingIncome">fin!$E$98:$G$98</definedName>
    <definedName name="finPNLProd2OperatingMargin">fin!$E$99:$G$99</definedName>
    <definedName name="finPNLProd2OtherExp">fin!$E$86:$G$86</definedName>
    <definedName name="finPNLProd2OtherOpExp">fin!$E$89:$G$89</definedName>
    <definedName name="finPNLProd2Plant1Exp">fin!$E$81:$G$81</definedName>
    <definedName name="finPNLProd2PrintExp">fin!$E$71:$G$71</definedName>
    <definedName name="finPNLProd2ProdDevExp">fin!$E$79:$G$79</definedName>
    <definedName name="finPNLProd2Rev">fin!$E$60:$G$60</definedName>
    <definedName name="finPNLProd2RevExp">fin!$E$75:$G$75</definedName>
    <definedName name="finPNLProd2RoyalityExp">fin!$E$70:$G$70</definedName>
    <definedName name="finPNLProd2ServiceRev">fin!$E$57:$G$57</definedName>
    <definedName name="finPNLProd2SpecProgExp">fin!$E$87:$G$87</definedName>
    <definedName name="finPNLProdDevExp">fin!$E$128:$G$128</definedName>
    <definedName name="finPNLRev">fin!$E$109:$G$109</definedName>
    <definedName name="finPNLRevExp">fin!$E$124:$G$124</definedName>
    <definedName name="finPNLRoyalityExp">fin!$E$119:$G$119</definedName>
    <definedName name="finPNLServiceRev">fin!$E$106:$G$106</definedName>
    <definedName name="finPNLSpecLoansExp">fin!$E$151:$G$151</definedName>
    <definedName name="finPNLSpecProgExp">fin!$E$136:$G$136</definedName>
    <definedName name="finPNLTaxExp">fin!$E$161:$G$161</definedName>
    <definedName name="finProfitMargin">fin!$E$217:$G$217</definedName>
    <definedName name="finRetEarnChange">fin!$E$212:$G$212</definedName>
    <definedName name="finROA">fin!$E$216:$G$216</definedName>
    <definedName name="finROIC">fin!$E$219:$G$219</definedName>
    <definedName name="finStockchange">fin!$E$210:$G$210</definedName>
    <definedName name="FMATBGround">Controls!$E$41</definedName>
    <definedName name="FMATDAReaBorder">Controls!$E$47</definedName>
    <definedName name="FMATDAreaBorderHeader">Controls!$E$49</definedName>
    <definedName name="FMATDAreaColor">Controls!$E$42</definedName>
    <definedName name="FMATDAreaColorHeader">Controls!$E$43</definedName>
    <definedName name="FMATDAreaFont">Controls!$E$44</definedName>
    <definedName name="FMATDAreaFontHeader">Controls!$E$45</definedName>
    <definedName name="FMATDBoardBorder">Controls!$E$68</definedName>
    <definedName name="FMATDBoardColor">Controls!$E$65</definedName>
    <definedName name="FMATDBoardFont">Controls!$E$66</definedName>
    <definedName name="FMATDCellBorder">Controls!$E$63</definedName>
    <definedName name="FMATDCellColor">Controls!$E$60</definedName>
    <definedName name="FMATDCellFont">Controls!$E$61</definedName>
    <definedName name="FMATRAreaBorder">Controls!$E$56</definedName>
    <definedName name="FMATRAreaBorderHeader">Controls!$E$58</definedName>
    <definedName name="FMATRAreaColor">Controls!$E$51</definedName>
    <definedName name="FMATRAreaColorHeader">Controls!$E$52</definedName>
    <definedName name="FMATRAreaFont">Controls!$E$53</definedName>
    <definedName name="FMATRAreaFontHeader">Controls!$E$54</definedName>
    <definedName name="HideColToolBalSheet">toolBalSheet!$B$2:$R$2</definedName>
    <definedName name="HideColToolCashFlow">toolCashFlow!$B$2:$L$2</definedName>
    <definedName name="HideColToolContent">toolContent!$B$2:$P$2</definedName>
    <definedName name="HideColToolEvents">toolEvents!$B$2:$P$2</definedName>
    <definedName name="HideColToolIntro">toolIntro!$B$2:$O$2</definedName>
    <definedName name="HideColToolOperations">toolOperations!$B$2:$N$2</definedName>
    <definedName name="HideColToolPeople">toolPeople!$B$2:$N$2</definedName>
    <definedName name="HideColToolPNL">toolPNL!$B$2:$U$2</definedName>
    <definedName name="HideColToolProd1Forecast">toolProd1Forecast!$B$2:$R$2</definedName>
    <definedName name="HideColToolProd2Forecast">toolProd2Forecast!$B$2:$R$2</definedName>
    <definedName name="HideColToolPrograms">toolPrograms!$B$2:$S$2</definedName>
    <definedName name="HideColToolRD">toolRD!$B$2:$P$2</definedName>
    <definedName name="HideRowanalysis">Analysis!$A$1:$A$324</definedName>
    <definedName name="HideRowtoolBalSheet">toolBalSheet!$B$2:$B$34</definedName>
    <definedName name="HideRowtoolCashFlow">toolCashFlow!$B$2:$B$41</definedName>
    <definedName name="HideRowtoolContent">toolContent!$B$2:$B$33</definedName>
    <definedName name="HideRowtoolEvents">toolEvents!$B$2:$B$73</definedName>
    <definedName name="HideRowtoolIntro">toolIntro!$B$2:$B$24</definedName>
    <definedName name="HideRowtoolOperations">toolOperations!$B$2:$B$51</definedName>
    <definedName name="HideRowtoolPeople">toolPeople!$B$2:$B$47</definedName>
    <definedName name="HideRowtoolPNL">toolPNL!$B$2:$B$42</definedName>
    <definedName name="HideRowtoolProd1Forecast">toolProd1Forecast!$B$2:$B$41</definedName>
    <definedName name="HideRowtoolProd2Forecast">toolProd2Forecast!$B$2:$B$41</definedName>
    <definedName name="HideRowtoolPrograms">toolPrograms!$B$2:$B$110</definedName>
    <definedName name="HideRowtoolRD">toolRD!$B$2:$B$52</definedName>
    <definedName name="listDataSpecProgs">DataPage!$D$372</definedName>
    <definedName name="listDataSpecProgsCode">DataPage!$C$341:$C$366</definedName>
    <definedName name="listDataSpecProgsNames">DataPage!$F$341:$F$366</definedName>
    <definedName name="listDataSpecProgsTemp">DataPage!$D$372:$D$382</definedName>
    <definedName name="listDataSpecProgsTempRows">DataPage!$D$368</definedName>
    <definedName name="MENU1CBar">Controls!$E$74</definedName>
    <definedName name="MENU1MenuItems">Controls!$E$83</definedName>
    <definedName name="MENU1Menus">Controls!$E$77</definedName>
    <definedName name="MENU1SubMenuItems">Controls!$E$98</definedName>
    <definedName name="MENU2CBar">Controls!$E$107</definedName>
    <definedName name="MENU2MenuItems">Controls!$E$113</definedName>
    <definedName name="MENU2Menus">Controls!$E$110</definedName>
    <definedName name="MENU2SubMenuItems">Controls!$E$120</definedName>
    <definedName name="MMExplainCopy">mmProd1!$C$101:$I$117</definedName>
    <definedName name="MMExplainPasteSeg1">mmProd1!$C$184</definedName>
    <definedName name="MMExplainPasteSeg2">mmProd1!$C$202</definedName>
    <definedName name="MMExplainPasteSeg3">mmProd1!$C$220</definedName>
    <definedName name="MMExplainPasteSeg4">mmProd1!$C$238</definedName>
    <definedName name="MMExplainPasteSeg5">mmProd1!$C$256</definedName>
    <definedName name="MMInMarket">mmProd1!$E$32:$H$32</definedName>
    <definedName name="mmobalProd1BusDev">mmProd1!$E$368:$G$368</definedName>
    <definedName name="mmobalProd1Marketing">mmProd1!$E$365:$G$365</definedName>
    <definedName name="mmobalProd1RDDesign">mmProd1!$E$367:$G$367</definedName>
    <definedName name="mmobalProd1RDGenral">mmProd1!$E$366:$G$366</definedName>
    <definedName name="mmobalProd2BusDev">mmProd2!$E$375:$G$375</definedName>
    <definedName name="mmobalProd2Marketing">mmProd2!$E$372:$G$372</definedName>
    <definedName name="mmobalProd2RDDesign">mmProd2!$E$374:$G$374</definedName>
    <definedName name="mmobalProd2RDGenral">mmProd2!$E$373:$G$373</definedName>
    <definedName name="mmProd1AddMissed">mmProd1!$E$136:$H$136</definedName>
    <definedName name="mmProd1AddPlaced">mmProd1!$E$135:$H$135</definedName>
    <definedName name="MMProd1Adjustments">mmProd1!$E$183:$G$187,mmProd1!$E$207:$G$208,mmProd1!$E$222:$G$223,mmProd1!$E$237:$G$238,mmProd1!$E$252:$G$253,mmProd1!$E$267:$G$268</definedName>
    <definedName name="mmProd1Demand">mmProd1!$E$130:$H$130</definedName>
    <definedName name="mmProd1Explain">mmProd1!$B$104:$H$115</definedName>
    <definedName name="mmProd1MarketShare">mmProd1!$E$142:$H$142</definedName>
    <definedName name="mmProd1Supply">mmProd1!$E$131:$H$131</definedName>
    <definedName name="mmProd1TotalUnits">mmProd1!$E$141:$H$141</definedName>
    <definedName name="mmProd2AddMissed">mmProd2!$E$144:$H$144</definedName>
    <definedName name="mmProd2AddPlaced">mmProd2!$E$143:$H$143</definedName>
    <definedName name="MMProd2Adjustments">mmProd2!$E$207:$G$211,mmProd2!$E$231:$G$232</definedName>
    <definedName name="mmProd2Demand">mmProd2!$E$138:$H$138</definedName>
    <definedName name="mmProd2Explain">mmProd2!$B$104:$H$115</definedName>
    <definedName name="mmProd2MarketShare">mmProd2!$E$150:$H$150</definedName>
    <definedName name="mmProd2Supply">mmProd2!$E$139:$H$139</definedName>
    <definedName name="mmProd2TotalUnits">mmProd2!$E$149:$H$149</definedName>
    <definedName name="MMSegCount">mmProd1!$D$27</definedName>
    <definedName name="MMSegCurrent">mmProd1!$D$26</definedName>
    <definedName name="MMSegName">mmProd1!$D$28</definedName>
    <definedName name="MMSegSummary">mmProd1!$E$120:$H$124</definedName>
    <definedName name="MMShareCopy">mmProd1!$E$117:$H$117</definedName>
    <definedName name="MMSharePaste">mmProd1!$E$120</definedName>
    <definedName name="MMTotalUnits">mmProd1!$E$180:$H$180</definedName>
    <definedName name="obalAPValue">obal!$E$35:$G$35</definedName>
    <definedName name="obalARValue">obal!$E$8:$G$8</definedName>
    <definedName name="obalAssetsValue">obal!$E$31:$G$31</definedName>
    <definedName name="obalCAGRY0">obal!$E$474:$G$474</definedName>
    <definedName name="obalCashOIY0">obal!$E$493:$G$493</definedName>
    <definedName name="obalCashOIY1">obal!$E$494:$G$494</definedName>
    <definedName name="obalCashOIY2">obal!$E$495:$G$495</definedName>
    <definedName name="obalCashOIY3">obal!$E$496:$G$496</definedName>
    <definedName name="obalCashValue">obal!$E$4:$G$4</definedName>
    <definedName name="obalContentEmp1Req">obal!$E$107:$G$107</definedName>
    <definedName name="obalContentLvl">obal!$E$104:$G$104</definedName>
    <definedName name="obalContentLvlIndAvg">obal!$E$105:$G$105</definedName>
    <definedName name="obalContentMethod">obal!$E$106:$G$106</definedName>
    <definedName name="obalCSAT">obal!$E$56:$G$56</definedName>
    <definedName name="obalCSATY0">obal!$E$503:$G$503</definedName>
    <definedName name="obalCSATY1">obal!$E$504:$G$504</definedName>
    <definedName name="obalCSATY2">obal!$E$505:$G$505</definedName>
    <definedName name="obalCSATY3">obal!$E$506:$G$506</definedName>
    <definedName name="obalCStockPricePShare">obal!$E$241:$G$241</definedName>
    <definedName name="obalCStockShares">obal!$E$242:$G$242</definedName>
    <definedName name="obalCStockValue">obal!$E$47:$G$47</definedName>
    <definedName name="obalCumulativeTaxLoss">obal!$E$244:$G$244</definedName>
    <definedName name="obalCustomerService">obal!$E$120:$G$120</definedName>
    <definedName name="obalDCConsolidation">obal!$E$126:$G$126</definedName>
    <definedName name="obalDeferredRevValue">obal!$E$37:$G$37</definedName>
    <definedName name="obalDividend">obal!$E$55:$G$55</definedName>
    <definedName name="obalEBIT">obal!$E$236:$G$236</definedName>
    <definedName name="obalEBITMulti">obal!$E$243:$G$243</definedName>
    <definedName name="obalEmp1">obal!$E$111:$G$111</definedName>
    <definedName name="obalEmp1Recruit">obal!$E$112:$G$112</definedName>
    <definedName name="obalEmp1TrainingLvl">obal!$E$115:$G$115</definedName>
    <definedName name="obalEmp2">obal!$E$113:$G$113</definedName>
    <definedName name="obalEmp3">obal!$E$114:$G$114</definedName>
    <definedName name="obalEquity">obal!$E$51:$G$51</definedName>
    <definedName name="obalESAT">obal!$E$110:$G$110</definedName>
    <definedName name="obalESATY0">obal!$E$498:$G$498</definedName>
    <definedName name="obalESATY1">obal!$E$499:$G$499</definedName>
    <definedName name="obalESATY2">obal!$E$500:$G$500</definedName>
    <definedName name="obalESATY3">obal!$E$501:$G$501</definedName>
    <definedName name="obalEvent101Chosen">obal!$E$413:$G$413</definedName>
    <definedName name="obalEvent101Duration">obal!$E$362:$G$362</definedName>
    <definedName name="obalEvent101Year">obal!$E$335:$G$335</definedName>
    <definedName name="obalEvent102Chosen">obal!$E$414:$G$414</definedName>
    <definedName name="obalEvent102Duration">obal!$E$363:$G$363</definedName>
    <definedName name="obalEvent102Year">obal!$E$336:$G$336</definedName>
    <definedName name="obalEvent103Chosen">obal!$E$415:$G$415</definedName>
    <definedName name="obalEvent103Duration">obal!$E$364:$G$364</definedName>
    <definedName name="obalEvent103Year">obal!$E$337:$G$337</definedName>
    <definedName name="obalEvent201Chosen">obal!$E$416:$G$416</definedName>
    <definedName name="obalEvent201Duration">obal!$E$365:$G$365</definedName>
    <definedName name="obalEvent201Year">obal!$E$338:$G$338</definedName>
    <definedName name="obalEvent202Chosen">obal!$E$417:$G$417</definedName>
    <definedName name="obalEvent202Duration">obal!$E$366:$G$366</definedName>
    <definedName name="obalEvent202Year">obal!$E$339:$G$339</definedName>
    <definedName name="obalEvent203Chosen">obal!$E$418:$G$418</definedName>
    <definedName name="obalEvent203Duration">obal!$E$367:$G$367</definedName>
    <definedName name="obalEvent203Year">obal!$E$340:$G$340</definedName>
    <definedName name="obalEvent301Chosen">obal!$E$419:$G$419</definedName>
    <definedName name="obalEvent301Duration">obal!$E$368:$G$368</definedName>
    <definedName name="obalEvent301Year">obal!$E$341:$G$341</definedName>
    <definedName name="obalEvent302Chosen">obal!$E$420:$G$420</definedName>
    <definedName name="obalEvent302Duration">obal!$E$369:$G$369</definedName>
    <definedName name="obalEvent302Year">obal!$E$342:$G$342</definedName>
    <definedName name="obalEvent401Chosen">obal!$E$421:$G$421</definedName>
    <definedName name="obalEvent401Duration">obal!$E$370:$G$370</definedName>
    <definedName name="obalEvent401Year">obal!$E$343:$G$343</definedName>
    <definedName name="obalEvent402Chosen">obal!$E$422:$G$422</definedName>
    <definedName name="obalEvent402Duration">obal!$E$371:$G$371</definedName>
    <definedName name="obalEvent402Year">obal!$E$344:$G$344</definedName>
    <definedName name="obalEvent403Chosen">obal!$E$423:$G$423</definedName>
    <definedName name="obalEvent403Duration">obal!$E$372:$G$372</definedName>
    <definedName name="obalEvent403Year">obal!$E$345:$G$345</definedName>
    <definedName name="obalEvent501Chosen">obal!$E$424:$G$424</definedName>
    <definedName name="obalEvent501Duration">obal!$E$373:$G$373</definedName>
    <definedName name="obalEvent501Year">obal!$E$346:$G$346</definedName>
    <definedName name="obalEvent502Chosen">obal!$E$425:$G$425</definedName>
    <definedName name="obalEvent502Duration">obal!$E$374:$G$374</definedName>
    <definedName name="obalEvent502Year">obal!$E$347:$G$347</definedName>
    <definedName name="obalEvent503Chosen">obal!$E$426:$G$426</definedName>
    <definedName name="obalEvent503Duration">obal!$E$375:$G$375</definedName>
    <definedName name="obalEvent503Year">obal!$E$348:$G$348</definedName>
    <definedName name="obalEvent601Chosen">obal!$E$427:$G$427</definedName>
    <definedName name="obalEvent601Duration">obal!$E$376:$G$376</definedName>
    <definedName name="obalEvent601Year">obal!$E$349:$G$349</definedName>
    <definedName name="obalEvent602Chosen">obal!$E$428:$G$428</definedName>
    <definedName name="obalEvent602Duration">obal!$E$377:$G$377</definedName>
    <definedName name="obalEvent602Year">obal!$E$350:$G$350</definedName>
    <definedName name="obalEvent603Chosen">obal!$E$429:$G$429</definedName>
    <definedName name="obalEvent603Duration">obal!$E$378:$G$378</definedName>
    <definedName name="obalEvent603Year">obal!$E$351:$G$351</definedName>
    <definedName name="obalEvent701Chosen">obal!$E$430:$G$430</definedName>
    <definedName name="obalEvent701Duration">obal!$E$379:$G$379</definedName>
    <definedName name="obalEvent701Year">obal!$E$352:$G$352</definedName>
    <definedName name="obalEvent702Chosen">obal!$E$431:$G$431</definedName>
    <definedName name="obalEvent702Duration">obal!$E$380:$G$380</definedName>
    <definedName name="obalEvent702Year">obal!$E$353:$G$353</definedName>
    <definedName name="obalEvent703Chosen">obal!$E$432:$G$432</definedName>
    <definedName name="obalEvent703Duration">obal!$E$381:$G$381</definedName>
    <definedName name="obalEvent703Year">obal!$E$354:$G$354</definedName>
    <definedName name="obalEvent801Chosen">obal!$E$433:$G$433</definedName>
    <definedName name="obalEvent801Duration">obal!$E$382:$G$382</definedName>
    <definedName name="obalEvent801Year">obal!$E$355:$G$355</definedName>
    <definedName name="obalEvent802Chosen">obal!$E$434:$G$434</definedName>
    <definedName name="obalEvent802Duration">obal!$E$383:$G$383</definedName>
    <definedName name="obalEvent802Year">obal!$E$356:$G$356</definedName>
    <definedName name="obalEvent803Chosen">obal!$E$435:$G$435</definedName>
    <definedName name="obalEvent803Duration">obal!$E$384:$G$384</definedName>
    <definedName name="obalEvent803Year">obal!$E$357:$G$357</definedName>
    <definedName name="obalEvent901Chosen">obal!$E$436:$G$436</definedName>
    <definedName name="obalEvent901Duration">obal!$E$385:$G$385</definedName>
    <definedName name="obalEvent901Year">obal!$E$358:$G$358</definedName>
    <definedName name="obalEvent902Chosen">obal!$E$437:$G$437</definedName>
    <definedName name="obalEvent902Duration">obal!$E$386:$G$386</definedName>
    <definedName name="obalEvent902Year">obal!$E$359:$G$359</definedName>
    <definedName name="obalGlobalExpansionLvl">obal!$E$131:$G$131</definedName>
    <definedName name="obalGlobalSalesCoverage">obal!$E$133:$G$133</definedName>
    <definedName name="obalGlobalSalesMktLvl">obal!$E$132:$G$132</definedName>
    <definedName name="obalGoodwillValue">obal!$E$27:$G$27</definedName>
    <definedName name="obalLTDebtValue">obal!$E$41:$G$41</definedName>
    <definedName name="obalMkt">obal!$E$57:$G$57</definedName>
    <definedName name="obalNetEarnValue">obal!$E$49:$G$49</definedName>
    <definedName name="obalOperatingMarginY0">obal!$E$488:$G$488</definedName>
    <definedName name="obalOperatingMarginY1">obal!$E$489:$G$489</definedName>
    <definedName name="obalOperatingMarginY2">obal!$E$490:$G$490</definedName>
    <definedName name="obalOperatingMarginY3">obal!$E$491:$G$491</definedName>
    <definedName name="obalOtherCurrentAssets">obal!$E$14:$G$14</definedName>
    <definedName name="obalOtherCurrLiabValue">obal!$E$36:$G$36</definedName>
    <definedName name="obalOtherFixedAssets">obal!$E$29:$G$29</definedName>
    <definedName name="obalOtherLTLiabValue">obal!$E$42:$G$42</definedName>
    <definedName name="obalOtherValue">obal!$E$26:$G$26</definedName>
    <definedName name="obalPlant1Units">obal!$E$123:$G$123</definedName>
    <definedName name="obalPlant1UnitsSold">obal!$E$124:$G$124</definedName>
    <definedName name="obalPlant1Utiliz">obal!$E$127:$G$127</definedName>
    <definedName name="obalPlant1Value">obal!$E$19:$G$19</definedName>
    <definedName name="obalPlant2Units">obal!$E$128:$G$128</definedName>
    <definedName name="obalPlant2Value">obal!$E$20:$G$20</definedName>
    <definedName name="obalPlantValue">obal!$E$24:$G$24</definedName>
    <definedName name="obalPNLAdminExp">obal!$E$218:$G$218</definedName>
    <definedName name="obalPNLAdminInfraExp">obal!$E$219:$G$219</definedName>
    <definedName name="obalPNLAmortExp">obal!$E$226:$G$226</definedName>
    <definedName name="obalPNLCapLossExp">obal!$E$230:$G$230</definedName>
    <definedName name="obalPNLCashOI">obal!$E$469:$G$469</definedName>
    <definedName name="obalPNLDeprAmortExp">obal!$E$227:$G$227</definedName>
    <definedName name="obalPNLDeprExp">obal!$E$225:$G$225</definedName>
    <definedName name="obalPNLEBITDA">obal!$E$224:$G$224</definedName>
    <definedName name="obalPNLEmp1Exp">obal!$E$205:$G$205</definedName>
    <definedName name="obalPNLEmp1ProdDevExp">obal!$E$214:$G$214</definedName>
    <definedName name="obalPNLEmp2Exp">obal!$E$206:$G$206</definedName>
    <definedName name="obalPNLEmp3Exp">obal!$E$207:$G$207</definedName>
    <definedName name="obalPNLEmpExp">obal!$E$208:$G$208</definedName>
    <definedName name="obalPNLExistSubRev">obal!$E$200:$G$200</definedName>
    <definedName name="obalPNLExtFTEProdDevExp">obal!$E$215:$G$215</definedName>
    <definedName name="obalPNLExtraOrdExp">obal!$E$232:$G$232</definedName>
    <definedName name="obalPNLGGORev">obal!$E$203:$G$203</definedName>
    <definedName name="obalPNLIntExp">obal!$E$234:$G$234</definedName>
    <definedName name="obalPNLIntInc">obal!$E$233:$G$233</definedName>
    <definedName name="obalPNLMktExp">obal!$E$211:$G$211</definedName>
    <definedName name="obalPNLNetEarn">obal!$E$238:$G$238</definedName>
    <definedName name="obalPNLNetIntExp">obal!$E$235:$G$235</definedName>
    <definedName name="obalPNLNewSubRev">obal!$E$201:$G$201</definedName>
    <definedName name="obalPNLOMPerc">obal!$E$468:$G$468</definedName>
    <definedName name="obalPNLOperatingExp">obal!$E$223:$G$223</definedName>
    <definedName name="obalPNLOperatingIncome">obal!$E$228:$G$228</definedName>
    <definedName name="obalPNLOperatingMargin">obal!$E$229:$G$229</definedName>
    <definedName name="obalPNLOtherExp">obal!$E$220:$G$220</definedName>
    <definedName name="obalPNLOtherOpExp">obal!$E$222:$G$222</definedName>
    <definedName name="obalPNLPlant1Exp">obal!$E$217:$G$217</definedName>
    <definedName name="obalPNLPrintExp">obal!$E$210:$G$210</definedName>
    <definedName name="obalPNLProd1AdminExp">obal!$E$154:$G$154</definedName>
    <definedName name="obalPNLProd1AdminInfraExp">obal!$E$155:$G$155</definedName>
    <definedName name="obalPNLProd1AmortExp">obal!$E$162:$G$162</definedName>
    <definedName name="obalPNLProd1DeprAmortExp">obal!$E$163:$G$163</definedName>
    <definedName name="obalPNLProd1DeprExp">obal!$E$161:$G$161</definedName>
    <definedName name="obalPNLProd1EBITDA">obal!$E$160:$G$160</definedName>
    <definedName name="obalPNLProd1Emp1Exp">obal!$E$141:$G$141</definedName>
    <definedName name="obalPNLProd1Emp1ProdDevExp">obal!$E$150:$G$150</definedName>
    <definedName name="obalPNLProd1Emp2Exp">obal!$E$142:$G$142</definedName>
    <definedName name="obalPNLProd1Emp3Exp">obal!$E$143:$G$143</definedName>
    <definedName name="obalPNLProd1EmpExp">obal!$E$144:$G$144</definedName>
    <definedName name="obalPNLProd1ExistSubRev">obal!$E$136:$G$136</definedName>
    <definedName name="obalPNLProd1ExtFTEProdDevExp">obal!$E$151:$G$151</definedName>
    <definedName name="obalPNLProd1GGORev">obal!$E$139:$G$139</definedName>
    <definedName name="obalPNLProd1MktExp">obal!$E$147:$G$147</definedName>
    <definedName name="obalPNLProd1NewSubRev">obal!$E$137:$G$137</definedName>
    <definedName name="obalPNLProd1OperatingExp">obal!$E$159:$G$159</definedName>
    <definedName name="obalPNLProd1OperatingIncome">obal!$E$164:$G$164</definedName>
    <definedName name="obalPNLProd1OperatingMargin">obal!$E$165:$G$165</definedName>
    <definedName name="obalPNLProd1OtherExp">obal!$E$156:$G$156</definedName>
    <definedName name="obalPNLProd1OtherOpExp">obal!$E$158:$G$158</definedName>
    <definedName name="obalPNLProd1Plant1Exp">obal!$E$153:$G$153</definedName>
    <definedName name="obalPNLProd1PrintExp">obal!$E$146:$G$146</definedName>
    <definedName name="obalPNLProd1ProdDevExp">obal!$E$152:$G$152</definedName>
    <definedName name="obalPNLProd1Rev">obal!$E$140:$G$140</definedName>
    <definedName name="obalPNLProd1RevExp">obal!$E$149:$G$149</definedName>
    <definedName name="obalPNLProd1RoyalityExp">obal!$E$145:$G$145</definedName>
    <definedName name="obalPNLProd1ServiceRev">obal!$E$138:$G$138</definedName>
    <definedName name="obalPNLProd1SpecProgExp">obal!$E$157:$G$157</definedName>
    <definedName name="obalPNLProd2AdminExp">obal!$E$186:$G$186</definedName>
    <definedName name="obalPNLProd2AdminInfraExp">obal!$E$187:$G$187</definedName>
    <definedName name="obalPNLProd2AmortExp">obal!$E$194:$G$194</definedName>
    <definedName name="obalPNLProd2DeprAmortExp">obal!$E$195:$G$195</definedName>
    <definedName name="obalPNLProd2DeprExp">obal!$E$193:$G$193</definedName>
    <definedName name="obalPNLProd2EBITDA">obal!$E$192:$G$192</definedName>
    <definedName name="obalPNLProd2Emp1Exp">obal!$E$173:$G$173</definedName>
    <definedName name="obalPNLProd2Emp1ProdDevExp">obal!$E$182:$G$182</definedName>
    <definedName name="obalPNLProd2Emp2Exp">obal!$E$174:$G$174</definedName>
    <definedName name="obalPNLProd2Emp3Exp">obal!$E$175:$G$175</definedName>
    <definedName name="obalPNLProd2EmpExp">obal!$E$176:$G$176</definedName>
    <definedName name="obalPNLProd2ExistSubRev">obal!$E$168:$G$168</definedName>
    <definedName name="obalPNLProd2ExtFTEProdDevExp">obal!$E$183:$G$183</definedName>
    <definedName name="obalPNLProd2GGORev">obal!$E$171:$G$171</definedName>
    <definedName name="obalPNLProd2MktExp">obal!$E$179:$G$179</definedName>
    <definedName name="obalPNLProd2NewSubRev">obal!$E$169:$G$169</definedName>
    <definedName name="obalPNLProd2OperatingExp">obal!$E$191:$G$191</definedName>
    <definedName name="obalPNLProd2OperatingIncome">obal!$E$196:$G$196</definedName>
    <definedName name="obalPNLProd2OperatingMargin">obal!$E$197:$G$197</definedName>
    <definedName name="obalPNLProd2OtherExp">obal!$E$188:$G$188</definedName>
    <definedName name="obalPNLProd2OtherOpExp">obal!$E$190:$G$190</definedName>
    <definedName name="obalPNLProd2Plant1Exp">obal!$E$185:$G$185</definedName>
    <definedName name="obalPNLProd2PrintExp">obal!$E$178:$G$178</definedName>
    <definedName name="obalPNLProd2ProdDevExp">obal!$E$184:$G$184</definedName>
    <definedName name="obalPNLProd2Rev">obal!$E$172:$G$172</definedName>
    <definedName name="obalPNLProd2RevExp">obal!$E$181:$G$181</definedName>
    <definedName name="obalPNLProd2RoyalityExp">obal!$E$177:$G$177</definedName>
    <definedName name="obalPNLProd2ServiceRev">obal!$E$170:$G$170</definedName>
    <definedName name="obalPNLProd2SpecProgExp">obal!$E$189:$G$189</definedName>
    <definedName name="obalPNLProdDevExp">obal!$E$216:$G$216</definedName>
    <definedName name="obalPNLRev">obal!$E$204:$G$204</definedName>
    <definedName name="obalPNLRevCAGR">obal!$E$467:$G$467</definedName>
    <definedName name="obalPNLRevExp">obal!$E$213:$G$213</definedName>
    <definedName name="obalPNLRoyalityExp">obal!$E$209:$G$209</definedName>
    <definedName name="obalPNLServiceRev">obal!$E$202:$G$202</definedName>
    <definedName name="obalPNLSpecLoansExp">obal!$E$231:$G$231</definedName>
    <definedName name="obalPNLSpecProgExp">obal!$E$221:$G$221</definedName>
    <definedName name="obalPNLTaxExp">obal!$E$237:$G$237</definedName>
    <definedName name="obalProd1AddSubs">obal!$E$79:$G$79</definedName>
    <definedName name="obalProd1ARValue">obal!$E$6:$G$6</definedName>
    <definedName name="obalProd1CancellationRate">obal!$E$77:$G$77</definedName>
    <definedName name="obalProd1Cancellations">obal!$E$61:$G$61</definedName>
    <definedName name="obalProd1Ftr1Emp1Req">obal!$E$73:$G$73</definedName>
    <definedName name="obalProd1Ftr1TTMEmp1Req">obal!$E$74:$G$74</definedName>
    <definedName name="obalProd1NetNewSales">obal!$E$66:$G$66</definedName>
    <definedName name="obalProd1NewSubGrowth">obal!$E$68:$G$68</definedName>
    <definedName name="obalProd1NewSubs">obal!$E$62:$G$62</definedName>
    <definedName name="obalProd1OpenSubs">obal!$E$60:$G$60</definedName>
    <definedName name="obalProd1Price">obal!$E$64:$G$64</definedName>
    <definedName name="obalProd1ProdTechIndAvg">obal!$E$70:$G$70</definedName>
    <definedName name="obalProd1ProdTechLvl">obal!$E$69:$G$69</definedName>
    <definedName name="obalProd1Revenue">obal!$E$65:$G$65</definedName>
    <definedName name="obalProd1RevY0">obal!$E$472:$G$472</definedName>
    <definedName name="obalProd1SoftwareValue">obal!$E$21:$G$21</definedName>
    <definedName name="obalProd1SubCancellationRate">obal!$E$78:$G$78</definedName>
    <definedName name="obalProd1SubGrowth">obal!$E$67:$G$67</definedName>
    <definedName name="obalProd1Subscribers">obal!$E$63:$G$63</definedName>
    <definedName name="obalProd1ThirdPartyPerc">obal!$E$76:$G$76</definedName>
    <definedName name="obalProd1TTM">obal!$E$71:$G$71</definedName>
    <definedName name="obalProd1TTMConFTEs">obal!$E$75:$G$75</definedName>
    <definedName name="obalProd1TTMIndAvg">obal!$E$72:$G$72</definedName>
    <definedName name="obalProd2AddSubs">obal!$E$101:$G$101</definedName>
    <definedName name="obalProd2ARValue">obal!$E$7:$G$7</definedName>
    <definedName name="obalProd2CancellationRate">obal!$E$99:$G$99</definedName>
    <definedName name="obalProd2Cancellations">obal!$E$83:$G$83</definedName>
    <definedName name="obalProd2Ftr1Emp1Req">obal!$E$95:$G$95</definedName>
    <definedName name="obalProd2Ftr1TTMEmp1Req">obal!$E$96:$G$96</definedName>
    <definedName name="obalProd2NetNewSales">obal!$E$88:$G$88</definedName>
    <definedName name="obalProd2NewSubGrowth">obal!$E$90:$G$90</definedName>
    <definedName name="obalProd2NewSubs">obal!$E$84:$G$84</definedName>
    <definedName name="obalProd2OpenSubs">obal!$E$82:$G$82</definedName>
    <definedName name="obalProd2Price">obal!$E$86:$G$86</definedName>
    <definedName name="obalProd2ProdTechIndAvg">obal!$E$92:$G$92</definedName>
    <definedName name="obalProd2ProdTechLvl">obal!$E$91:$G$91</definedName>
    <definedName name="obalProd2Revenue">obal!$E$87:$G$87</definedName>
    <definedName name="obalProd2RevY0">obal!$E$473:$G$473</definedName>
    <definedName name="obalProd2SoftwareValue">obal!$E$22:$G$22</definedName>
    <definedName name="obalProd2SubCancellationRate">obal!$E$100:$G$100</definedName>
    <definedName name="obalProd2SubGrowth">obal!$E$89:$G$89</definedName>
    <definedName name="obalProd2Subscribers">obal!$E$85:$G$85</definedName>
    <definedName name="obalProd2ThirdPartyPerc">obal!$E$98:$G$98</definedName>
    <definedName name="obalProd2TTM">obal!$E$93:$G$93</definedName>
    <definedName name="obalProd2TTMConFTEs">obal!$E$97:$G$97</definedName>
    <definedName name="obalProd2TTMIndAvg">obal!$E$94:$G$94</definedName>
    <definedName name="obalProfitMarginY0">obal!$E$475:$G$475</definedName>
    <definedName name="obalRetEarnValue">obal!$E$48:$G$48</definedName>
    <definedName name="obalRevenueY0">obal!$E$471:$G$471</definedName>
    <definedName name="obalSalesExistingPerc">obal!$E$117:$G$117</definedName>
    <definedName name="obalSalesForceExistingAccounts">obal!$E$119:$G$119</definedName>
    <definedName name="obalSalesForceNewAccounts">obal!$E$118:$G$118</definedName>
    <definedName name="obalSalesNewPerc">obal!$E$116:$G$116</definedName>
    <definedName name="obalScoreY1">obal!$E$478:$G$478</definedName>
    <definedName name="obalScoreY2">obal!$E$479:$G$479</definedName>
    <definedName name="obalScoreY3">obal!$E$480:$G$480</definedName>
    <definedName name="obalSpecLoansValue">obal!$E$38:$G$38</definedName>
    <definedName name="obalSpecProg10Chosen">obal!$E$398:$G$398</definedName>
    <definedName name="obalSpecProg10Duration">obal!$E$320:$G$320</definedName>
    <definedName name="obalSpecProg10Year">obal!$E$296:$G$296</definedName>
    <definedName name="obalSpecProg11Chosen">obal!$E$399:$G$399</definedName>
    <definedName name="obalSpecProg11Duration">obal!$E$321:$G$321</definedName>
    <definedName name="obalSpecProg11Year">obal!$E$297:$G$297</definedName>
    <definedName name="obalSpecProg12Chosen">obal!$E$400:$G$400</definedName>
    <definedName name="obalSpecProg12Duration">obal!$E$322:$G$322</definedName>
    <definedName name="obalSpecProg12Year">obal!$E$298:$G$298</definedName>
    <definedName name="obalSpecProg13Chosen">obal!$E$401:$G$401</definedName>
    <definedName name="obalSpecProg13Duration">obal!$E$323:$G$323</definedName>
    <definedName name="obalSpecProg13Year">obal!$E$299:$G$299</definedName>
    <definedName name="obalSpecProg14Chosen">obal!$E$402:$G$402</definedName>
    <definedName name="obalSpecProg14Duration">obal!$E$324:$G$324</definedName>
    <definedName name="obalSpecProg14Year">obal!$E$300:$G$300</definedName>
    <definedName name="obalSpecProg15Chosen">obal!$E$403:$G$403</definedName>
    <definedName name="obalSpecProg15Duration">obal!$E$325:$G$325</definedName>
    <definedName name="obalSpecProg15Year">obal!$E$301:$G$301</definedName>
    <definedName name="obalSpecProg16Chosen">obal!$E$404:$G$404</definedName>
    <definedName name="obalSpecProg16Duration">obal!$E$326:$G$326</definedName>
    <definedName name="obalSpecProg16Year">obal!$E$302:$G$302</definedName>
    <definedName name="obalSpecProg17Chosen">obal!$E$405:$G$405</definedName>
    <definedName name="obalSpecProg17Duration">obal!$E$327:$G$327</definedName>
    <definedName name="obalSpecProg17Year">obal!$E$303:$G$303</definedName>
    <definedName name="obalSpecProg18Chosen">obal!$E$406:$G$406</definedName>
    <definedName name="obalSpecProg18Duration">obal!$E$328:$G$328</definedName>
    <definedName name="obalSpecProg18Year">obal!$E$304:$G$304</definedName>
    <definedName name="obalSpecProg19Chosen">obal!$E$407:$G$407</definedName>
    <definedName name="obalSpecProg19Duration">obal!$E$329:$G$329</definedName>
    <definedName name="obalSpecProg19Year">obal!$E$305:$G$305</definedName>
    <definedName name="obalSpecProg1Chosen">obal!$E$389:$G$389</definedName>
    <definedName name="obalSpecProg1Duration">obal!$E$311:$G$311</definedName>
    <definedName name="obalSpecProg1Year">obal!$E$287:$G$287</definedName>
    <definedName name="obalSpecProg20Chosen">obal!$E$408:$G$408</definedName>
    <definedName name="obalSpecProg20Duration">obal!$E$330:$G$330</definedName>
    <definedName name="obalSpecProg20Year">obal!$E$306:$G$306</definedName>
    <definedName name="obalSpecProg21Chosen">obal!$E$409:$G$409</definedName>
    <definedName name="obalSpecProg21Duration">obal!$E$331:$G$331</definedName>
    <definedName name="obalSpecProg21Year">obal!$E$307:$G$307</definedName>
    <definedName name="obalSpecProg22Chosen">obal!$E$410:$G$410</definedName>
    <definedName name="obalSpecProg22Duration">obal!$E$332:$G$332</definedName>
    <definedName name="obalSpecProg22Year">obal!$E$308:$G$308</definedName>
    <definedName name="obalSpecProg2Chosen">obal!$E$390:$G$390</definedName>
    <definedName name="obalSpecProg2Duration">obal!$E$312:$G$312</definedName>
    <definedName name="obalSpecProg2Year">obal!$E$288:$G$288</definedName>
    <definedName name="obalSpecProg3Chosen">obal!$E$391:$G$391</definedName>
    <definedName name="obalSpecProg3Duration">obal!$E$313:$G$313</definedName>
    <definedName name="obalSpecProg3Year">obal!$E$289:$G$289</definedName>
    <definedName name="obalSpecProg4Chosen">obal!$E$392:$G$392</definedName>
    <definedName name="obalSpecProg4Duration">obal!$E$314:$G$314</definedName>
    <definedName name="obalSpecProg4Year">obal!$E$290:$G$290</definedName>
    <definedName name="obalSpecProg5Chosen">obal!$E$393:$G$393</definedName>
    <definedName name="obalSpecProg5Duration">obal!$E$315:$G$315</definedName>
    <definedName name="obalSpecProg5Year">obal!$E$291:$G$291</definedName>
    <definedName name="obalSpecProg6Chosen">obal!$E$394:$G$394</definedName>
    <definedName name="obalSpecProg6Duration">obal!$E$316:$G$316</definedName>
    <definedName name="obalSpecProg6Year">obal!$E$292:$G$292</definedName>
    <definedName name="obalSpecProg7Chosen">obal!$E$395:$G$395</definedName>
    <definedName name="obalSpecProg7Duration">obal!$E$317:$G$317</definedName>
    <definedName name="obalSpecProg7Year">obal!$E$293:$G$293</definedName>
    <definedName name="obalSpecProg8Chosen">obal!$E$396:$G$396</definedName>
    <definedName name="obalSpecProg8Duration">obal!$E$318:$G$318</definedName>
    <definedName name="obalSpecProg8Year">obal!$E$294:$G$294</definedName>
    <definedName name="obalSpecProg9Chosen">obal!$E$397:$G$397</definedName>
    <definedName name="obalSpecProg9Duration">obal!$E$319:$G$319</definedName>
    <definedName name="obalSpecProg9Year">obal!$E$295:$G$295</definedName>
    <definedName name="obalTotalLiabilities">obal!$E$44:$G$44</definedName>
    <definedName name="obalTotalRevY0">obal!$E$483:$G$483</definedName>
    <definedName name="obalTotalRevY1">obal!$E$484:$G$484</definedName>
    <definedName name="obalTotalRevY2">obal!$E$485:$G$485</definedName>
    <definedName name="obalTotalRevY3">obal!$E$486:$G$486</definedName>
    <definedName name="paramAPDays">param!$E$125:$G$125</definedName>
    <definedName name="paramBaseAdminExp">param!$E$130:$G$130</definedName>
    <definedName name="paramBrand">param!$E$160:$G$160</definedName>
    <definedName name="paramCapitalizedPerc">param!$E$104:$G$104</definedName>
    <definedName name="paramCashIntRate">param!$E$121:$G$121</definedName>
    <definedName name="paramContentAddLvl">param!$E$48:$G$48</definedName>
    <definedName name="paramContentDCCapacityPLvl">param!$E$47:$G$47</definedName>
    <definedName name="paramContentFTEsMethodAdj">param!$E$46:$G$46</definedName>
    <definedName name="paramContentFTEsPLvl">param!$E$45:$G$45</definedName>
    <definedName name="paramCorporateLabor">param!$E$112:$G$112</definedName>
    <definedName name="paramCostPExternalFTE">param!$E$113:$G$113</definedName>
    <definedName name="paramCreditDays">param!$E$129:$G$129</definedName>
    <definedName name="paramCSATAdj">param!$E$158:$G$158</definedName>
    <definedName name="paramCStockParValue">param!$E$128:$G$128</definedName>
    <definedName name="paramDaysPerYear">param!$E$126:$G$126</definedName>
    <definedName name="paramDCConsolidationEmp1Req">param!$E$110:$G$110</definedName>
    <definedName name="paramDividendRatio">param!$E$115:$G$115</definedName>
    <definedName name="paramEmp1AdminCostPct">param!$E$54:$G$54</definedName>
    <definedName name="paramEmp1AttRate">param!$E$51:$G$51</definedName>
    <definedName name="paramEmp1Dismissal">param!$E$59:$G$59</definedName>
    <definedName name="paramEmp1Exp">param!$E$52:$G$52</definedName>
    <definedName name="paramEmp1FTECoefficient">param!$E$57:$G$57</definedName>
    <definedName name="paramEmp1HoursPYear">param!$E$56:$G$56</definedName>
    <definedName name="paramEmp1OTRate">param!$E$55:$G$55</definedName>
    <definedName name="paramEmp1RecDismCost">param!$E$53:$G$53</definedName>
    <definedName name="paramEmp1Recruitment">param!$E$58:$G$58</definedName>
    <definedName name="paramEmp2AdminCostPct">param!$E$66:$G$66</definedName>
    <definedName name="paramEmp2AttRate">param!$E$62:$G$62</definedName>
    <definedName name="paramEmp2Exp">param!$E$63:$G$63</definedName>
    <definedName name="paramEmp2HoursPYear">param!$E$67:$G$67</definedName>
    <definedName name="paramEmp2OTRate">param!$E$64:$G$64</definedName>
    <definedName name="paramEmp2RecDismCost">param!$E$65:$G$65</definedName>
    <definedName name="paramEmp3AdminCostPct">param!$E$74:$G$74</definedName>
    <definedName name="paramEmp3AttRate">param!$E$70:$G$70</definedName>
    <definedName name="paramEmp3Exp">param!$E$71:$G$71</definedName>
    <definedName name="paramEmp3HoursPYear">param!$E$75:$G$75</definedName>
    <definedName name="paramEmp3OTRate">param!$E$72:$G$72</definedName>
    <definedName name="paramEmp3RecDismCost">param!$E$73:$G$73</definedName>
    <definedName name="paramESATAdj">param!$E$159:$G$159</definedName>
    <definedName name="paramEventEmp1Req">param!$E$139:$G$139</definedName>
    <definedName name="paramGGORevenue">param!$E$134:$G$134</definedName>
    <definedName name="paramGlobalExpansionEmp1Req">param!$E$108:$G$108</definedName>
    <definedName name="paramGlobalExpansionLaborPLvl">param!$E$111:$G$111</definedName>
    <definedName name="paramGlobalExpCapExPLvl">param!$E$118:$G$118</definedName>
    <definedName name="paramGlobalSalesMktPLvl">param!$E$119:$G$119</definedName>
    <definedName name="paramGoodwillPerc">param!$E$161:$G$161</definedName>
    <definedName name="paramInternalCreditDays">param!$E$124:$G$124</definedName>
    <definedName name="paramInternalDevelopmentBaseExp">param!$E$135:$G$135</definedName>
    <definedName name="paramLTDebtIntRate">param!$E$122:$G$122</definedName>
    <definedName name="paramMarketingDecay">param!$E$132:$G$132</definedName>
    <definedName name="paramNetOutsideServiceBaseExp">param!$E$136:$G$136</definedName>
    <definedName name="paramOptimizeRange">param!$L$3:$N$163</definedName>
    <definedName name="paramOtherCurrLiabGrowth">param!$E$127:$G$127</definedName>
    <definedName name="paramOtherTLLiabGrowth">param!$E$114:$G$114</definedName>
    <definedName name="paramPlant13rdPartyExp">param!$E$92:$G$92</definedName>
    <definedName name="paramPlant1CapacityPUnit">param!$E$78:$G$78</definedName>
    <definedName name="paramPlant1CapacityPUnitConsolidate">param!$E$89:$G$89</definedName>
    <definedName name="paramPlant1DepRate">param!$E$84:$G$84</definedName>
    <definedName name="paramPlant1DivRevenue">param!$E$80:$G$80</definedName>
    <definedName name="paramPlant1FixedExp">param!$E$86:$G$86</definedName>
    <definedName name="paramPlant1InvCost">param!$E$81:$G$81</definedName>
    <definedName name="paramPlant1LaborPUnit">param!$E$79:$G$79</definedName>
    <definedName name="paramPlant1LaborPUnitConsolidate">param!$E$91:$G$91</definedName>
    <definedName name="paramPlant1MachCostPHr">param!$E$83:$G$83</definedName>
    <definedName name="paramPlant1MachHrsPUnit">param!$E$82:$G$82</definedName>
    <definedName name="paramPlant1MachHrsPUnitConsolidate">param!$E$90:$G$90</definedName>
    <definedName name="paramPlant1RampUpPct">param!$E$85:$G$85</definedName>
    <definedName name="paramPlant1SalesPercBook">param!$E$87:$G$87</definedName>
    <definedName name="paramPlant1ShutDownTrigger">param!$E$88:$G$88</definedName>
    <definedName name="paramPlant2DepRate">param!$E$99:$G$99</definedName>
    <definedName name="paramPlant2FixedExp">param!$E$97:$G$97</definedName>
    <definedName name="paramPlant2InvCost">param!$E$96:$G$96</definedName>
    <definedName name="paramPlant2LaborPUnit">param!$E$95:$G$95</definedName>
    <definedName name="paramPlant2SalesPercBook">param!$E$98:$G$98</definedName>
    <definedName name="paramProd1AddProdTechLvl">param!$E$19:$G$19</definedName>
    <definedName name="paramProd1AddSubs">param!$E$20:$G$20</definedName>
    <definedName name="paramProd1BaseSoftwareValue">param!$E$102:$G$102</definedName>
    <definedName name="paramProd1BaseTTM">param!$E$18:$G$18</definedName>
    <definedName name="paramProd1CancellationRate">param!$E$5:$G$5</definedName>
    <definedName name="paramProd1CancelSubsReenter">param!$E$22:$G$22</definedName>
    <definedName name="paramProd1DCCapacityPSub">param!$E$9:$G$9</definedName>
    <definedName name="paramProd1FTEsPCapLvl">param!$E$10:$G$10</definedName>
    <definedName name="paramProd1LabHrsReqPSub">param!$E$11:$G$11</definedName>
    <definedName name="paramProd1OtherCost">param!$E$17:$G$17</definedName>
    <definedName name="paramProd1OtherRevCostPSub">param!$E$16:$G$16</definedName>
    <definedName name="paramProd1PrintCostPSub">param!$E$15:$G$15</definedName>
    <definedName name="paramProd1PrintPerc">param!$E$14:$G$14</definedName>
    <definedName name="paramProd1RoyaltyPSub">param!$E$13:$G$13</definedName>
    <definedName name="paramProd1ServiceAttachRate">param!$E$7:$G$7</definedName>
    <definedName name="paramProd1ServiceHoursPContract">param!$E$8:$G$8</definedName>
    <definedName name="paramProd1ServicePrice">param!$E$6:$G$6</definedName>
    <definedName name="paramProd1SubtractSubs">param!$E$21:$G$21</definedName>
    <definedName name="paramProd1ThirdPartyPerc">param!$E$12:$G$12</definedName>
    <definedName name="paramProd2AddProdTechLvl">param!$E$39:$G$39</definedName>
    <definedName name="paramProd2AddSubs">param!$E$40:$G$40</definedName>
    <definedName name="paramProd2BaseSoftwareValue">param!$E$103:$G$103</definedName>
    <definedName name="paramProd2BaseTTM">param!$E$38:$G$38</definedName>
    <definedName name="paramProd2CancellationRate">param!$E$25:$G$25</definedName>
    <definedName name="paramProd2CancelSubsReenter">param!$E$42:$G$42</definedName>
    <definedName name="paramProd2DCCapacityPSub">param!$E$29:$G$29</definedName>
    <definedName name="paramProd2FTEsPCapLvl">param!$E$30:$G$30</definedName>
    <definedName name="paramProd2LabHrsReqPSub">param!$E$31:$G$31</definedName>
    <definedName name="paramProd2OtherCost">param!$E$37:$G$37</definedName>
    <definedName name="paramProd2OtherRevCostPSub">param!$E$36:$G$36</definedName>
    <definedName name="paramProd2PrintCostPSub">param!$E$35:$G$35</definedName>
    <definedName name="paramProd2PrintPerc">param!$E$34:$G$34</definedName>
    <definedName name="paramProd2RoyaltyPSub">param!$E$33:$G$33</definedName>
    <definedName name="paramProd2ServiceAttachRate">param!$E$27:$G$27</definedName>
    <definedName name="paramProd2ServiceHoursPContract">param!$E$28:$G$28</definedName>
    <definedName name="paramProd2ServicePrice">param!$E$26:$G$26</definedName>
    <definedName name="paramProd2SubtractSubs">param!$E$41:$G$41</definedName>
    <definedName name="paramProd2ThirdPartyPerc">param!$E$32:$G$32</definedName>
    <definedName name="paramSalesCoverageEmp1Req">param!$E$109:$G$109</definedName>
    <definedName name="paramSalesForceProductivity">param!$E$133:$G$133</definedName>
    <definedName name="paramSoftwareAmortRate">param!$E$105:$G$105</definedName>
    <definedName name="paramSpecLoansIntRate">param!$E$120:$G$120</definedName>
    <definedName name="paramSpecLoansRate">param!$E$120:$G$120</definedName>
    <definedName name="paramSpecProgEmp1Req">param!$E$140:$G$140</definedName>
    <definedName name="paramSpecProgExp">param!$E$141:$G$141</definedName>
    <definedName name="paramSpecProgProd1AcqCapEx">param!$E$144:$G$144</definedName>
    <definedName name="paramSpecProgProd1Emp1Req">param!$E$154:$G$154</definedName>
    <definedName name="paramSpecProgProd1Exp">param!$E$142:$G$142</definedName>
    <definedName name="paramSpecProgProd1Sales">param!$E$148:$G$148</definedName>
    <definedName name="paramSpecProgProd1TechCapEx">param!$E$146:$G$146</definedName>
    <definedName name="paramSpecProgProd2AcqCapEx">param!$E$145:$G$145</definedName>
    <definedName name="paramSpecProgProd2Emp1Req">param!$E$155:$G$155</definedName>
    <definedName name="paramSpecProgProd2Exp">param!$E$143:$G$143</definedName>
    <definedName name="paramSpecProgProd2Sales">param!$E$149:$G$149</definedName>
    <definedName name="paramSpecProgProd2TechCapEx">param!$E$147:$G$147</definedName>
    <definedName name="paramSpecProgProd3Sales">param!$E$150:$G$150</definedName>
    <definedName name="paramSpecProgProd4Sales">param!$E$151:$G$151</definedName>
    <definedName name="paramSpecProgProd5Sales">param!$E$152:$G$152</definedName>
    <definedName name="paramSpecProgProd6Sales">param!$E$153:$G$153</definedName>
    <definedName name="paramTaxRate">param!$E$123:$G$123</definedName>
    <definedName name="paramTrainingExpPLvl">param!$E$117:$G$117</definedName>
    <definedName name="paramTrainingFTEs">param!$E$116:$G$116</definedName>
    <definedName name="paramWACC">param!$E$131:$G$131</definedName>
    <definedName name="_xlnm.Print_Area" localSheetId="18">Analysis!$B$13:$K$324</definedName>
    <definedName name="prob1toggle">Checker!$K$28</definedName>
    <definedName name="prob2toggle">Checker!$M$28</definedName>
    <definedName name="prob3toggle">Checker!$O$28</definedName>
    <definedName name="Prod1Seg1">DataPage!$C$26</definedName>
    <definedName name="Prod1Seg2">DataPage!$C$27</definedName>
    <definedName name="Prod1Seg3">DataPage!$C$28</definedName>
    <definedName name="Prod1Seg4">DataPage!$C$29</definedName>
    <definedName name="Prod1Seg5">DataPage!$C$30</definedName>
    <definedName name="RAreatoolBalSheet">toolBalSheet!$D$3:$Q$33</definedName>
    <definedName name="RAreatoolCashFlow">toolCashFlow!$D$3:$K$34</definedName>
    <definedName name="RAreatoolPNL">toolPNL!$D$3:$T$41</definedName>
    <definedName name="RAreatoolProfitTree">toolProfitTree!$C$3:$R$21</definedName>
    <definedName name="RAreatoolPrograms">toolPrograms!$C$57:$R$108</definedName>
    <definedName name="satIndexCbalCSATService">cap!$E$388:$G$388</definedName>
    <definedName name="ScreentoolBalSheet">toolBalSheet!$A$1:$Q$33</definedName>
    <definedName name="ScreentoolCashFlow">toolCashFlow!$A$1:$K$34</definedName>
    <definedName name="ScreentoolContent">toolContent!$A$1:$O$32</definedName>
    <definedName name="ScreentoolEvents">toolEvents!$A$1:$O$72</definedName>
    <definedName name="ScreentoolIntro">toolIntro!$A$1:$L$21</definedName>
    <definedName name="ScreentoolOperations">toolOperations!$A$1:$M$50</definedName>
    <definedName name="ScreentoolPeople">toolPeople!$A$1:$M$46</definedName>
    <definedName name="ScreentoolPNL">toolPNL!$A$1:$T$41</definedName>
    <definedName name="ScreentoolProd1Forecast">toolProd1Forecast!$A$1:$Q$40</definedName>
    <definedName name="ScreentoolProd2Forecast">toolProd2Forecast!$A$1:$Q$40</definedName>
    <definedName name="ScreentoolProfitTree">toolProfitTree!$A$1:$R$21</definedName>
    <definedName name="ScreentoolPrograms">toolPrograms!$A$1:$R$108</definedName>
    <definedName name="ScreentoolRD">toolRD!$A$1:$O$37</definedName>
    <definedName name="tlInputContentLvl">toolContent!$F$8</definedName>
    <definedName name="tlInputContentMethod">dec!$D$23</definedName>
    <definedName name="tlInputDCConsolidation">dec!$D$33</definedName>
    <definedName name="tlInputEmp1Change">toolPeople!$F$9</definedName>
    <definedName name="tlInputEmp1TrainingLvl">toolPeople!$F$14</definedName>
    <definedName name="tlInputEvent101Chosen">dec!$D$65</definedName>
    <definedName name="tlInputEvent102Chosen">dec!$D$66</definedName>
    <definedName name="tlInputEvent103Chosen">dec!$D$67</definedName>
    <definedName name="tlInputEvent201Chosen">dec!$D$68</definedName>
    <definedName name="tlInputEvent202Chosen">dec!$D$69</definedName>
    <definedName name="tlInputEvent203Chosen">dec!$D$70</definedName>
    <definedName name="tlInputEvent301Chosen">dec!$D$71</definedName>
    <definedName name="tlInputEvent302Chosen">dec!$D$72</definedName>
    <definedName name="tlInputEvent401Chosen">dec!$D$73</definedName>
    <definedName name="tlInputEvent402Chosen">dec!$D$74</definedName>
    <definedName name="tlInputEvent403Chosen">dec!$D$75</definedName>
    <definedName name="tlInputEvent501Chosen">dec!$D$76</definedName>
    <definedName name="tlInputEvent502Chosen">dec!$D$77</definedName>
    <definedName name="tlInputEvent503Chosen">dec!$D$78</definedName>
    <definedName name="tlInputEvent601Chosen">dec!$D$79</definedName>
    <definedName name="tlInputEvent602Chosen">dec!$D$80</definedName>
    <definedName name="tlInputEvent603Chosen">dec!$D$81</definedName>
    <definedName name="tlInputEvent701Chosen">dec!$D$82</definedName>
    <definedName name="tlInputEvent702Chosen">dec!$D$83</definedName>
    <definedName name="tlInputEvent703Chosen">dec!$D$84</definedName>
    <definedName name="tlInputEvent801Chosen">dec!$D$85</definedName>
    <definedName name="tlInputEvent802Chosen">dec!$D$86</definedName>
    <definedName name="tlInputEvent803Chosen">dec!$D$87</definedName>
    <definedName name="tlInputEvent901Chosen">dec!$D$88</definedName>
    <definedName name="tlInputEvent902Chosen">dec!$D$89</definedName>
    <definedName name="tlInputGlobalExpansion">toolOperations!$F$9</definedName>
    <definedName name="tlInputInd1Team0">Controls!$E$9</definedName>
    <definedName name="tlInputMarketing">toolPrograms!$G$7</definedName>
    <definedName name="tlInputMaxTeams">Controls!$E$7</definedName>
    <definedName name="tlInputmmProd1Driver1_2">mmProd1!$F$33</definedName>
    <definedName name="tlInputmmProd1Driver1_3">mmProd1!$G$33</definedName>
    <definedName name="tlInputmmProd1Driver10_2">mmProd1!$F$69</definedName>
    <definedName name="tlInputmmProd1Driver10_3">mmProd1!$G$69</definedName>
    <definedName name="tlInputmmProd1Driver2_2">mmProd1!$F$37</definedName>
    <definedName name="tlInputmmProd1Driver2_3">mmProd1!$G$37</definedName>
    <definedName name="tlInputmmProd1Driver3_2">mmProd1!$F$41</definedName>
    <definedName name="tlInputmmProd1Driver3_3">mmProd1!$G$41</definedName>
    <definedName name="tlInputmmProd1Driver4_2">mmProd1!$F$45</definedName>
    <definedName name="tlInputmmProd1Driver4_3">mmProd1!$G$45</definedName>
    <definedName name="tlInputmmProd1Driver5_2">mmProd1!$F$49</definedName>
    <definedName name="tlInputmmProd1Driver5_3">mmProd1!$G$49</definedName>
    <definedName name="tlInputmmProd1Driver6_2">mmProd1!$F$53</definedName>
    <definedName name="tlInputmmProd1Driver6_3">mmProd1!$G$53</definedName>
    <definedName name="tlInputmmProd1Driver7_2">mmProd1!$F$57</definedName>
    <definedName name="tlInputmmProd1Driver7_3">mmProd1!$G$57</definedName>
    <definedName name="tlInputmmProd1Driver8_2">mmProd1!$F$61</definedName>
    <definedName name="tlInputmmProd1Driver8_3">mmProd1!$G$61</definedName>
    <definedName name="tlInputmmProd1Driver9_2">mmProd1!$F$65</definedName>
    <definedName name="tlInputmmProd1Driver9_3">mmProd1!$G$65</definedName>
    <definedName name="tlInputmmProd1PctAdjust1">mmProd1!$E$137</definedName>
    <definedName name="tlInputmmProd1PctAdjust2">mmProd1!$F$137</definedName>
    <definedName name="tlInputmmProd1PctAdjust3">mmProd1!$G$137</definedName>
    <definedName name="tlInputmmProd1UnitAdjust1">mmProd1!$E$138</definedName>
    <definedName name="tlInputmmProd1UnitAdjust2">mmProd1!$F$138</definedName>
    <definedName name="tlInputmmProd1UnitAdjust3">mmProd1!$G$138</definedName>
    <definedName name="tlInputmmProd1Units">mmProd1!$E$138:$G$138</definedName>
    <definedName name="tlInputmmProd1UnitsAvail_2">mmProd1!$F$131</definedName>
    <definedName name="tlInputmmProd1UnitsAvail_3">mmProd1!$G$131</definedName>
    <definedName name="tlInputmmProd2Driver1_2">mmProd2!$F$33</definedName>
    <definedName name="tlInputmmProd2Driver1_3">mmProd2!$G$33</definedName>
    <definedName name="tlInputmmProd2Driver2_2">mmProd2!$F$37</definedName>
    <definedName name="tlInputmmProd2Driver2_3">mmProd2!$G$37</definedName>
    <definedName name="tlInputmmProd2Driver3_2">mmProd2!$F$41</definedName>
    <definedName name="tlInputmmProd2Driver3_3">mmProd2!$G$41</definedName>
    <definedName name="tlInputmmProd2Driver4_2">mmProd2!$F$45</definedName>
    <definedName name="tlInputmmProd2Driver4_3">mmProd2!$G$45</definedName>
    <definedName name="tlInputmmProd2Driver5_2">mmProd2!$F$49</definedName>
    <definedName name="tlInputmmProd2Driver5_3">mmProd2!$G$49</definedName>
    <definedName name="tlInputmmProd2Driver6_2">mmProd2!$F$53</definedName>
    <definedName name="tlInputmmProd2Driver6_3">mmProd2!$G$53</definedName>
    <definedName name="tlInputmmProd2Driver7_2">mmProd2!$F$57</definedName>
    <definedName name="tlInputmmProd2Driver7_3">mmProd2!$G$57</definedName>
    <definedName name="tlInputmmProd2Driver8_2">mmProd2!$F$61</definedName>
    <definedName name="tlInputmmProd2Driver8_3">mmProd2!$G$61</definedName>
    <definedName name="tlInputmmProd2Driver9_2">mmProd2!$F$65</definedName>
    <definedName name="tlInputmmProd2Driver9_3">mmProd2!$G$65</definedName>
    <definedName name="tlInputmmProd2PctAdjust1">mmProd2!$E$145</definedName>
    <definedName name="tlInputmmProd2PctAdjust2">mmProd2!$F$145</definedName>
    <definedName name="tlInputmmProd2PctAdjust3">mmProd2!$G$145</definedName>
    <definedName name="tlInputmmProd2UnitAdjust1">mmProd2!$E$146</definedName>
    <definedName name="tlInputmmProd2UnitAdjust2">mmProd2!$F$146</definedName>
    <definedName name="tlInputmmProd2UnitAdjust3">mmProd2!$G$146</definedName>
    <definedName name="tlInputmmProd2Units">mmProd2!$E$146:$G$146</definedName>
    <definedName name="tlInputmmProd2UnitsAvail_2">mmProd2!$F$139</definedName>
    <definedName name="tlInputmmProd2UnitsAvail_3">mmProd2!$G$139</definedName>
    <definedName name="tlInputNumTeams">Controls!$E$6</definedName>
    <definedName name="tlInputProd1Price">toolProd1Forecast!$F$13</definedName>
    <definedName name="tlInputProd1ProdTechLvl">toolRD!$F$9</definedName>
    <definedName name="tlInputProd1TTMConFTEs">toolRD!$F$17</definedName>
    <definedName name="tlInputProd1TTMIntFTEs">toolRD!$F$15</definedName>
    <definedName name="tlInputProd1Units">toolProd1Forecast!$F$9</definedName>
    <definedName name="tlInputProd2Price">toolProd2Forecast!$F$13</definedName>
    <definedName name="tlInputProd2ProdTechLvl">toolRD!$H$9</definedName>
    <definedName name="tlInputProd2TTMConFTEs">toolRD!$H$17</definedName>
    <definedName name="tlInputProd2TTMIntFTEs">toolRD!$H$15</definedName>
    <definedName name="tlInputProd2Units">toolProd2Forecast!$F$9</definedName>
    <definedName name="tlInputSalesNewPerc">toolPeople!$F$22</definedName>
    <definedName name="tlInputSFCoverage">toolOperations!$L$9</definedName>
    <definedName name="tlInputSpecProg10Chosen">dec!$D$50</definedName>
    <definedName name="tlInputSpecProg11Chosen">dec!$D$51</definedName>
    <definedName name="tlInputSpecProg12Chosen">dec!$D$52</definedName>
    <definedName name="tlInputSpecProg13Chosen">dec!$D$53</definedName>
    <definedName name="tlInputSpecProg14Chosen">dec!$D$54</definedName>
    <definedName name="tlInputSpecProg15Chosen">dec!$D$55</definedName>
    <definedName name="tlInputSpecProg16Chosen">dec!$D$56</definedName>
    <definedName name="tlInputSpecProg17Chosen">dec!$D$57</definedName>
    <definedName name="tlInputSpecProg18Chosen">dec!$D$58</definedName>
    <definedName name="tlInputSpecProg19Chosen">dec!$D$59</definedName>
    <definedName name="tlInputSpecProg1Check">toolPrograms!$N$12</definedName>
    <definedName name="tlInputSpecProg1Chosen">dec!$D$41</definedName>
    <definedName name="tlInputSpecProg20Chosen">dec!$D$60</definedName>
    <definedName name="tlInputSpecProg21Chosen">dec!$D$61</definedName>
    <definedName name="tlInputSpecProg22Chosen">dec!$D$62</definedName>
    <definedName name="tlInputSpecProg23Chosen">dec!$D$63</definedName>
    <definedName name="tlInputSpecProg24Chosen">dec!$D$64</definedName>
    <definedName name="tlInputSpecProg2Check">toolPrograms!$N$14</definedName>
    <definedName name="tlInputSpecProg2Chosen">dec!$D$42</definedName>
    <definedName name="tlInputSpecProg3Check">toolPrograms!$N$16</definedName>
    <definedName name="tlInputSpecProg3Chosen">dec!$D$43</definedName>
    <definedName name="tlInputSpecProg4Check">toolPrograms!$N$18</definedName>
    <definedName name="tlInputSpecProg4Chosen">dec!$D$44</definedName>
    <definedName name="tlInputSpecProg5Check">toolPrograms!$N$20</definedName>
    <definedName name="tlInputSpecProg5Chosen">dec!$D$45</definedName>
    <definedName name="tlInputSpecProg6Check">toolPrograms!$N$22</definedName>
    <definedName name="tlInputSpecProg6Chosen">dec!$D$46</definedName>
    <definedName name="tlInputSpecProg7Check">toolPrograms!$N$24</definedName>
    <definedName name="tlInputSpecProg7Chosen">dec!$D$47</definedName>
    <definedName name="tlInputSpecProg8Check">toolPrograms!$N$26</definedName>
    <definedName name="tlInputSpecProg8Chosen">dec!$D$48</definedName>
    <definedName name="tlInputSpecProg9Chosen">dec!$D$49</definedName>
    <definedName name="tlInputStandAlone">Controls!$E$5</definedName>
    <definedName name="tlInputTeamName">toolIntro!$I$16</definedName>
    <definedName name="tlInputTeamNumber">toolIntro!$I$12</definedName>
    <definedName name="tlInputTeamYear">Controls!$E$8</definedName>
    <definedName name="tlOutputAdminInfraExp">toolPNL!$N$15</definedName>
    <definedName name="tlOutputAnalyBuildingsT1">Analysis!$E$313</definedName>
    <definedName name="tlOutputAnalyCAGRT1">Analysis!$E$27</definedName>
    <definedName name="tlOutputAnalyCashOIMarginT1">Analysis!$E$31</definedName>
    <definedName name="tlOutputAnalyCashOIT1">Analysis!$E$30</definedName>
    <definedName name="tlOutputAnalyCRImpact10T1">Analysis!$E$151</definedName>
    <definedName name="tlOutputAnalyCRImpact11T1">Analysis!$E$152</definedName>
    <definedName name="tlOutputAnalyCRImpact12T1">Analysis!$E$153</definedName>
    <definedName name="tlOutputAnalyCRImpact13T1">Analysis!$E$154</definedName>
    <definedName name="tlOutputAnalyCRImpact14T1">Analysis!$E$155</definedName>
    <definedName name="tlOutputAnalyCRImpact1T1">Analysis!$E$142</definedName>
    <definedName name="tlOutputAnalyCRImpact2T1">Analysis!$E$143</definedName>
    <definedName name="tlOutputAnalyCRImpact3T1">Analysis!$E$144</definedName>
    <definedName name="tlOutputAnalyCRImpact4T1">Analysis!$E$145</definedName>
    <definedName name="tlOutputAnalyCRImpact5T1">Analysis!$E$146</definedName>
    <definedName name="tlOutputAnalyCRImpact6T1">Analysis!$E$147</definedName>
    <definedName name="tlOutputAnalyCRImpact7T1">Analysis!$E$148</definedName>
    <definedName name="tlOutputAnalyCRImpact8T1">Analysis!$E$149</definedName>
    <definedName name="tlOutputAnalyCRImpact9T1">Analysis!$E$150</definedName>
    <definedName name="tlOutputAnalyCSATImpact10T1">Analysis!$E$210</definedName>
    <definedName name="tlOutputAnalyCSATImpact11T1">Analysis!$E$211</definedName>
    <definedName name="tlOutputAnalyCSATImpact12T1">Analysis!$E$212</definedName>
    <definedName name="tlOutputAnalyCSATImpact13T1">Analysis!$E$213</definedName>
    <definedName name="tlOutputAnalyCSATImpact14T1">Analysis!$E$214</definedName>
    <definedName name="tlOutputAnalyCSATImpact15T1">Analysis!$E$215</definedName>
    <definedName name="tlOutputAnalyCSATImpact16T1">Analysis!$E$216</definedName>
    <definedName name="tlOutputAnalyCSATImpact1T1">Analysis!$E$201</definedName>
    <definedName name="tlOutputAnalyCSATImpact2T1">Analysis!$E$202</definedName>
    <definedName name="tlOutputAnalyCSATImpact3T1">Analysis!$E$203</definedName>
    <definedName name="tlOutputAnalyCSATImpact4T1">Analysis!$E$204</definedName>
    <definedName name="tlOutputAnalyCSATImpact5T1">Analysis!$E$205</definedName>
    <definedName name="tlOutputAnalyCSATImpact6T1">Analysis!$E$206</definedName>
    <definedName name="tlOutputAnalyCSATImpact7T1">Analysis!$E$207</definedName>
    <definedName name="tlOutputAnalyCSATImpact8T1">Analysis!$E$208</definedName>
    <definedName name="tlOutputAnalyCSATImpact9T1">Analysis!$E$209</definedName>
    <definedName name="tlOutputAnalyCSATT1">Analysis!$E$23</definedName>
    <definedName name="tlOutputAnalyDCConsolidateT1">Analysis!$E$304</definedName>
    <definedName name="tlOutputAnalyDCsT1">Analysis!$E$303</definedName>
    <definedName name="tlOutputAnalyDCUtilizationT1">Analysis!$E$305</definedName>
    <definedName name="tlOutputAnalyEEImpact10T1">Analysis!$E$183</definedName>
    <definedName name="tlOutputAnalyEEImpact11T1">Analysis!$E$184</definedName>
    <definedName name="tlOutputAnalyEEImpact12T1">Analysis!$E$185</definedName>
    <definedName name="tlOutputAnalyEEImpact13T1">Analysis!$E$186</definedName>
    <definedName name="tlOutputAnalyEEImpact14T1">Analysis!$E$187</definedName>
    <definedName name="tlOutputAnalyEEImpact15T1">Analysis!$E$188</definedName>
    <definedName name="tlOutputAnalyEEImpact16T1">Analysis!$E$189</definedName>
    <definedName name="tlOutputAnalyEEImpact17T1">Analysis!$E$190</definedName>
    <definedName name="tlOutputAnalyEEImpact1T1">Analysis!$E$174</definedName>
    <definedName name="tlOutputAnalyEEImpact2T1">Analysis!$E$175</definedName>
    <definedName name="tlOutputAnalyEEImpact3T1">Analysis!$E$176</definedName>
    <definedName name="tlOutputAnalyEEImpact4T1">Analysis!$E$177</definedName>
    <definedName name="tlOutputAnalyEEImpact5T1">Analysis!$E$178</definedName>
    <definedName name="tlOutputAnalyEEImpact6T1">Analysis!$E$179</definedName>
    <definedName name="tlOutputAnalyEEImpact7T1">Analysis!$E$180</definedName>
    <definedName name="tlOutputAnalyEEImpact8T1">Analysis!$E$181</definedName>
    <definedName name="tlOutputAnalyEEImpact9T1">Analysis!$E$182</definedName>
    <definedName name="tlOutputAnalyESATT1">Analysis!$E$24</definedName>
    <definedName name="tlOutputAnalyEvent1Yr1T1">Analysis!$E$34</definedName>
    <definedName name="tlOutputAnalyEvent1Yr2T1">Analysis!$E$38</definedName>
    <definedName name="tlOutputAnalyEvent1Yr3T1">Analysis!$E$42</definedName>
    <definedName name="tlOutputAnalyEvent2Yr1T1">Analysis!$E$35</definedName>
    <definedName name="tlOutputAnalyEvent2Yr2T1">Analysis!$E$39</definedName>
    <definedName name="tlOutputAnalyEvent2Yr3T1">Analysis!$E$43</definedName>
    <definedName name="tlOutputAnalyEvent3Yr1T1">Analysis!$E$36</definedName>
    <definedName name="tlOutputAnalyEvent3Yr2T1">Analysis!$E$40</definedName>
    <definedName name="tlOutputAnalyEvent3Yr3T1">Analysis!$E$44</definedName>
    <definedName name="tlOutputAnalyFTEContentT1">Analysis!$E$317</definedName>
    <definedName name="tlOutputAnalyFTEDConsolidateT1">Analysis!$E$321</definedName>
    <definedName name="tlOutputAnalyFTEGlobalAccessT1">Analysis!$E$319</definedName>
    <definedName name="tlOutputAnalyFTEInitT1">Analysis!$E$322</definedName>
    <definedName name="tlOutputAnalyFTEProd1TechT1">Analysis!$E$315</definedName>
    <definedName name="tlOutputAnalyFTEProd2TechT1">Analysis!$E$316</definedName>
    <definedName name="tlOutputAnalyFTEProdImpact1T1">Analysis!$E$192</definedName>
    <definedName name="tlOutputAnalyFTEProdImpact2T1">Analysis!$E$193</definedName>
    <definedName name="tlOutputAnalyFTEProdImpact3T1">Analysis!$E$194</definedName>
    <definedName name="tlOutputAnalyFTEProdImpact4T1">Analysis!$E$195</definedName>
    <definedName name="tlOutputAnalyFTEProdImpact5T1">Analysis!$E$196</definedName>
    <definedName name="tlOutputAnalyFTEProdImpact6T1">Analysis!$E$197</definedName>
    <definedName name="tlOutputAnalyFTEProdImpact7T1">Analysis!$E$198</definedName>
    <definedName name="tlOutputAnalyFTEProductivtyT1">Analysis!$E$323</definedName>
    <definedName name="tlOutputAnalyFTESalesCoverageT1">Analysis!$E$320</definedName>
    <definedName name="tlOutputAnalyFTEsT1">Analysis!$E$309</definedName>
    <definedName name="tlOutputAnalyFTETrainingT1">Analysis!$E$318</definedName>
    <definedName name="tlOutputAnalyGlobalAccessT1">Analysis!$E$307</definedName>
    <definedName name="tlOutputAnalyHeadcountT1">Analysis!$E$312</definedName>
    <definedName name="tlOutputAnalyInit1Yr1T1">Analysis!$E$46</definedName>
    <definedName name="tlOutputAnalyInit1Yr2T1">Analysis!$E$49</definedName>
    <definedName name="tlOutputAnalyInit1Yr3T1">Analysis!$E$52</definedName>
    <definedName name="tlOutputAnalyInit2Yr1T1">Analysis!$E$47</definedName>
    <definedName name="tlOutputAnalyInit2Yr2T1">Analysis!$E$50</definedName>
    <definedName name="tlOutputAnalyInit2Yr3T1">Analysis!$E$53</definedName>
    <definedName name="tlOutputAnalyInit3Yr1T1">Analysis!$E$48</definedName>
    <definedName name="tlOutputAnalyInit3Yr2T1">Analysis!$E$51</definedName>
    <definedName name="tlOutputAnalyInit3Yr3T1">Analysis!$E$54</definedName>
    <definedName name="tlOutputAnalyMSImpact10T1">Analysis!$E$107</definedName>
    <definedName name="tlOutputAnalyMSImpact11T1">Analysis!$E$108</definedName>
    <definedName name="tlOutputAnalyMSImpact12T1">Analysis!$E$109</definedName>
    <definedName name="tlOutputAnalyMSImpact13T1">Analysis!$E$110</definedName>
    <definedName name="tlOutputAnalyMSImpact14T1">Analysis!$E$111</definedName>
    <definedName name="tlOutputAnalyMSImpact15T1">Analysis!$E$112</definedName>
    <definedName name="tlOutputAnalyMSImpact16T1">Analysis!$E$113</definedName>
    <definedName name="tlOutputAnalyMSImpact17T1">Analysis!$E$114</definedName>
    <definedName name="tlOutputAnalyMSImpact18T1">Analysis!$E$115</definedName>
    <definedName name="tlOutputAnalyMSImpact19T1">Analysis!$E$116</definedName>
    <definedName name="tlOutputAnalyMSImpact1T1">Analysis!$E$98</definedName>
    <definedName name="tlOutputAnalyMSImpact20T1">Analysis!$E$117</definedName>
    <definedName name="tlOutputAnalyMSImpact21T1">Analysis!$E$118</definedName>
    <definedName name="tlOutputAnalyMSImpact2T1">Analysis!$E$99</definedName>
    <definedName name="tlOutputAnalyMSImpact3T1">Analysis!$E$100</definedName>
    <definedName name="tlOutputAnalyMSImpact4T1">Analysis!$E$101</definedName>
    <definedName name="tlOutputAnalyMSImpact5T1">Analysis!$E$102</definedName>
    <definedName name="tlOutputAnalyMSImpact6T1">Analysis!$E$103</definedName>
    <definedName name="tlOutputAnalyMSImpact7T1">Analysis!$E$104</definedName>
    <definedName name="tlOutputAnalyMSImpact8T1">Analysis!$E$105</definedName>
    <definedName name="tlOutputAnalyMSImpact9T1">Analysis!$E$106</definedName>
    <definedName name="tlOutputAnalyOperatingIncomeT1">Analysis!$E$28</definedName>
    <definedName name="tlOutputAnalyOperatingMarginT1">Analysis!$E$29</definedName>
    <definedName name="tlOutputAnalyParamFTE8T1">Analysis!$E$94</definedName>
    <definedName name="tlOutputAnalyParamGrw13T1">Analysis!$E$85</definedName>
    <definedName name="tlOutputAnalyParamGrw16T1">Analysis!$E$62</definedName>
    <definedName name="tlOutputAnalyParamGrw17T1">Analysis!$E$64</definedName>
    <definedName name="tlOutputAnalyParamGrw1T1">Analysis!$E$71</definedName>
    <definedName name="tlOutputAnalyParamGrw2T1">Analysis!$E$66</definedName>
    <definedName name="tlOutputAnalyParamGrw3T1">Analysis!$E$68</definedName>
    <definedName name="tlOutputAnalyParamGrw5T1">Analysis!$E$91</definedName>
    <definedName name="tlOutputAnalyParamGrw7T1">Analysis!$E$84</definedName>
    <definedName name="tlOutputAnalyParamMisc26T1">Analysis!$E$95</definedName>
    <definedName name="tlOutputAnalyParamMisc4T1">Analysis!$E$88</definedName>
    <definedName name="tlOutputAnalyParamMisc5T1">Analysis!$E$89</definedName>
    <definedName name="tlOutputAnalyParamOther1T1">Analysis!$E$82</definedName>
    <definedName name="tlOutputAnalyParamOther2T1">Analysis!$E$81</definedName>
    <definedName name="tlOutputAnalyParamSP10T1">Analysis!$E$74</definedName>
    <definedName name="tlOutputAnalyParamSP11T1">Analysis!$E$75</definedName>
    <definedName name="tlOutputAnalyParamSP2T1">Analysis!$E$60</definedName>
    <definedName name="tlOutputAnalyParamSP3T1">Analysis!$E$57</definedName>
    <definedName name="tlOutputAnalyParamSP4T1">Analysis!$E$58</definedName>
    <definedName name="tlOutputAnalyParamSP5T1">Analysis!$E$59</definedName>
    <definedName name="tlOutputAnalyParamTrns13T1">Analysis!$E$87</definedName>
    <definedName name="tlOutputAnalyParamTrns16T1">Analysis!$E$63</definedName>
    <definedName name="tlOutputAnalyParamTrns17T1">Analysis!$E$65</definedName>
    <definedName name="tlOutputAnalyParamTrns1T1">Analysis!$E$72</definedName>
    <definedName name="tlOutputAnalyParamTrns2T1">Analysis!$E$67</definedName>
    <definedName name="tlOutputAnalyParamTrns3T1">Analysis!$E$69</definedName>
    <definedName name="tlOutputAnalyParamTrns5T1">Analysis!$E$92</definedName>
    <definedName name="tlOutputAnalyParamTrns7T1">Analysis!$E$86</definedName>
    <definedName name="tlOutputAnalyParamTSGrw3T1">Analysis!$E$77</definedName>
    <definedName name="tlOutputAnalyParamTSTrns3T1">Analysis!$E$78</definedName>
    <definedName name="tlOutputAnalyProd1AttachRateT1">Analysis!$E$230</definedName>
    <definedName name="tlOutputAnalyProd1CancellationT1">Analysis!$E$229</definedName>
    <definedName name="tlOutputAnalyProd1ContentT1">Analysis!$E$242</definedName>
    <definedName name="tlOutputAnalyProd1CSATTrainingT1">Analysis!$E$246</definedName>
    <definedName name="tlOutputAnalyProd1CustomerServiceT1">Analysis!$E$245</definedName>
    <definedName name="tlOutputAnalyProd1EBITDAMarginT1">Analysis!$E$225</definedName>
    <definedName name="tlOutputAnalyProd1EBITDAT1">Analysis!$E$224</definedName>
    <definedName name="tlOutputAnalyProd1EIFTEsT1">Analysis!$E$236</definedName>
    <definedName name="tlOutputAnalyProd1ESATTrainingT1">Analysis!$E$247</definedName>
    <definedName name="tlOutputAnalyProd1IFTEsT1">Analysis!$E$235</definedName>
    <definedName name="tlOutputAnalyProd1MarketShareT1">Analysis!$E$250</definedName>
    <definedName name="tlOutputAnalyProd1MktT1">Analysis!$E$241</definedName>
    <definedName name="tlOutputAnalyProd1MMDriver1T1">Analysis!$E$251</definedName>
    <definedName name="tlOutputAnalyProd1MMDriver2T1">Analysis!$E$252</definedName>
    <definedName name="tlOutputAnalyProd1MMDriver3T1">Analysis!$E$253</definedName>
    <definedName name="tlOutputAnalyProd1MMDriver4T1">Analysis!$E$254</definedName>
    <definedName name="tlOutputAnalyProd1MMDriver5T1">Analysis!$E$255</definedName>
    <definedName name="tlOutputAnalyProd1MMDriver6T1">Analysis!$E$256</definedName>
    <definedName name="tlOutputAnalyProd1MMSPT1">Analysis!$E$257</definedName>
    <definedName name="tlOutputAnalyProd1MMTotalT1">Analysis!$E$258</definedName>
    <definedName name="tlOutputAnalyProd1NRevT1">Analysis!$E$221</definedName>
    <definedName name="tlOutputAnalyProd1OperatingIncomeT1">Analysis!$E$226</definedName>
    <definedName name="tlOutputAnalyProd1OperatingMarginT1">Analysis!$E$227</definedName>
    <definedName name="tlOutputAnalyProd1PercIntT1">Analysis!$E$243</definedName>
    <definedName name="tlOutputAnalyProd1PercNewT1">Analysis!$E$238</definedName>
    <definedName name="tlOutputAnalyProd1PriceT1">Analysis!$E$244</definedName>
    <definedName name="tlOutputAnalyProd1RevT1">Analysis!$E$223</definedName>
    <definedName name="tlOutputAnalyProd1RRevT1">Analysis!$E$220</definedName>
    <definedName name="tlOutputAnalyProd1SalesForceT1">Analysis!$E$237</definedName>
    <definedName name="tlOutputAnalyProd1SalesInitsT1">Analysis!$E$239</definedName>
    <definedName name="tlOutputAnalyProd1SubGrowthT1">Analysis!$E$228</definedName>
    <definedName name="tlOutputAnalyProd1TechT1">Analysis!$E$233</definedName>
    <definedName name="tlOutputAnalyProd1TrainingT1">Analysis!$E$240</definedName>
    <definedName name="tlOutputAnalyProd1TRevT1">Analysis!$E$222</definedName>
    <definedName name="tlOutputAnalyProd1TTMT1">Analysis!$E$234</definedName>
    <definedName name="tlOutputAnalyProd2AttachRateT1">Analysis!$E$271</definedName>
    <definedName name="tlOutputAnalyProd2CancellationT1">Analysis!$E$270</definedName>
    <definedName name="tlOutputAnalyProd2ContentT1">Analysis!$E$283</definedName>
    <definedName name="tlOutputAnalyProd2CSATTrainingT1">Analysis!$E$287</definedName>
    <definedName name="tlOutputAnalyProd2CustomerServiceT1">Analysis!$E$286</definedName>
    <definedName name="tlOutputAnalyProd2EBITDAMarginT1">Analysis!$E$266</definedName>
    <definedName name="tlOutputAnalyProd2EBITDAT1">Analysis!$E$265</definedName>
    <definedName name="tlOutputAnalyProd2EIFTEsT1">Analysis!$E$277</definedName>
    <definedName name="tlOutputAnalyProd2ESATTrainingT1">Analysis!$E$288</definedName>
    <definedName name="tlOutputAnalyProd2IFTEsT1">Analysis!$E$276</definedName>
    <definedName name="tlOutputAnalyProd2MarketShareT1">Analysis!$E$291</definedName>
    <definedName name="tlOutputAnalyProd2MktT1">Analysis!$E$282</definedName>
    <definedName name="tlOutputAnalyProd2MMDriver1T1">Analysis!$E$292</definedName>
    <definedName name="tlOutputAnalyProd2MMDriver2T1">Analysis!$E$293</definedName>
    <definedName name="tlOutputAnalyProd2MMDriver3T1">Analysis!$E$294</definedName>
    <definedName name="tlOutputAnalyProd2MMDriver4T1">Analysis!$E$295</definedName>
    <definedName name="tlOutputAnalyProd2MMDriver5T1">Analysis!$E$296</definedName>
    <definedName name="tlOutputAnalyProd2MMDriver6T1">Analysis!$E$297</definedName>
    <definedName name="tlOutputAnalyProd2MMSPT1">Analysis!$E$298</definedName>
    <definedName name="tlOutputAnalyProd2MMTotalT1">Analysis!$E$299</definedName>
    <definedName name="tlOutputAnalyProd2NRevT1">Analysis!$E$262</definedName>
    <definedName name="tlOutputAnalyProd2OperatingIncomeT1">Analysis!$E$267</definedName>
    <definedName name="tlOutputAnalyProd2OperatingMarginT1">Analysis!$E$268</definedName>
    <definedName name="tlOutputAnalyProd2PercIntT1">Analysis!$E$284</definedName>
    <definedName name="tlOutputAnalyProd2PercNewT1">Analysis!$E$279</definedName>
    <definedName name="tlOutputAnalyProd2PriceT1">Analysis!$E$285</definedName>
    <definedName name="tlOutputAnalyProd2RevT1">Analysis!$E$264</definedName>
    <definedName name="tlOutputAnalyProd2RRevT1">Analysis!$E$261</definedName>
    <definedName name="tlOutputAnalyProd2SalesForceT1">Analysis!$E$278</definedName>
    <definedName name="tlOutputAnalyProd2SalesInitsT1">Analysis!$E$280</definedName>
    <definedName name="tlOutputAnalyProd2SubGrowthT1">Analysis!$E$269</definedName>
    <definedName name="tlOutputAnalyProd2TechT1">Analysis!$E$274</definedName>
    <definedName name="tlOutputAnalyProd2TrainingT1">Analysis!$E$281</definedName>
    <definedName name="tlOutputAnalyProd2TRevT1">Analysis!$E$263</definedName>
    <definedName name="tlOutputAnalyProd2TTMT1">Analysis!$E$275</definedName>
    <definedName name="tlOutputAnalyRevenueT1">Analysis!$E$26</definedName>
    <definedName name="tlOutputAnalyRGImpact10T1">Analysis!$E$129</definedName>
    <definedName name="tlOutputAnalyRGImpact11T1">Analysis!$E$130</definedName>
    <definedName name="tlOutputAnalyRGImpact12T1">Analysis!$E$131</definedName>
    <definedName name="tlOutputAnalyRGImpact13T1">Analysis!$E$132</definedName>
    <definedName name="tlOutputAnalyRGImpact14T1">Analysis!$E$133</definedName>
    <definedName name="tlOutputAnalyRGImpact15T1">Analysis!$E$134</definedName>
    <definedName name="tlOutputAnalyRGImpact16T1">Analysis!$E$135</definedName>
    <definedName name="tlOutputAnalyRGImpact17T1">Analysis!$E$136</definedName>
    <definedName name="tlOutputAnalyRGImpact18T1">Analysis!$E$137</definedName>
    <definedName name="tlOutputAnalyRGImpact19T1">Analysis!$E$138</definedName>
    <definedName name="tlOutputAnalyRGImpact1T1">Analysis!$E$120</definedName>
    <definedName name="tlOutputAnalyRGImpact20T1">Analysis!$E$139</definedName>
    <definedName name="tlOutputAnalyRGImpact2T1">Analysis!$E$121</definedName>
    <definedName name="tlOutputAnalyRGImpact3T1">Analysis!$E$122</definedName>
    <definedName name="tlOutputAnalyRGImpact4T1">Analysis!$E$123</definedName>
    <definedName name="tlOutputAnalyRGImpact5T1">Analysis!$E$124</definedName>
    <definedName name="tlOutputAnalyRGImpact6T1">Analysis!$E$125</definedName>
    <definedName name="tlOutputAnalyRGImpact7T1">Analysis!$E$126</definedName>
    <definedName name="tlOutputAnalyRGImpact8T1">Analysis!$E$127</definedName>
    <definedName name="tlOutputAnalyRGImpact9T1">Analysis!$E$128</definedName>
    <definedName name="tlOutputAnalySalesCoverageT1">Analysis!$E$308</definedName>
    <definedName name="tlOutputAnalySBImpact10T1">Analysis!$E$167</definedName>
    <definedName name="tlOutputAnalySBImpact11T1">Analysis!$E$168</definedName>
    <definedName name="tlOutputAnalySBImpact12T1">Analysis!$E$169</definedName>
    <definedName name="tlOutputAnalySBImpact13T1">Analysis!$E$170</definedName>
    <definedName name="tlOutputAnalySBImpact14T1">Analysis!$E$171</definedName>
    <definedName name="tlOutputAnalySBImpact1T1">Analysis!$E$158</definedName>
    <definedName name="tlOutputAnalySBImpact2T1">Analysis!$E$159</definedName>
    <definedName name="tlOutputAnalySBImpact3T1">Analysis!$E$160</definedName>
    <definedName name="tlOutputAnalySBImpact4T1">Analysis!$E$161</definedName>
    <definedName name="tlOutputAnalySBImpact5T1">Analysis!$E$162</definedName>
    <definedName name="tlOutputAnalySBImpact6T1">Analysis!$E$163</definedName>
    <definedName name="tlOutputAnalySBImpact7T1">Analysis!$E$164</definedName>
    <definedName name="tlOutputAnalySBImpact8T1">Analysis!$E$165</definedName>
    <definedName name="tlOutputAnalySBImpact9T1">Analysis!$E$166</definedName>
    <definedName name="tlOutputAnalyServiceT1">Analysis!$E$311</definedName>
    <definedName name="tlOutputAnalyStaffT1">Analysis!$E$310</definedName>
    <definedName name="tlOutputAnalyTeamNameT1">Analysis!$E$22</definedName>
    <definedName name="tlOutputAnalyWinMetricCashOIT1">Analysis!$E$327</definedName>
    <definedName name="tlOutputAnalyWinMetricYr0T1">Analysis!$E$328</definedName>
    <definedName name="tlOutputAnalyWinMetricYr1T1">Analysis!$E$329</definedName>
    <definedName name="tlOutputAnalyWinMetricYr2T1">Analysis!$E$330</definedName>
    <definedName name="tlOutputAnalyWinMetricYr3T1">Analysis!$E$331</definedName>
    <definedName name="tlOutputCancelledSales">toolPNL!$N$36</definedName>
    <definedName name="tlOutputCashClosingValue">toolCashFlow!$J$32</definedName>
    <definedName name="tlOutputCashFlowAcquireInvest">toolCashFlow!$J$21</definedName>
    <definedName name="tlOutputCashFlowAPChange">toolCashFlow!$I$14</definedName>
    <definedName name="tlOutputCashFlowARChange">toolCashFlow!$I$12</definedName>
    <definedName name="tlOutputCashFlowAssetLoss">toolCashFlow!$J$10</definedName>
    <definedName name="tlOutputCashFlowDep_tlOutputCashFlowAmort">toolCashFlow!$J$9</definedName>
    <definedName name="tlOutputCashFlowDividendPayOut">toolCashFlow!$J$29</definedName>
    <definedName name="tlOutputCashFlowInvest">toolCashFlow!$J$23</definedName>
    <definedName name="tlOutputCashFlowLTDebtChange">toolCashFlow!$J$28</definedName>
    <definedName name="tlOutputCashFlowOperating">toolCashFlow!$J$17</definedName>
    <definedName name="tlOutputCashFlowOtherCurrAssetsChange">toolCashFlow!$I$13</definedName>
    <definedName name="tlOutputCashFlowOtherCurrLiabChange">toolCashFlow!$I$15</definedName>
    <definedName name="tlOutputCashFlowPropertyDivest">toolCashFlow!$J$20</definedName>
    <definedName name="tlOutputCashFlowPropertyInvest">toolCashFlow!$J$22</definedName>
    <definedName name="tlOutputCashFlowtlOutputance">toolCashFlow!$J$30</definedName>
    <definedName name="tlOutputCashFlowWorkCap">toolCashFlow!$J$16</definedName>
    <definedName name="tlOutputcbalAPValue">toolBalSheet!$I$19</definedName>
    <definedName name="tlOutputcbalARValue">toolBalSheet!$I$8</definedName>
    <definedName name="tlOutputcbalAssetsValue">toolBalSheet!$I$16</definedName>
    <definedName name="tlOutputcbalCashValue">toolBalSheet!$I$7</definedName>
    <definedName name="tlOutputcbalCSAT">cbal!$E$56</definedName>
    <definedName name="tlOutputcbalCStockValue">toolBalSheet!$I$28</definedName>
    <definedName name="tlOutputcbalCurrentAssets">toolBalSheet!$I$10</definedName>
    <definedName name="tlOutputcbalCurrentLiabValue">toolBalSheet!$I$22</definedName>
    <definedName name="tlOutputcbalEquity">toolBalSheet!$I$30</definedName>
    <definedName name="tlOutputcbalESAT">cbal!$E$110</definedName>
    <definedName name="tlOutputcbalGoodwillValue">toolBalSheet!$I$15</definedName>
    <definedName name="tlOutputcbalLTDebtValue">toolBalSheet!$I$24</definedName>
    <definedName name="tlOutputCbalOMPerc">cbal!$E$468</definedName>
    <definedName name="tlOutputcbalOtherCurrentAssets">toolBalSheet!$I$9</definedName>
    <definedName name="tlOutputcbalOtherCurrLiabValue">toolBalSheet!$I$20</definedName>
    <definedName name="tlOutputcbalOtherLTLiabValue">toolBalSheet!$I$23</definedName>
    <definedName name="tlOutputcbalOtherValue">toolBalSheet!$I$14</definedName>
    <definedName name="tlOutputcbalPNLCashOI">cbal!$E$469</definedName>
    <definedName name="tlOutputcbalPNLRevCAGR">cbal!$E$467</definedName>
    <definedName name="tlOutputcbalPropertyValue">toolBalSheet!$I$12</definedName>
    <definedName name="tlOutputcbalRetEarnValue">toolBalSheet!$I$29</definedName>
    <definedName name="tlOutputcbalSoftwareValue">toolBalSheet!$I$13</definedName>
    <definedName name="tlOutputcbalSpecLoansValue">toolBalSheet!$I$21</definedName>
    <definedName name="tlOutputcbalTotalLiabilities">toolBalSheet!$I$25</definedName>
    <definedName name="tlOutputcbalTotalLiabilitiesEquity">toolBalSheet!$I$32</definedName>
    <definedName name="tlOutputCFCashValue">toolCashFlow!$J$5</definedName>
    <definedName name="tlOutputCFPNLNetEarn">toolCashFlow!$J$8</definedName>
    <definedName name="tlOutputCOICapEx">toolProfitTree!$N$16</definedName>
    <definedName name="tlOutputCOICashOI">toolProfitTree!$N$18</definedName>
    <definedName name="tlOutputCOIEBITDA">toolProfitTree!$N$14</definedName>
    <definedName name="tlOutputCOIOperatingExp">toolProfitTree!$N$12</definedName>
    <definedName name="tlOutputCOIRev">toolProfitTree!$N$5</definedName>
    <definedName name="tlOutputComp2Prod1Price">Competitor!$E$7</definedName>
    <definedName name="tlOutputComp2Prod1RevPerc">Competitor!$E$9</definedName>
    <definedName name="tlOutputComp2Prod2Price">Competitor!$E$8</definedName>
    <definedName name="tlOutputComp2Prod2RevPerc">Competitor!$E$10</definedName>
    <definedName name="tlOutputComp3Prod1Price">Competitor!$E$26</definedName>
    <definedName name="tlOutputComp3Prod1RevPerc">Competitor!$E$28</definedName>
    <definedName name="tlOutputComp3Prod2Price">Competitor!$E$27</definedName>
    <definedName name="tlOutputComp3Prod2RevPerc">Competitor!$E$29</definedName>
    <definedName name="tlOutputCSAdminInfraExp">toolPNL!$P$15</definedName>
    <definedName name="tlOutputCSAPValue">toolBalSheet!$M$19</definedName>
    <definedName name="tlOutputCSARValue">toolBalSheet!$M$8</definedName>
    <definedName name="tlOutputCSAssetsValue">toolBalSheet!$M$16</definedName>
    <definedName name="tlOutputCSATThreshold">webToolOutputs!$E$65</definedName>
    <definedName name="tlOutputCSCashValue">toolBalSheet!$M$7</definedName>
    <definedName name="tlOutputCSCStockValue">toolBalSheet!$M$28</definedName>
    <definedName name="tlOutputCSCurrentAssets">toolBalSheet!$M$10</definedName>
    <definedName name="tlOutputCSCurrentLiabValue">toolBalSheet!$M$22</definedName>
    <definedName name="tlOutputCSDeprAmortExp">toolPNL!$P$21</definedName>
    <definedName name="tlOutputCSEBITDA">toolPNL!$P$18</definedName>
    <definedName name="tlOutputCSEmpExp">toolPNL!$P$12</definedName>
    <definedName name="tlOutputCSEquity">toolBalSheet!$M$30</definedName>
    <definedName name="tlOutputCSExtraOrdExp">toolPNL!$P$25</definedName>
    <definedName name="tlOutputCSGoodwillValue">toolBalSheet!$M$15</definedName>
    <definedName name="tlOutputCSLTDebtValue">toolBalSheet!$M$24</definedName>
    <definedName name="tlOutputCSNetEarn">toolPNL!$P$29</definedName>
    <definedName name="tlOutputCSNetIntExp">toolPNL!$P$26</definedName>
    <definedName name="tlOutputCSOperatingExp">toolPNL!$P$17</definedName>
    <definedName name="tlOutputCSOperatingIncome">toolPNL!$P$22</definedName>
    <definedName name="tlOutputCSOtherCurrentAssets">toolBalSheet!$M$9</definedName>
    <definedName name="tlOutputCSOtherCurrLiabValue">toolBalSheet!$M$20</definedName>
    <definedName name="tlOutputCSOtherLTLiabValue">toolBalSheet!$M$23</definedName>
    <definedName name="tlOutputCSOtherOpExp">toolPNL!$P$16</definedName>
    <definedName name="tlOutputCSOtherValue">toolBalSheet!$M$14</definedName>
    <definedName name="tlOutputCSProdDevExp">toolPNL!$P$14</definedName>
    <definedName name="tlOutputCSPropertyValue">toolBalSheet!$M$12</definedName>
    <definedName name="tlOutputCSRetEarnValue">toolBalSheet!$M$29</definedName>
    <definedName name="tlOutputCSRev">toolPNL!$P$9</definedName>
    <definedName name="tlOutputCSRevExp">toolPNL!$P$13</definedName>
    <definedName name="tlOutputCSServiceRev">toolPNL!$P$8</definedName>
    <definedName name="tlOutputCSSoftwareValue">toolBalSheet!$M$13</definedName>
    <definedName name="tlOutputCSSpecLoansValue">toolBalSheet!$M$21</definedName>
    <definedName name="tlOutputCSSubRev">toolPNL!$P$7</definedName>
    <definedName name="tlOutputCSTaxExp">toolPNL!$P$27</definedName>
    <definedName name="tlOutputCSTotalLiabilities">toolBalSheet!$M$25</definedName>
    <definedName name="tlOutputCSTotalLiabilitiesEquity">toolBalSheet!$M$32</definedName>
    <definedName name="tlOutputCTcapContentEmp1Req">toolContent!$L$10</definedName>
    <definedName name="tlOutputCTContentMethod">toolContent!$N$10</definedName>
    <definedName name="tlOutputCTDAcapContentEmp1Req">toolContent!$F$15</definedName>
    <definedName name="tlOutputCTDAcapInternalContentDevExp">toolContent!$F$17</definedName>
    <definedName name="tlOutputCTDAcbalContentLvl">toolContent!$F$10</definedName>
    <definedName name="tlOutputCTDAfinPNLRoyalityExp">toolContent!$F$19</definedName>
    <definedName name="tlOutputCTobalContentEmp1Req">toolContent!$L$12</definedName>
    <definedName name="tlOutputCTobalContentMethod">toolContent!$N$12</definedName>
    <definedName name="tlOutputCurrentYear">webToolOutputs!$E$7</definedName>
    <definedName name="tlOutputCurYearInitsRemaining">webToolOutputs!$E$1</definedName>
    <definedName name="tlOutputDBcapCSAT">Controls!$L$27</definedName>
    <definedName name="tlOutputDBcapEmp1FTERemaining">Controls!$L$28</definedName>
    <definedName name="tlOutputDBcapESAT">Controls!$L$26</definedName>
    <definedName name="tlOutputDBfinCashOI">Controls!$L$25</definedName>
    <definedName name="tlOutputDBfinPNLOperatingMargin">Controls!$L$24</definedName>
    <definedName name="tlOutputDBfinPNLRev">Controls!$L$23</definedName>
    <definedName name="tlOutputDBTScapCSAT">Controls!$L$35:$M$35</definedName>
    <definedName name="tlOutputDBTScapESAT">Controls!$L$34:$M$34</definedName>
    <definedName name="tlOutputDBTSfinCashOI">Controls!$L$33:$M$33</definedName>
    <definedName name="tlOutputDBTSfinPNLOperatingMargin">Controls!$L$32:$M$32</definedName>
    <definedName name="tlOutputDBTSfinPNLRev">Controls!$L$31:$M$31</definedName>
    <definedName name="tlOutputDeprAmortExp">toolPNL!$N$21</definedName>
    <definedName name="tlOutputEBITDA">toolPNL!$N$18</definedName>
    <definedName name="tlOutputEBITDAMargin">toolPNL!$N$19</definedName>
    <definedName name="tlOutputEmp1FTERemaining">cap!$E$192</definedName>
    <definedName name="tlOutputEmp1ReqInit">toolPrograms!$G$60</definedName>
    <definedName name="tlOutputEmpExp">toolPNL!$N$12</definedName>
    <definedName name="tlOutputESATThreshold">webToolOutputs!$E$64</definedName>
    <definedName name="tlOutputEvent101Chosen">webToolOutputs!$E$35</definedName>
    <definedName name="tlOutputEvent102Chosen">webToolOutputs!$E$36</definedName>
    <definedName name="tlOutputEvent103Chosen">webToolOutputs!$E$37</definedName>
    <definedName name="tlOutputEvent201Chosen">webToolOutputs!$E$38</definedName>
    <definedName name="tlOutputEvent202Chosen">webToolOutputs!$E$39</definedName>
    <definedName name="tlOutputEvent203Chosen">webToolOutputs!$E$40</definedName>
    <definedName name="tlOutputEvent301Chosen">webToolOutputs!$E$41</definedName>
    <definedName name="tlOutputEvent302Chosen">webToolOutputs!$E$42</definedName>
    <definedName name="tlOutputEvent401Chosen">webToolOutputs!$E$43</definedName>
    <definedName name="tlOutputEvent402Chosen">webToolOutputs!$E$44</definedName>
    <definedName name="tlOutputEvent403Chosen">webToolOutputs!$E$45</definedName>
    <definedName name="tlOutputEvent501Chosen">webToolOutputs!$E$46</definedName>
    <definedName name="tlOutputEvent502Chosen">webToolOutputs!$E$47</definedName>
    <definedName name="tlOutputEvent503Chosen">webToolOutputs!$E$48</definedName>
    <definedName name="tlOutputEvent601Chosen">webToolOutputs!$E$49</definedName>
    <definedName name="tlOutputEvent602Chosen">webToolOutputs!$E$50</definedName>
    <definedName name="tlOutputEvent603Chosen">webToolOutputs!$E$51</definedName>
    <definedName name="tlOutputEvent701Chosen">webToolOutputs!$E$52</definedName>
    <definedName name="tlOutputEvent702Chosen">webToolOutputs!$E$53</definedName>
    <definedName name="tlOutputEvent703Chosen">webToolOutputs!$E$54</definedName>
    <definedName name="tlOutputEvent801Chosen">webToolOutputs!$E$55</definedName>
    <definedName name="tlOutputEvent802Chosen">webToolOutputs!$E$56</definedName>
    <definedName name="tlOutputEvent803Chosen">webToolOutputs!$E$57</definedName>
    <definedName name="tlOutputEvent901Chosen">webToolOutputs!$E$58</definedName>
    <definedName name="tlOutputEvent902Chosen">webToolOutputs!$E$59</definedName>
    <definedName name="tlOutputExtraOrdExp">toolPNL!$N$25</definedName>
    <definedName name="tlOutputF1capProd1CancellationRate">toolProd1Forecast!$N$18</definedName>
    <definedName name="tlOutputF1capProd1Cancellations">toolProd1Forecast!$N$11</definedName>
    <definedName name="tlOutputF1capProd1Emp1Req">toolProd1Forecast!$F$29</definedName>
    <definedName name="tlOutputF1capProd1EndSubs">toolProd1Forecast!$N$14</definedName>
    <definedName name="tlOutputF1capProd1MS">toolProd1Forecast!$N$15</definedName>
    <definedName name="tlOutputF1capProd1NetNewSales">toolProd1Forecast!$N$16</definedName>
    <definedName name="tlOutputF1capProd1NewSubs">toolProd1Forecast!$N$12</definedName>
    <definedName name="tlOutputF1capProd1OpenSubs">toolProd1Forecast!$N$10</definedName>
    <definedName name="tlOutputF1cbalContentLvl">toolProd1Forecast!$F$25</definedName>
    <definedName name="tlOutputF1cbalProd1EBITDAPerc">toolProd1Forecast!$N$25</definedName>
    <definedName name="tlOutputF1cbalProd1OM">toolProd1Forecast!$N$26</definedName>
    <definedName name="tlOutputF1cbalProd1ProdTechLvl">toolProd1Forecast!$F$26</definedName>
    <definedName name="tlOutputF1cbalProd1SubGrowth">toolProd1Forecast!$N$17</definedName>
    <definedName name="tlOutputF1cbalProd1TTM">toolProd1Forecast!$F$27</definedName>
    <definedName name="tlOutputF1DAcapProd1CancellationRate">toolProd1Forecast!$F$10</definedName>
    <definedName name="tlOutputF1DAcapProd1MS">toolProd1Forecast!$F$11</definedName>
    <definedName name="tlOutputF1DAdecProd1PriceChange">toolProd1Forecast!$F$14</definedName>
    <definedName name="tlOutputF1DAfinPNLProd1Rev">toolProd1Forecast!$F$15</definedName>
    <definedName name="tlOutputF1finPNLProd1Rev">toolProd1Forecast!$F$28</definedName>
    <definedName name="tlOutputF1obalContentLvl">toolProd1Forecast!$H$25</definedName>
    <definedName name="tlOutputF1obalProd1CancellationRate">toolProd1Forecast!$P$18</definedName>
    <definedName name="tlOutputF1obalProd1Cancellations">toolProd1Forecast!$P$11</definedName>
    <definedName name="tlOutputF1obalProd1EBITDAPerc">toolProd1Forecast!$P$25</definedName>
    <definedName name="tlOutputF1obalProd1EndSubs">toolProd1Forecast!$P$14</definedName>
    <definedName name="tlOutputF1obalProd1MS">toolProd1Forecast!$P$15</definedName>
    <definedName name="tlOutputF1obalProd1NetNewSales">toolProd1Forecast!$P$16</definedName>
    <definedName name="tlOutputF1obalProd1NewSubs">toolProd1Forecast!$P$12</definedName>
    <definedName name="tlOutputF1obalProd1OM">toolProd1Forecast!$P$26</definedName>
    <definedName name="tlOutputF1obalProd1OpenSubs">toolProd1Forecast!$P$10</definedName>
    <definedName name="tlOutputF1obalProd1ProdTechLvl">toolProd1Forecast!$H$26</definedName>
    <definedName name="tlOutputF1obalProd1Rev">toolProd1Forecast!$H$28</definedName>
    <definedName name="tlOutputF1obalProd1SubGrowth">toolProd1Forecast!$P$17</definedName>
    <definedName name="tlOutputF1obalProd1TTM">toolProd1Forecast!$H$27</definedName>
    <definedName name="tlOutputF2capProd1NewSubsEvents">toolProd1Forecast!$N$13</definedName>
    <definedName name="tlOutputF2capProd2CancellationRate">toolProd2Forecast!$N$18</definedName>
    <definedName name="tlOutputF2capProd2Cancellations">toolProd2Forecast!$N$11</definedName>
    <definedName name="tlOutputF2capProd2Emp1Req">toolProd2Forecast!$F$29</definedName>
    <definedName name="tlOutputF2capProd2EndSubs">toolProd2Forecast!$N$14</definedName>
    <definedName name="tlOutputF2capProd2MS">toolProd2Forecast!$N$15</definedName>
    <definedName name="tlOutputF2capProd2NetNewSales">toolProd2Forecast!$N$16</definedName>
    <definedName name="tlOutputF2capProd2NewSubs">toolProd2Forecast!$N$12</definedName>
    <definedName name="tlOutputF2capProd2NewSubsEvents">toolProd2Forecast!$N$13</definedName>
    <definedName name="tlOutputF2capProd2OpenSubs">toolProd2Forecast!$N$10</definedName>
    <definedName name="tlOutputF2cbalProd2ContentLvl">toolProd2Forecast!$F$25</definedName>
    <definedName name="tlOutputF2cbalProd2EBITDAPerc">toolProd2Forecast!$N$25</definedName>
    <definedName name="tlOutputF2cbalProd2OM">toolProd2Forecast!$N$26</definedName>
    <definedName name="tlOutputF2cbalProd2ProdTechLvl">toolProd2Forecast!$F$26</definedName>
    <definedName name="tlOutputF2cbalProd2SubGrowth">toolProd2Forecast!$N$17</definedName>
    <definedName name="tlOutputF2cbalProd2TTM">toolProd2Forecast!$F$27</definedName>
    <definedName name="tlOutputF2DAcapProd2CancellationRate">toolProd2Forecast!$F$10</definedName>
    <definedName name="tlOutputF2DAcapProd2MS">toolProd2Forecast!$F$11</definedName>
    <definedName name="tlOutputF2DAdecProd2PriceChange">toolProd2Forecast!$F$14</definedName>
    <definedName name="tlOutputF2DAfinPNLProd2Rev">toolProd2Forecast!$F$15</definedName>
    <definedName name="tlOutputF2finPNLProd2Rev">toolProd2Forecast!$F$28</definedName>
    <definedName name="tlOutputF2obalProd1NewSubsEvents">toolProd1Forecast!$P$13</definedName>
    <definedName name="tlOutputF2obalProd2CancellationRate">toolProd2Forecast!$P$18</definedName>
    <definedName name="tlOutputF2obalProd2Cancellations">toolProd2Forecast!$P$11</definedName>
    <definedName name="tlOutputF2obalProd2ContentLvl">toolProd2Forecast!$H$25</definedName>
    <definedName name="tlOutputF2obalProd2EBITDAPerc">toolProd2Forecast!$P$25</definedName>
    <definedName name="tlOutputF2obalProd2EndSubs">toolProd2Forecast!$P$14</definedName>
    <definedName name="tlOutputF2obalProd2MS">toolProd2Forecast!$P$15</definedName>
    <definedName name="tlOutputF2obalProd2NetNewSales">toolProd2Forecast!$P$16</definedName>
    <definedName name="tlOutputF2obalProd2NewSubs">toolProd2Forecast!$P$12</definedName>
    <definedName name="tlOutputF2obalProd2NewSubsEvents">toolProd2Forecast!$P$13</definedName>
    <definedName name="tlOutputF2obalProd2OM">toolProd2Forecast!$P$26</definedName>
    <definedName name="tlOutputF2obalProd2OpenSubs">toolProd2Forecast!$P$10</definedName>
    <definedName name="tlOutputF2obalProd2ProdTechLvl">toolProd2Forecast!$H$26</definedName>
    <definedName name="tlOutputF2obalProd2Rev">toolProd2Forecast!$H$28</definedName>
    <definedName name="tlOutputF2obalProd2SubGrowth">toolProd2Forecast!$P$17</definedName>
    <definedName name="tlOutputF2obalProd2TTM">toolProd2Forecast!$H$27</definedName>
    <definedName name="tlOutputFALSE">webToolOutputs!$E$92</definedName>
    <definedName name="tlOutputFBcapCSAT">feedback!$E$49:$I$49</definedName>
    <definedName name="tlOutputFBcapCSATT1">feedback!$E$49</definedName>
    <definedName name="tlOutputFBcapCSATT2">feedback!$F$49</definedName>
    <definedName name="tlOutputFBcapCSATT3">feedback!$G$49</definedName>
    <definedName name="tlOutputFBcapCSATThreeTeam">feedback!$E$49:$G$49</definedName>
    <definedName name="tlOutputFBcapESAT">feedback!$E$58:$I$58</definedName>
    <definedName name="tlOutputFBcapESATT1">feedback!$E$58</definedName>
    <definedName name="tlOutputFBcapESATT2">feedback!$F$58</definedName>
    <definedName name="tlOutputFBcapESATT3">feedback!$G$58</definedName>
    <definedName name="tlOutputFBcapESATThreeTeam">feedback!$E$58:$G$58</definedName>
    <definedName name="tlOutputFBcapTotalCancellationRate">feedback!$E$18:$I$18</definedName>
    <definedName name="tlOutputFBcapTotalCancellationRateT1">feedback!$E$18</definedName>
    <definedName name="tlOutputFBcapTotalCancellationRateT2">feedback!$F$18</definedName>
    <definedName name="tlOutputFBcapTotalCancellationRateT3">feedback!$G$18</definedName>
    <definedName name="tlOutputFBcapTotalCancellationRateThreeTeam">feedback!$E$18:$G$18</definedName>
    <definedName name="tlOutputFBcbalCashOIY0">feedback!$E$85:$I$85</definedName>
    <definedName name="tlOutputFBcbalCashOIY0T1">feedback!$E$85</definedName>
    <definedName name="tlOutputFBcbalCashOIY0T2">feedback!$F$85</definedName>
    <definedName name="tlOutputFBcbalCashOIY0T3">feedback!$G$85</definedName>
    <definedName name="tlOutputFBcbalCashOIY0ThreeTeam">feedback!$E$85:$G$85</definedName>
    <definedName name="tlOutputFBcbalCashOIY1">feedback!$E$86:$I$86</definedName>
    <definedName name="tlOutputFBcbalCashOIY1T1">feedback!$E$86</definedName>
    <definedName name="tlOutputFBcbalCashOIY1T2">feedback!$F$86</definedName>
    <definedName name="tlOutputFBcbalCashOIY1T3">feedback!$G$86</definedName>
    <definedName name="tlOutputFBcbalCashOIY1ThreeTeam">feedback!$E$86:$G$86</definedName>
    <definedName name="tlOutputFBcbalCashOIY2">feedback!$E$87:$I$87</definedName>
    <definedName name="tlOutputFBcbalCashOIY2T1">feedback!$E$87</definedName>
    <definedName name="tlOutputFBcbalCashOIY2T2">feedback!$F$87</definedName>
    <definedName name="tlOutputFBcbalCashOIY2T3">feedback!$G$87</definedName>
    <definedName name="tlOutputFBcbalCashOIY2ThreeTeam">feedback!$E$87:$G$87</definedName>
    <definedName name="tlOutputFBcbalCashOIY3">feedback!$E$88:$I$88</definedName>
    <definedName name="tlOutputFBcbalCashOIY3T1">feedback!$E$88</definedName>
    <definedName name="tlOutputFBcbalCashOIY3T2">feedback!$F$88</definedName>
    <definedName name="tlOutputFBcbalCashOIY3T3">feedback!$G$88</definedName>
    <definedName name="tlOutputFBcbalCashOIY3ThreeTeam">feedback!$E$88:$G$88</definedName>
    <definedName name="tlOutputFBcbalCSATY0">feedback!$E$97:$I$97</definedName>
    <definedName name="tlOutputFBcbalCSATY0T1">feedback!$E$97</definedName>
    <definedName name="tlOutputFBcbalCSATY0T2">feedback!$F$97</definedName>
    <definedName name="tlOutputFBcbalCSATY0T3">feedback!$G$97</definedName>
    <definedName name="tlOutputFBcbalCSATY0ThreeTeam">feedback!$E$97:$G$97</definedName>
    <definedName name="tlOutputFBcbalCSATY1">feedback!$E$98:$I$98</definedName>
    <definedName name="tlOutputFBcbalCSATY1T1">feedback!$E$98</definedName>
    <definedName name="tlOutputFBcbalCSATY1T2">feedback!$F$98</definedName>
    <definedName name="tlOutputFBcbalCSATY1T3">feedback!$G$98</definedName>
    <definedName name="tlOutputFBcbalCSATY1ThreeTeam">feedback!$E$98:$G$98</definedName>
    <definedName name="tlOutputFBcbalCSATY2">feedback!$E$99:$I$99</definedName>
    <definedName name="tlOutputFBcbalCSATY2T1">feedback!$E$99</definedName>
    <definedName name="tlOutputFBcbalCSATY2T2">feedback!$F$99</definedName>
    <definedName name="tlOutputFBcbalCSATY2T3">feedback!$G$99</definedName>
    <definedName name="tlOutputFBcbalCSATY2ThreeTeam">feedback!$E$99:$G$99</definedName>
    <definedName name="tlOutputFBcbalCSATY3">feedback!$E$100:$I$100</definedName>
    <definedName name="tlOutputFBcbalCSATY3T1">feedback!$E$100</definedName>
    <definedName name="tlOutputFBcbalCSATY3T2">feedback!$F$100</definedName>
    <definedName name="tlOutputFBcbalCSATY3T3">feedback!$G$100</definedName>
    <definedName name="tlOutputFBcbalCSATY3ThreeTeam">feedback!$E$100:$G$100</definedName>
    <definedName name="tlOutputFBcbalESATY0">feedback!$E$91:$I$91</definedName>
    <definedName name="tlOutputFBcbalESATY0T1">feedback!$E$91</definedName>
    <definedName name="tlOutputFBcbalESATY0T2">feedback!$F$91</definedName>
    <definedName name="tlOutputFBcbalESATY0T3">feedback!$G$91</definedName>
    <definedName name="tlOutputFBcbalESATY0ThreeTeam">feedback!$E$91:$G$91</definedName>
    <definedName name="tlOutputFBcbalESATY1">feedback!$E$92:$I$92</definedName>
    <definedName name="tlOutputFBcbalESATY1T1">feedback!$E$92</definedName>
    <definedName name="tlOutputFBcbalESATY1T2">feedback!$F$92</definedName>
    <definedName name="tlOutputFBcbalESATY1T3">feedback!$G$92</definedName>
    <definedName name="tlOutputFBcbalESATY1ThreeTeam">feedback!$E$92:$G$92</definedName>
    <definedName name="tlOutputFBcbalESATY2">feedback!$E$93:$I$93</definedName>
    <definedName name="tlOutputFBcbalESATY2T1">feedback!$E$93</definedName>
    <definedName name="tlOutputFBcbalESATY2T2">feedback!$F$93</definedName>
    <definedName name="tlOutputFBcbalESATY2T3">feedback!$G$93</definedName>
    <definedName name="tlOutputFBcbalESATY2ThreeTeam">feedback!$E$93:$G$93</definedName>
    <definedName name="tlOutputFBcbalESATY3">feedback!$E$94:$I$94</definedName>
    <definedName name="tlOutputFBcbalESATY3T1">feedback!$E$94</definedName>
    <definedName name="tlOutputFBcbalESATY3T2">feedback!$F$94</definedName>
    <definedName name="tlOutputFBcbalESATY3T3">feedback!$G$94</definedName>
    <definedName name="tlOutputFBcbalESATY3ThreeTeam">feedback!$E$94:$G$94</definedName>
    <definedName name="tlOutputFBcbalEVT1Y1Choice1">feedback!$E$103:$I$103</definedName>
    <definedName name="tlOutputFBcbalEVT1Y1Choice1T1">feedback!$E$103</definedName>
    <definedName name="tlOutputFBcbalEVT1Y1Choice1T2">feedback!$F$103</definedName>
    <definedName name="tlOutputFBcbalEVT1Y1Choice1T3">feedback!$G$103</definedName>
    <definedName name="tlOutputFBcbalEVT1Y1Choice1ThreeTeam">feedback!$E$103:$G$103</definedName>
    <definedName name="tlOutputFBcbalEVT1Y1Choice2">feedback!$E$104:$I$104</definedName>
    <definedName name="tlOutputFBcbalEVT1Y1Choice2T1">feedback!$E$104</definedName>
    <definedName name="tlOutputFBcbalEVT1Y1Choice2T2">feedback!$F$104</definedName>
    <definedName name="tlOutputFBcbalEVT1Y1Choice2T3">feedback!$G$104</definedName>
    <definedName name="tlOutputFBcbalEVT1Y1Choice2ThreeTeam">feedback!$E$104:$G$104</definedName>
    <definedName name="tlOutputFBcbalEVT1Y1Choice3">feedback!$E$105:$I$105</definedName>
    <definedName name="tlOutputFBcbalEVT1Y1Choice3T1">feedback!$E$105</definedName>
    <definedName name="tlOutputFBcbalEVT1Y1Choice3T2">feedback!$F$105</definedName>
    <definedName name="tlOutputFBcbalEVT1Y1Choice3T3">feedback!$G$105</definedName>
    <definedName name="tlOutputFBcbalEVT1Y1Choice3ThreeTeam">feedback!$E$105:$G$105</definedName>
    <definedName name="tlOutputFBcbalEVT1Y2Choice1">feedback!$E$118:$I$118</definedName>
    <definedName name="tlOutputFBcbalEVT1Y2Choice1T1">feedback!$E$118</definedName>
    <definedName name="tlOutputFBcbalEVT1Y2Choice1T2">feedback!$F$118</definedName>
    <definedName name="tlOutputFBcbalEVT1Y2Choice1T3">feedback!$G$118</definedName>
    <definedName name="tlOutputFBcbalEVT1Y2Choice1ThreeTeam">feedback!$E$118:$G$118</definedName>
    <definedName name="tlOutputFBcbalEVT1Y2Choice2">feedback!$E$119:$I$119</definedName>
    <definedName name="tlOutputFBcbalEVT1Y2Choice2T1">feedback!$E$119</definedName>
    <definedName name="tlOutputFBcbalEVT1Y2Choice2T2">feedback!$F$119</definedName>
    <definedName name="tlOutputFBcbalEVT1Y2Choice2T3">feedback!$G$119</definedName>
    <definedName name="tlOutputFBcbalEVT1Y2Choice2ThreeTeam">feedback!$E$119:$G$119</definedName>
    <definedName name="tlOutputFBcbalEVT1Y2Choice3">feedback!$E$120:$I$120</definedName>
    <definedName name="tlOutputFBcbalEVT1Y2Choice3T1">feedback!$E$120</definedName>
    <definedName name="tlOutputFBcbalEVT1Y2Choice3T2">feedback!$F$120</definedName>
    <definedName name="tlOutputFBcbalEVT1Y2Choice3T3">feedback!$G$120</definedName>
    <definedName name="tlOutputFBcbalEVT1Y2Choice3ThreeTeam">feedback!$E$120:$G$120</definedName>
    <definedName name="tlOutputFBcbalEVT1Y3Choice1">feedback!$E$133:$I$133</definedName>
    <definedName name="tlOutputFBcbalEVT1Y3Choice1T1">feedback!$E$133</definedName>
    <definedName name="tlOutputFBcbalEVT1Y3Choice1T2">feedback!$F$133</definedName>
    <definedName name="tlOutputFBcbalEVT1Y3Choice1T3">feedback!$G$133</definedName>
    <definedName name="tlOutputFBcbalEVT1Y3Choice1ThreeTeam">feedback!$E$133:$G$133</definedName>
    <definedName name="tlOutputFBcbalEVT1Y3Choice2">feedback!$E$134:$I$134</definedName>
    <definedName name="tlOutputFBcbalEVT1Y3Choice2T1">feedback!$E$134</definedName>
    <definedName name="tlOutputFBcbalEVT1Y3Choice2T2">feedback!$F$134</definedName>
    <definedName name="tlOutputFBcbalEVT1Y3Choice2T3">feedback!$G$134</definedName>
    <definedName name="tlOutputFBcbalEVT1Y3Choice2ThreeTeam">feedback!$E$134:$G$134</definedName>
    <definedName name="tlOutputFBcbalEVT1Y3Choice3">feedback!$E$135:$I$135</definedName>
    <definedName name="tlOutputFBcbalEVT1Y3Choice3T1">feedback!$E$135</definedName>
    <definedName name="tlOutputFBcbalEVT1Y3Choice3T2">feedback!$F$135</definedName>
    <definedName name="tlOutputFBcbalEVT1Y3Choice3T3">feedback!$G$135</definedName>
    <definedName name="tlOutputFBcbalEVT1Y3Choice3ThreeTeam">feedback!$E$135:$G$135</definedName>
    <definedName name="tlOutputFBcbalEVT2Y1Choice1">feedback!$E$108:$I$108</definedName>
    <definedName name="tlOutputFBcbalEVT2Y1Choice1T1">feedback!$E$108</definedName>
    <definedName name="tlOutputFBcbalEVT2Y1Choice1T2">feedback!$F$108</definedName>
    <definedName name="tlOutputFBcbalEVT2Y1Choice1T3">feedback!$G$108</definedName>
    <definedName name="tlOutputFBcbalEVT2Y1Choice1ThreeTeam">feedback!$E$108:$G$108</definedName>
    <definedName name="tlOutputFBcbalEVT2Y1Choice2">feedback!$E$109:$I$109</definedName>
    <definedName name="tlOutputFBcbalEVT2Y1Choice2T1">feedback!$E$109</definedName>
    <definedName name="tlOutputFBcbalEVT2Y1Choice2T2">feedback!$F$109</definedName>
    <definedName name="tlOutputFBcbalEVT2Y1Choice2T3">feedback!$G$109</definedName>
    <definedName name="tlOutputFBcbalEVT2Y1Choice2ThreeTeam">feedback!$E$109:$G$109</definedName>
    <definedName name="tlOutputFBcbalEVT2Y1Choice3">feedback!$E$110:$I$110</definedName>
    <definedName name="tlOutputFBcbalEVT2Y1Choice3T1">feedback!$E$110</definedName>
    <definedName name="tlOutputFBcbalEVT2Y1Choice3T2">feedback!$F$110</definedName>
    <definedName name="tlOutputFBcbalEVT2Y1Choice3T3">feedback!$G$110</definedName>
    <definedName name="tlOutputFBcbalEVT2Y1Choice3ThreeTeam">feedback!$E$110:$G$110</definedName>
    <definedName name="tlOutputFBcbalEVT2Y2Choice1">feedback!$E$123:$I$123</definedName>
    <definedName name="tlOutputFBcbalEVT2Y2Choice1T1">feedback!$E$123</definedName>
    <definedName name="tlOutputFBcbalEVT2Y2Choice1T2">feedback!$F$123</definedName>
    <definedName name="tlOutputFBcbalEVT2Y2Choice1T3">feedback!$G$123</definedName>
    <definedName name="tlOutputFBcbalEVT2Y2Choice1ThreeTeam">feedback!$E$123:$G$123</definedName>
    <definedName name="tlOutputFBcbalEVT2Y2Choice2">feedback!$E$124:$I$124</definedName>
    <definedName name="tlOutputFBcbalEVT2Y2Choice2T1">feedback!$E$124</definedName>
    <definedName name="tlOutputFBcbalEVT2Y2Choice2T2">feedback!$F$124</definedName>
    <definedName name="tlOutputFBcbalEVT2Y2Choice2T3">feedback!$G$124</definedName>
    <definedName name="tlOutputFBcbalEVT2Y2Choice2ThreeTeam">feedback!$E$124:$G$124</definedName>
    <definedName name="tlOutputFBcbalEVT2Y2Choice3">feedback!$E$125:$I$125</definedName>
    <definedName name="tlOutputFBcbalEVT2Y2Choice3T1">feedback!$E$125</definedName>
    <definedName name="tlOutputFBcbalEVT2Y2Choice3T2">feedback!$F$125</definedName>
    <definedName name="tlOutputFBcbalEVT2Y2Choice3T3">feedback!$G$125</definedName>
    <definedName name="tlOutputFBcbalEVT2Y2Choice3ThreeTeam">feedback!$E$125:$G$125</definedName>
    <definedName name="tlOutputFBcbalEVT2Y3Choice1">feedback!$E$138:$I$138</definedName>
    <definedName name="tlOutputFBcbalEVT2Y3Choice1T1">feedback!$E$138</definedName>
    <definedName name="tlOutputFBcbalEVT2Y3Choice1T2">feedback!$F$138</definedName>
    <definedName name="tlOutputFBcbalEVT2Y3Choice1T3">feedback!$G$138</definedName>
    <definedName name="tlOutputFBcbalEVT2Y3Choice1ThreeTeam">feedback!$E$138:$G$138</definedName>
    <definedName name="tlOutputFBcbalEVT2Y3Choice2">feedback!$E$139:$I$139</definedName>
    <definedName name="tlOutputFBcbalEVT2Y3Choice2T1">feedback!$E$139</definedName>
    <definedName name="tlOutputFBcbalEVT2Y3Choice2T2">feedback!$F$139</definedName>
    <definedName name="tlOutputFBcbalEVT2Y3Choice2T3">feedback!$G$139</definedName>
    <definedName name="tlOutputFBcbalEVT2Y3Choice2ThreeTeam">feedback!$E$139:$G$139</definedName>
    <definedName name="tlOutputFBcbalEVT2Y3Choice3">feedback!$E$140:$I$140</definedName>
    <definedName name="tlOutputFBcbalEVT2Y3Choice3T1">feedback!$E$140</definedName>
    <definedName name="tlOutputFBcbalEVT2Y3Choice3T2">feedback!$F$140</definedName>
    <definedName name="tlOutputFBcbalEVT2Y3Choice3T3">feedback!$G$140</definedName>
    <definedName name="tlOutputFBcbalEVT2Y3Choice3ThreeTeam">feedback!$E$140:$G$140</definedName>
    <definedName name="tlOutputFBcbalEVT3Y1Choice1">feedback!$E$113:$I$113</definedName>
    <definedName name="tlOutputFBcbalEVT3Y1Choice1T1">feedback!$E$113</definedName>
    <definedName name="tlOutputFBcbalEVT3Y1Choice1T2">feedback!$F$113</definedName>
    <definedName name="tlOutputFBcbalEVT3Y1Choice1T3">feedback!$G$113</definedName>
    <definedName name="tlOutputFBcbalEVT3Y1Choice1ThreeTeam">feedback!$E$113:$G$113</definedName>
    <definedName name="tlOutputFBcbalEVT3Y1Choice2">feedback!$E$114:$I$114</definedName>
    <definedName name="tlOutputFBcbalEVT3Y1Choice2T1">feedback!$E$114</definedName>
    <definedName name="tlOutputFBcbalEVT3Y1Choice2T2">feedback!$F$114</definedName>
    <definedName name="tlOutputFBcbalEVT3Y1Choice2T3">feedback!$G$114</definedName>
    <definedName name="tlOutputFBcbalEVT3Y1Choice2ThreeTeam">feedback!$E$114:$G$114</definedName>
    <definedName name="tlOutputFBcbalEVT3Y1Choice3">feedback!$E$115:$I$115</definedName>
    <definedName name="tlOutputFBcbalEVT3Y1Choice3T1">feedback!$E$115</definedName>
    <definedName name="tlOutputFBcbalEVT3Y1Choice3T2">feedback!$F$115</definedName>
    <definedName name="tlOutputFBcbalEVT3Y1Choice3T3">feedback!$G$115</definedName>
    <definedName name="tlOutputFBcbalEVT3Y1Choice3ThreeTeam">feedback!$E$115:$G$115</definedName>
    <definedName name="tlOutputFBcbalEVT3Y2Choice1">feedback!$E$128:$I$128</definedName>
    <definedName name="tlOutputFBcbalEVT3Y2Choice1T1">feedback!$E$128</definedName>
    <definedName name="tlOutputFBcbalEVT3Y2Choice1T2">feedback!$F$128</definedName>
    <definedName name="tlOutputFBcbalEVT3Y2Choice1T3">feedback!$G$128</definedName>
    <definedName name="tlOutputFBcbalEVT3Y2Choice1ThreeTeam">feedback!$E$128:$G$128</definedName>
    <definedName name="tlOutputFBcbalEVT3Y2Choice2">feedback!$E$129:$I$129</definedName>
    <definedName name="tlOutputFBcbalEVT3Y2Choice2T1">feedback!$E$129</definedName>
    <definedName name="tlOutputFBcbalEVT3Y2Choice2T2">feedback!$F$129</definedName>
    <definedName name="tlOutputFBcbalEVT3Y2Choice2T3">feedback!$G$129</definedName>
    <definedName name="tlOutputFBcbalEVT3Y2Choice2ThreeTeam">feedback!$E$129:$G$129</definedName>
    <definedName name="tlOutputFBcbalEVT3Y2Choice3">feedback!$E$130:$I$130</definedName>
    <definedName name="tlOutputFBcbalEVT3Y2Choice3T1">feedback!$E$130</definedName>
    <definedName name="tlOutputFBcbalEVT3Y2Choice3T2">feedback!$F$130</definedName>
    <definedName name="tlOutputFBcbalEVT3Y2Choice3T3">feedback!$G$130</definedName>
    <definedName name="tlOutputFBcbalEVT3Y2Choice3ThreeTeam">feedback!$E$130:$G$130</definedName>
    <definedName name="tlOutputFBcbalEVT3Y3Choice1">feedback!$E$143:$I$143</definedName>
    <definedName name="tlOutputFBcbalEVT3Y3Choice1T1">feedback!$E$143</definedName>
    <definedName name="tlOutputFBcbalEVT3Y3Choice1T2">feedback!$F$143</definedName>
    <definedName name="tlOutputFBcbalEVT3Y3Choice1T3">feedback!$G$143</definedName>
    <definedName name="tlOutputFBcbalEVT3Y3Choice1ThreeTeam">feedback!$E$143:$G$143</definedName>
    <definedName name="tlOutputFBcbalEVT3Y3Choice2">feedback!$E$144:$I$144</definedName>
    <definedName name="tlOutputFBcbalEVT3Y3Choice2T1">feedback!$E$144</definedName>
    <definedName name="tlOutputFBcbalEVT3Y3Choice2T2">feedback!$F$144</definedName>
    <definedName name="tlOutputFBcbalEVT3Y3Choice2T3">feedback!$G$144</definedName>
    <definedName name="tlOutputFBcbalEVT3Y3Choice2ThreeTeam">feedback!$E$144:$G$144</definedName>
    <definedName name="tlOutputFBcbalEVT3Y3Choice3">feedback!$E$145:$I$145</definedName>
    <definedName name="tlOutputFBcbalEVT3Y3Choice3T1">feedback!$E$145</definedName>
    <definedName name="tlOutputFBcbalEVT3Y3Choice3T2">feedback!$F$145</definedName>
    <definedName name="tlOutputFBcbalEVT3Y3Choice3T3">feedback!$G$145</definedName>
    <definedName name="tlOutputFBcbalEVT3Y3Choice3ThreeTeam">feedback!$E$145:$G$145</definedName>
    <definedName name="tlOutputFBcbalOperatingMarginY0">feedback!$E$79:$I$79</definedName>
    <definedName name="tlOutputFBcbalOperatingMarginY0T1">feedback!$E$79</definedName>
    <definedName name="tlOutputFBcbalOperatingMarginY0T2">feedback!$F$79</definedName>
    <definedName name="tlOutputFBcbalOperatingMarginY0T3">feedback!$G$79</definedName>
    <definedName name="tlOutputFBcbalOperatingMarginY0ThreeTeam">feedback!$E$79:$G$79</definedName>
    <definedName name="tlOutputFBcbalOperatingMarginY1">feedback!$E$80:$I$80</definedName>
    <definedName name="tlOutputFBcbalOperatingMarginY1T1">feedback!$E$80</definedName>
    <definedName name="tlOutputFBcbalOperatingMarginY1T2">feedback!$F$80</definedName>
    <definedName name="tlOutputFBcbalOperatingMarginY1T3">feedback!$G$80</definedName>
    <definedName name="tlOutputFBcbalOperatingMarginY1ThreeTeam">feedback!$E$80:$G$80</definedName>
    <definedName name="tlOutputFBcbalOperatingMarginY2">feedback!$E$81:$I$81</definedName>
    <definedName name="tlOutputFBcbalOperatingMarginY2T1">feedback!$E$81</definedName>
    <definedName name="tlOutputFBcbalOperatingMarginY2T2">feedback!$F$81</definedName>
    <definedName name="tlOutputFBcbalOperatingMarginY2T3">feedback!$G$81</definedName>
    <definedName name="tlOutputFBcbalOperatingMarginY2ThreeTeam">feedback!$E$81:$G$81</definedName>
    <definedName name="tlOutputFBcbalOperatingMarginY3">feedback!$E$82:$I$82</definedName>
    <definedName name="tlOutputFBcbalOperatingMarginY3T1">feedback!$E$82</definedName>
    <definedName name="tlOutputFBcbalOperatingMarginY3T2">feedback!$F$82</definedName>
    <definedName name="tlOutputFBcbalOperatingMarginY3T3">feedback!$G$82</definedName>
    <definedName name="tlOutputFBcbalOperatingMarginY3ThreeTeam">feedback!$E$82:$G$82</definedName>
    <definedName name="tlOutputFBcbalTotalRevY0">feedback!$E$73:$I$73</definedName>
    <definedName name="tlOutputFBcbalTotalRevY0T1">feedback!$E$73</definedName>
    <definedName name="tlOutputFBcbalTotalRevY0T2">feedback!$F$73</definedName>
    <definedName name="tlOutputFBcbalTotalRevY0T3">feedback!$G$73</definedName>
    <definedName name="tlOutputFBcbalTotalRevY0ThreeTeam">feedback!$E$73:$G$73</definedName>
    <definedName name="tlOutputFBcbalTotalRevY1">feedback!$E$74:$I$74</definedName>
    <definedName name="tlOutputFBcbalTotalRevY1T1">feedback!$E$74</definedName>
    <definedName name="tlOutputFBcbalTotalRevY1T2">feedback!$F$74</definedName>
    <definedName name="tlOutputFBcbalTotalRevY1T3">feedback!$G$74</definedName>
    <definedName name="tlOutputFBcbalTotalRevY1ThreeTeam">feedback!$E$74:$G$74</definedName>
    <definedName name="tlOutputFBcbalTotalRevY2">feedback!$E$75:$I$75</definedName>
    <definedName name="tlOutputFBcbalTotalRevY2T1">feedback!$E$75</definedName>
    <definedName name="tlOutputFBcbalTotalRevY2T2">feedback!$F$75</definedName>
    <definedName name="tlOutputFBcbalTotalRevY2T3">feedback!$G$75</definedName>
    <definedName name="tlOutputFBcbalTotalRevY2ThreeTeam">feedback!$E$75:$G$75</definedName>
    <definedName name="tlOutputFBcbalTotalRevY3">feedback!$E$76:$I$76</definedName>
    <definedName name="tlOutputFBcbalTotalRevY3T1">feedback!$E$76</definedName>
    <definedName name="tlOutputFBcbalTotalRevY3T2">feedback!$F$76</definedName>
    <definedName name="tlOutputFBcbalTotalRevY3T3">feedback!$G$76</definedName>
    <definedName name="tlOutputFBcbalTotalRevY3ThreeTeam">feedback!$E$76:$G$76</definedName>
    <definedName name="tlOutputFBCSATDriver1">feedback!$E$39:$I$39</definedName>
    <definedName name="tlOutputFBCSATDriver10">feedback!$E$48:$I$48</definedName>
    <definedName name="tlOutputFBCSATDriver10T1">feedback!$E$48</definedName>
    <definedName name="tlOutputFBCSATDriver10T2">feedback!$F$48</definedName>
    <definedName name="tlOutputFBCSATDriver10T3">feedback!$G$48</definedName>
    <definedName name="tlOutputFBCSATDriver10ThreeTeam">feedback!$E$48:$G$48</definedName>
    <definedName name="tlOutputFBCSATDriver1T1">feedback!$E$39</definedName>
    <definedName name="tlOutputFBCSATDriver1T2">feedback!$F$39</definedName>
    <definedName name="tlOutputFBCSATDriver1T3">feedback!$G$39</definedName>
    <definedName name="tlOutputFBCSATDriver1ThreeTeam">feedback!$E$39:$G$39</definedName>
    <definedName name="tlOutputFBCSATDriver2">feedback!$E$40:$I$40</definedName>
    <definedName name="tlOutputFBCSATDriver2T1">feedback!$E$40</definedName>
    <definedName name="tlOutputFBCSATDriver2T2">feedback!$F$40</definedName>
    <definedName name="tlOutputFBCSATDriver2T3">feedback!$G$40</definedName>
    <definedName name="tlOutputFBCSATDriver2ThreeTeam">feedback!$E$40:$G$40</definedName>
    <definedName name="tlOutputFBCSATDriver3">feedback!$E$41:$I$41</definedName>
    <definedName name="tlOutputFBCSATDriver3T1">feedback!$E$41</definedName>
    <definedName name="tlOutputFBCSATDriver3T2">feedback!$F$41</definedName>
    <definedName name="tlOutputFBCSATDriver3T3">feedback!$G$41</definedName>
    <definedName name="tlOutputFBCSATDriver3ThreeTeam">feedback!$E$41:$G$41</definedName>
    <definedName name="tlOutputFBCSATDriver4">feedback!$E$42:$I$42</definedName>
    <definedName name="tlOutputFBCSATDriver4T1">feedback!$E$42</definedName>
    <definedName name="tlOutputFBCSATDriver4T2">feedback!$F$42</definedName>
    <definedName name="tlOutputFBCSATDriver4T3">feedback!$G$42</definedName>
    <definedName name="tlOutputFBCSATDriver4ThreeTeam">feedback!$E$42:$G$42</definedName>
    <definedName name="tlOutputFBCSATDriver5">feedback!$E$43:$I$43</definedName>
    <definedName name="tlOutputFBCSATDriver5T1">feedback!$E$43</definedName>
    <definedName name="tlOutputFBCSATDriver5T2">feedback!$F$43</definedName>
    <definedName name="tlOutputFBCSATDriver5T3">feedback!$G$43</definedName>
    <definedName name="tlOutputFBCSATDriver5ThreeTeam">feedback!$E$43:$G$43</definedName>
    <definedName name="tlOutputFBCSATDriver6">feedback!$E$44:$I$44</definedName>
    <definedName name="tlOutputFBCSATDriver6T1">feedback!$E$44</definedName>
    <definedName name="tlOutputFBCSATDriver6T2">feedback!$F$44</definedName>
    <definedName name="tlOutputFBCSATDriver6T3">feedback!$G$44</definedName>
    <definedName name="tlOutputFBCSATDriver6ThreeTeam">feedback!$E$44:$G$44</definedName>
    <definedName name="tlOutputFBCSATDriver7">feedback!$E$45:$I$45</definedName>
    <definedName name="tlOutputFBCSATDriver7T1">feedback!$E$45</definedName>
    <definedName name="tlOutputFBCSATDriver7T2">feedback!$F$45</definedName>
    <definedName name="tlOutputFBCSATDriver7T3">feedback!$G$45</definedName>
    <definedName name="tlOutputFBCSATDriver7ThreeTeam">feedback!$E$45:$G$45</definedName>
    <definedName name="tlOutputFBCSATDriver8">feedback!$E$46:$I$46</definedName>
    <definedName name="tlOutputFBCSATDriver8T1">feedback!$E$46</definedName>
    <definedName name="tlOutputFBCSATDriver8T2">feedback!$F$46</definedName>
    <definedName name="tlOutputFBCSATDriver8T3">feedback!$G$46</definedName>
    <definedName name="tlOutputFBCSATDriver8ThreeTeam">feedback!$E$46:$G$46</definedName>
    <definedName name="tlOutputFBCSATDriver9">feedback!$E$47:$I$47</definedName>
    <definedName name="tlOutputFBCSATDriver9T1">feedback!$E$47</definedName>
    <definedName name="tlOutputFBCSATDriver9T2">feedback!$F$47</definedName>
    <definedName name="tlOutputFBCSATDriver9T3">feedback!$G$47</definedName>
    <definedName name="tlOutputFBCSATDriver9ThreeTeam">feedback!$E$47:$G$47</definedName>
    <definedName name="tlOutputFBCSATDriverTeam1">feedback!$E$39:$E$48</definedName>
    <definedName name="tlOutputFBCSATDriverTeam2">feedback!$F$39:$F$48</definedName>
    <definedName name="tlOutputFBCSATDriverTeam3">feedback!$G$39:$G$48</definedName>
    <definedName name="tlOutputFBdecTeamName">feedback!$E$9:$I$9</definedName>
    <definedName name="tlOutputFBdecTeamNameT1">feedback!$E$9</definedName>
    <definedName name="tlOutputFBdecTeamNameT2">feedback!$F$9</definedName>
    <definedName name="tlOutputFBdecTeamNameT3">feedback!$G$9</definedName>
    <definedName name="tlOutputFBdecTeamNameThreeTeam">feedback!$E$9:$G$9</definedName>
    <definedName name="tlOutputFBESATDriver1">feedback!$E$52:$I$52</definedName>
    <definedName name="tlOutputFBESATDriver1T1">feedback!$E$52</definedName>
    <definedName name="tlOutputFBESATDriver1T2">feedback!$F$52</definedName>
    <definedName name="tlOutputFBESATDriver1T3">feedback!$G$52</definedName>
    <definedName name="tlOutputFBESATDriver1ThreeTeam">feedback!$E$52:$G$52</definedName>
    <definedName name="tlOutputFBESATDriver2">feedback!$E$53:$I$53</definedName>
    <definedName name="tlOutputFBESATDriver2T1">feedback!$E$53</definedName>
    <definedName name="tlOutputFBESATDriver2T2">feedback!$F$53</definedName>
    <definedName name="tlOutputFBESATDriver2T3">feedback!$G$53</definedName>
    <definedName name="tlOutputFBESATDriver2ThreeTeam">feedback!$E$53:$G$53</definedName>
    <definedName name="tlOutputFBESATDriver3">feedback!$E$54:$I$54</definedName>
    <definedName name="tlOutputFBESATDriver3T1">feedback!$E$54</definedName>
    <definedName name="tlOutputFBESATDriver3T2">feedback!$F$54</definedName>
    <definedName name="tlOutputFBESATDriver3T3">feedback!$G$54</definedName>
    <definedName name="tlOutputFBESATDriver3ThreeTeam">feedback!$E$54:$G$54</definedName>
    <definedName name="tlOutputFBESATDriver4">feedback!$E$55:$I$55</definedName>
    <definedName name="tlOutputFBESATDriver4T1">feedback!$E$55</definedName>
    <definedName name="tlOutputFBESATDriver4T2">feedback!$F$55</definedName>
    <definedName name="tlOutputFBESATDriver4T3">feedback!$G$55</definedName>
    <definedName name="tlOutputFBESATDriver4ThreeTeam">feedback!$E$55:$G$55</definedName>
    <definedName name="tlOutputFBESATDriver5">feedback!$E$56:$I$56</definedName>
    <definedName name="tlOutputFBESATDriver5T1">feedback!$E$56</definedName>
    <definedName name="tlOutputFBESATDriver5T2">feedback!$F$56</definedName>
    <definedName name="tlOutputFBESATDriver5T3">feedback!$G$56</definedName>
    <definedName name="tlOutputFBESATDriver5ThreeTeam">feedback!$E$56:$G$56</definedName>
    <definedName name="tlOutputFBESATDriver6">feedback!$E$57:$I$57</definedName>
    <definedName name="tlOutputFBESATDriver6T1">feedback!$E$57</definedName>
    <definedName name="tlOutputFBESATDriver6T2">feedback!$F$57</definedName>
    <definedName name="tlOutputFBESATDriver6T3">feedback!$G$57</definedName>
    <definedName name="tlOutputFBESATDriver6ThreeTeam">feedback!$E$57:$G$57</definedName>
    <definedName name="tlOutputFBESATDriverTeam1">feedback!$E$52:$E$57</definedName>
    <definedName name="tlOutputFBESATDriverTeam2">feedback!$F$52:$F$57</definedName>
    <definedName name="tlOutputFBESATDriverTeam3">feedback!$G$52:$G$57</definedName>
    <definedName name="tlOutputFBfinCAGR">feedback!$E$13:$I$13</definedName>
    <definedName name="tlOutputFBfinCAGRT1">feedback!$E$13</definedName>
    <definedName name="tlOutputFBfinCAGRT2">feedback!$F$13</definedName>
    <definedName name="tlOutputFBfinCAGRT3">feedback!$G$13</definedName>
    <definedName name="tlOutputFBfinCAGRThreeTeam">feedback!$E$13:$G$13</definedName>
    <definedName name="tlOutputFBfinCashOI">feedback!$E$32:$I$32</definedName>
    <definedName name="tlOutputFBfinCashOIMargin">feedback!$E$33:$I$33</definedName>
    <definedName name="tlOutputFBfinCashOIMarginT1">feedback!$E$33</definedName>
    <definedName name="tlOutputFBfinCashOIMarginT2">feedback!$F$33</definedName>
    <definedName name="tlOutputFBfinCashOIMarginT3">feedback!$G$33</definedName>
    <definedName name="tlOutputFBfinCashOIMarginThreeTeam">feedback!$E$33:$G$33</definedName>
    <definedName name="tlOutputFBfinCashOIT1">feedback!$E$32</definedName>
    <definedName name="tlOutputFBfinCashOIT2">feedback!$F$32</definedName>
    <definedName name="tlOutputFBfinCashOIT3">feedback!$G$32</definedName>
    <definedName name="tlOutputFBfinCashOIThreeTeam">feedback!$E$32:$G$32</definedName>
    <definedName name="tlOutputFBfinGGORev">feedback!$E$12:$I$12</definedName>
    <definedName name="tlOutputFBfinGGORevT1">feedback!$E$12</definedName>
    <definedName name="tlOutputFBfinGGORevT2">feedback!$F$12</definedName>
    <definedName name="tlOutputFBfinGGORevT3">feedback!$G$12</definedName>
    <definedName name="tlOutputFBfinGGORevThreeTeam">feedback!$E$12:$G$12</definedName>
    <definedName name="tlOutputFBfinPNLAdminInfraExp">feedback!$E$25:$I$25</definedName>
    <definedName name="tlOutputFBfinPNLAdminInfraExpT1">feedback!$E$25</definedName>
    <definedName name="tlOutputFBfinPNLAdminInfraExpT2">feedback!$F$25</definedName>
    <definedName name="tlOutputFBfinPNLAdminInfraExpT3">feedback!$G$25</definedName>
    <definedName name="tlOutputFBfinPNLAdminInfraExpThreeTeam">feedback!$E$25:$G$25</definedName>
    <definedName name="tlOutputFBfinPNLDeprAmortExp">feedback!$E$27:$I$27</definedName>
    <definedName name="tlOutputFBfinPNLDeprAmortExpT1">feedback!$E$27</definedName>
    <definedName name="tlOutputFBfinPNLDeprAmortExpT2">feedback!$F$27</definedName>
    <definedName name="tlOutputFBfinPNLDeprAmortExpT3">feedback!$G$27</definedName>
    <definedName name="tlOutputFBfinPNLDeprAmortExpThreeTeam">feedback!$E$27:$G$27</definedName>
    <definedName name="tlOutputFBfinPNLEmpExp">feedback!$E$22:$I$22</definedName>
    <definedName name="tlOutputFBfinPNLEmpExpT1">feedback!$E$22</definedName>
    <definedName name="tlOutputFBfinPNLEmpExpT2">feedback!$F$22</definedName>
    <definedName name="tlOutputFBfinPNLEmpExpT3">feedback!$G$22</definedName>
    <definedName name="tlOutputFBfinPNLEmpExpThreeTeam">feedback!$E$22:$G$22</definedName>
    <definedName name="tlOutputFBfinPNLExistSubRev">feedback!$E$17:$I$17</definedName>
    <definedName name="tlOutputFBfinPNLExistSubRevT1">feedback!$E$17</definedName>
    <definedName name="tlOutputFBfinPNLExistSubRevT2">feedback!$F$17</definedName>
    <definedName name="tlOutputFBfinPNLExistSubRevT3">feedback!$G$17</definedName>
    <definedName name="tlOutputFBfinPNLExistSubRevThreeTeam">feedback!$E$17:$G$17</definedName>
    <definedName name="tlOutputFBfinPNLOperatingIncome">feedback!$E$28:$I$28</definedName>
    <definedName name="tlOutputFBfinPNLOperatingIncomeT1">feedback!$E$28</definedName>
    <definedName name="tlOutputFBfinPNLOperatingIncomeT2">feedback!$F$28</definedName>
    <definedName name="tlOutputFBfinPNLOperatingIncomeT3">feedback!$G$28</definedName>
    <definedName name="tlOutputFBfinPNLOperatingIncomeThreeTeam">feedback!$E$28:$G$28</definedName>
    <definedName name="tlOutputFBfinPNLOperatingMargin">feedback!$E$29:$I$29</definedName>
    <definedName name="tlOutputFBfinPNLOperatingMarginT1">feedback!$E$29</definedName>
    <definedName name="tlOutputFBfinPNLOperatingMarginT2">feedback!$F$29</definedName>
    <definedName name="tlOutputFBfinPNLOperatingMarginT3">feedback!$G$29</definedName>
    <definedName name="tlOutputFBfinPNLOperatingMarginThreeTeam">feedback!$E$29:$G$29</definedName>
    <definedName name="tlOutputFBfinPNLOtherOpExp">feedback!$E$26:$I$26</definedName>
    <definedName name="tlOutputFBfinPNLOtherOpExpT1">feedback!$E$26</definedName>
    <definedName name="tlOutputFBfinPNLOtherOpExpT2">feedback!$F$26</definedName>
    <definedName name="tlOutputFBfinPNLOtherOpExpT3">feedback!$G$26</definedName>
    <definedName name="tlOutputFBfinPNLOtherOpExpThreeTeam">feedback!$E$26:$G$26</definedName>
    <definedName name="tlOutputFBfinPNLProd1Rev">feedback!$E$10:$I$10</definedName>
    <definedName name="tlOutputFBfinPNLProd1RevT1">feedback!$E$10</definedName>
    <definedName name="tlOutputFBfinPNLProd1RevT2">feedback!$F$10</definedName>
    <definedName name="tlOutputFBfinPNLProd1RevT3">feedback!$G$10</definedName>
    <definedName name="tlOutputFBfinPNLProd1RevThreeTeam">feedback!$E$10:$G$10</definedName>
    <definedName name="tlOutputFBfinPNLProd2Rev">feedback!$E$11:$I$11</definedName>
    <definedName name="tlOutputFBfinPNLProd2RevT1">feedback!$E$11</definedName>
    <definedName name="tlOutputFBfinPNLProd2RevT2">feedback!$F$11</definedName>
    <definedName name="tlOutputFBfinPNLProd2RevT3">feedback!$G$11</definedName>
    <definedName name="tlOutputFBfinPNLProd2RevThreeTeam">feedback!$E$11:$G$11</definedName>
    <definedName name="tlOutputFBfinPNLProdDevExp">feedback!$E$24:$I$24</definedName>
    <definedName name="tlOutputFBfinPNLProdDevExpT1">feedback!$E$24</definedName>
    <definedName name="tlOutputFBfinPNLProdDevExpT2">feedback!$F$24</definedName>
    <definedName name="tlOutputFBfinPNLProdDevExpT3">feedback!$G$24</definedName>
    <definedName name="tlOutputFBfinPNLProdDevExpThreeTeam">feedback!$E$24:$G$24</definedName>
    <definedName name="tlOutputFBfinPNLRevExp">feedback!$E$23:$I$23</definedName>
    <definedName name="tlOutputFBfinPNLRevExpT1">feedback!$E$23</definedName>
    <definedName name="tlOutputFBfinPNLRevExpT2">feedback!$F$23</definedName>
    <definedName name="tlOutputFBfinPNLRevExpT3">feedback!$G$23</definedName>
    <definedName name="tlOutputFBfinPNLRevExpThreeTeam">feedback!$E$23:$G$23</definedName>
    <definedName name="tlOutputFBfinPNLRevNew">feedback!$E$16:$I$16</definedName>
    <definedName name="tlOutputFBfinPNLRevNewT1">feedback!$E$16</definedName>
    <definedName name="tlOutputFBfinPNLRevNewT2">feedback!$F$16</definedName>
    <definedName name="tlOutputFBfinPNLRevNewT3">feedback!$G$16</definedName>
    <definedName name="tlOutputFBfinPNLRevNewThreeTeam">feedback!$E$16:$G$16</definedName>
    <definedName name="tlOutputFBNewVsRecurringTeam1">feedback!$E$16:$E$17</definedName>
    <definedName name="tlOutputFBNewVsRecurringTeam2">feedback!$F$16:$F$17</definedName>
    <definedName name="tlOutputFBNewVsRecurringTeam3">feedback!$G$16:$G$17</definedName>
    <definedName name="tlOutputFBOperProfitTeam1">feedback!$E$22:$E$28</definedName>
    <definedName name="tlOutputFBOperProfitTeam2">feedback!$F$22:$F$28</definedName>
    <definedName name="tlOutputFBOperProfitTeam3">feedback!$G$22:$G$28</definedName>
    <definedName name="tlOutputFBOverallRevenueTeam1">feedback!$E$10:$E$12</definedName>
    <definedName name="tlOutputFBOverallRevenueTeam2">feedback!$F$10:$F$12</definedName>
    <definedName name="tlOutputFBOverallRevenueTeam3">feedback!$G$10:$G$12</definedName>
    <definedName name="tlOutputFBProd2VOCDriver1">feedback!$E$63:$I$63</definedName>
    <definedName name="tlOutputFBProd2VOCDriver1T1">feedback!$E$63</definedName>
    <definedName name="tlOutputFBProd2VOCDriver1T2">feedback!$F$63</definedName>
    <definedName name="tlOutputFBProd2VOCDriver1T3">feedback!$G$63</definedName>
    <definedName name="tlOutputFBProd2VOCDriver1ThreeTeam">feedback!$E$63:$G$63</definedName>
    <definedName name="tlOutputFBProd2VOCDriver2">feedback!$E$64:$I$64</definedName>
    <definedName name="tlOutputFBProd2VOCDriver2T1">feedback!$E$64</definedName>
    <definedName name="tlOutputFBProd2VOCDriver2T2">feedback!$F$64</definedName>
    <definedName name="tlOutputFBProd2VOCDriver2T3">feedback!$G$64</definedName>
    <definedName name="tlOutputFBProd2VOCDriver2ThreeTeam">feedback!$E$64:$G$64</definedName>
    <definedName name="tlOutputFBProd2VOCDriver3">feedback!$E$65:$I$65</definedName>
    <definedName name="tlOutputFBProd2VOCDriver3T1">feedback!$E$65</definedName>
    <definedName name="tlOutputFBProd2VOCDriver3T2">feedback!$F$65</definedName>
    <definedName name="tlOutputFBProd2VOCDriver3T3">feedback!$G$65</definedName>
    <definedName name="tlOutputFBProd2VOCDriver3ThreeTeam">feedback!$E$65:$G$65</definedName>
    <definedName name="tlOutputFBProd2VOCDriver4">feedback!$E$66:$I$66</definedName>
    <definedName name="tlOutputFBProd2VOCDriver4T1">feedback!$E$66</definedName>
    <definedName name="tlOutputFBProd2VOCDriver4T2">feedback!$F$66</definedName>
    <definedName name="tlOutputFBProd2VOCDriver4T3">feedback!$G$66</definedName>
    <definedName name="tlOutputFBProd2VOCDriver4ThreeTeam">feedback!$E$66:$G$66</definedName>
    <definedName name="tlOutputFBProd2VOCDriver5">feedback!$E$67:$I$67</definedName>
    <definedName name="tlOutputFBProd2VOCDriver5T1">feedback!$E$67</definedName>
    <definedName name="tlOutputFBProd2VOCDriver5T2">feedback!$F$67</definedName>
    <definedName name="tlOutputFBProd2VOCDriver5T3">feedback!$G$67</definedName>
    <definedName name="tlOutputFBProd2VOCDriver5ThreeTeam">feedback!$E$67:$G$67</definedName>
    <definedName name="tlOutputFBProd2VOCDriver6">feedback!$E$68:$I$68</definedName>
    <definedName name="tlOutputFBProd2VOCDriver6T1">feedback!$E$68</definedName>
    <definedName name="tlOutputFBProd2VOCDriver6T2">feedback!$F$68</definedName>
    <definedName name="tlOutputFBProd2VOCDriver6T3">feedback!$G$68</definedName>
    <definedName name="tlOutputFBProd2VOCDriver6ThreeTeam">feedback!$E$68:$G$68</definedName>
    <definedName name="tlOutputfinPNLOperatingIncome">fin!$E$147</definedName>
    <definedName name="tlOutputfinPNLRev">fin!$E$109</definedName>
    <definedName name="tlOutputFreeCashFlow">toolCashFlow!$J$25</definedName>
    <definedName name="tlOutputGraphComp1finPNLDeprAmortExp">DataPage!$C$520</definedName>
    <definedName name="tlOutputGraphComp1finPNLDeprAmortExpT">DataPage!$D$524</definedName>
    <definedName name="tlOutputGraphComp1finPNLExistSubRev">DataPage!$C$528</definedName>
    <definedName name="tlOutputGraphComp1finPNLExistSubRevT">DataPage!$C$532</definedName>
    <definedName name="tlOutputGraphComp1finPNLNewSubRev_finPNLServiceRev">DataPage!$C$529</definedName>
    <definedName name="tlOutputGraphComp1finPNLNewSubRev_finPNLServiceRevT">DataPage!$D$532</definedName>
    <definedName name="tlOutputGraphComp1finPNLOperatingExp">DataPage!$C$519</definedName>
    <definedName name="tlOutputGraphComp1finPNLOperatingExpT">DataPage!$C$524</definedName>
    <definedName name="tlOutputGraphComp1finPNLOperatingIncome">DataPage!$C$521</definedName>
    <definedName name="tlOutputGraphComp1finPNLOperatingIncomeT">DataPage!$E$524</definedName>
    <definedName name="tlOutputGraphComp1obalPNLDeprAmortExp">DataPage!$D$520</definedName>
    <definedName name="tlOutputGraphComp1obalPNLDeprAmortExpT">DataPage!$D$525</definedName>
    <definedName name="tlOutputGraphComp1obalPNLOperatingExp">DataPage!$D$519</definedName>
    <definedName name="tlOutputGraphComp1obalPNLOperatingExpT">DataPage!$C$525</definedName>
    <definedName name="tlOutputGraphComp1obalPNLOperatingIncome">DataPage!$D$521</definedName>
    <definedName name="tlOutputGraphComp1obalPNLOperatingIncomeT">DataPage!$E$525</definedName>
    <definedName name="tlOutputGraphComp2finPNLDeprAmortExp">DataPage!$C$536</definedName>
    <definedName name="tlOutputGraphComp2finPNLDeprAmortExpT">DataPage!$D$540</definedName>
    <definedName name="tlOutputGraphComp2finPNLExistSubRev">DataPage!$C$544</definedName>
    <definedName name="tlOutputGraphComp2finPNLExistSubRevT">DataPage!$C$548</definedName>
    <definedName name="tlOutputGraphComp2finPNLNewSubRev_finPNLServiceRev">DataPage!$C$545</definedName>
    <definedName name="tlOutputGraphComp2finPNLNewSubRev_finPNLServiceRevT">DataPage!$D$548</definedName>
    <definedName name="tlOutputGraphComp2finPNLOperatingExp">DataPage!$C$535</definedName>
    <definedName name="tlOutputGraphComp2finPNLOperatingExpT">DataPage!$C$540</definedName>
    <definedName name="tlOutputGraphComp2finPNLOperatingIncome">DataPage!$C$537</definedName>
    <definedName name="tlOutputGraphComp2finPNLOperatingIncomeT">DataPage!$E$540</definedName>
    <definedName name="tlOutputGraphComp2obalPNLDeprAmortExp">DataPage!$D$536</definedName>
    <definedName name="tlOutputGraphComp2obalPNLDeprAmortExpT">DataPage!$D$541</definedName>
    <definedName name="tlOutputGraphComp2obalPNLOperatingExp">DataPage!$D$535</definedName>
    <definedName name="tlOutputGraphComp2obalPNLOperatingExpT">DataPage!$C$541</definedName>
    <definedName name="tlOutputGraphComp2obalPNLOperatingIncome">DataPage!$D$537</definedName>
    <definedName name="tlOutputGraphComp2obalPNLOperatingIncomeT">DataPage!$E$541</definedName>
    <definedName name="tlOutputGraphFPfinPNLProd1DeprAmortExp">DataPage!$C$552</definedName>
    <definedName name="tlOutputGraphFPfinPNLProd1DeprAmortExpT">DataPage!$D$556</definedName>
    <definedName name="tlOutputGraphFPfinPNLProd1OperatingExp">DataPage!$C$551</definedName>
    <definedName name="tlOutputGraphFPfinPNLProd1OperatingExpT">DataPage!$C$556</definedName>
    <definedName name="tlOutputGraphFPfinPNLProd1OperatingIncome">DataPage!$C$553</definedName>
    <definedName name="tlOutputGraphFPfinPNLProd1OperatingIncomeT">DataPage!$E$556</definedName>
    <definedName name="tlOutputGraphFPfinPNLProd2DeprAmortExp">DataPage!$C$561</definedName>
    <definedName name="tlOutputGraphFPfinPNLProd2DeprAmortExpT">DataPage!$D$565</definedName>
    <definedName name="tlOutputGraphFPfinPNLProd2OperatingExp">DataPage!$C$560</definedName>
    <definedName name="tlOutputGraphFPfinPNLProd2OperatingExpT">DataPage!$C$565</definedName>
    <definedName name="tlOutputGraphFPfinPNLProd2OperatingIncome">DataPage!$C$562</definedName>
    <definedName name="tlOutputGraphFPfinPNLProd2OperatingIncomeT">DataPage!$E$565</definedName>
    <definedName name="tlOutputGraphFPobalPNLProd1DeprAmortExp">DataPage!$D$552</definedName>
    <definedName name="tlOutputGraphFPobalPNLProd1DeprAmortExpT">DataPage!$D$557</definedName>
    <definedName name="tlOutputGraphFPobalPNLProd1OperatingExp">DataPage!$D$551</definedName>
    <definedName name="tlOutputGraphFPobalPNLProd1OperatingExpT">DataPage!$C$557</definedName>
    <definedName name="tlOutputGraphFPobalPNLProd1OperatingIncome">DataPage!$D$553</definedName>
    <definedName name="tlOutputGraphFPobalPNLProd1OperatingIncomeT">DataPage!$E$557</definedName>
    <definedName name="tlOutputGraphFPobalPNLProd2DeprAmortExp">DataPage!$D$561</definedName>
    <definedName name="tlOutputGraphFPobalPNLProd2DeprAmortExpT">DataPage!$D$566</definedName>
    <definedName name="tlOutputGraphFPobalPNLProd2OperatingExp">DataPage!$D$560</definedName>
    <definedName name="tlOutputGraphFPobalPNLProd2OperatingExpT">DataPage!$C$566</definedName>
    <definedName name="tlOutputGraphFPobalPNLProd2OperatingIncome">DataPage!$D$562</definedName>
    <definedName name="tlOutputGraphFPobalPNLProd2OperatingIncomeT">DataPage!$E$566</definedName>
    <definedName name="tlOutputGraphFPobalProd1Emp1Req">DataPage!$D$576</definedName>
    <definedName name="tlOutputGraphFPobalProd1Emp1ReqT">DataPage!$C$583</definedName>
    <definedName name="tlOutputGraphFPobalProd1TTMConFTEs">DataPage!$D$577</definedName>
    <definedName name="tlOutputGraphFPobalProd1TTMConFTEsT">DataPage!$D$583</definedName>
    <definedName name="tlOutputGraphFPobalProd2Emp1Req">DataPage!$D$578</definedName>
    <definedName name="tlOutputGraphFPobalProd2Emp1ReqT">DataPage!$E$583</definedName>
    <definedName name="tlOutputGraphFPobalProd2TTMConFTEs">DataPage!$D$579</definedName>
    <definedName name="tlOutputGraphFPobalProd2TTMConFTEsT">DataPage!$F$583</definedName>
    <definedName name="tlOutputGraphFPobalSalesExistingPerc">DataPage!$D$619</definedName>
    <definedName name="tlOutputGraphFPobalSalesExistingPercT">DataPage!$D$624</definedName>
    <definedName name="tlOutputGraphFPobalSalesNewPerc">DataPage!$D$618</definedName>
    <definedName name="tlOutputGraphFPobalSalesNewPercT">DataPage!$C$624</definedName>
    <definedName name="tlOutputGraphFPSalesAdminPerc">DataPage!$D$620</definedName>
    <definedName name="tlOutputGraphFPSalesAdminPercT">DataPage!$E$624</definedName>
    <definedName name="tlOutputGraphMktRepProd1Yr1">DataPage!$H$519</definedName>
    <definedName name="tlOutputGraphMktRepProd1Yr1T">DataPage!$H$523</definedName>
    <definedName name="tlOutputGraphMktRepProd1Yr2">DataPage!$H$527</definedName>
    <definedName name="tlOutputGraphMktRepProd1Yr2T">DataPage!$H$532</definedName>
    <definedName name="tlOutputGraphMktRepProd1Yr3">DataPage!$H$535</definedName>
    <definedName name="tlOutputGraphMktRepProd1Yr3T">DataPage!$H$540</definedName>
    <definedName name="tlOutputGraphMktRepProd2Yr1">DataPage!$H$520</definedName>
    <definedName name="tlOutputGraphMktRepProd2Yr1T">DataPage!$I$523</definedName>
    <definedName name="tlOutputGraphMktRepProd2Yr2">DataPage!$H$528</definedName>
    <definedName name="tlOutputGraphMktRepProd2Yr2T">DataPage!$I$532</definedName>
    <definedName name="tlOutputGraphMktRepProd2Yr3">DataPage!$H$536</definedName>
    <definedName name="tlOutputGraphMktRepProd2Yr3T">DataPage!$I$540</definedName>
    <definedName name="tlOutputGraphMktRepYr1">DataPage!$H$519:$H$520</definedName>
    <definedName name="tlOutputGraphMktRepYr2">DataPage!$H$527:$H$528</definedName>
    <definedName name="tlOutputGraphMktRepYr3">DataPage!$H$535:$H$536</definedName>
    <definedName name="tlOutputGraphOpscapPlant1NonUtiliz">DataPage!$C$628</definedName>
    <definedName name="tlOutputGraphOpscapPlant1NonUtilizT">DataPage!$D$631</definedName>
    <definedName name="tlOutputGraphOpscapPlant1Utiliz">DataPage!$C$627</definedName>
    <definedName name="tlOutputGraphOpscapPlant1UtilizT">DataPage!$C$631</definedName>
    <definedName name="tlOutputGraphOpsfinPNLAdminInfraExp">DataPage!$C$637</definedName>
    <definedName name="tlOutputGraphOpsfinPNLAdminInfraExpT">DataPage!$F$641</definedName>
    <definedName name="tlOutputGraphOpsfinPNLEmpExp">DataPage!$C$634</definedName>
    <definedName name="tlOutputGraphOpsfinPNLEmpExpT">DataPage!$C$641</definedName>
    <definedName name="tlOutputGraphOpsfinPNLOtherOpExp">DataPage!$C$638</definedName>
    <definedName name="tlOutputGraphOpsfinPNLOtherOpExpT">DataPage!$G$641</definedName>
    <definedName name="tlOutputGraphOpsfinPNLProdDevExp">DataPage!$C$636</definedName>
    <definedName name="tlOutputGraphOpsfinPNLProdDevExpT">DataPage!$E$641</definedName>
    <definedName name="tlOutputGraphOpsfinPNLRevExp">DataPage!$C$635</definedName>
    <definedName name="tlOutputGraphOpsfinPNLRevExpT">DataPage!$D$641</definedName>
    <definedName name="tlOutputGraphOpsobalPNLAdminInfraExp">DataPage!$D$637</definedName>
    <definedName name="tlOutputGraphOpsobalPNLAdminInfraExpT">DataPage!$F$642</definedName>
    <definedName name="tlOutputGraphOpsobalPNLEmpExp">DataPage!$D$634</definedName>
    <definedName name="tlOutputGraphOpsobalPNLEmpExpT">DataPage!$C$642</definedName>
    <definedName name="tlOutputGraphOpsobalPNLOtherOpExp">DataPage!$D$638</definedName>
    <definedName name="tlOutputGraphOpsobalPNLOtherOpExpT">DataPage!$G$642</definedName>
    <definedName name="tlOutputGraphOpsobalPNLProdDevExp">DataPage!$D$636</definedName>
    <definedName name="tlOutputGraphOpsobalPNLProdDevExpT">DataPage!$E$642</definedName>
    <definedName name="tlOutputGraphOpsobalPNLRevExp">DataPage!$D$635</definedName>
    <definedName name="tlOutputGraphOpsobalPNLRevExpT">DataPage!$D$642</definedName>
    <definedName name="tlOutputGraphPeoplecapContentEmp1Req">DataPage!$C$609</definedName>
    <definedName name="tlOutputGraphPeoplecapContentEmp1ReqT">DataPage!$E$615</definedName>
    <definedName name="tlOutputGraphPeoplecapInitsEmp1Req">DataPage!$C$611</definedName>
    <definedName name="tlOutputGraphPeoplecapInitsEmp1ReqT">DataPage!$G$615</definedName>
    <definedName name="tlOutputGraphPeoplecapProd1Emp1Req">DataPage!$C$607</definedName>
    <definedName name="tlOutputGraphPeoplecapProd1Emp1ReqT">DataPage!$C$615</definedName>
    <definedName name="tlOutputGraphPeoplecapProd2Emp1Req">DataPage!$C$608</definedName>
    <definedName name="tlOutputGraphPeoplecapProd2Emp1ReqT">DataPage!$D$615</definedName>
    <definedName name="tlOutputGraphPeoplecapUnderAllocateEmp1Req">DataPage!$C$612</definedName>
    <definedName name="tlOutputGraphPeoplecapUnderAllocateEmp1ReqT">DataPage!$H$615</definedName>
    <definedName name="tlOutputGraphPeopledecSalesAdminPerc">DataPage!$C$620</definedName>
    <definedName name="tlOutputGraphPeopledecSalesAdminPercT">DataPage!$E$623</definedName>
    <definedName name="tlOutputGraphPeopledecSalesExistingPerc">DataPage!$C$619</definedName>
    <definedName name="tlOutputGraphPeopledecSalesExistingPercT">DataPage!$D$623</definedName>
    <definedName name="tlOutputGraphPeopledecSalesNewPerc">DataPage!$C$618</definedName>
    <definedName name="tlOutputGraphPeopledecSalesNewPercT">DataPage!$C$623</definedName>
    <definedName name="tlOutputGraphPeopleOperationsEmp1Req">DataPage!$C$610</definedName>
    <definedName name="tlOutputGraphPeopleOperationsEmp1ReqT">DataPage!$F$615</definedName>
    <definedName name="tlOutputGraphRDcapContentEmp1Req">DataPage!$C$593</definedName>
    <definedName name="tlOutputGraphRDcapContentEmp1ReqT">DataPage!$C$597</definedName>
    <definedName name="tlOutputGraphRDcapProd1Emp1Req">DataPage!$C$576</definedName>
    <definedName name="tlOutputGraphRDcapProd1Emp1ReqT">DataPage!$C$582</definedName>
    <definedName name="tlOutputGraphRDcapProd1TTM">DataPage!$C$570</definedName>
    <definedName name="tlOutputGraphRDcapProd1TTMT">DataPage!$D$573</definedName>
    <definedName name="tlOutputGraphRDcapProd2Emp1Req">DataPage!$C$578</definedName>
    <definedName name="tlOutputGraphRDcapProd2Emp1ReqT">DataPage!$E$582</definedName>
    <definedName name="tlOutputGraphRDcapProd2TTM">DataPage!$C$569</definedName>
    <definedName name="tlOutputGraphRDcapProd2TTMT">DataPage!$C$573</definedName>
    <definedName name="tlOutputGraphRDcbalContentLvl">DataPage!$C$587</definedName>
    <definedName name="tlOutputGraphRDcbalContentLvlT">DataPage!$D$590</definedName>
    <definedName name="tlOutputGraphRDdecProd1TTMConFTEs">DataPage!$C$577</definedName>
    <definedName name="tlOutputGraphRDdecProd1TTMConFTEsT">DataPage!$D$582</definedName>
    <definedName name="tlOutputGraphRDdecProd2TTMConFTEs">DataPage!$C$579</definedName>
    <definedName name="tlOutputGraphRDdecProd2TTMConFTEsT">DataPage!$F$582</definedName>
    <definedName name="tlOutputGraphRDfinPNLRoyalityExp">DataPage!$C$601</definedName>
    <definedName name="tlOutputGraphRDfinPNLRoyalityExpT">DataPage!$D$604</definedName>
    <definedName name="tlOutputGraphRDobalContentLvlIndAvg">DataPage!$C$586</definedName>
    <definedName name="tlOutputGraphRDobalContentLvlIndAvgT">DataPage!$C$590</definedName>
    <definedName name="tlOutputGraphRDobalPNLRoyality">DataPage!$C$600</definedName>
    <definedName name="tlOutputGraphRDobalPNLRoyalityT">DataPage!$C$604</definedName>
    <definedName name="tlOutputGraphRDobalProd5Ftr1Emp1Req">DataPage!$C$594</definedName>
    <definedName name="tlOutputGraphRDobalProd5Ftr1Emp1ReqT">DataPage!$D$597</definedName>
    <definedName name="tlOutputInvestReqInit">toolPrograms!$J$60</definedName>
    <definedName name="tlOutputISSummaryChartLastYear">DataPage!$D$551:$D$553</definedName>
    <definedName name="tlOutputISSummaryChartThisYear">DataPage!$C$551:$C$553</definedName>
    <definedName name="tlOutputMarketing">webToolOutputs!$E$4</definedName>
    <definedName name="tlOutputMarketReportChartProd1">DataPage!$E$272:$H$272</definedName>
    <definedName name="tlOutputMarketReportChartProd2">DataPage!$E$273:$H$273</definedName>
    <definedName name="tlOutputMarketReportChartYear0">DataPage!$E$275:$E$276</definedName>
    <definedName name="tlOutputMarketReportChartYear1">DataPage!$F$275:$F$276</definedName>
    <definedName name="tlOutputMarketReportChartYear2">DataPage!$G$275:$G$276</definedName>
    <definedName name="tlOutputMarketReportChartYear3">DataPage!$H$275:$H$276</definedName>
    <definedName name="tlOutputMarketReportChartYear4">DataPage!$I$275:$I$276</definedName>
    <definedName name="tlOutputMarketReportChartYear5">DataPage!$J$275:$J$276</definedName>
    <definedName name="tlOutputMarketReportChartYearMinus1">DataPage!$D$275:$D$276</definedName>
    <definedName name="tlOutputMarketReportChartYearMinus2">DataPage!$C$275:$C$276</definedName>
    <definedName name="tlOutputMaxcbalPNLRevCAGR">webToolOutputs!$E$63</definedName>
    <definedName name="tlOutputMaxfinPNLRev">webToolOutputs!$E$62</definedName>
    <definedName name="tlOutputMaxTeams">Controls!$F$7</definedName>
    <definedName name="tlOutputmmProd1Driver1">mmProd1!$E$33</definedName>
    <definedName name="tlOutputmmProd1Driver10">mmProd1!$E$69</definedName>
    <definedName name="tlOutputmmProd1Driver2">mmProd1!$E$37</definedName>
    <definedName name="tlOutputmmProd1Driver3">mmProd1!$E$41</definedName>
    <definedName name="tlOutputmmProd1Driver4">mmProd1!$E$45</definedName>
    <definedName name="tlOutputmmProd1Driver5">mmProd1!$E$49</definedName>
    <definedName name="tlOutputmmProd1Driver6">mmProd1!$E$53</definedName>
    <definedName name="tlOutputmmProd1Driver7">mmProd1!$E$57</definedName>
    <definedName name="tlOutputmmProd1Driver8">mmProd1!$E$61</definedName>
    <definedName name="tlOutputmmProd1Driver9">mmProd1!$E$65</definedName>
    <definedName name="tlOutputmmProd1MarketShare">mmProd1!$E$142</definedName>
    <definedName name="tlOutputmmProd1ShareCopy1">mmProd1!$E$117</definedName>
    <definedName name="tlOutputmmProd1ShareCopy2">mmProd1!$F$117</definedName>
    <definedName name="tlOutputmmProd1ShareCopy3">mmProd1!$G$117</definedName>
    <definedName name="tlOutputmmProd1ShareCopyUnits">mmProd1!$H$117</definedName>
    <definedName name="tlOutputmmProd1TotalUnits">mmProd1!$E$141</definedName>
    <definedName name="tlOutputmmProd1UnitsAvail">mmProd1!$E$131</definedName>
    <definedName name="tlOutputmmProd1VolumePerSegment">mmProd1!$D$18</definedName>
    <definedName name="tlOutputmmProd2Driver1">mmProd2!$E$33</definedName>
    <definedName name="tlOutputmmProd2Driver10">mmProd2!$E$69</definedName>
    <definedName name="tlOutputmmProd2Driver10_2">mmProd2!$F$69</definedName>
    <definedName name="tlOutputmmProd2Driver10_3">mmProd2!$G$69</definedName>
    <definedName name="tlOutputmmProd2Driver2">mmProd2!$E$37</definedName>
    <definedName name="tlOutputmmProd2Driver3">mmProd2!$E$41</definedName>
    <definedName name="tlOutputmmProd2Driver4">mmProd2!$E$45</definedName>
    <definedName name="tlOutputmmProd2Driver5">mmProd2!$E$49</definedName>
    <definedName name="tlOutputmmProd2Driver6">mmProd2!$E$53</definedName>
    <definedName name="tlOutputmmProd2Driver7">mmProd2!$E$57</definedName>
    <definedName name="tlOutputmmProd2Driver8">mmProd2!$E$61</definedName>
    <definedName name="tlOutputmmProd2Driver9">mmProd2!$E$65</definedName>
    <definedName name="tlOutputmmProd2MarketShare">mmProd2!$E$150</definedName>
    <definedName name="tlOutputmmProd2ShareCopy1">mmProd2!$E$117</definedName>
    <definedName name="tlOutputmmProd2ShareCopy2">mmProd2!$F$117</definedName>
    <definedName name="tlOutputmmProd2ShareCopy3">mmProd2!$G$117</definedName>
    <definedName name="tlOutputmmProd2ShareCopyUnits">mmProd2!$H$117</definedName>
    <definedName name="tlOutputmmProd2TotalUnits">mmProd2!$E$149</definedName>
    <definedName name="tlOutputmmProd2UnitsAvail">mmProd2!$E$139</definedName>
    <definedName name="tlOutputmmProd2VolumePerSegment">mmProd2!$D$18</definedName>
    <definedName name="tlOutputNetEarn">toolPNL!$N$29</definedName>
    <definedName name="tlOutputNetIntExp">toolPNL!$N$26</definedName>
    <definedName name="tlOutputNetNewSales">toolPNL!$N$39</definedName>
    <definedName name="tlOutputNewSales">toolPNL!$N$35</definedName>
    <definedName name="tlOutputNumTeams">Controls!$F$6</definedName>
    <definedName name="tlOutputobalAPValue">toolBalSheet!$K$19</definedName>
    <definedName name="tlOutputobalARValue">toolBalSheet!$K$8</definedName>
    <definedName name="tlOutputobalAssetsValue">toolBalSheet!$K$16</definedName>
    <definedName name="tlOutputobalCashValue">toolBalSheet!$K$7</definedName>
    <definedName name="tlOutputObalCSAT">obal!$E$56</definedName>
    <definedName name="tlOutputobalCStockValue">toolBalSheet!$K$28</definedName>
    <definedName name="tlOutputobalCurrentAssets">toolBalSheet!$K$10</definedName>
    <definedName name="tlOutputobalCurrentLiabValue">toolBalSheet!$K$22</definedName>
    <definedName name="tlOutputobalEquity">toolBalSheet!$K$30</definedName>
    <definedName name="tlOutputObalESAT">obal!$E$110</definedName>
    <definedName name="tlOutputobalGoodwillValue">toolBalSheet!$K$15</definedName>
    <definedName name="tlOutputobalLTDebtValue">toolBalSheet!$K$24</definedName>
    <definedName name="tlOutputObalMarginPercBB">obal!$F$468</definedName>
    <definedName name="tlOutputObalMarginPercRR">obal!$G$468</definedName>
    <definedName name="tlOutputobalOtherCurrentAssets">toolBalSheet!$K$9</definedName>
    <definedName name="tlOutputobalOtherCurrLiabValue">toolBalSheet!$K$20</definedName>
    <definedName name="tlOutputobalOtherLTLiabValue">toolBalSheet!$K$23</definedName>
    <definedName name="tlOutputobalOtherValue">toolBalSheet!$K$14</definedName>
    <definedName name="tlOutputobalPNLCashOI">obal!$E$469</definedName>
    <definedName name="tlOutputobalPNLOperatingIncome">obal!$E$228</definedName>
    <definedName name="tlOutputObalPNLRev">obal!$E$466</definedName>
    <definedName name="tlOutputobalPNLRevCAGR">obal!$E$467</definedName>
    <definedName name="tlOutputobalPropertyValue">toolBalSheet!$K$12</definedName>
    <definedName name="tlOutputobalRetEarnValue">toolBalSheet!$K$29</definedName>
    <definedName name="tlOutputObalRevBB">obal!$F$466</definedName>
    <definedName name="tlOutputObalRevRR">obal!$G$466</definedName>
    <definedName name="tlOutputobalSoftwareValue">toolBalSheet!$K$13</definedName>
    <definedName name="tlOutputobalSpecLoansValue">toolBalSheet!$K$21</definedName>
    <definedName name="tlOutputobalTotalLiabilities">toolBalSheet!$K$25</definedName>
    <definedName name="tlOutputobalTotalLiabilitiesEquity">toolBalSheet!$K$32</definedName>
    <definedName name="tlOutputOperatingExp">toolPNL!$N$17</definedName>
    <definedName name="tlOutputOperatingIncome">toolPNL!$N$22</definedName>
    <definedName name="tlOutputOperatingMargin">toolPNL!$N$23</definedName>
    <definedName name="tlOutputOpscapPlant1NonUtiliz">toolOperations!$L$20</definedName>
    <definedName name="tlOutputOpscapPlant1Utiliz">toolOperations!$L$19</definedName>
    <definedName name="tlOutputOpsDAcapCSAT">toolOperations!$F$29</definedName>
    <definedName name="tlOutputOpsDAcapGlobalExpansionCapEx">toolOperations!$F$15</definedName>
    <definedName name="tlOutputOpsDAcapGlobalExpansionEmp1Req">toolOperations!$F$13</definedName>
    <definedName name="tlOutputOpsDAcapPlant1ConsolidationEmp1Req">toolOperations!$F$27</definedName>
    <definedName name="tlOutputOpsDAcapPlant1UnitsEnd">toolOperations!$F$25</definedName>
    <definedName name="tlOutputOpsDAcapSalesCoverageEmp1Req">toolOperations!$L$13</definedName>
    <definedName name="tlOutputOpsDAcbalGlobalExpansionLvl">toolOperations!$F$11</definedName>
    <definedName name="tlOutputOpsDAcbalGlobalSalesMktLvl">toolOperations!$L$11</definedName>
    <definedName name="tlOutputOpsDAobalPlant1Units">toolOperations!$F$20</definedName>
    <definedName name="tlOutputOpsfinPNLOperatingExp">toolOperations!$F$36</definedName>
    <definedName name="tlOutputOpsobalPNLOperatingExp">toolOperations!$H$36</definedName>
    <definedName name="tlOutputOtherOpExp">toolPNL!$N$16</definedName>
    <definedName name="tlOutputPCAdminInfraExp">toolPNL!$R$15</definedName>
    <definedName name="tlOutputPCAPValue">toolBalSheet!$O$19</definedName>
    <definedName name="tlOutputPCARValue">toolBalSheet!$O$8</definedName>
    <definedName name="tlOutputPCAssetsValue">toolBalSheet!$O$16</definedName>
    <definedName name="tlOutputPCCashValue">toolBalSheet!$O$7</definedName>
    <definedName name="tlOutputPCCStockValue">toolBalSheet!$O$28</definedName>
    <definedName name="tlOutputPCCurrentAssets">toolBalSheet!$O$10</definedName>
    <definedName name="tlOutputPCCurrentLiabValue">toolBalSheet!$O$22</definedName>
    <definedName name="tlOutputPCDeprAmortExp">toolPNL!$R$21</definedName>
    <definedName name="tlOutputPCEBITDA">toolPNL!$R$18</definedName>
    <definedName name="tlOutputPCEmpExp">toolPNL!$R$12</definedName>
    <definedName name="tlOutputPCEquity">toolBalSheet!$O$30</definedName>
    <definedName name="tlOutputPCExtraOrdExp">toolPNL!$R$25</definedName>
    <definedName name="tlOutputPCGoodwillValue">toolBalSheet!$O$15</definedName>
    <definedName name="tlOutputPCLTDebtValue">toolBalSheet!$O$24</definedName>
    <definedName name="tlOutputPCNetEarn">toolPNL!$R$29</definedName>
    <definedName name="tlOutputPCNetIntExp">toolPNL!$R$26</definedName>
    <definedName name="tlOutputPCOperatingExp">toolPNL!$R$17</definedName>
    <definedName name="tlOutputPCOperatingIncome">toolPNL!$R$22</definedName>
    <definedName name="tlOutputPCOtherCurrentAssets">toolBalSheet!$O$9</definedName>
    <definedName name="tlOutputPCOtherCurrLiabValue">toolBalSheet!$O$20</definedName>
    <definedName name="tlOutputPCOtherLTLiabValue">toolBalSheet!$O$23</definedName>
    <definedName name="tlOutputPCOtherOpExp">toolPNL!$R$16</definedName>
    <definedName name="tlOutputPCOtherValue">toolBalSheet!$O$14</definedName>
    <definedName name="tlOutputPCProdDevExp">toolPNL!$R$14</definedName>
    <definedName name="tlOutputPCPropertyValue">toolBalSheet!$O$12</definedName>
    <definedName name="tlOutputPCRetEarnValue">toolBalSheet!$O$29</definedName>
    <definedName name="tlOutputPCRev">toolPNL!$R$9</definedName>
    <definedName name="tlOutputPCRevExp">toolPNL!$R$13</definedName>
    <definedName name="tlOutputPCServiceRev">toolPNL!$R$8</definedName>
    <definedName name="tlOutputPCSoftwareValue">toolBalSheet!$O$13</definedName>
    <definedName name="tlOutputPCSpecLoansValue">toolBalSheet!$O$21</definedName>
    <definedName name="tlOutputPCSubRev">toolPNL!$R$7</definedName>
    <definedName name="tlOutputPCTotalLiabilities">toolBalSheet!$O$25</definedName>
    <definedName name="tlOutputPCTotalLiabilitiesEquity">toolBalSheet!$O$32</definedName>
    <definedName name="tlOutputPeoplecapEmp1Att">toolPeople!$F$32</definedName>
    <definedName name="tlOutputPeoplecapEmp1End">toolPeople!$F$34</definedName>
    <definedName name="tlOutputPeoplecapEmp1FTERemaining">toolPeople!$F$44</definedName>
    <definedName name="tlOutputPeoplecapEmp1Recruited__tlOutputPeoplecapEmp1Dismissed">toolPeople!$F$33</definedName>
    <definedName name="tlOutputPeoplecapEmp1Total">toolPeople!$F$36</definedName>
    <definedName name="tlOutputPeoplecapInitsEmp1Req">toolPeople!$F$43</definedName>
    <definedName name="tlOutputPeoplecapOpsEmp1Req">toolPeople!$F$42</definedName>
    <definedName name="tlOutputPeoplecapProd1Ftr1Emp1Req">toolPeople!$F$39</definedName>
    <definedName name="tlOutputPeoplecapProd2Ftr1Emp1Req">toolPeople!$F$40</definedName>
    <definedName name="tlOutputPeoplecapProd5Ftr1Emp1Req">toolPeople!$F$41</definedName>
    <definedName name="tlOutputPeopleDAcapEmp1NotUtiliz">toolPeople!$F$11</definedName>
    <definedName name="tlOutputPeopleDAcapEmp1Utiliz">toolPeople!$F$12</definedName>
    <definedName name="tlOutputPeopleDAcapTrainingEmp1Req">toolPeople!$F$18</definedName>
    <definedName name="tlOutputPeopleDAExistingAccountsPerc">toolPeople!$F$24</definedName>
    <definedName name="tlOutputPeopleDAparamEmp1FTECoefficient">toolPeople!$F$16</definedName>
    <definedName name="tlOutputPeopleobalEmp1">toolPeople!$F$31</definedName>
    <definedName name="tlOutputPeopleparamEmp1FTECoefficient">toolPeople!$F$35</definedName>
    <definedName name="tlOutputPNLComp1LastYear">DataPage!$D$519:$D$521</definedName>
    <definedName name="tlOutputPNLComp1ThisYear">DataPage!$C$519:$C$521</definedName>
    <definedName name="tlOutputPNLComp2LastYear">DataPage!$D$535:$D$537</definedName>
    <definedName name="tlOutputPNLComp2ThisYear">DataPage!$C$535:$C$537</definedName>
    <definedName name="tlOutputProd1AdminInfraExp">toolPNL!$J$15</definedName>
    <definedName name="tlOutputProd1CAGRGoal">fin!$E$223</definedName>
    <definedName name="tlOutputProd1CancelledSales">toolPNL!$J$36</definedName>
    <definedName name="tlOutputProd1DeprAmortExp">toolPNL!$J$21</definedName>
    <definedName name="tlOutputProd1Driver10Name">DataPage!$C$123</definedName>
    <definedName name="tlOutputProd1Driver1Name">DataPage!$C$114</definedName>
    <definedName name="tlOutputProd1Driver2Name">DataPage!$C$115</definedName>
    <definedName name="tlOutputProd1Driver3Name">DataPage!$C$116</definedName>
    <definedName name="tlOutputProd1Driver4Name">DataPage!$C$117</definedName>
    <definedName name="tlOutputProd1Driver5Name">DataPage!$C$118</definedName>
    <definedName name="tlOutputProd1Driver6Name">DataPage!$C$119</definedName>
    <definedName name="tlOutputProd1Driver7Name">DataPage!$C$120</definedName>
    <definedName name="tlOutputProd1Driver8Name">DataPage!$C$121</definedName>
    <definedName name="tlOutputProd1Driver9Name">DataPage!$C$122</definedName>
    <definedName name="tlOutputProd1EBITDA">toolPNL!$J$18</definedName>
    <definedName name="tlOutputProd1EBITDAMargin">toolPNL!$J$19</definedName>
    <definedName name="tlOutputProd1EmpExp">toolPNL!$J$12</definedName>
    <definedName name="tlOutputProd1NetNewSales">toolPNL!$J$39</definedName>
    <definedName name="tlOutputProd1NewSales">toolPNL!$J$35</definedName>
    <definedName name="tlOutputProd1OperatingExp">toolPNL!$J$17</definedName>
    <definedName name="tlOutputProd1OperatingIncome">toolPNL!$J$22</definedName>
    <definedName name="tlOutputProd1OperatingMargin">toolPNL!$J$23</definedName>
    <definedName name="tlOutputProd1OtherOpExp">toolPNL!$J$16</definedName>
    <definedName name="tlOutputProd1ProdDevExp">toolPNL!$J$14</definedName>
    <definedName name="tlOutputProd1Rev">toolPNL!$J$9</definedName>
    <definedName name="tlOutputProd1RevExp">toolPNL!$J$13</definedName>
    <definedName name="tlOutputProd1ServiceRev">toolPNL!$J$8</definedName>
    <definedName name="tlOutputProd1ServiceSales">toolPNL!$J$37</definedName>
    <definedName name="tlOutputProd1SubRev">toolPNL!$J$7</definedName>
    <definedName name="tlOutputProd2AdminInfraExp">toolPNL!$L$15</definedName>
    <definedName name="tlOutputProd2CAGRGoal">fin!$E$224</definedName>
    <definedName name="tlOutputProd2CancelledSales">toolPNL!$L$36</definedName>
    <definedName name="tlOutputProd2DeprAmortExp">toolPNL!$L$21</definedName>
    <definedName name="tlOutputProd2Driver10Name">DataPage!$C$152</definedName>
    <definedName name="tlOutputProd2Driver1Name">DataPage!$C$143</definedName>
    <definedName name="tlOutputProd2Driver2Name">DataPage!$C$144</definedName>
    <definedName name="tlOutputProd2Driver3Name">DataPage!$C$145</definedName>
    <definedName name="tlOutputProd2Driver4Name">DataPage!$C$146</definedName>
    <definedName name="tlOutputProd2Driver5Name">DataPage!$C$147</definedName>
    <definedName name="tlOutputProd2Driver6Name">DataPage!$C$148</definedName>
    <definedName name="tlOutputProd2Driver7Name">DataPage!$C$149</definedName>
    <definedName name="tlOutputProd2Driver8Name">DataPage!$C$150</definedName>
    <definedName name="tlOutputProd2Driver9Name">DataPage!$C$151</definedName>
    <definedName name="tlOutputProd2EBITDA">toolPNL!$L$18</definedName>
    <definedName name="tlOutputProd2EBITDAMargin">toolPNL!$L$19</definedName>
    <definedName name="tlOutputProd2EmpExp">toolPNL!$L$12</definedName>
    <definedName name="tlOutputProd2NetNewSales">toolPNL!$L$39</definedName>
    <definedName name="tlOutputProd2NewSales">toolPNL!$L$35</definedName>
    <definedName name="tlOutputProd2OperatingExp">toolPNL!$L$17</definedName>
    <definedName name="tlOutputProd2OperatingIncome">toolPNL!$L$22</definedName>
    <definedName name="tlOutputProd2OperatingMargin">toolPNL!$L$23</definedName>
    <definedName name="tlOutputProd2OtherOpExp">toolPNL!$L$16</definedName>
    <definedName name="tlOutputProd2ProdDevExp">toolPNL!$L$14</definedName>
    <definedName name="tlOutputProd2Rev">toolPNL!$L$9</definedName>
    <definedName name="tlOutputProd2RevExp">toolPNL!$L$13</definedName>
    <definedName name="tlOutputProd2ServiceRev">toolPNL!$L$8</definedName>
    <definedName name="tlOutputProd2ServiceSales">toolPNL!$L$37</definedName>
    <definedName name="tlOutputProd2SubRev">toolPNL!$L$7</definedName>
    <definedName name="tlOutputProd3Driver10Name">DataPage!$C$181</definedName>
    <definedName name="tlOutputProd3Driver1Name">DataPage!$C$172</definedName>
    <definedName name="tlOutputProd3Driver2Name">DataPage!$C$173</definedName>
    <definedName name="tlOutputProd3Driver3Name">DataPage!$C$174</definedName>
    <definedName name="tlOutputProd3Driver4Name">DataPage!$C$175</definedName>
    <definedName name="tlOutputProd3Driver5Name">DataPage!$C$176</definedName>
    <definedName name="tlOutputProd3Driver6Name">DataPage!$C$177</definedName>
    <definedName name="tlOutputProd3Driver7Name">DataPage!$C$178</definedName>
    <definedName name="tlOutputProd3Driver8Name">DataPage!$C$179</definedName>
    <definedName name="tlOutputProd3Driver9Name">DataPage!$C$180</definedName>
    <definedName name="tlOutputProd4Driver10Name">DataPage!$C$210</definedName>
    <definedName name="tlOutputProd4Driver1Name">DataPage!$C$201</definedName>
    <definedName name="tlOutputProd4Driver2Name">DataPage!$C$202</definedName>
    <definedName name="tlOutputProd4Driver3Name">DataPage!$C$203</definedName>
    <definedName name="tlOutputProd4Driver4Name">DataPage!$C$204</definedName>
    <definedName name="tlOutputProd4Driver5Name">DataPage!$C$205</definedName>
    <definedName name="tlOutputProd4Driver6Name">DataPage!$C$206</definedName>
    <definedName name="tlOutputProd4Driver7Name">DataPage!$C$207</definedName>
    <definedName name="tlOutputProd4Driver8Name">DataPage!$C$208</definedName>
    <definedName name="tlOutputProd4Driver9Name">DataPage!$C$209</definedName>
    <definedName name="tlOutputProd5Driver10Name">DataPage!$C$239</definedName>
    <definedName name="tlOutputProd5Driver1Name">DataPage!$C$230</definedName>
    <definedName name="tlOutputProd5Driver2Name">DataPage!$C$231</definedName>
    <definedName name="tlOutputProd5Driver3Name">DataPage!$C$232</definedName>
    <definedName name="tlOutputProd5Driver4Name">DataPage!$C$233</definedName>
    <definedName name="tlOutputProd5Driver5Name">DataPage!$C$234</definedName>
    <definedName name="tlOutputProd5Driver6Name">DataPage!$C$235</definedName>
    <definedName name="tlOutputProd5Driver7Name">DataPage!$C$236</definedName>
    <definedName name="tlOutputProd5Driver8Name">DataPage!$C$237</definedName>
    <definedName name="tlOutputProd5Driver9Name">DataPage!$C$238</definedName>
    <definedName name="tlOutputProd6Driver10Name">DataPage!$C$268</definedName>
    <definedName name="tlOutputProd6Driver1Name">DataPage!$C$259</definedName>
    <definedName name="tlOutputProd6Driver2Name">DataPage!$C$260</definedName>
    <definedName name="tlOutputProd6Driver3Name">DataPage!$C$261</definedName>
    <definedName name="tlOutputProd6Driver4Name">DataPage!$C$262</definedName>
    <definedName name="tlOutputProd6Driver5Name">DataPage!$C$263</definedName>
    <definedName name="tlOutputProd6Driver6Name">DataPage!$C$264</definedName>
    <definedName name="tlOutputProd6Driver7Name">DataPage!$C$265</definedName>
    <definedName name="tlOutputProd6Driver8Name">DataPage!$C$266</definedName>
    <definedName name="tlOutputProd6Driver9Name">DataPage!$C$267</definedName>
    <definedName name="tlOutputProdDevExp">toolPNL!$N$14</definedName>
    <definedName name="tlOutputProfitMargin">toolPNL!$N$30</definedName>
    <definedName name="tlOutputProgramsDAMktChange">toolPrograms!$G$9</definedName>
    <definedName name="tlOutputProgramsYearChosenInit1">toolPrograms!$E$65</definedName>
    <definedName name="tlOutputProgramsYearChosenInit10">toolPrograms!$E$83</definedName>
    <definedName name="tlOutputProgramsYearChosenInit11">toolPrograms!$E$85</definedName>
    <definedName name="tlOutputProgramsYearChosenInit12">toolPrograms!$E$87</definedName>
    <definedName name="tlOutputProgramsYearChosenInit13">toolPrograms!$E$89</definedName>
    <definedName name="tlOutputProgramsYearChosenInit14">toolPrograms!$E$91</definedName>
    <definedName name="tlOutputProgramsYearChosenInit15">toolPrograms!$E$93</definedName>
    <definedName name="tlOutputProgramsYearChosenInit16">toolPrograms!$E$95</definedName>
    <definedName name="tlOutputProgramsYearChosenInit17">toolPrograms!$E$97</definedName>
    <definedName name="tlOutputProgramsYearChosenInit18">toolPrograms!$E$99</definedName>
    <definedName name="tlOutputProgramsYearChosenInit19">toolPrograms!$E$101</definedName>
    <definedName name="tlOutputProgramsYearChosenInit2">toolPrograms!$E$67</definedName>
    <definedName name="tlOutputProgramsYearChosenInit20">toolPrograms!$E$103</definedName>
    <definedName name="tlOutputProgramsYearChosenInit21">toolPrograms!$E$105</definedName>
    <definedName name="tlOutputProgramsYearChosenInit22">toolPrograms!$E$107</definedName>
    <definedName name="tlOutputProgramsYearChosenInit3">toolPrograms!$E$69</definedName>
    <definedName name="tlOutputProgramsYearChosenInit4">toolPrograms!$E$71</definedName>
    <definedName name="tlOutputProgramsYearChosenInit5">toolPrograms!$E$73</definedName>
    <definedName name="tlOutputProgramsYearChosenInit6">toolPrograms!$E$75</definedName>
    <definedName name="tlOutputProgramsYearChosenInit7">toolPrograms!$E$77</definedName>
    <definedName name="tlOutputProgramsYearChosenInit8">toolPrograms!$E$79</definedName>
    <definedName name="tlOutputProgramsYearChosenInit9">toolPrograms!$E$81</definedName>
    <definedName name="tlOutputRDcapCSAT">toolRD!$F$30</definedName>
    <definedName name="tlOutputRDcapProd1EmpReq">toolRD!$L$9</definedName>
    <definedName name="tlOutputRDcapProd2EmpReq">toolRD!$N$9</definedName>
    <definedName name="tlOutputRDcbalProd1ProdTechLvl">toolRD!$F$28</definedName>
    <definedName name="tlOutputRDcbalProd2ProdTechLvl">toolRD!$F$29</definedName>
    <definedName name="tlOutputRDDAcapProd1DevExp">toolRD!$F$21</definedName>
    <definedName name="tlOutputRDDAcapProd1Ftr1Emp1Req">toolRD!$F$13</definedName>
    <definedName name="tlOutputRDDAcapProd1TTM">toolRD!$F$19</definedName>
    <definedName name="tlOutputRDDAcapProd2DevExp">toolRD!$H$21</definedName>
    <definedName name="tlOutputRDDAcapProd2Ftr1Emp1Req">toolRD!$H$13</definedName>
    <definedName name="tlOutputRDDAcapProd2TTM">toolRD!$H$19</definedName>
    <definedName name="tlOutputRDDAcbalProd1ProdTechLvl">toolRD!$F$11</definedName>
    <definedName name="tlOutputRDDAcbalProd2ProdTechLvl">toolRD!$H$11</definedName>
    <definedName name="tlOutputRDobalCSAT">toolRD!$H$30</definedName>
    <definedName name="tlOutputRDobalProd1EmpReq">toolRD!$L$11</definedName>
    <definedName name="tlOutputRDobalProd1ProdTechLvl">toolRD!$H$28</definedName>
    <definedName name="tlOutputRDobalProd2EmpReq">toolRD!$N$11</definedName>
    <definedName name="tlOutputRDobalProd2ProdTechLvl">toolRD!$H$29</definedName>
    <definedName name="tlOutputRev">toolPNL!$N$9</definedName>
    <definedName name="tlOutputRevCAGR">fin!$E$220</definedName>
    <definedName name="tlOutputRevenueSourceComp1">DataPage!$C$528:$C$529</definedName>
    <definedName name="tlOutputRevenueSourceComp2">DataPage!$C$544:$C$545</definedName>
    <definedName name="tlOutputRevExp">toolPNL!$N$13</definedName>
    <definedName name="TLOUTPUTROLLOVERRANGEDATA">webToolOutputs!$E$6</definedName>
    <definedName name="tlOutputSavemmProd1cBalBDevAvg">mmProd1!$E$372</definedName>
    <definedName name="tlOutputSavemmProd1cBalMktAvg">mmProd1!$E$369</definedName>
    <definedName name="tlOutputSavemmProd1cBalRDDesignAvg">mmProd1!$E$371</definedName>
    <definedName name="tlOutputSavemmProd1cBalRDGenAvg">mmProd1!$E$370</definedName>
    <definedName name="tlOutputSavemmProd2cBalBDevAvg">mmProd1!$F$372</definedName>
    <definedName name="tlOutputSavemmProd2cBalMktAvg">mmProd1!$F$369</definedName>
    <definedName name="tlOutputSavemmProd2cBalRDDesignAvg">mmProd1!$F$371</definedName>
    <definedName name="tlOutputSavemmProd2cBalRDGenAvg">mmProd1!$F$370</definedName>
    <definedName name="tlOutputSavemmProd3cBalBDevAvg">mmProd1!$G$372</definedName>
    <definedName name="tlOutputSavemmProd3cBalMktAvg">mmProd1!$G$369</definedName>
    <definedName name="tlOutputSavemmProd3cBalRDDesignAvg">mmProd1!$G$371</definedName>
    <definedName name="tlOutputSavemmProd3cBalRDGenAvg">mmProd1!$G$370</definedName>
    <definedName name="tlOutputSavemmVOCProd1Driver1">mmProd1!$E$277</definedName>
    <definedName name="tlOutputSavemmVOCProd1Driver10Rank">mmProd1!$B$286</definedName>
    <definedName name="tlOutputSavemmVOCProd1Driver2">mmProd1!$E$278</definedName>
    <definedName name="tlOutputSavemmVOCProd1Driver2Rank">mmProd1!$B$278</definedName>
    <definedName name="tlOutputSavemmVOCProd1Driver3">mmProd1!$E$279</definedName>
    <definedName name="tlOutputSavemmVOCProd1Driver3Rank">mmProd1!$B$279</definedName>
    <definedName name="tlOutputSavemmVOCProd1Driver4">mmProd1!$E$280</definedName>
    <definedName name="tlOutputSavemmVOCProd1Driver4Rank">mmProd1!$B$280</definedName>
    <definedName name="tlOutputSavemmVOCProd1Driver5">mmProd1!$E$281</definedName>
    <definedName name="tlOutputSavemmVOCProd1Driver5Rank">mmProd1!$B$281</definedName>
    <definedName name="tlOutputSavemmVOCProd1Driver6">mmProd1!$E$282</definedName>
    <definedName name="tlOutputSavemmVOCProd1Driver6Rank">mmProd1!$B$282</definedName>
    <definedName name="tlOutputSavemmVOCProd1Driver7">mmProd1!$E$283</definedName>
    <definedName name="tlOutputSavemmVOCProd1Driver7Rank">mmProd1!$B$283</definedName>
    <definedName name="tlOutputSavemmVOCProd1Driver8">mmProd1!$E$284</definedName>
    <definedName name="tlOutputSavemmVOCProd1Driver8Rank">mmProd1!$B$284</definedName>
    <definedName name="tlOutputSavemmVOCProd1Driver9Rank">mmProd1!$B$285</definedName>
    <definedName name="tlOutputSavemmVOCProd2Driver2">mmProd2!$E$286</definedName>
    <definedName name="tlOutputSavemmVOCProd2Driver2Rank">mmProd2!$B$286</definedName>
    <definedName name="tlOutputSavemmVOCProd2Driver3">mmProd2!$E$287</definedName>
    <definedName name="tlOutputSavemmVOCProd2Driver3Rank">mmProd2!$B$287</definedName>
    <definedName name="tlOutputSavemmVOCProd2Driver4">mmProd2!$E$288</definedName>
    <definedName name="tlOutputSavemmVOCProd2Driver4Rank">mmProd2!$B$288</definedName>
    <definedName name="tlOutputSavemmVOCProd2Driver5">mmProd2!$E$289</definedName>
    <definedName name="tlOutputSavemmVOCProd2Driver5Rank">mmProd2!$B$289</definedName>
    <definedName name="tlOutputSavemmVOCProd2Driver6">mmProd2!$E$290</definedName>
    <definedName name="tlOutputSavemmVOCProd2Driver6Rank">mmProd2!$B$290</definedName>
    <definedName name="tlOutputSavemmVOCProd2Driver7">mmProd2!$E$291</definedName>
    <definedName name="tlOutputSavemmVOCProd2Driver7Rank">mmProd2!$B$291</definedName>
    <definedName name="tlOutputSavemmVOCProd2Driver8">mmProd2!$E$292</definedName>
    <definedName name="tlOutputSavemmVOCProd2Driver8Rank">mmProd2!$B$292</definedName>
    <definedName name="tlOutputServicePeopleReq">cap!$E$190</definedName>
    <definedName name="tlOutputServiceRev">toolPNL!$N$8</definedName>
    <definedName name="tlOutputServiceSales">toolPNL!$N$37</definedName>
    <definedName name="tlOutputSpecProg10Chosen">webToolOutputs!$E$21</definedName>
    <definedName name="tlOutputSpecProg10ChosenYr">webToolOutputs!$E$77</definedName>
    <definedName name="tlOutputSpecProg11Chosen">webToolOutputs!$E$22</definedName>
    <definedName name="tlOutputSpecProg11ChosenYr">webToolOutputs!$E$78</definedName>
    <definedName name="tlOutputSpecProg12Chosen">webToolOutputs!$E$23</definedName>
    <definedName name="tlOutputSpecProg12ChosenYr">webToolOutputs!$E$79</definedName>
    <definedName name="tlOutputSpecProg13Chosen">webToolOutputs!$E$24</definedName>
    <definedName name="tlOutputSpecProg13ChosenYr">webToolOutputs!$E$80</definedName>
    <definedName name="tlOutputSpecProg14Chosen">webToolOutputs!$E$25</definedName>
    <definedName name="tlOutputSpecProg14ChosenYr">webToolOutputs!$E$81</definedName>
    <definedName name="tlOutputSpecProg15Chosen">webToolOutputs!$E$26</definedName>
    <definedName name="tlOutputSpecProg15ChosenYr">webToolOutputs!$E$82</definedName>
    <definedName name="tlOutputSpecProg16Chosen">webToolOutputs!$E$27</definedName>
    <definedName name="tlOutputSpecProg16ChosenYr">webToolOutputs!$E$83</definedName>
    <definedName name="tlOutputSpecProg17Chosen">webToolOutputs!$E$28</definedName>
    <definedName name="tlOutputSpecProg17ChosenYr">webToolOutputs!$E$84</definedName>
    <definedName name="tlOutputSpecProg18Chosen">webToolOutputs!$E$29</definedName>
    <definedName name="tlOutputSpecProg18ChosenYr">webToolOutputs!$E$85</definedName>
    <definedName name="tlOutputSpecProg19Chosen">webToolOutputs!$E$30</definedName>
    <definedName name="tlOutputSpecProg19ChosenYr">webToolOutputs!$E$86</definedName>
    <definedName name="tlOutputSpecProg1Chosen">webToolOutputs!$E$12</definedName>
    <definedName name="tlOutputSpecProg1ChosenYr">webToolOutputs!$E$68</definedName>
    <definedName name="tlOutputSpecProg20Chosen">webToolOutputs!$E$31</definedName>
    <definedName name="tlOutputSpecProg20ChosenYr">webToolOutputs!$E$87</definedName>
    <definedName name="tlOutputSpecProg21Chosen">webToolOutputs!$E$32</definedName>
    <definedName name="tlOutputSpecProg21ChosenYr">webToolOutputs!$E$88</definedName>
    <definedName name="tlOutputSpecProg22Chosen">webToolOutputs!$E$33</definedName>
    <definedName name="tlOutputSpecProg22ChosenYr">webToolOutputs!$E$89</definedName>
    <definedName name="tlOutputSpecProg2Chosen">webToolOutputs!$E$13</definedName>
    <definedName name="tlOutputSpecProg2ChosenYr">webToolOutputs!$E$69</definedName>
    <definedName name="tlOutputSpecProg3Chosen">webToolOutputs!$E$14</definedName>
    <definedName name="tlOutputSpecProg3ChosenYr">webToolOutputs!$E$70</definedName>
    <definedName name="tlOutputSpecProg4Chosen">webToolOutputs!$E$15</definedName>
    <definedName name="tlOutputSpecProg4ChosenYr">webToolOutputs!$E$71</definedName>
    <definedName name="tlOutputSpecProg5Chosen">webToolOutputs!$E$16</definedName>
    <definedName name="tlOutputSpecProg5ChosenYr">webToolOutputs!$E$72</definedName>
    <definedName name="tlOutputSpecProg6Chosen">webToolOutputs!$E$17</definedName>
    <definedName name="tlOutputSpecProg6ChosenYr">webToolOutputs!$E$73</definedName>
    <definedName name="tlOutputSpecProg7Chosen">webToolOutputs!$E$18</definedName>
    <definedName name="tlOutputSpecProg7ChosenYr">webToolOutputs!$E$74</definedName>
    <definedName name="tlOutputSpecProg8Chosen">webToolOutputs!$E$19</definedName>
    <definedName name="tlOutputSpecProg8ChosenYr">webToolOutputs!$E$75</definedName>
    <definedName name="tlOutputSpecProg9Chosen">webToolOutputs!$E$20</definedName>
    <definedName name="tlOutputSpecProg9ChosenYr">webToolOutputs!$E$76</definedName>
    <definedName name="tlOutputSpecProgExpense">webToolOutputs!$E$3</definedName>
    <definedName name="tlOutputSpecProgFTEsReq">webToolOutputs!$E$2</definedName>
    <definedName name="tlOutputSubRev">toolPNL!$N$7</definedName>
    <definedName name="tlOutputTaxExp">toolPNL!$N$27</definedName>
    <definedName name="tlOutputTransSummaryLastYear">DataPage!$D$560:$D$562</definedName>
    <definedName name="tlOutputTransSummaryThisYear">DataPage!$C$560:$C$562</definedName>
    <definedName name="tlOutputTRUE">webToolOutputs!$E$91</definedName>
    <definedName name="tlOutputxxMMProd1Driver1">DataPage!$E$114</definedName>
    <definedName name="tlOutputxxMMProd1Driver10">DataPage!$E$123</definedName>
    <definedName name="tlOutputxxMMProd1Driver2">DataPage!$E$115</definedName>
    <definedName name="tlOutputxxMMProd1Driver3">DataPage!$E$116</definedName>
    <definedName name="tlOutputxxMMProd1Driver4">DataPage!$E$117</definedName>
    <definedName name="tlOutputxxMMProd1Driver5">DataPage!$E$118</definedName>
    <definedName name="tlOutputxxMMProd1Driver6">DataPage!$E$119</definedName>
    <definedName name="tlOutputxxMMProd1Driver7">DataPage!$E$120</definedName>
    <definedName name="tlOutputxxMMProd1Driver8">DataPage!$E$121</definedName>
    <definedName name="tlOutputxxMMProd1Driver9">DataPage!$E$122</definedName>
    <definedName name="tlOutputxxMMProd2Driver1">DataPage!$E$143</definedName>
    <definedName name="tlOutputxxMMProd2Driver10">DataPage!$E$152</definedName>
    <definedName name="tlOutputxxMMProd2Driver2">DataPage!$E$144</definedName>
    <definedName name="tlOutputxxMMProd2Driver3">DataPage!$E$145</definedName>
    <definedName name="tlOutputxxMMProd2Driver4">DataPage!$E$146</definedName>
    <definedName name="tlOutputxxMMProd2Driver5">DataPage!$E$147</definedName>
    <definedName name="tlOutputxxMMProd2Driver6">DataPage!$E$148</definedName>
    <definedName name="tlOutputxxMMProd2Driver7">DataPage!$E$149</definedName>
    <definedName name="tlOutputxxMMProd2Driver8">DataPage!$E$150</definedName>
    <definedName name="tlOutputxxMMProd2Driver9">DataPage!$E$151</definedName>
    <definedName name="tlOutputxxMMProd3Driver1">DataPage!$E$172</definedName>
    <definedName name="tlOutputxxMMProd3Driver2">DataPage!$E$173</definedName>
    <definedName name="tlOutputxxMMProd3Driver3">DataPage!$E$174</definedName>
    <definedName name="tlOutputxxMMProd3Driver4">DataPage!$E$175</definedName>
    <definedName name="tlOutputxxMMProd3Driver5">DataPage!$E$176</definedName>
    <definedName name="tlOutputxxMMProd3Driver6">DataPage!$E$177</definedName>
    <definedName name="tlOutputxxMMProd3Driver7">DataPage!$E$178</definedName>
    <definedName name="tlOutputxxMMProd3Driver8">DataPage!$E$179</definedName>
    <definedName name="tlOutputxxMMProd5Driver1">DataPage!$E$230</definedName>
    <definedName name="tlOutputxxMMProd5Driver10">DataPage!$E$239</definedName>
    <definedName name="tlOutputxxMMProd5Driver2">DataPage!$E$231</definedName>
    <definedName name="tlOutputxxMMProd5Driver3">DataPage!$E$232</definedName>
    <definedName name="tlOutputxxMMProd5Driver4">DataPage!$E$233</definedName>
    <definedName name="tlOutputxxMMProd5Driver5">DataPage!$E$234</definedName>
    <definedName name="tlOutputxxMMProd5Driver6">DataPage!$E$235</definedName>
    <definedName name="tlOutputxxMMProd5Driver7">DataPage!$E$236</definedName>
    <definedName name="tlOutputxxMMProd5Driver8">DataPage!$E$237</definedName>
    <definedName name="tlOutputxxMMProd5Driver9">DataPage!$E$238</definedName>
    <definedName name="tlOutputZero">webToolOutputs!$E$93</definedName>
    <definedName name="TOOLBAR1Cbar">Controls!$G$148</definedName>
    <definedName name="xxAdjustmentMM">mmProd1!$E$137:$G$138,mmProd1!$E$77:$G$81</definedName>
    <definedName name="XXafProducts">Controls!$K$6</definedName>
    <definedName name="XXafSegments">Controls!$K$7</definedName>
    <definedName name="xxAnalysisXDataImport">Analysis!$E$22:$E$333</definedName>
    <definedName name="xxcbalNewYearCopy">cbal!$E$4:$G$509</definedName>
    <definedName name="xxContLangCode">Controls!$E$14</definedName>
    <definedName name="xxControlTeamNames">Controls!$E$12:$G$12</definedName>
    <definedName name="xxDashboard">Controls!$E$20</definedName>
    <definedName name="xxDCOutsource">Controls!$M$14</definedName>
    <definedName name="xxDecResetValues">dec!$I$3:$I$95</definedName>
    <definedName name="xxDecValuesCopy">dec!$E$3:$G$95</definedName>
    <definedName name="xxDecValuesPaste">dec!$R$3</definedName>
    <definedName name="xxDecXDataImport">dec!$E$3:$E$95</definedName>
    <definedName name="xxExcelNumOfTeams">Controls!$M$15</definedName>
    <definedName name="xxExcelVersion">Controls!$E$26</definedName>
    <definedName name="xxFeedbackXDataImport">feedback!$E$4:$E$250</definedName>
    <definedName name="xxffbResetCopy">feedbackTS!$J$3:$J$52</definedName>
    <definedName name="xxffbResetPaste">feedbackTS!$E$3:$G$3</definedName>
    <definedName name="xxFloatingBar">Controls!$E$28</definedName>
    <definedName name="xxHomeMenu">Controls!$E$30</definedName>
    <definedName name="xxHoodClose">Controls!$E$22</definedName>
    <definedName name="xxInd1Team0">Controls!$E$9</definedName>
    <definedName name="xxIndexTeam">Controls!$E$10</definedName>
    <definedName name="xxMMProd1Driver1">DataPage!$C$114:$I$114</definedName>
    <definedName name="xxMMProd1Driver10">DataPage!$C$123:$I$123</definedName>
    <definedName name="xxMMProd1Driver2">DataPage!$C$115:$I$115</definedName>
    <definedName name="xxMMProd1Driver3">DataPage!$C$116:$I$116</definedName>
    <definedName name="xxMMProd1Driver4">DataPage!$C$117:$I$117</definedName>
    <definedName name="xxMMProd1Driver5">DataPage!$C$118:$I$118</definedName>
    <definedName name="xxMMProd1Driver6">DataPage!$C$119:$I$119</definedName>
    <definedName name="xxMMProd1Driver7">DataPage!$C$120:$I$120</definedName>
    <definedName name="xxMMProd1Driver8">DataPage!$C$121:$I$121</definedName>
    <definedName name="xxMMProd1Driver9">DataPage!$C$122:$I$122</definedName>
    <definedName name="xxMMProd1Seg1Units">DataPage!$C$104:$J$104</definedName>
    <definedName name="xxMMProd1Seg2Units">DataPage!$C$105:$J$105</definedName>
    <definedName name="xxMMProd1Seg3Units">DataPage!$C$106:$J$106</definedName>
    <definedName name="xxMMProd1Seg4Units">DataPage!$C$107:$J$107</definedName>
    <definedName name="xxMMProd1Seg5Units">DataPage!$C$108:$J$108</definedName>
    <definedName name="xxMMProd1Units">DataPage!$C$103:$J$103</definedName>
    <definedName name="xxMMProd2Driver1">DataPage!$C$143:$I$143</definedName>
    <definedName name="xxMMProd2Driver10">DataPage!$C$152:$I$152</definedName>
    <definedName name="xxMMProd2Driver2">DataPage!$C$144:$I$144</definedName>
    <definedName name="xxMMProd2Driver3">DataPage!$C$145:$I$145</definedName>
    <definedName name="xxMMProd2Driver4">DataPage!$C$146:$I$146</definedName>
    <definedName name="xxMMProd2Driver5">DataPage!$C$147:$I$147</definedName>
    <definedName name="xxMMProd2Driver6">DataPage!$C$148:$I$148</definedName>
    <definedName name="xxMMProd2Driver7">DataPage!$C$149:$I$149</definedName>
    <definedName name="xxMMProd2Driver8">DataPage!$C$150:$I$150</definedName>
    <definedName name="xxMMProd2Driver9">DataPage!$C$151:$I$151</definedName>
    <definedName name="xxMMProd2Seg1Units">DataPage!$C$133:$J$133</definedName>
    <definedName name="xxMMProd2Seg2Units">DataPage!$C$134:$J$134</definedName>
    <definedName name="xxMMProd2Seg3Units">DataPage!$C$135:$J$135</definedName>
    <definedName name="xxMMProd2Seg4Units">DataPage!$C$136:$J$136</definedName>
    <definedName name="xxMMProd2Seg5Units">DataPage!$C$137:$J$137</definedName>
    <definedName name="xxMMProd2Units">DataPage!$C$132:$J$132</definedName>
    <definedName name="xxMMProd3Driver1">DataPage!$C$172:$I$172</definedName>
    <definedName name="xxMMProd3Driver10">DataPage!$C$181:$I$181</definedName>
    <definedName name="xxMMProd3Driver2">DataPage!$C$173:$I$173</definedName>
    <definedName name="xxMMProd3Driver3">DataPage!$C$174:$I$174</definedName>
    <definedName name="xxMMProd3Driver4">DataPage!$C$175:$I$175</definedName>
    <definedName name="xxMMProd3Driver5">DataPage!$C$176:$I$176</definedName>
    <definedName name="xxMMProd3Driver6">DataPage!$C$177:$I$177</definedName>
    <definedName name="xxMMProd3Driver7">DataPage!$C$178:$I$178</definedName>
    <definedName name="xxMMProd3Driver8">DataPage!$C$179:$I$179</definedName>
    <definedName name="xxMMProd3Driver9">DataPage!$C$180:$I$180</definedName>
    <definedName name="xxMMProd3Seg1Units">DataPage!$C$162:$J$162</definedName>
    <definedName name="xxMMProd3Seg2Units">DataPage!$C$163:$J$163</definedName>
    <definedName name="xxMMProd3Seg3Units">DataPage!$C$164:$J$164</definedName>
    <definedName name="xxMMProd3Seg4Units">DataPage!$C$165:$J$165</definedName>
    <definedName name="xxMMProd3Seg5Units">DataPage!$C$166:$J$166</definedName>
    <definedName name="xxMMProd3Units">DataPage!$C$161:$J$161</definedName>
    <definedName name="xxMMProd4Driver1">DataPage!$C$201:$I$201</definedName>
    <definedName name="xxMMProd4Driver10">DataPage!$C$210:$I$210</definedName>
    <definedName name="xxMMProd4Driver2">DataPage!$C$202:$I$202</definedName>
    <definedName name="xxMMProd4Driver3">DataPage!$C$203:$I$203</definedName>
    <definedName name="xxMMProd4Driver4">DataPage!$C$204:$I$204</definedName>
    <definedName name="xxMMProd4Driver5">DataPage!$C$205:$I$205</definedName>
    <definedName name="xxMMProd4Driver6">DataPage!$C$206:$I$206</definedName>
    <definedName name="xxMMProd4Driver7">DataPage!$C$207:$I$207</definedName>
    <definedName name="xxMMProd4Driver8">DataPage!$C$208:$I$208</definedName>
    <definedName name="xxMMProd4Driver9">DataPage!$C$209:$I$209</definedName>
    <definedName name="xxMMProd4Seg1Units">DataPage!$C$191:$J$191</definedName>
    <definedName name="xxMMProd4Seg2Units">DataPage!$C$192:$J$192</definedName>
    <definedName name="xxMMProd4Seg3Units">DataPage!$C$193:$J$193</definedName>
    <definedName name="xxMMProd4Seg4Units">DataPage!$C$194:$J$194</definedName>
    <definedName name="xxMMProd4Seg5Units">DataPage!$C$195:$J$195</definedName>
    <definedName name="xxMMProd4Units">DataPage!$C$190:$J$190</definedName>
    <definedName name="xxMMProd5Driver1">DataPage!$C$230:$I$230</definedName>
    <definedName name="xxMMProd5Driver10">DataPage!$C$239:$I$239</definedName>
    <definedName name="xxMMProd5Driver2">DataPage!$C$231:$I$231</definedName>
    <definedName name="xxMMProd5Driver3">DataPage!$C$232:$I$232</definedName>
    <definedName name="xxMMProd5Driver4">DataPage!$C$233:$I$233</definedName>
    <definedName name="xxMMProd5Driver5">DataPage!$C$234:$I$234</definedName>
    <definedName name="xxMMProd5Driver6">DataPage!$C$235:$I$235</definedName>
    <definedName name="xxMMProd5Driver7">DataPage!$C$236:$I$236</definedName>
    <definedName name="xxMMProd5Driver8">DataPage!$C$237:$I$237</definedName>
    <definedName name="xxMMProd5Driver9">DataPage!$C$238:$I$238</definedName>
    <definedName name="xxMMProd5Seg1Units">DataPage!$C$220:$J$220</definedName>
    <definedName name="xxMMProd5Seg2Units">DataPage!$C$221:$J$221</definedName>
    <definedName name="xxMMProd5Seg3Units">DataPage!$C$222:$J$222</definedName>
    <definedName name="xxMMProd5Seg4Units">DataPage!$C$223:$J$223</definedName>
    <definedName name="xxMMProd5Seg5Units">DataPage!$C$224:$J$224</definedName>
    <definedName name="xxMMProd5Units">DataPage!$C$219:$J$219</definedName>
    <definedName name="xxMMProd6Driver1">DataPage!$C$259:$I$259</definedName>
    <definedName name="xxMMProd6Driver10">DataPage!$C$268:$I$268</definedName>
    <definedName name="xxMMProd6Driver2">DataPage!$C$260:$I$260</definedName>
    <definedName name="xxMMProd6Driver3">DataPage!$C$261:$I$261</definedName>
    <definedName name="xxMMProd6Driver4">DataPage!$C$262:$I$262</definedName>
    <definedName name="xxMMProd6Driver5">DataPage!$C$263:$I$263</definedName>
    <definedName name="xxMMProd6Driver6">DataPage!$C$264:$I$264</definedName>
    <definedName name="xxMMProd6Driver7">DataPage!$C$265:$I$265</definedName>
    <definedName name="xxMMProd6Driver8">DataPage!$C$266:$I$266</definedName>
    <definedName name="xxMMProd6Driver9">DataPage!$C$267:$I$267</definedName>
    <definedName name="xxMMProd6Seg1Units">DataPage!$C$249:$J$249</definedName>
    <definedName name="xxMMProd6Seg2Units">DataPage!$C$250:$J$250</definedName>
    <definedName name="xxMMProd6Seg3Units">DataPage!$C$251:$J$251</definedName>
    <definedName name="xxMMProd6Seg4Units">DataPage!$C$252:$J$252</definedName>
    <definedName name="xxMMProd6Seg5Units">DataPage!$C$253:$J$253</definedName>
    <definedName name="xxMMProd6Units">DataPage!$C$248:$J$248</definedName>
    <definedName name="xxNumOfTeams">Controls!$E$6</definedName>
    <definedName name="xxobalTeam1">obal!$E$4:$E$509</definedName>
    <definedName name="xxobalYear0Copy">obal!$I$4:$I$509</definedName>
    <definedName name="xxobalYear0FormulaCopy">obal!$N$4:$N$509</definedName>
    <definedName name="xxProd1BaseUnits">DataPage!$C$60</definedName>
    <definedName name="xxProd1Growth">DataPage!$C$93:$J$93</definedName>
    <definedName name="xxProd1Year0Vol">DataPage!$C$60</definedName>
    <definedName name="xxProd2BaseUnits">DataPage!$C$61</definedName>
    <definedName name="xxProd2Growth">DataPage!$C$128:$J$128</definedName>
    <definedName name="xxProd3BaseUnits">DataPage!$C$62</definedName>
    <definedName name="xxProd3Growth">DataPage!$C$157:$J$157</definedName>
    <definedName name="xxProd4BaseUnits">DataPage!$C$63</definedName>
    <definedName name="xxProd4Growth">DataPage!$C$186:$J$186</definedName>
    <definedName name="xxProd5BaseUnits">DataPage!$C$64</definedName>
    <definedName name="xxProd5Growth">DataPage!$C$215:$J$215</definedName>
    <definedName name="xxProd6BaseUnits">DataPage!$C$65</definedName>
    <definedName name="xxProd6Growth">DataPage!$C$244:$J$244</definedName>
    <definedName name="xxProtectFile">Controls!$E$24</definedName>
    <definedName name="xxQAT">Controls!$E$32</definedName>
    <definedName name="xxRankYear0">feedbackTS!$E$43:$G$43</definedName>
    <definedName name="xxRankYear1">feedbackTS!$E$44:$G$44</definedName>
    <definedName name="xxRankYear2">feedbackTS!$E$45:$G$45</definedName>
    <definedName name="xxRankYear3">feedbackTS!$E$46:$G$46</definedName>
    <definedName name="xxRankYear4">feedbackTS!$E$47:$G$47</definedName>
    <definedName name="xxResetDecXAutoCompFormulasCopy">dec!$K$3:$K$95</definedName>
    <definedName name="xxResetDecXFormulasCopy">dec!$J$3:$J$95</definedName>
    <definedName name="xxSim0Tool1">Controls!$E$4</definedName>
    <definedName name="xxSpecProgClear">toolPrograms!$G$12:$G$55</definedName>
    <definedName name="xxteamnumber">dec!$E$1:$G$1</definedName>
    <definedName name="xxtlInputColorLocked">Controls!$E$34</definedName>
    <definedName name="xxtlInputColorUnLocked">Controls!$E$36</definedName>
    <definedName name="xxtoolIntroZoom">toolIntro!$A$3:$O$3</definedName>
    <definedName name="xxWinMetricYear0">feedbackTS!$E$35:$G$35</definedName>
    <definedName name="xxWinMetricYear1">feedbackTS!$E$36:$G$36</definedName>
    <definedName name="xxWinMetricYear2">feedbackTS!$E$37:$G$37</definedName>
    <definedName name="xxWinMetricYear3">feedbackTS!$E$38:$G$38</definedName>
    <definedName name="xxWinMetricYear4">feedbackTS!$E$39:$G$39</definedName>
    <definedName name="xxWobblersAvailable">adj!$B$640:$B$640</definedName>
    <definedName name="xxWobblersUsed">obal!$E$272:$E$284</definedName>
    <definedName name="xxWobblersValid">adj!$B$363:$B$640</definedName>
    <definedName name="xxYear">Controls!$E$8</definedName>
    <definedName name="xxYear0Copy">obal!$I$4:$I$509</definedName>
  </definedNames>
  <calcPr calcId="145621" calcMode="manual"/>
</workbook>
</file>

<file path=xl/calcChain.xml><?xml version="1.0" encoding="utf-8"?>
<calcChain xmlns="http://schemas.openxmlformats.org/spreadsheetml/2006/main">
  <c r="H167" i="11" l="1"/>
  <c r="I167" i="11"/>
  <c r="G167" i="11"/>
  <c r="H158" i="11"/>
  <c r="I158" i="11"/>
  <c r="H159" i="11"/>
  <c r="I159" i="11"/>
  <c r="H160" i="11"/>
  <c r="I160" i="11"/>
  <c r="H161" i="11"/>
  <c r="I161" i="11"/>
  <c r="H162" i="11"/>
  <c r="I162" i="11"/>
  <c r="H163" i="11"/>
  <c r="I163" i="11"/>
  <c r="H164" i="11"/>
  <c r="I164" i="11"/>
  <c r="H165" i="11"/>
  <c r="I165" i="11"/>
  <c r="G367" i="42" l="1"/>
  <c r="F367" i="42"/>
  <c r="E367" i="42"/>
  <c r="A367" i="42"/>
  <c r="H367" i="42"/>
  <c r="F148" i="11" l="1"/>
  <c r="G148" i="11"/>
  <c r="H148" i="11"/>
  <c r="I148" i="11"/>
  <c r="F149" i="11"/>
  <c r="G149" i="11"/>
  <c r="H149" i="11"/>
  <c r="I149" i="11"/>
  <c r="F150" i="11"/>
  <c r="G150" i="11"/>
  <c r="H150" i="11"/>
  <c r="I150" i="11"/>
  <c r="F151" i="11"/>
  <c r="G151" i="11"/>
  <c r="H151" i="11"/>
  <c r="I151" i="11"/>
  <c r="F152" i="11"/>
  <c r="G152" i="11"/>
  <c r="H152" i="11"/>
  <c r="I152" i="11"/>
  <c r="F153" i="11"/>
  <c r="G153" i="11"/>
  <c r="H153" i="11"/>
  <c r="I153" i="11"/>
  <c r="F154" i="11"/>
  <c r="G154" i="11"/>
  <c r="H154" i="11"/>
  <c r="I154" i="11"/>
  <c r="F155" i="11"/>
  <c r="G155" i="11"/>
  <c r="H155" i="11"/>
  <c r="I155" i="11"/>
  <c r="F156" i="11"/>
  <c r="G156" i="11"/>
  <c r="H156" i="11"/>
  <c r="I156" i="11"/>
  <c r="E149" i="11"/>
  <c r="E150" i="11"/>
  <c r="E151" i="11"/>
  <c r="E152" i="11"/>
  <c r="E153" i="11"/>
  <c r="E154" i="11"/>
  <c r="E155" i="11"/>
  <c r="E156" i="11"/>
  <c r="E148" i="11"/>
  <c r="I147" i="59" l="1"/>
  <c r="H147" i="59"/>
  <c r="G147" i="59"/>
  <c r="F147" i="59"/>
  <c r="E147" i="59"/>
  <c r="I142" i="59"/>
  <c r="H142" i="59"/>
  <c r="G142" i="59"/>
  <c r="F142" i="59"/>
  <c r="E142" i="59"/>
  <c r="I137" i="59"/>
  <c r="H137" i="59"/>
  <c r="G137" i="59"/>
  <c r="F137" i="59"/>
  <c r="E137" i="59"/>
  <c r="I132" i="59"/>
  <c r="H132" i="59"/>
  <c r="G132" i="59"/>
  <c r="F132" i="59"/>
  <c r="E132" i="59"/>
  <c r="I127" i="59"/>
  <c r="H127" i="59"/>
  <c r="G127" i="59"/>
  <c r="F127" i="59"/>
  <c r="E127" i="59"/>
  <c r="I122" i="59"/>
  <c r="H122" i="59"/>
  <c r="G122" i="59"/>
  <c r="F122" i="59"/>
  <c r="E122" i="59"/>
  <c r="I117" i="59"/>
  <c r="H117" i="59"/>
  <c r="G117" i="59"/>
  <c r="F117" i="59"/>
  <c r="E117" i="59"/>
  <c r="I112" i="59"/>
  <c r="H112" i="59"/>
  <c r="G112" i="59"/>
  <c r="F112" i="59"/>
  <c r="E112" i="59"/>
  <c r="I107" i="59"/>
  <c r="H107" i="59"/>
  <c r="G107" i="59"/>
  <c r="F107" i="59"/>
  <c r="E107" i="59"/>
  <c r="I102" i="59"/>
  <c r="H102" i="59"/>
  <c r="G102" i="59"/>
  <c r="F102" i="59"/>
  <c r="E102" i="59"/>
  <c r="I96" i="59"/>
  <c r="H96" i="59"/>
  <c r="G96" i="59"/>
  <c r="F96" i="59"/>
  <c r="E96" i="59"/>
  <c r="I90" i="59"/>
  <c r="H90" i="59"/>
  <c r="G90" i="59"/>
  <c r="F90" i="59"/>
  <c r="E90" i="59"/>
  <c r="I84" i="59"/>
  <c r="H84" i="59"/>
  <c r="G84" i="59"/>
  <c r="F84" i="59"/>
  <c r="E84" i="59"/>
  <c r="I78" i="59"/>
  <c r="H78" i="59"/>
  <c r="G78" i="59"/>
  <c r="F78" i="59"/>
  <c r="E78" i="59"/>
  <c r="I72" i="59"/>
  <c r="H72" i="59"/>
  <c r="G72" i="59"/>
  <c r="F72" i="59"/>
  <c r="E72" i="59"/>
  <c r="I62" i="59"/>
  <c r="H62" i="59"/>
  <c r="G62" i="59"/>
  <c r="F62" i="59"/>
  <c r="E62" i="59"/>
  <c r="I51" i="59"/>
  <c r="H51" i="59"/>
  <c r="G51" i="59"/>
  <c r="F51" i="59"/>
  <c r="E51" i="59"/>
  <c r="I38" i="59"/>
  <c r="H38" i="59"/>
  <c r="G38" i="59"/>
  <c r="F38" i="59"/>
  <c r="E38" i="59"/>
  <c r="I31" i="59"/>
  <c r="H31" i="59"/>
  <c r="G31" i="59"/>
  <c r="F31" i="59"/>
  <c r="E31" i="59"/>
  <c r="I21" i="59"/>
  <c r="H21" i="59"/>
  <c r="G21" i="59"/>
  <c r="F21" i="59"/>
  <c r="E21" i="59"/>
  <c r="F15" i="59"/>
  <c r="G15" i="59"/>
  <c r="H15" i="59"/>
  <c r="I15" i="59"/>
  <c r="E15" i="59"/>
  <c r="F4" i="11" l="1"/>
  <c r="G4" i="11"/>
  <c r="H4" i="11"/>
  <c r="I4" i="11"/>
  <c r="C4" i="59" l="1"/>
  <c r="C4" i="58"/>
  <c r="G46" i="12" l="1"/>
  <c r="F45" i="12"/>
  <c r="E44" i="12"/>
  <c r="G42" i="12"/>
  <c r="F42" i="12"/>
  <c r="G39" i="12"/>
  <c r="G47" i="12" s="1"/>
  <c r="F39" i="12"/>
  <c r="F47" i="12" s="1"/>
  <c r="E39" i="12"/>
  <c r="E47" i="12" s="1"/>
  <c r="G38" i="12"/>
  <c r="F38" i="12"/>
  <c r="F46" i="12" s="1"/>
  <c r="E38" i="12"/>
  <c r="E46" i="12" s="1"/>
  <c r="G37" i="12"/>
  <c r="G45" i="12" s="1"/>
  <c r="F37" i="12"/>
  <c r="E37" i="12"/>
  <c r="E45" i="12" s="1"/>
  <c r="G36" i="12"/>
  <c r="G44" i="12" s="1"/>
  <c r="F36" i="12"/>
  <c r="F44" i="12" s="1"/>
  <c r="E36" i="12"/>
  <c r="G35" i="12"/>
  <c r="G43" i="12" s="1"/>
  <c r="F35" i="12"/>
  <c r="F43" i="12" s="1"/>
  <c r="E35" i="12"/>
  <c r="E43" i="12" s="1"/>
  <c r="G34" i="12"/>
  <c r="F34" i="12"/>
  <c r="G29" i="12"/>
  <c r="F29" i="12"/>
  <c r="E29" i="12"/>
  <c r="G28" i="12"/>
  <c r="F28" i="12"/>
  <c r="E28" i="12"/>
  <c r="G27" i="12"/>
  <c r="F27" i="12"/>
  <c r="E27" i="12"/>
  <c r="G26" i="12"/>
  <c r="F26" i="12"/>
  <c r="E26" i="12"/>
  <c r="G24" i="12"/>
  <c r="F24" i="12"/>
  <c r="G19" i="12"/>
  <c r="F19" i="12"/>
  <c r="E19" i="12"/>
  <c r="G18" i="12"/>
  <c r="F18" i="12"/>
  <c r="E18" i="12"/>
  <c r="G17" i="12"/>
  <c r="F17" i="12"/>
  <c r="E17" i="12"/>
  <c r="G16" i="12"/>
  <c r="F16" i="12"/>
  <c r="E16" i="12"/>
  <c r="G14" i="12"/>
  <c r="F14" i="12"/>
  <c r="G11" i="12"/>
  <c r="F11" i="12"/>
  <c r="E11" i="12"/>
  <c r="G10" i="12"/>
  <c r="F10" i="12"/>
  <c r="E10" i="12"/>
  <c r="G9" i="12"/>
  <c r="F9" i="12"/>
  <c r="E9" i="12"/>
  <c r="G8" i="12"/>
  <c r="F8" i="12"/>
  <c r="E8" i="12"/>
  <c r="G7" i="12"/>
  <c r="F7" i="12"/>
  <c r="E7" i="12"/>
  <c r="G6" i="12"/>
  <c r="F6" i="12"/>
  <c r="G5" i="3"/>
  <c r="F5"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34" i="3"/>
  <c r="E57" i="1" s="1"/>
  <c r="E33" i="3"/>
  <c r="E32" i="3"/>
  <c r="E31" i="3"/>
  <c r="E28" i="3"/>
  <c r="E27" i="3"/>
  <c r="E26" i="3"/>
  <c r="E23" i="3"/>
  <c r="E22" i="3"/>
  <c r="E21" i="3"/>
  <c r="E20" i="3"/>
  <c r="E19" i="3"/>
  <c r="E18" i="3"/>
  <c r="E17" i="3"/>
  <c r="E16" i="3"/>
  <c r="E13" i="3"/>
  <c r="E12" i="3"/>
  <c r="E11" i="3"/>
  <c r="E10" i="3"/>
  <c r="E5" i="3"/>
  <c r="E4" i="3"/>
  <c r="E6" i="12" s="1"/>
  <c r="E3" i="3"/>
  <c r="G123" i="1"/>
  <c r="F123" i="1"/>
  <c r="E123" i="1"/>
  <c r="G84" i="1"/>
  <c r="F84" i="1"/>
  <c r="F83" i="1"/>
  <c r="E83" i="1"/>
  <c r="G82" i="1"/>
  <c r="G83" i="1" s="1"/>
  <c r="G85" i="1" s="1"/>
  <c r="F82" i="1"/>
  <c r="F85" i="1" s="1"/>
  <c r="E82" i="1"/>
  <c r="F63" i="1"/>
  <c r="G60" i="1"/>
  <c r="F60" i="1"/>
  <c r="F61" i="1" s="1"/>
  <c r="F62" i="1" s="1"/>
  <c r="E60" i="1"/>
  <c r="E61" i="1" s="1"/>
  <c r="E62" i="1" s="1"/>
  <c r="E63" i="1" s="1"/>
  <c r="G55" i="1"/>
  <c r="F55" i="1"/>
  <c r="E55" i="1"/>
  <c r="G42" i="1"/>
  <c r="F42" i="1"/>
  <c r="E42" i="1"/>
  <c r="G29" i="1"/>
  <c r="F29" i="1"/>
  <c r="E29" i="1"/>
  <c r="G14" i="1"/>
  <c r="F14" i="1"/>
  <c r="E14" i="1"/>
  <c r="E34" i="12" l="1"/>
  <c r="E24" i="12"/>
  <c r="E14" i="12"/>
  <c r="E42" i="12"/>
  <c r="G61" i="1"/>
  <c r="G62" i="1" s="1"/>
  <c r="E84" i="1"/>
  <c r="E85" i="1" s="1"/>
  <c r="C145" i="59"/>
  <c r="F145" i="59" s="1"/>
  <c r="C144" i="59"/>
  <c r="F143" i="59"/>
  <c r="C143" i="59"/>
  <c r="H143" i="59" s="1"/>
  <c r="C142" i="59"/>
  <c r="I141" i="59"/>
  <c r="H141" i="59"/>
  <c r="G141" i="59"/>
  <c r="F141" i="59"/>
  <c r="E141" i="59"/>
  <c r="C141" i="59"/>
  <c r="C140" i="59"/>
  <c r="C139" i="59"/>
  <c r="F139" i="59" s="1"/>
  <c r="C138" i="59"/>
  <c r="C137" i="59"/>
  <c r="I136" i="59"/>
  <c r="H136" i="59"/>
  <c r="G136" i="59"/>
  <c r="F136" i="59"/>
  <c r="E136" i="59"/>
  <c r="C136" i="59"/>
  <c r="F135" i="59"/>
  <c r="C135" i="59"/>
  <c r="H135" i="59" s="1"/>
  <c r="C134" i="59"/>
  <c r="C133" i="59"/>
  <c r="F133" i="59" s="1"/>
  <c r="C132" i="59"/>
  <c r="I131" i="59"/>
  <c r="H131" i="59"/>
  <c r="G131" i="59"/>
  <c r="F131" i="59"/>
  <c r="E131" i="59"/>
  <c r="C131" i="59"/>
  <c r="C130" i="59"/>
  <c r="F129" i="59"/>
  <c r="C129" i="59"/>
  <c r="H129" i="59" s="1"/>
  <c r="C128" i="59"/>
  <c r="C127" i="59"/>
  <c r="I126" i="59"/>
  <c r="H126" i="59"/>
  <c r="G126" i="59"/>
  <c r="F126" i="59"/>
  <c r="E126" i="59"/>
  <c r="C126" i="59"/>
  <c r="F125" i="59"/>
  <c r="C125" i="59"/>
  <c r="H125" i="59" s="1"/>
  <c r="H124" i="59"/>
  <c r="C124" i="59"/>
  <c r="F123" i="59"/>
  <c r="C123" i="59"/>
  <c r="H123" i="59" s="1"/>
  <c r="C122" i="59"/>
  <c r="I121" i="59"/>
  <c r="H121" i="59"/>
  <c r="G121" i="59"/>
  <c r="F121" i="59"/>
  <c r="E121" i="59"/>
  <c r="C121" i="59"/>
  <c r="H120" i="59"/>
  <c r="C120" i="59"/>
  <c r="C119" i="59"/>
  <c r="H119" i="59" s="1"/>
  <c r="F118" i="59"/>
  <c r="C118" i="59"/>
  <c r="H118" i="59" s="1"/>
  <c r="C117" i="59"/>
  <c r="I116" i="59"/>
  <c r="H116" i="59"/>
  <c r="G116" i="59"/>
  <c r="F116" i="59"/>
  <c r="E116" i="59"/>
  <c r="C116" i="59"/>
  <c r="F115" i="59"/>
  <c r="C115" i="59"/>
  <c r="H114" i="59"/>
  <c r="C114" i="59"/>
  <c r="H113" i="59"/>
  <c r="C113" i="59"/>
  <c r="F113" i="59" s="1"/>
  <c r="C112" i="59"/>
  <c r="I111" i="59"/>
  <c r="H111" i="59"/>
  <c r="G111" i="59"/>
  <c r="F111" i="59"/>
  <c r="E111" i="59"/>
  <c r="C111" i="59"/>
  <c r="C110" i="59"/>
  <c r="H110" i="59" s="1"/>
  <c r="C109" i="59"/>
  <c r="F109" i="59" s="1"/>
  <c r="C108" i="59"/>
  <c r="H108" i="59" s="1"/>
  <c r="C107" i="59"/>
  <c r="I106" i="59"/>
  <c r="H106" i="59"/>
  <c r="G106" i="59"/>
  <c r="F106" i="59"/>
  <c r="E106" i="59"/>
  <c r="C106" i="59"/>
  <c r="F105" i="59"/>
  <c r="C105" i="59"/>
  <c r="H105" i="59" s="1"/>
  <c r="H104" i="59"/>
  <c r="C104" i="59"/>
  <c r="F104" i="59" s="1"/>
  <c r="C103" i="59"/>
  <c r="F103" i="59" s="1"/>
  <c r="C102" i="59"/>
  <c r="I101" i="59"/>
  <c r="H101" i="59"/>
  <c r="G101" i="59"/>
  <c r="F101" i="59"/>
  <c r="E101" i="59"/>
  <c r="C101" i="59"/>
  <c r="C100" i="59"/>
  <c r="H100" i="59" s="1"/>
  <c r="H99" i="59"/>
  <c r="F99" i="59"/>
  <c r="C99" i="59"/>
  <c r="F98" i="59"/>
  <c r="C98" i="59"/>
  <c r="H98" i="59" s="1"/>
  <c r="F97" i="59"/>
  <c r="C97" i="59"/>
  <c r="C96" i="59"/>
  <c r="I95" i="59"/>
  <c r="H95" i="59"/>
  <c r="G95" i="59"/>
  <c r="F95" i="59"/>
  <c r="E95" i="59"/>
  <c r="C95" i="59"/>
  <c r="H94" i="59"/>
  <c r="C94" i="59"/>
  <c r="H93" i="59"/>
  <c r="C93" i="59"/>
  <c r="F93" i="59" s="1"/>
  <c r="H92" i="59"/>
  <c r="F92" i="59"/>
  <c r="C92" i="59"/>
  <c r="F91" i="59"/>
  <c r="C91" i="59"/>
  <c r="C90" i="59"/>
  <c r="I89" i="59"/>
  <c r="H89" i="59"/>
  <c r="G89" i="59"/>
  <c r="F89" i="59"/>
  <c r="E89" i="59"/>
  <c r="C89" i="59"/>
  <c r="H88" i="59"/>
  <c r="C88" i="59"/>
  <c r="C87" i="59"/>
  <c r="H87" i="59" s="1"/>
  <c r="C86" i="59"/>
  <c r="H86" i="59" s="1"/>
  <c r="C85" i="59"/>
  <c r="F85" i="59" s="1"/>
  <c r="C84" i="59"/>
  <c r="I83" i="59"/>
  <c r="H83" i="59"/>
  <c r="G83" i="59"/>
  <c r="F83" i="59"/>
  <c r="E83" i="59"/>
  <c r="C83" i="59"/>
  <c r="C82" i="59"/>
  <c r="H82" i="59" s="1"/>
  <c r="H81" i="59"/>
  <c r="F81" i="59"/>
  <c r="C81" i="59"/>
  <c r="C80" i="59"/>
  <c r="H80" i="59" s="1"/>
  <c r="C79" i="59"/>
  <c r="F79" i="59" s="1"/>
  <c r="C78" i="59"/>
  <c r="I77" i="59"/>
  <c r="H77" i="59"/>
  <c r="G77" i="59"/>
  <c r="F77" i="59"/>
  <c r="E77" i="59"/>
  <c r="C77" i="59"/>
  <c r="C76" i="59"/>
  <c r="H76" i="59" s="1"/>
  <c r="F75" i="59"/>
  <c r="C75" i="59"/>
  <c r="H75" i="59" s="1"/>
  <c r="F74" i="59"/>
  <c r="C74" i="59"/>
  <c r="H74" i="59" s="1"/>
  <c r="F73" i="59"/>
  <c r="C73" i="59"/>
  <c r="C72" i="59"/>
  <c r="I71" i="59"/>
  <c r="H71" i="59"/>
  <c r="G71" i="59"/>
  <c r="F71" i="59"/>
  <c r="E71" i="59"/>
  <c r="C71" i="59"/>
  <c r="I70" i="59"/>
  <c r="H70" i="59"/>
  <c r="G70" i="59"/>
  <c r="F70" i="59"/>
  <c r="E70" i="59"/>
  <c r="C70" i="59"/>
  <c r="I69" i="59"/>
  <c r="H69" i="59"/>
  <c r="G69" i="59"/>
  <c r="F69" i="59"/>
  <c r="E69" i="59"/>
  <c r="C69" i="59"/>
  <c r="H68" i="59"/>
  <c r="C68" i="59"/>
  <c r="C67" i="59"/>
  <c r="H67" i="59" s="1"/>
  <c r="F66" i="59"/>
  <c r="C66" i="59"/>
  <c r="H66" i="59" s="1"/>
  <c r="F65" i="59"/>
  <c r="C65" i="59"/>
  <c r="H64" i="59"/>
  <c r="C64" i="59"/>
  <c r="H63" i="59"/>
  <c r="C63" i="59"/>
  <c r="F63" i="59" s="1"/>
  <c r="C62" i="59"/>
  <c r="I61" i="59"/>
  <c r="H61" i="59"/>
  <c r="G61" i="59"/>
  <c r="F61" i="59"/>
  <c r="E61" i="59"/>
  <c r="C61" i="59"/>
  <c r="I60" i="59"/>
  <c r="H60" i="59"/>
  <c r="G60" i="59"/>
  <c r="F60" i="59"/>
  <c r="E60" i="59"/>
  <c r="C60" i="59"/>
  <c r="I59" i="59"/>
  <c r="H59" i="59"/>
  <c r="G59" i="59"/>
  <c r="F59" i="59"/>
  <c r="E59" i="59"/>
  <c r="C59" i="59"/>
  <c r="C58" i="59"/>
  <c r="H58" i="59" s="1"/>
  <c r="C57" i="59"/>
  <c r="F57" i="59" s="1"/>
  <c r="C56" i="59"/>
  <c r="H56" i="59" s="1"/>
  <c r="C55" i="59"/>
  <c r="C54" i="59"/>
  <c r="G54" i="59" s="1"/>
  <c r="F53" i="59"/>
  <c r="C53" i="59"/>
  <c r="G53" i="59" s="1"/>
  <c r="F52" i="59"/>
  <c r="C52" i="59"/>
  <c r="I52" i="59" s="1"/>
  <c r="C51" i="59"/>
  <c r="I50" i="59"/>
  <c r="H50" i="59"/>
  <c r="G50" i="59"/>
  <c r="F50" i="59"/>
  <c r="E50" i="59"/>
  <c r="C50" i="59"/>
  <c r="G49" i="59"/>
  <c r="C49" i="59"/>
  <c r="H48" i="59"/>
  <c r="E48" i="59"/>
  <c r="C48" i="59"/>
  <c r="G48" i="59" s="1"/>
  <c r="H47" i="59"/>
  <c r="F47" i="59"/>
  <c r="C47" i="59"/>
  <c r="G47" i="59" s="1"/>
  <c r="C46" i="59"/>
  <c r="I46" i="59" s="1"/>
  <c r="C45" i="59"/>
  <c r="C44" i="59"/>
  <c r="G44" i="59" s="1"/>
  <c r="C43" i="59"/>
  <c r="H43" i="59" s="1"/>
  <c r="C42" i="59"/>
  <c r="I42" i="59" s="1"/>
  <c r="C41" i="59"/>
  <c r="G41" i="59" s="1"/>
  <c r="C40" i="59"/>
  <c r="G40" i="59" s="1"/>
  <c r="C39" i="59"/>
  <c r="H39" i="59" s="1"/>
  <c r="C38" i="59"/>
  <c r="I37" i="59"/>
  <c r="H37" i="59"/>
  <c r="G37" i="59"/>
  <c r="F37" i="59"/>
  <c r="E37" i="59"/>
  <c r="C37" i="59"/>
  <c r="I36" i="59"/>
  <c r="H36" i="59"/>
  <c r="G36" i="59"/>
  <c r="F36" i="59"/>
  <c r="E36" i="59"/>
  <c r="C36" i="59"/>
  <c r="I35" i="59"/>
  <c r="H35" i="59"/>
  <c r="G35" i="59"/>
  <c r="F35" i="59"/>
  <c r="E35" i="59"/>
  <c r="C35" i="59"/>
  <c r="I34" i="59"/>
  <c r="H34" i="59"/>
  <c r="G34" i="59"/>
  <c r="F34" i="59"/>
  <c r="E34" i="59"/>
  <c r="C34" i="59"/>
  <c r="C33" i="59"/>
  <c r="H33" i="59" s="1"/>
  <c r="C32" i="59"/>
  <c r="I32" i="59" s="1"/>
  <c r="C31" i="59"/>
  <c r="I30" i="59"/>
  <c r="H30" i="59"/>
  <c r="G30" i="59"/>
  <c r="F30" i="59"/>
  <c r="E30" i="59"/>
  <c r="C30" i="59"/>
  <c r="C29" i="59"/>
  <c r="G29" i="59" s="1"/>
  <c r="F28" i="59"/>
  <c r="C28" i="59"/>
  <c r="G28" i="59" s="1"/>
  <c r="G27" i="59"/>
  <c r="C27" i="59"/>
  <c r="F27" i="59" s="1"/>
  <c r="I26" i="59"/>
  <c r="F26" i="59"/>
  <c r="C26" i="59"/>
  <c r="H26" i="59" s="1"/>
  <c r="H25" i="59"/>
  <c r="C25" i="59"/>
  <c r="H24" i="59"/>
  <c r="C24" i="59"/>
  <c r="C23" i="59"/>
  <c r="H23" i="59" s="1"/>
  <c r="C22" i="59"/>
  <c r="I22" i="59" s="1"/>
  <c r="C21" i="59"/>
  <c r="I20" i="59"/>
  <c r="H20" i="59"/>
  <c r="G20" i="59"/>
  <c r="F20" i="59"/>
  <c r="E20" i="59"/>
  <c r="C20" i="59"/>
  <c r="I19" i="59"/>
  <c r="H19" i="59"/>
  <c r="G19" i="59"/>
  <c r="F19" i="59"/>
  <c r="E19" i="59"/>
  <c r="C19" i="59"/>
  <c r="I18" i="59"/>
  <c r="E18" i="59"/>
  <c r="C18" i="59"/>
  <c r="H18" i="59" s="1"/>
  <c r="H17" i="59"/>
  <c r="C17" i="59"/>
  <c r="F16" i="59"/>
  <c r="C16" i="59"/>
  <c r="C15" i="59"/>
  <c r="I14" i="59"/>
  <c r="H14" i="59"/>
  <c r="G14" i="59"/>
  <c r="F14" i="59"/>
  <c r="E14" i="59"/>
  <c r="C14" i="59"/>
  <c r="C13" i="59"/>
  <c r="G13" i="59" s="1"/>
  <c r="C12" i="59"/>
  <c r="G12" i="59" s="1"/>
  <c r="C11" i="59"/>
  <c r="H11" i="59" s="1"/>
  <c r="C10" i="59"/>
  <c r="I10" i="59" s="1"/>
  <c r="C9" i="59"/>
  <c r="H9" i="59" s="1"/>
  <c r="C331" i="58"/>
  <c r="I331" i="58" s="1"/>
  <c r="C330" i="58"/>
  <c r="G329" i="58"/>
  <c r="E329" i="58"/>
  <c r="C329" i="58"/>
  <c r="H329" i="58" s="1"/>
  <c r="H328" i="58"/>
  <c r="E328" i="58"/>
  <c r="C328" i="58"/>
  <c r="F328" i="58" s="1"/>
  <c r="I327" i="58"/>
  <c r="C327" i="58"/>
  <c r="I326" i="58"/>
  <c r="H326" i="58"/>
  <c r="G326" i="58"/>
  <c r="F326" i="58"/>
  <c r="E326" i="58"/>
  <c r="C326" i="58"/>
  <c r="I325" i="58"/>
  <c r="H325" i="58"/>
  <c r="G325" i="58"/>
  <c r="F325" i="58"/>
  <c r="E325" i="58"/>
  <c r="C325" i="58"/>
  <c r="I324" i="58"/>
  <c r="H324" i="58"/>
  <c r="G324" i="58"/>
  <c r="F324" i="58"/>
  <c r="E324" i="58"/>
  <c r="C324" i="58"/>
  <c r="G323" i="58"/>
  <c r="E323" i="58"/>
  <c r="C323" i="58"/>
  <c r="H323" i="58" s="1"/>
  <c r="G322" i="58"/>
  <c r="C322" i="58"/>
  <c r="F322" i="58" s="1"/>
  <c r="C321" i="58"/>
  <c r="C320" i="58"/>
  <c r="F320" i="58" s="1"/>
  <c r="C319" i="58"/>
  <c r="C318" i="58"/>
  <c r="G317" i="58"/>
  <c r="E317" i="58"/>
  <c r="C317" i="58"/>
  <c r="H317" i="58" s="1"/>
  <c r="C316" i="58"/>
  <c r="F316" i="58" s="1"/>
  <c r="G315" i="58"/>
  <c r="F315" i="58"/>
  <c r="E315" i="58"/>
  <c r="C315" i="58"/>
  <c r="H315" i="58" s="1"/>
  <c r="I314" i="58"/>
  <c r="H314" i="58"/>
  <c r="G314" i="58"/>
  <c r="F314" i="58"/>
  <c r="E314" i="58"/>
  <c r="C314" i="58"/>
  <c r="I313" i="58"/>
  <c r="C313" i="58"/>
  <c r="C312" i="58"/>
  <c r="G311" i="58"/>
  <c r="F311" i="58"/>
  <c r="E311" i="58"/>
  <c r="C311" i="58"/>
  <c r="H311" i="58" s="1"/>
  <c r="C310" i="58"/>
  <c r="G309" i="58"/>
  <c r="F309" i="58"/>
  <c r="E309" i="58"/>
  <c r="C309" i="58"/>
  <c r="H309" i="58" s="1"/>
  <c r="H308" i="58"/>
  <c r="G308" i="58"/>
  <c r="E308" i="58"/>
  <c r="C308" i="58"/>
  <c r="F308" i="58" s="1"/>
  <c r="F307" i="58"/>
  <c r="C307" i="58"/>
  <c r="I306" i="58"/>
  <c r="H306" i="58"/>
  <c r="G306" i="58"/>
  <c r="F306" i="58"/>
  <c r="E306" i="58"/>
  <c r="C306" i="58"/>
  <c r="G305" i="58"/>
  <c r="F305" i="58"/>
  <c r="E305" i="58"/>
  <c r="C305" i="58"/>
  <c r="H305" i="58" s="1"/>
  <c r="G304" i="58"/>
  <c r="C304" i="58"/>
  <c r="F304" i="58" s="1"/>
  <c r="C303" i="58"/>
  <c r="I302" i="58"/>
  <c r="H302" i="58"/>
  <c r="G302" i="58"/>
  <c r="F302" i="58"/>
  <c r="E302" i="58"/>
  <c r="C302" i="58"/>
  <c r="I301" i="58"/>
  <c r="H301" i="58"/>
  <c r="G301" i="58"/>
  <c r="F301" i="58"/>
  <c r="E301" i="58"/>
  <c r="C301" i="58"/>
  <c r="I300" i="58"/>
  <c r="H300" i="58"/>
  <c r="G300" i="58"/>
  <c r="F300" i="58"/>
  <c r="E300" i="58"/>
  <c r="C300" i="58"/>
  <c r="G299" i="58"/>
  <c r="E299" i="58"/>
  <c r="C299" i="58"/>
  <c r="H299" i="58" s="1"/>
  <c r="H298" i="58"/>
  <c r="C298" i="58"/>
  <c r="G297" i="58"/>
  <c r="E297" i="58"/>
  <c r="C297" i="58"/>
  <c r="H297" i="58" s="1"/>
  <c r="H296" i="58"/>
  <c r="E296" i="58"/>
  <c r="C296" i="58"/>
  <c r="F296" i="58" s="1"/>
  <c r="C295" i="58"/>
  <c r="E294" i="58"/>
  <c r="C294" i="58"/>
  <c r="F294" i="58" s="1"/>
  <c r="I293" i="58"/>
  <c r="F293" i="58"/>
  <c r="C293" i="58"/>
  <c r="G292" i="58"/>
  <c r="C292" i="58"/>
  <c r="G291" i="58"/>
  <c r="F291" i="58"/>
  <c r="E291" i="58"/>
  <c r="C291" i="58"/>
  <c r="H291" i="58" s="1"/>
  <c r="I290" i="58"/>
  <c r="H290" i="58"/>
  <c r="G290" i="58"/>
  <c r="F290" i="58"/>
  <c r="E290" i="58"/>
  <c r="C290" i="58"/>
  <c r="I289" i="58"/>
  <c r="H289" i="58"/>
  <c r="G289" i="58"/>
  <c r="F289" i="58"/>
  <c r="E289" i="58"/>
  <c r="C289" i="58"/>
  <c r="H288" i="58"/>
  <c r="C288" i="58"/>
  <c r="G287" i="58"/>
  <c r="F287" i="58"/>
  <c r="E287" i="58"/>
  <c r="C287" i="58"/>
  <c r="H287" i="58" s="1"/>
  <c r="H286" i="58"/>
  <c r="G286" i="58"/>
  <c r="E286" i="58"/>
  <c r="C286" i="58"/>
  <c r="F286" i="58" s="1"/>
  <c r="C285" i="58"/>
  <c r="H284" i="58"/>
  <c r="E284" i="58"/>
  <c r="C284" i="58"/>
  <c r="F284" i="58" s="1"/>
  <c r="I283" i="58"/>
  <c r="C283" i="58"/>
  <c r="C282" i="58"/>
  <c r="G281" i="58"/>
  <c r="E281" i="58"/>
  <c r="C281" i="58"/>
  <c r="H281" i="58" s="1"/>
  <c r="H280" i="58"/>
  <c r="C280" i="58"/>
  <c r="G279" i="58"/>
  <c r="E279" i="58"/>
  <c r="C279" i="58"/>
  <c r="H279" i="58" s="1"/>
  <c r="H278" i="58"/>
  <c r="E278" i="58"/>
  <c r="C278" i="58"/>
  <c r="F278" i="58" s="1"/>
  <c r="I277" i="58"/>
  <c r="C277" i="58"/>
  <c r="E276" i="58"/>
  <c r="C276" i="58"/>
  <c r="F276" i="58" s="1"/>
  <c r="F275" i="58"/>
  <c r="C275" i="58"/>
  <c r="I275" i="58" s="1"/>
  <c r="G274" i="58"/>
  <c r="C274" i="58"/>
  <c r="I273" i="58"/>
  <c r="H273" i="58"/>
  <c r="G273" i="58"/>
  <c r="F273" i="58"/>
  <c r="E273" i="58"/>
  <c r="C273" i="58"/>
  <c r="I272" i="58"/>
  <c r="H272" i="58"/>
  <c r="G272" i="58"/>
  <c r="F272" i="58"/>
  <c r="E272" i="58"/>
  <c r="C272" i="58"/>
  <c r="G271" i="58"/>
  <c r="F271" i="58"/>
  <c r="E271" i="58"/>
  <c r="C271" i="58"/>
  <c r="H271" i="58" s="1"/>
  <c r="H270" i="58"/>
  <c r="C270" i="58"/>
  <c r="G269" i="58"/>
  <c r="F269" i="58"/>
  <c r="E269" i="58"/>
  <c r="C269" i="58"/>
  <c r="H269" i="58" s="1"/>
  <c r="H268" i="58"/>
  <c r="G268" i="58"/>
  <c r="E268" i="58"/>
  <c r="C268" i="58"/>
  <c r="F268" i="58" s="1"/>
  <c r="I267" i="58"/>
  <c r="F267" i="58"/>
  <c r="C267" i="58"/>
  <c r="G267" i="58" s="1"/>
  <c r="H266" i="58"/>
  <c r="E266" i="58"/>
  <c r="C266" i="58"/>
  <c r="F266" i="58" s="1"/>
  <c r="C265" i="58"/>
  <c r="H264" i="58"/>
  <c r="G264" i="58"/>
  <c r="C264" i="58"/>
  <c r="I263" i="58"/>
  <c r="G263" i="58"/>
  <c r="E263" i="58"/>
  <c r="C263" i="58"/>
  <c r="H262" i="58"/>
  <c r="C262" i="58"/>
  <c r="I261" i="58"/>
  <c r="E261" i="58"/>
  <c r="C261" i="58"/>
  <c r="G261" i="58" s="1"/>
  <c r="I260" i="58"/>
  <c r="H260" i="58"/>
  <c r="G260" i="58"/>
  <c r="F260" i="58"/>
  <c r="E260" i="58"/>
  <c r="C260" i="58"/>
  <c r="I259" i="58"/>
  <c r="H259" i="58"/>
  <c r="G259" i="58"/>
  <c r="F259" i="58"/>
  <c r="E259" i="58"/>
  <c r="C259" i="58"/>
  <c r="C258" i="58"/>
  <c r="C257" i="58"/>
  <c r="C256" i="58"/>
  <c r="F255" i="58"/>
  <c r="C255" i="58"/>
  <c r="E254" i="58"/>
  <c r="C254" i="58"/>
  <c r="G254" i="58" s="1"/>
  <c r="G253" i="58"/>
  <c r="F253" i="58"/>
  <c r="E253" i="58"/>
  <c r="C253" i="58"/>
  <c r="H253" i="58" s="1"/>
  <c r="H252" i="58"/>
  <c r="C252" i="58"/>
  <c r="G251" i="58"/>
  <c r="F251" i="58"/>
  <c r="E251" i="58"/>
  <c r="C251" i="58"/>
  <c r="H251" i="58" s="1"/>
  <c r="H250" i="58"/>
  <c r="G250" i="58"/>
  <c r="E250" i="58"/>
  <c r="C250" i="58"/>
  <c r="F250" i="58" s="1"/>
  <c r="I249" i="58"/>
  <c r="H249" i="58"/>
  <c r="G249" i="58"/>
  <c r="F249" i="58"/>
  <c r="E249" i="58"/>
  <c r="C249" i="58"/>
  <c r="I248" i="58"/>
  <c r="H248" i="58"/>
  <c r="G248" i="58"/>
  <c r="F248" i="58"/>
  <c r="E248" i="58"/>
  <c r="C248" i="58"/>
  <c r="G247" i="58"/>
  <c r="C247" i="58"/>
  <c r="H246" i="58"/>
  <c r="E246" i="58"/>
  <c r="C246" i="58"/>
  <c r="F246" i="58" s="1"/>
  <c r="I245" i="58"/>
  <c r="G245" i="58"/>
  <c r="F245" i="58"/>
  <c r="C245" i="58"/>
  <c r="C244" i="58"/>
  <c r="C243" i="58"/>
  <c r="C242" i="58"/>
  <c r="G241" i="58"/>
  <c r="C241" i="58"/>
  <c r="H240" i="58"/>
  <c r="E240" i="58"/>
  <c r="C240" i="58"/>
  <c r="I239" i="58"/>
  <c r="F239" i="58"/>
  <c r="E239" i="58"/>
  <c r="C239" i="58"/>
  <c r="E238" i="58"/>
  <c r="C238" i="58"/>
  <c r="I237" i="58"/>
  <c r="E237" i="58"/>
  <c r="C237" i="58"/>
  <c r="F237" i="58" s="1"/>
  <c r="G236" i="58"/>
  <c r="C236" i="58"/>
  <c r="G235" i="58"/>
  <c r="F235" i="58"/>
  <c r="E235" i="58"/>
  <c r="C235" i="58"/>
  <c r="H235" i="58" s="1"/>
  <c r="H234" i="58"/>
  <c r="E234" i="58"/>
  <c r="C234" i="58"/>
  <c r="F234" i="58" s="1"/>
  <c r="G233" i="58"/>
  <c r="F233" i="58"/>
  <c r="E233" i="58"/>
  <c r="C233" i="58"/>
  <c r="H233" i="58" s="1"/>
  <c r="I232" i="58"/>
  <c r="H232" i="58"/>
  <c r="G232" i="58"/>
  <c r="F232" i="58"/>
  <c r="E232" i="58"/>
  <c r="C232" i="58"/>
  <c r="I231" i="58"/>
  <c r="H231" i="58"/>
  <c r="G231" i="58"/>
  <c r="F231" i="58"/>
  <c r="E231" i="58"/>
  <c r="C231" i="58"/>
  <c r="H230" i="58"/>
  <c r="G230" i="58"/>
  <c r="E230" i="58"/>
  <c r="C230" i="58"/>
  <c r="F230" i="58" s="1"/>
  <c r="I229" i="58"/>
  <c r="G229" i="58"/>
  <c r="F229" i="58"/>
  <c r="C229" i="58"/>
  <c r="H228" i="58"/>
  <c r="E228" i="58"/>
  <c r="C228" i="58"/>
  <c r="F228" i="58" s="1"/>
  <c r="G227" i="58"/>
  <c r="C227" i="58"/>
  <c r="G226" i="58"/>
  <c r="C226" i="58"/>
  <c r="H226" i="58" s="1"/>
  <c r="I225" i="58"/>
  <c r="E225" i="58"/>
  <c r="C225" i="58"/>
  <c r="G225" i="58" s="1"/>
  <c r="H224" i="58"/>
  <c r="C224" i="58"/>
  <c r="I223" i="58"/>
  <c r="G223" i="58"/>
  <c r="E223" i="58"/>
  <c r="C223" i="58"/>
  <c r="C222" i="58"/>
  <c r="C221" i="58"/>
  <c r="C220" i="58"/>
  <c r="I219" i="58"/>
  <c r="H219" i="58"/>
  <c r="G219" i="58"/>
  <c r="F219" i="58"/>
  <c r="E219" i="58"/>
  <c r="C219" i="58"/>
  <c r="I218" i="58"/>
  <c r="H218" i="58"/>
  <c r="G218" i="58"/>
  <c r="F218" i="58"/>
  <c r="E218" i="58"/>
  <c r="C218" i="58"/>
  <c r="I217" i="58"/>
  <c r="H217" i="58"/>
  <c r="G217" i="58"/>
  <c r="F217" i="58"/>
  <c r="E217" i="58"/>
  <c r="C217" i="58"/>
  <c r="C216" i="58"/>
  <c r="C215" i="58"/>
  <c r="C214" i="58"/>
  <c r="F214" i="58" s="1"/>
  <c r="I213" i="58"/>
  <c r="F213" i="58"/>
  <c r="C213" i="58"/>
  <c r="G213" i="58" s="1"/>
  <c r="G212" i="58"/>
  <c r="C212" i="58"/>
  <c r="F212" i="58" s="1"/>
  <c r="G211" i="58"/>
  <c r="F211" i="58"/>
  <c r="E211" i="58"/>
  <c r="C211" i="58"/>
  <c r="H211" i="58" s="1"/>
  <c r="C210" i="58"/>
  <c r="F210" i="58" s="1"/>
  <c r="G209" i="58"/>
  <c r="C209" i="58"/>
  <c r="G208" i="58"/>
  <c r="C208" i="58"/>
  <c r="F208" i="58" s="1"/>
  <c r="G207" i="58"/>
  <c r="C207" i="58"/>
  <c r="C206" i="58"/>
  <c r="F206" i="58" s="1"/>
  <c r="I205" i="58"/>
  <c r="F205" i="58"/>
  <c r="E205" i="58"/>
  <c r="C205" i="58"/>
  <c r="C204" i="58"/>
  <c r="G203" i="58"/>
  <c r="C203" i="58"/>
  <c r="C202" i="58"/>
  <c r="F202" i="58" s="1"/>
  <c r="G201" i="58"/>
  <c r="F201" i="58"/>
  <c r="E201" i="58"/>
  <c r="C201" i="58"/>
  <c r="H201" i="58" s="1"/>
  <c r="I200" i="58"/>
  <c r="H200" i="58"/>
  <c r="G200" i="58"/>
  <c r="F200" i="58"/>
  <c r="E200" i="58"/>
  <c r="C200" i="58"/>
  <c r="I199" i="58"/>
  <c r="H199" i="58"/>
  <c r="G199" i="58"/>
  <c r="F199" i="58"/>
  <c r="E199" i="58"/>
  <c r="C199" i="58"/>
  <c r="G198" i="58"/>
  <c r="C198" i="58"/>
  <c r="F198" i="58" s="1"/>
  <c r="I197" i="58"/>
  <c r="F197" i="58"/>
  <c r="E197" i="58"/>
  <c r="C197" i="58"/>
  <c r="C196" i="58"/>
  <c r="F196" i="58" s="1"/>
  <c r="G195" i="58"/>
  <c r="E195" i="58"/>
  <c r="C195" i="58"/>
  <c r="H195" i="58" s="1"/>
  <c r="G194" i="58"/>
  <c r="C194" i="58"/>
  <c r="F194" i="58" s="1"/>
  <c r="F193" i="58"/>
  <c r="C193" i="58"/>
  <c r="I193" i="58" s="1"/>
  <c r="C192" i="58"/>
  <c r="F192" i="58" s="1"/>
  <c r="I191" i="58"/>
  <c r="H191" i="58"/>
  <c r="G191" i="58"/>
  <c r="F191" i="58"/>
  <c r="E191" i="58"/>
  <c r="C191" i="58"/>
  <c r="C190" i="58"/>
  <c r="G189" i="58"/>
  <c r="F189" i="58"/>
  <c r="E189" i="58"/>
  <c r="C189" i="58"/>
  <c r="H189" i="58" s="1"/>
  <c r="H188" i="58"/>
  <c r="G188" i="58"/>
  <c r="E188" i="58"/>
  <c r="C188" i="58"/>
  <c r="F188" i="58" s="1"/>
  <c r="F187" i="58"/>
  <c r="C187" i="58"/>
  <c r="I187" i="58" s="1"/>
  <c r="H186" i="58"/>
  <c r="E186" i="58"/>
  <c r="C186" i="58"/>
  <c r="F186" i="58" s="1"/>
  <c r="I185" i="58"/>
  <c r="F185" i="58"/>
  <c r="C185" i="58"/>
  <c r="G184" i="58"/>
  <c r="C184" i="58"/>
  <c r="G183" i="58"/>
  <c r="C183" i="58"/>
  <c r="G182" i="58"/>
  <c r="E182" i="58"/>
  <c r="C182" i="58"/>
  <c r="H182" i="58" s="1"/>
  <c r="I181" i="58"/>
  <c r="E181" i="58"/>
  <c r="C181" i="58"/>
  <c r="H181" i="58" s="1"/>
  <c r="I180" i="58"/>
  <c r="C180" i="58"/>
  <c r="C179" i="58"/>
  <c r="G178" i="58"/>
  <c r="F178" i="58"/>
  <c r="E178" i="58"/>
  <c r="C178" i="58"/>
  <c r="H178" i="58" s="1"/>
  <c r="I177" i="58"/>
  <c r="G177" i="58"/>
  <c r="E177" i="58"/>
  <c r="C177" i="58"/>
  <c r="H177" i="58" s="1"/>
  <c r="F176" i="58"/>
  <c r="C176" i="58"/>
  <c r="I176" i="58" s="1"/>
  <c r="G175" i="58"/>
  <c r="C175" i="58"/>
  <c r="G174" i="58"/>
  <c r="E174" i="58"/>
  <c r="C174" i="58"/>
  <c r="H174" i="58" s="1"/>
  <c r="I173" i="58"/>
  <c r="H173" i="58"/>
  <c r="G173" i="58"/>
  <c r="F173" i="58"/>
  <c r="E173" i="58"/>
  <c r="C173" i="58"/>
  <c r="I172" i="58"/>
  <c r="H172" i="58"/>
  <c r="G172" i="58"/>
  <c r="F172" i="58"/>
  <c r="E172" i="58"/>
  <c r="C172" i="58"/>
  <c r="I171" i="58"/>
  <c r="E171" i="58"/>
  <c r="C171" i="58"/>
  <c r="H171" i="58" s="1"/>
  <c r="I170" i="58"/>
  <c r="C170" i="58"/>
  <c r="C169" i="58"/>
  <c r="G168" i="58"/>
  <c r="F168" i="58"/>
  <c r="E168" i="58"/>
  <c r="C168" i="58"/>
  <c r="H168" i="58" s="1"/>
  <c r="I167" i="58"/>
  <c r="G167" i="58"/>
  <c r="E167" i="58"/>
  <c r="C167" i="58"/>
  <c r="H167" i="58" s="1"/>
  <c r="F166" i="58"/>
  <c r="C166" i="58"/>
  <c r="I166" i="58" s="1"/>
  <c r="G165" i="58"/>
  <c r="C165" i="58"/>
  <c r="G164" i="58"/>
  <c r="E164" i="58"/>
  <c r="C164" i="58"/>
  <c r="H164" i="58" s="1"/>
  <c r="I163" i="58"/>
  <c r="E163" i="58"/>
  <c r="C163" i="58"/>
  <c r="H163" i="58" s="1"/>
  <c r="I162" i="58"/>
  <c r="C162" i="58"/>
  <c r="C161" i="58"/>
  <c r="G160" i="58"/>
  <c r="F160" i="58"/>
  <c r="E160" i="58"/>
  <c r="C160" i="58"/>
  <c r="H160" i="58" s="1"/>
  <c r="I159" i="58"/>
  <c r="G159" i="58"/>
  <c r="E159" i="58"/>
  <c r="C159" i="58"/>
  <c r="H159" i="58" s="1"/>
  <c r="F158" i="58"/>
  <c r="C158" i="58"/>
  <c r="I158" i="58" s="1"/>
  <c r="I157" i="58"/>
  <c r="H157" i="58"/>
  <c r="G157" i="58"/>
  <c r="F157" i="58"/>
  <c r="E157" i="58"/>
  <c r="C157" i="58"/>
  <c r="I156" i="58"/>
  <c r="H156" i="58"/>
  <c r="G156" i="58"/>
  <c r="F156" i="58"/>
  <c r="E156" i="58"/>
  <c r="C156" i="58"/>
  <c r="G155" i="58"/>
  <c r="C155" i="58"/>
  <c r="G154" i="58"/>
  <c r="E154" i="58"/>
  <c r="C154" i="58"/>
  <c r="H154" i="58" s="1"/>
  <c r="I153" i="58"/>
  <c r="E153" i="58"/>
  <c r="C153" i="58"/>
  <c r="H153" i="58" s="1"/>
  <c r="I152" i="58"/>
  <c r="C152" i="58"/>
  <c r="C151" i="58"/>
  <c r="G150" i="58"/>
  <c r="F150" i="58"/>
  <c r="E150" i="58"/>
  <c r="C150" i="58"/>
  <c r="H150" i="58" s="1"/>
  <c r="I149" i="58"/>
  <c r="G149" i="58"/>
  <c r="E149" i="58"/>
  <c r="C149" i="58"/>
  <c r="H149" i="58" s="1"/>
  <c r="F148" i="58"/>
  <c r="C148" i="58"/>
  <c r="I148" i="58" s="1"/>
  <c r="G147" i="58"/>
  <c r="C147" i="58"/>
  <c r="G146" i="58"/>
  <c r="E146" i="58"/>
  <c r="C146" i="58"/>
  <c r="H146" i="58" s="1"/>
  <c r="I145" i="58"/>
  <c r="E145" i="58"/>
  <c r="C145" i="58"/>
  <c r="H145" i="58" s="1"/>
  <c r="I144" i="58"/>
  <c r="C144" i="58"/>
  <c r="C143" i="58"/>
  <c r="G142" i="58"/>
  <c r="F142" i="58"/>
  <c r="E142" i="58"/>
  <c r="C142" i="58"/>
  <c r="H142" i="58" s="1"/>
  <c r="I141" i="58"/>
  <c r="H141" i="58"/>
  <c r="G141" i="58"/>
  <c r="F141" i="58"/>
  <c r="E141" i="58"/>
  <c r="C141" i="58"/>
  <c r="I140" i="58"/>
  <c r="H140" i="58"/>
  <c r="G140" i="58"/>
  <c r="F140" i="58"/>
  <c r="E140" i="58"/>
  <c r="C140" i="58"/>
  <c r="I139" i="58"/>
  <c r="G139" i="58"/>
  <c r="E139" i="58"/>
  <c r="C139" i="58"/>
  <c r="H139" i="58" s="1"/>
  <c r="F138" i="58"/>
  <c r="C138" i="58"/>
  <c r="I138" i="58" s="1"/>
  <c r="G137" i="58"/>
  <c r="C137" i="58"/>
  <c r="G136" i="58"/>
  <c r="E136" i="58"/>
  <c r="C136" i="58"/>
  <c r="H136" i="58" s="1"/>
  <c r="I135" i="58"/>
  <c r="E135" i="58"/>
  <c r="C135" i="58"/>
  <c r="H135" i="58" s="1"/>
  <c r="I134" i="58"/>
  <c r="C134" i="58"/>
  <c r="C133" i="58"/>
  <c r="G132" i="58"/>
  <c r="F132" i="58"/>
  <c r="E132" i="58"/>
  <c r="C132" i="58"/>
  <c r="H132" i="58" s="1"/>
  <c r="I131" i="58"/>
  <c r="G131" i="58"/>
  <c r="E131" i="58"/>
  <c r="C131" i="58"/>
  <c r="H131" i="58" s="1"/>
  <c r="F130" i="58"/>
  <c r="C130" i="58"/>
  <c r="I130" i="58" s="1"/>
  <c r="G129" i="58"/>
  <c r="C129" i="58"/>
  <c r="G128" i="58"/>
  <c r="E128" i="58"/>
  <c r="C128" i="58"/>
  <c r="H128" i="58" s="1"/>
  <c r="I127" i="58"/>
  <c r="E127" i="58"/>
  <c r="C127" i="58"/>
  <c r="H127" i="58" s="1"/>
  <c r="I126" i="58"/>
  <c r="C126" i="58"/>
  <c r="C125" i="58"/>
  <c r="G124" i="58"/>
  <c r="F124" i="58"/>
  <c r="E124" i="58"/>
  <c r="C124" i="58"/>
  <c r="H124" i="58" s="1"/>
  <c r="I123" i="58"/>
  <c r="G123" i="58"/>
  <c r="E123" i="58"/>
  <c r="C123" i="58"/>
  <c r="H123" i="58" s="1"/>
  <c r="F122" i="58"/>
  <c r="C122" i="58"/>
  <c r="I122" i="58" s="1"/>
  <c r="G121" i="58"/>
  <c r="C121" i="58"/>
  <c r="G120" i="58"/>
  <c r="E120" i="58"/>
  <c r="C120" i="58"/>
  <c r="H120" i="58" s="1"/>
  <c r="I119" i="58"/>
  <c r="H119" i="58"/>
  <c r="G119" i="58"/>
  <c r="F119" i="58"/>
  <c r="E119" i="58"/>
  <c r="C119" i="58"/>
  <c r="I118" i="58"/>
  <c r="F118" i="58"/>
  <c r="C118" i="58"/>
  <c r="G117" i="58"/>
  <c r="C117" i="58"/>
  <c r="G116" i="58"/>
  <c r="E116" i="58"/>
  <c r="C116" i="58"/>
  <c r="H116" i="58" s="1"/>
  <c r="I115" i="58"/>
  <c r="E115" i="58"/>
  <c r="C115" i="58"/>
  <c r="H115" i="58" s="1"/>
  <c r="C114" i="58"/>
  <c r="I114" i="58" s="1"/>
  <c r="C113" i="58"/>
  <c r="G112" i="58"/>
  <c r="F112" i="58"/>
  <c r="E112" i="58"/>
  <c r="C112" i="58"/>
  <c r="H112" i="58" s="1"/>
  <c r="I111" i="58"/>
  <c r="G111" i="58"/>
  <c r="E111" i="58"/>
  <c r="C111" i="58"/>
  <c r="H111" i="58" s="1"/>
  <c r="I110" i="58"/>
  <c r="F110" i="58"/>
  <c r="C110" i="58"/>
  <c r="G109" i="58"/>
  <c r="C109" i="58"/>
  <c r="G108" i="58"/>
  <c r="E108" i="58"/>
  <c r="C108" i="58"/>
  <c r="H108" i="58" s="1"/>
  <c r="I107" i="58"/>
  <c r="E107" i="58"/>
  <c r="C107" i="58"/>
  <c r="H107" i="58" s="1"/>
  <c r="C106" i="58"/>
  <c r="I106" i="58" s="1"/>
  <c r="C105" i="58"/>
  <c r="G104" i="58"/>
  <c r="F104" i="58"/>
  <c r="E104" i="58"/>
  <c r="C104" i="58"/>
  <c r="H104" i="58" s="1"/>
  <c r="I103" i="58"/>
  <c r="G103" i="58"/>
  <c r="E103" i="58"/>
  <c r="C103" i="58"/>
  <c r="H103" i="58" s="1"/>
  <c r="I102" i="58"/>
  <c r="F102" i="58"/>
  <c r="C102" i="58"/>
  <c r="G101" i="58"/>
  <c r="C101" i="58"/>
  <c r="G100" i="58"/>
  <c r="E100" i="58"/>
  <c r="C100" i="58"/>
  <c r="H100" i="58" s="1"/>
  <c r="I99" i="58"/>
  <c r="E99" i="58"/>
  <c r="C99" i="58"/>
  <c r="H99" i="58" s="1"/>
  <c r="C98" i="58"/>
  <c r="I98" i="58" s="1"/>
  <c r="I97" i="58"/>
  <c r="H97" i="58"/>
  <c r="G97" i="58"/>
  <c r="F97" i="58"/>
  <c r="E97" i="58"/>
  <c r="C97" i="58"/>
  <c r="I96" i="58"/>
  <c r="H96" i="58"/>
  <c r="G96" i="58"/>
  <c r="F96" i="58"/>
  <c r="E96" i="58"/>
  <c r="C96" i="58"/>
  <c r="C95" i="58"/>
  <c r="G94" i="58"/>
  <c r="F94" i="58"/>
  <c r="E94" i="58"/>
  <c r="C94" i="58"/>
  <c r="H94" i="58" s="1"/>
  <c r="I93" i="58"/>
  <c r="H93" i="58"/>
  <c r="G93" i="58"/>
  <c r="F93" i="58"/>
  <c r="E93" i="58"/>
  <c r="C93" i="58"/>
  <c r="C92" i="58"/>
  <c r="I92" i="58" s="1"/>
  <c r="E91" i="58"/>
  <c r="C91" i="58"/>
  <c r="G91" i="58" s="1"/>
  <c r="I90" i="58"/>
  <c r="H90" i="58"/>
  <c r="G90" i="58"/>
  <c r="F90" i="58"/>
  <c r="E90" i="58"/>
  <c r="C90" i="58"/>
  <c r="C89" i="58"/>
  <c r="I89" i="58" s="1"/>
  <c r="C88" i="58"/>
  <c r="I88" i="58" s="1"/>
  <c r="E87" i="58"/>
  <c r="C87" i="58"/>
  <c r="I87" i="58" s="1"/>
  <c r="I86" i="58"/>
  <c r="E86" i="58"/>
  <c r="C86" i="58"/>
  <c r="F86" i="58" s="1"/>
  <c r="G85" i="58"/>
  <c r="C85" i="58"/>
  <c r="G84" i="58"/>
  <c r="F84" i="58"/>
  <c r="E84" i="58"/>
  <c r="C84" i="58"/>
  <c r="H84" i="58" s="1"/>
  <c r="I83" i="58"/>
  <c r="H83" i="58"/>
  <c r="G83" i="58"/>
  <c r="F83" i="58"/>
  <c r="E83" i="58"/>
  <c r="C83" i="58"/>
  <c r="C82" i="58"/>
  <c r="I82" i="58" s="1"/>
  <c r="E81" i="58"/>
  <c r="C81" i="58"/>
  <c r="G81" i="58" s="1"/>
  <c r="I80" i="58"/>
  <c r="H80" i="58"/>
  <c r="G80" i="58"/>
  <c r="F80" i="58"/>
  <c r="E80" i="58"/>
  <c r="C80" i="58"/>
  <c r="I79" i="58"/>
  <c r="H79" i="58"/>
  <c r="G79" i="58"/>
  <c r="F79" i="58"/>
  <c r="E79" i="58"/>
  <c r="C79" i="58"/>
  <c r="G78" i="58"/>
  <c r="F78" i="58"/>
  <c r="E78" i="58"/>
  <c r="C78" i="58"/>
  <c r="H78" i="58" s="1"/>
  <c r="I77" i="58"/>
  <c r="G77" i="58"/>
  <c r="E77" i="58"/>
  <c r="C77" i="58"/>
  <c r="H77" i="58" s="1"/>
  <c r="I76" i="58"/>
  <c r="H76" i="58"/>
  <c r="G76" i="58"/>
  <c r="F76" i="58"/>
  <c r="E76" i="58"/>
  <c r="C76" i="58"/>
  <c r="C75" i="58"/>
  <c r="I75" i="58" s="1"/>
  <c r="C74" i="58"/>
  <c r="I74" i="58" s="1"/>
  <c r="I73" i="58"/>
  <c r="H73" i="58"/>
  <c r="G73" i="58"/>
  <c r="F73" i="58"/>
  <c r="E73" i="58"/>
  <c r="C73" i="58"/>
  <c r="G72" i="58"/>
  <c r="C72" i="58"/>
  <c r="I71" i="58"/>
  <c r="E71" i="58"/>
  <c r="C71" i="58"/>
  <c r="I70" i="58"/>
  <c r="H70" i="58"/>
  <c r="G70" i="58"/>
  <c r="F70" i="58"/>
  <c r="E70" i="58"/>
  <c r="C70" i="58"/>
  <c r="I69" i="58"/>
  <c r="G69" i="58"/>
  <c r="E69" i="58"/>
  <c r="C69" i="58"/>
  <c r="H69" i="58" s="1"/>
  <c r="I68" i="58"/>
  <c r="F68" i="58"/>
  <c r="C68" i="58"/>
  <c r="G68" i="58" s="1"/>
  <c r="I67" i="58"/>
  <c r="C67" i="58"/>
  <c r="G66" i="58"/>
  <c r="C66" i="58"/>
  <c r="I65" i="58"/>
  <c r="E65" i="58"/>
  <c r="C65" i="58"/>
  <c r="I64" i="58"/>
  <c r="F64" i="58"/>
  <c r="E64" i="58"/>
  <c r="C64" i="58"/>
  <c r="C63" i="58"/>
  <c r="G63" i="58" s="1"/>
  <c r="G62" i="58"/>
  <c r="F62" i="58"/>
  <c r="E62" i="58"/>
  <c r="C62" i="58"/>
  <c r="H62" i="58" s="1"/>
  <c r="I61" i="58"/>
  <c r="H61" i="58"/>
  <c r="G61" i="58"/>
  <c r="F61" i="58"/>
  <c r="E61" i="58"/>
  <c r="C61" i="58"/>
  <c r="F60" i="58"/>
  <c r="C60" i="58"/>
  <c r="G59" i="58"/>
  <c r="E59" i="58"/>
  <c r="C59" i="58"/>
  <c r="G58" i="58"/>
  <c r="F58" i="58"/>
  <c r="E58" i="58"/>
  <c r="C58" i="58"/>
  <c r="H58" i="58" s="1"/>
  <c r="I57" i="58"/>
  <c r="G57" i="58"/>
  <c r="E57" i="58"/>
  <c r="C57" i="58"/>
  <c r="H57" i="58" s="1"/>
  <c r="I56" i="58"/>
  <c r="H56" i="58"/>
  <c r="G56" i="58"/>
  <c r="F56" i="58"/>
  <c r="E56" i="58"/>
  <c r="C56" i="58"/>
  <c r="I55" i="58"/>
  <c r="H55" i="58"/>
  <c r="G55" i="58"/>
  <c r="F55" i="58"/>
  <c r="E55" i="58"/>
  <c r="C55" i="58"/>
  <c r="I54" i="58"/>
  <c r="G54" i="58"/>
  <c r="F54" i="58"/>
  <c r="C54" i="58"/>
  <c r="C53" i="58"/>
  <c r="C52" i="58"/>
  <c r="E51" i="58"/>
  <c r="C51" i="58"/>
  <c r="I51" i="58" s="1"/>
  <c r="I50" i="58"/>
  <c r="E50" i="58"/>
  <c r="C50" i="58"/>
  <c r="F50" i="58" s="1"/>
  <c r="G49" i="58"/>
  <c r="C49" i="58"/>
  <c r="G48" i="58"/>
  <c r="F48" i="58"/>
  <c r="E48" i="58"/>
  <c r="C48" i="58"/>
  <c r="H48" i="58" s="1"/>
  <c r="I47" i="58"/>
  <c r="G47" i="58"/>
  <c r="E47" i="58"/>
  <c r="C47" i="58"/>
  <c r="H47" i="58" s="1"/>
  <c r="G46" i="58"/>
  <c r="C46" i="58"/>
  <c r="I45" i="58"/>
  <c r="H45" i="58"/>
  <c r="G45" i="58"/>
  <c r="F45" i="58"/>
  <c r="E45" i="58"/>
  <c r="C45" i="58"/>
  <c r="G44" i="58"/>
  <c r="F44" i="58"/>
  <c r="E44" i="58"/>
  <c r="C44" i="58"/>
  <c r="H44" i="58" s="1"/>
  <c r="I43" i="58"/>
  <c r="G43" i="58"/>
  <c r="E43" i="58"/>
  <c r="C43" i="58"/>
  <c r="H43" i="58" s="1"/>
  <c r="C42" i="58"/>
  <c r="I42" i="58" s="1"/>
  <c r="I41" i="58"/>
  <c r="H41" i="58"/>
  <c r="G41" i="58"/>
  <c r="F41" i="58"/>
  <c r="E41" i="58"/>
  <c r="C41" i="58"/>
  <c r="G40" i="58"/>
  <c r="F40" i="58"/>
  <c r="E40" i="58"/>
  <c r="C40" i="58"/>
  <c r="H40" i="58" s="1"/>
  <c r="I39" i="58"/>
  <c r="G39" i="58"/>
  <c r="E39" i="58"/>
  <c r="C39" i="58"/>
  <c r="H39" i="58" s="1"/>
  <c r="G38" i="58"/>
  <c r="C38" i="58"/>
  <c r="I37" i="58"/>
  <c r="H37" i="58"/>
  <c r="G37" i="58"/>
  <c r="F37" i="58"/>
  <c r="E37" i="58"/>
  <c r="C37" i="58"/>
  <c r="G36" i="58"/>
  <c r="F36" i="58"/>
  <c r="E36" i="58"/>
  <c r="C36" i="58"/>
  <c r="H36" i="58" s="1"/>
  <c r="I35" i="58"/>
  <c r="G35" i="58"/>
  <c r="E35" i="58"/>
  <c r="C35" i="58"/>
  <c r="H35" i="58" s="1"/>
  <c r="C34" i="58"/>
  <c r="I33" i="58"/>
  <c r="H33" i="58"/>
  <c r="G33" i="58"/>
  <c r="F33" i="58"/>
  <c r="E33" i="58"/>
  <c r="C33" i="58"/>
  <c r="I32" i="58"/>
  <c r="H32" i="58"/>
  <c r="G32" i="58"/>
  <c r="F32" i="58"/>
  <c r="E32" i="58"/>
  <c r="C32" i="58"/>
  <c r="G31" i="58"/>
  <c r="C31" i="58"/>
  <c r="I31" i="58" s="1"/>
  <c r="I30" i="58"/>
  <c r="E30" i="58"/>
  <c r="C30" i="58"/>
  <c r="G30" i="58" s="1"/>
  <c r="I29" i="58"/>
  <c r="C29" i="58"/>
  <c r="F28" i="58"/>
  <c r="C28" i="58"/>
  <c r="G27" i="58"/>
  <c r="E27" i="58"/>
  <c r="C27" i="58"/>
  <c r="G26" i="58"/>
  <c r="F26" i="58"/>
  <c r="E26" i="58"/>
  <c r="C26" i="58"/>
  <c r="H26" i="58" s="1"/>
  <c r="I25" i="58"/>
  <c r="H25" i="58"/>
  <c r="G25" i="58"/>
  <c r="F25" i="58"/>
  <c r="E25" i="58"/>
  <c r="C25" i="58"/>
  <c r="I24" i="58"/>
  <c r="E24" i="58"/>
  <c r="C24" i="58"/>
  <c r="F24" i="58" s="1"/>
  <c r="G23" i="58"/>
  <c r="C23" i="58"/>
  <c r="G22" i="58"/>
  <c r="F22" i="58"/>
  <c r="E22" i="58"/>
  <c r="C22" i="58"/>
  <c r="H22" i="58" s="1"/>
  <c r="F10" i="59" l="1"/>
  <c r="F11" i="59"/>
  <c r="E12" i="59"/>
  <c r="F13" i="59"/>
  <c r="E22" i="59"/>
  <c r="F23" i="59"/>
  <c r="H27" i="59"/>
  <c r="H28" i="59"/>
  <c r="F39" i="59"/>
  <c r="E40" i="59"/>
  <c r="F41" i="59"/>
  <c r="E44" i="59"/>
  <c r="E54" i="59"/>
  <c r="F58" i="59"/>
  <c r="F67" i="59"/>
  <c r="F80" i="59"/>
  <c r="F87" i="59"/>
  <c r="F110" i="59"/>
  <c r="F119" i="59"/>
  <c r="H10" i="59"/>
  <c r="G11" i="59"/>
  <c r="F12" i="59"/>
  <c r="F22" i="59"/>
  <c r="G39" i="59"/>
  <c r="F40" i="59"/>
  <c r="H44" i="59"/>
  <c r="H54" i="59"/>
  <c r="H12" i="59"/>
  <c r="E28" i="59"/>
  <c r="F29" i="59"/>
  <c r="H40" i="59"/>
  <c r="F48" i="59"/>
  <c r="H53" i="59"/>
  <c r="F86" i="59"/>
  <c r="H34" i="58"/>
  <c r="E34" i="58"/>
  <c r="H52" i="58"/>
  <c r="F52" i="58"/>
  <c r="H53" i="58"/>
  <c r="E53" i="58"/>
  <c r="H23" i="58"/>
  <c r="I23" i="58"/>
  <c r="H28" i="58"/>
  <c r="G28" i="58"/>
  <c r="H29" i="58"/>
  <c r="G29" i="58"/>
  <c r="G34" i="58"/>
  <c r="H38" i="58"/>
  <c r="E38" i="58"/>
  <c r="G42" i="58"/>
  <c r="H46" i="58"/>
  <c r="E46" i="58"/>
  <c r="H49" i="58"/>
  <c r="I49" i="58"/>
  <c r="G52" i="58"/>
  <c r="I53" i="58"/>
  <c r="H60" i="58"/>
  <c r="G60" i="58"/>
  <c r="H66" i="58"/>
  <c r="F66" i="58"/>
  <c r="H67" i="58"/>
  <c r="E67" i="58"/>
  <c r="H72" i="58"/>
  <c r="F72" i="58"/>
  <c r="F74" i="58"/>
  <c r="F82" i="58"/>
  <c r="H85" i="58"/>
  <c r="I85" i="58"/>
  <c r="G88" i="58"/>
  <c r="F92" i="58"/>
  <c r="H95" i="58"/>
  <c r="E95" i="58"/>
  <c r="I95" i="58"/>
  <c r="H105" i="58"/>
  <c r="E105" i="58"/>
  <c r="I105" i="58"/>
  <c r="H113" i="58"/>
  <c r="E113" i="58"/>
  <c r="I113" i="58"/>
  <c r="H126" i="58"/>
  <c r="E126" i="58"/>
  <c r="G126" i="58"/>
  <c r="H134" i="58"/>
  <c r="E134" i="58"/>
  <c r="G134" i="58"/>
  <c r="H144" i="58"/>
  <c r="E144" i="58"/>
  <c r="G144" i="58"/>
  <c r="H152" i="58"/>
  <c r="E152" i="58"/>
  <c r="G152" i="58"/>
  <c r="H162" i="58"/>
  <c r="E162" i="58"/>
  <c r="G162" i="58"/>
  <c r="H170" i="58"/>
  <c r="E170" i="58"/>
  <c r="G170" i="58"/>
  <c r="H180" i="58"/>
  <c r="E180" i="58"/>
  <c r="G180" i="58"/>
  <c r="H215" i="58"/>
  <c r="G215" i="58"/>
  <c r="I215" i="58"/>
  <c r="E215" i="58"/>
  <c r="F222" i="58"/>
  <c r="G222" i="58"/>
  <c r="E222" i="58"/>
  <c r="F244" i="58"/>
  <c r="E244" i="58"/>
  <c r="G244" i="58"/>
  <c r="F258" i="58"/>
  <c r="G258" i="58"/>
  <c r="E258" i="58"/>
  <c r="E23" i="58"/>
  <c r="H27" i="58"/>
  <c r="I27" i="58"/>
  <c r="E28" i="58"/>
  <c r="E29" i="58"/>
  <c r="I34" i="58"/>
  <c r="F38" i="58"/>
  <c r="F46" i="58"/>
  <c r="E49" i="58"/>
  <c r="I52" i="58"/>
  <c r="H54" i="58"/>
  <c r="E54" i="58"/>
  <c r="H59" i="58"/>
  <c r="I59" i="58"/>
  <c r="E60" i="58"/>
  <c r="H64" i="58"/>
  <c r="G64" i="58"/>
  <c r="H65" i="58"/>
  <c r="G65" i="58"/>
  <c r="E66" i="58"/>
  <c r="G67" i="58"/>
  <c r="H71" i="58"/>
  <c r="G71" i="58"/>
  <c r="E72" i="58"/>
  <c r="E85" i="58"/>
  <c r="G95" i="58"/>
  <c r="H102" i="58"/>
  <c r="G102" i="58"/>
  <c r="E102" i="58"/>
  <c r="G105" i="58"/>
  <c r="H110" i="58"/>
  <c r="G110" i="58"/>
  <c r="E110" i="58"/>
  <c r="G113" i="58"/>
  <c r="H118" i="58"/>
  <c r="G118" i="58"/>
  <c r="E118" i="58"/>
  <c r="H121" i="58"/>
  <c r="I121" i="58"/>
  <c r="E121" i="58"/>
  <c r="F126" i="58"/>
  <c r="H129" i="58"/>
  <c r="I129" i="58"/>
  <c r="E129" i="58"/>
  <c r="F134" i="58"/>
  <c r="H137" i="58"/>
  <c r="I137" i="58"/>
  <c r="E137" i="58"/>
  <c r="F144" i="58"/>
  <c r="H147" i="58"/>
  <c r="I147" i="58"/>
  <c r="E147" i="58"/>
  <c r="F152" i="58"/>
  <c r="H155" i="58"/>
  <c r="I155" i="58"/>
  <c r="E155" i="58"/>
  <c r="F162" i="58"/>
  <c r="H165" i="58"/>
  <c r="I165" i="58"/>
  <c r="E165" i="58"/>
  <c r="F170" i="58"/>
  <c r="H175" i="58"/>
  <c r="I175" i="58"/>
  <c r="E175" i="58"/>
  <c r="F180" i="58"/>
  <c r="H183" i="58"/>
  <c r="I183" i="58"/>
  <c r="E183" i="58"/>
  <c r="H185" i="58"/>
  <c r="G185" i="58"/>
  <c r="E185" i="58"/>
  <c r="F204" i="58"/>
  <c r="G204" i="58"/>
  <c r="F215" i="58"/>
  <c r="F220" i="58"/>
  <c r="H220" i="58"/>
  <c r="E220" i="58"/>
  <c r="H222" i="58"/>
  <c r="H227" i="58"/>
  <c r="E227" i="58"/>
  <c r="F227" i="58"/>
  <c r="I227" i="58"/>
  <c r="F236" i="58"/>
  <c r="H236" i="58"/>
  <c r="E236" i="58"/>
  <c r="F242" i="58"/>
  <c r="E242" i="58"/>
  <c r="H242" i="58"/>
  <c r="H244" i="58"/>
  <c r="H247" i="58"/>
  <c r="E247" i="58"/>
  <c r="I247" i="58"/>
  <c r="F247" i="58"/>
  <c r="F256" i="58"/>
  <c r="H256" i="58"/>
  <c r="E256" i="58"/>
  <c r="H258" i="58"/>
  <c r="H285" i="58"/>
  <c r="G285" i="58"/>
  <c r="E285" i="58"/>
  <c r="F285" i="58"/>
  <c r="I285" i="58"/>
  <c r="H303" i="58"/>
  <c r="E303" i="58"/>
  <c r="G303" i="58"/>
  <c r="F303" i="58"/>
  <c r="I303" i="58"/>
  <c r="F312" i="58"/>
  <c r="E312" i="58"/>
  <c r="H312" i="58"/>
  <c r="G312" i="58"/>
  <c r="H321" i="58"/>
  <c r="G321" i="58"/>
  <c r="E321" i="58"/>
  <c r="F321" i="58"/>
  <c r="I321" i="58"/>
  <c r="H42" i="58"/>
  <c r="E42" i="58"/>
  <c r="H63" i="58"/>
  <c r="I63" i="58"/>
  <c r="H74" i="58"/>
  <c r="G74" i="58"/>
  <c r="H75" i="58"/>
  <c r="G75" i="58"/>
  <c r="H82" i="58"/>
  <c r="G82" i="58"/>
  <c r="H88" i="58"/>
  <c r="F88" i="58"/>
  <c r="H89" i="58"/>
  <c r="E89" i="58"/>
  <c r="H92" i="58"/>
  <c r="G92" i="58"/>
  <c r="H98" i="58"/>
  <c r="E98" i="58"/>
  <c r="G98" i="58"/>
  <c r="H106" i="58"/>
  <c r="E106" i="58"/>
  <c r="G106" i="58"/>
  <c r="H114" i="58"/>
  <c r="E114" i="58"/>
  <c r="G114" i="58"/>
  <c r="H125" i="58"/>
  <c r="E125" i="58"/>
  <c r="I125" i="58"/>
  <c r="H133" i="58"/>
  <c r="E133" i="58"/>
  <c r="I133" i="58"/>
  <c r="H143" i="58"/>
  <c r="E143" i="58"/>
  <c r="I143" i="58"/>
  <c r="H151" i="58"/>
  <c r="E151" i="58"/>
  <c r="I151" i="58"/>
  <c r="H161" i="58"/>
  <c r="E161" i="58"/>
  <c r="I161" i="58"/>
  <c r="H169" i="58"/>
  <c r="E169" i="58"/>
  <c r="I169" i="58"/>
  <c r="H179" i="58"/>
  <c r="E179" i="58"/>
  <c r="I179" i="58"/>
  <c r="F190" i="58"/>
  <c r="E190" i="58"/>
  <c r="F216" i="58"/>
  <c r="G216" i="58"/>
  <c r="H221" i="58"/>
  <c r="G221" i="58"/>
  <c r="E221" i="58"/>
  <c r="I221" i="58"/>
  <c r="H243" i="58"/>
  <c r="F243" i="58"/>
  <c r="E243" i="58"/>
  <c r="I243" i="58"/>
  <c r="H257" i="58"/>
  <c r="G257" i="58"/>
  <c r="I257" i="58"/>
  <c r="E257" i="58"/>
  <c r="H265" i="58"/>
  <c r="E265" i="58"/>
  <c r="I265" i="58"/>
  <c r="F265" i="58"/>
  <c r="H24" i="58"/>
  <c r="G24" i="58"/>
  <c r="I28" i="58"/>
  <c r="H30" i="58"/>
  <c r="F30" i="58"/>
  <c r="H31" i="58"/>
  <c r="E31" i="58"/>
  <c r="F34" i="58"/>
  <c r="I38" i="58"/>
  <c r="F42" i="58"/>
  <c r="I46" i="58"/>
  <c r="H50" i="58"/>
  <c r="G50" i="58"/>
  <c r="H51" i="58"/>
  <c r="G51" i="58"/>
  <c r="E52" i="58"/>
  <c r="G53" i="58"/>
  <c r="I60" i="58"/>
  <c r="E63" i="58"/>
  <c r="I66" i="58"/>
  <c r="H68" i="58"/>
  <c r="E68" i="58"/>
  <c r="I72" i="58"/>
  <c r="E74" i="58"/>
  <c r="E75" i="58"/>
  <c r="H81" i="58"/>
  <c r="I81" i="58"/>
  <c r="E82" i="58"/>
  <c r="H86" i="58"/>
  <c r="G86" i="58"/>
  <c r="H87" i="58"/>
  <c r="G87" i="58"/>
  <c r="E88" i="58"/>
  <c r="G89" i="58"/>
  <c r="H91" i="58"/>
  <c r="I91" i="58"/>
  <c r="E92" i="58"/>
  <c r="F98" i="58"/>
  <c r="H101" i="58"/>
  <c r="I101" i="58"/>
  <c r="E101" i="58"/>
  <c r="F106" i="58"/>
  <c r="H109" i="58"/>
  <c r="I109" i="58"/>
  <c r="E109" i="58"/>
  <c r="F114" i="58"/>
  <c r="H117" i="58"/>
  <c r="I117" i="58"/>
  <c r="E117" i="58"/>
  <c r="H122" i="58"/>
  <c r="G122" i="58"/>
  <c r="E122" i="58"/>
  <c r="G125" i="58"/>
  <c r="H130" i="58"/>
  <c r="G130" i="58"/>
  <c r="E130" i="58"/>
  <c r="G133" i="58"/>
  <c r="H138" i="58"/>
  <c r="G138" i="58"/>
  <c r="E138" i="58"/>
  <c r="G143" i="58"/>
  <c r="H148" i="58"/>
  <c r="G148" i="58"/>
  <c r="E148" i="58"/>
  <c r="G151" i="58"/>
  <c r="H158" i="58"/>
  <c r="G158" i="58"/>
  <c r="E158" i="58"/>
  <c r="G161" i="58"/>
  <c r="H166" i="58"/>
  <c r="G166" i="58"/>
  <c r="E166" i="58"/>
  <c r="G169" i="58"/>
  <c r="H176" i="58"/>
  <c r="G176" i="58"/>
  <c r="E176" i="58"/>
  <c r="G179" i="58"/>
  <c r="F184" i="58"/>
  <c r="H184" i="58"/>
  <c r="E184" i="58"/>
  <c r="H187" i="58"/>
  <c r="G187" i="58"/>
  <c r="E187" i="58"/>
  <c r="H190" i="58"/>
  <c r="H193" i="58"/>
  <c r="G193" i="58"/>
  <c r="E193" i="58"/>
  <c r="H203" i="58"/>
  <c r="F203" i="58"/>
  <c r="I203" i="58"/>
  <c r="E203" i="58"/>
  <c r="H207" i="58"/>
  <c r="E207" i="58"/>
  <c r="F207" i="58"/>
  <c r="I207" i="58"/>
  <c r="H209" i="58"/>
  <c r="F209" i="58"/>
  <c r="I209" i="58"/>
  <c r="E209" i="58"/>
  <c r="F221" i="58"/>
  <c r="H241" i="58"/>
  <c r="F241" i="58"/>
  <c r="I241" i="58"/>
  <c r="E241" i="58"/>
  <c r="G243" i="58"/>
  <c r="F252" i="58"/>
  <c r="E252" i="58"/>
  <c r="H255" i="58"/>
  <c r="G255" i="58"/>
  <c r="E255" i="58"/>
  <c r="I255" i="58"/>
  <c r="F257" i="58"/>
  <c r="G265" i="58"/>
  <c r="F282" i="58"/>
  <c r="H282" i="58"/>
  <c r="E282" i="58"/>
  <c r="G282" i="58"/>
  <c r="H295" i="58"/>
  <c r="E295" i="58"/>
  <c r="G295" i="58"/>
  <c r="F295" i="58"/>
  <c r="I295" i="58"/>
  <c r="H319" i="58"/>
  <c r="E319" i="58"/>
  <c r="G319" i="58"/>
  <c r="F319" i="58"/>
  <c r="I319" i="58"/>
  <c r="H277" i="58"/>
  <c r="E277" i="58"/>
  <c r="G277" i="58"/>
  <c r="H283" i="58"/>
  <c r="G283" i="58"/>
  <c r="E283" i="58"/>
  <c r="F310" i="58"/>
  <c r="E310" i="58"/>
  <c r="H313" i="58"/>
  <c r="E313" i="58"/>
  <c r="G313" i="58"/>
  <c r="H327" i="58"/>
  <c r="E327" i="58"/>
  <c r="G327" i="58"/>
  <c r="I22" i="58"/>
  <c r="I26" i="58"/>
  <c r="I36" i="58"/>
  <c r="I40" i="58"/>
  <c r="I44" i="58"/>
  <c r="I48" i="58"/>
  <c r="I58" i="58"/>
  <c r="I62" i="58"/>
  <c r="I78" i="58"/>
  <c r="I84" i="58"/>
  <c r="I94" i="58"/>
  <c r="G99" i="58"/>
  <c r="F100" i="58"/>
  <c r="I104" i="58"/>
  <c r="G107" i="58"/>
  <c r="F108" i="58"/>
  <c r="I112" i="58"/>
  <c r="G115" i="58"/>
  <c r="F116" i="58"/>
  <c r="F120" i="58"/>
  <c r="I124" i="58"/>
  <c r="G127" i="58"/>
  <c r="F128" i="58"/>
  <c r="I132" i="58"/>
  <c r="G135" i="58"/>
  <c r="F136" i="58"/>
  <c r="I142" i="58"/>
  <c r="G145" i="58"/>
  <c r="F146" i="58"/>
  <c r="I150" i="58"/>
  <c r="G153" i="58"/>
  <c r="F154" i="58"/>
  <c r="I160" i="58"/>
  <c r="G163" i="58"/>
  <c r="F164" i="58"/>
  <c r="I168" i="58"/>
  <c r="G171" i="58"/>
  <c r="F174" i="58"/>
  <c r="I178" i="58"/>
  <c r="G181" i="58"/>
  <c r="F182" i="58"/>
  <c r="I189" i="58"/>
  <c r="F195" i="58"/>
  <c r="H197" i="58"/>
  <c r="G197" i="58"/>
  <c r="H205" i="58"/>
  <c r="G205" i="58"/>
  <c r="H223" i="58"/>
  <c r="F223" i="58"/>
  <c r="F224" i="58"/>
  <c r="E224" i="58"/>
  <c r="H229" i="58"/>
  <c r="E229" i="58"/>
  <c r="H239" i="58"/>
  <c r="G239" i="58"/>
  <c r="F240" i="58"/>
  <c r="G240" i="58"/>
  <c r="H245" i="58"/>
  <c r="E245" i="58"/>
  <c r="H263" i="58"/>
  <c r="F263" i="58"/>
  <c r="F264" i="58"/>
  <c r="E264" i="58"/>
  <c r="F274" i="58"/>
  <c r="E274" i="58"/>
  <c r="H274" i="58"/>
  <c r="F277" i="58"/>
  <c r="F280" i="58"/>
  <c r="E280" i="58"/>
  <c r="F283" i="58"/>
  <c r="F288" i="58"/>
  <c r="E288" i="58"/>
  <c r="H293" i="58"/>
  <c r="E293" i="58"/>
  <c r="G293" i="58"/>
  <c r="H307" i="58"/>
  <c r="G307" i="58"/>
  <c r="E307" i="58"/>
  <c r="H310" i="58"/>
  <c r="F313" i="58"/>
  <c r="F318" i="58"/>
  <c r="G318" i="58"/>
  <c r="F327" i="58"/>
  <c r="H330" i="58"/>
  <c r="F330" i="58"/>
  <c r="I100" i="58"/>
  <c r="I108" i="58"/>
  <c r="I116" i="58"/>
  <c r="I120" i="58"/>
  <c r="I128" i="58"/>
  <c r="I136" i="58"/>
  <c r="I146" i="58"/>
  <c r="I154" i="58"/>
  <c r="I164" i="58"/>
  <c r="I174" i="58"/>
  <c r="I182" i="58"/>
  <c r="I195" i="58"/>
  <c r="H213" i="58"/>
  <c r="E213" i="58"/>
  <c r="H225" i="58"/>
  <c r="F225" i="58"/>
  <c r="F226" i="58"/>
  <c r="E226" i="58"/>
  <c r="H237" i="58"/>
  <c r="G237" i="58"/>
  <c r="F238" i="58"/>
  <c r="H238" i="58"/>
  <c r="F254" i="58"/>
  <c r="H254" i="58"/>
  <c r="H261" i="58"/>
  <c r="F261" i="58"/>
  <c r="F262" i="58"/>
  <c r="E262" i="58"/>
  <c r="H267" i="58"/>
  <c r="E267" i="58"/>
  <c r="F270" i="58"/>
  <c r="E270" i="58"/>
  <c r="H275" i="58"/>
  <c r="E275" i="58"/>
  <c r="G275" i="58"/>
  <c r="F292" i="58"/>
  <c r="E292" i="58"/>
  <c r="H292" i="58"/>
  <c r="F298" i="58"/>
  <c r="E298" i="58"/>
  <c r="I307" i="58"/>
  <c r="I201" i="58"/>
  <c r="I211" i="58"/>
  <c r="I233" i="58"/>
  <c r="I235" i="58"/>
  <c r="I251" i="58"/>
  <c r="I253" i="58"/>
  <c r="I269" i="58"/>
  <c r="I271" i="58"/>
  <c r="H276" i="58"/>
  <c r="G278" i="58"/>
  <c r="F279" i="58"/>
  <c r="F281" i="58"/>
  <c r="I287" i="58"/>
  <c r="I291" i="58"/>
  <c r="H294" i="58"/>
  <c r="G296" i="58"/>
  <c r="F297" i="58"/>
  <c r="F299" i="58"/>
  <c r="I305" i="58"/>
  <c r="I309" i="58"/>
  <c r="I311" i="58"/>
  <c r="I315" i="58"/>
  <c r="F317" i="58"/>
  <c r="F323" i="58"/>
  <c r="G328" i="58"/>
  <c r="F329" i="58"/>
  <c r="I279" i="58"/>
  <c r="I281" i="58"/>
  <c r="I297" i="58"/>
  <c r="I299" i="58"/>
  <c r="I317" i="58"/>
  <c r="I323" i="58"/>
  <c r="I329" i="58"/>
  <c r="G63" i="1"/>
  <c r="G192" i="58"/>
  <c r="I194" i="58"/>
  <c r="G196" i="58"/>
  <c r="I198" i="58"/>
  <c r="G202" i="58"/>
  <c r="I204" i="58"/>
  <c r="G206" i="58"/>
  <c r="I208" i="58"/>
  <c r="G210" i="58"/>
  <c r="I212" i="58"/>
  <c r="G214" i="58"/>
  <c r="I216" i="58"/>
  <c r="I304" i="58"/>
  <c r="G316" i="58"/>
  <c r="I318" i="58"/>
  <c r="G320" i="58"/>
  <c r="I322" i="58"/>
  <c r="H331" i="58"/>
  <c r="G16" i="59"/>
  <c r="H16" i="59"/>
  <c r="I17" i="59"/>
  <c r="E17" i="59"/>
  <c r="G17" i="59"/>
  <c r="G24" i="59"/>
  <c r="F24" i="59"/>
  <c r="I25" i="59"/>
  <c r="E25" i="59"/>
  <c r="F25" i="59"/>
  <c r="F32" i="59"/>
  <c r="F42" i="59"/>
  <c r="I45" i="59"/>
  <c r="E45" i="59"/>
  <c r="H45" i="59"/>
  <c r="F45" i="59"/>
  <c r="I55" i="59"/>
  <c r="G55" i="59"/>
  <c r="E55" i="59"/>
  <c r="F55" i="59"/>
  <c r="G134" i="59"/>
  <c r="I134" i="59"/>
  <c r="E134" i="59"/>
  <c r="F134" i="59"/>
  <c r="H134" i="59"/>
  <c r="F23" i="58"/>
  <c r="F27" i="58"/>
  <c r="F29" i="58"/>
  <c r="F31" i="58"/>
  <c r="F35" i="58"/>
  <c r="F39" i="58"/>
  <c r="F43" i="58"/>
  <c r="F47" i="58"/>
  <c r="F49" i="58"/>
  <c r="F51" i="58"/>
  <c r="F53" i="58"/>
  <c r="F57" i="58"/>
  <c r="F59" i="58"/>
  <c r="F63" i="58"/>
  <c r="F65" i="58"/>
  <c r="F67" i="58"/>
  <c r="F69" i="58"/>
  <c r="F71" i="58"/>
  <c r="F75" i="58"/>
  <c r="F77" i="58"/>
  <c r="F81" i="58"/>
  <c r="F85" i="58"/>
  <c r="F87" i="58"/>
  <c r="F89" i="58"/>
  <c r="F91" i="58"/>
  <c r="F95" i="58"/>
  <c r="F99" i="58"/>
  <c r="F101" i="58"/>
  <c r="F103" i="58"/>
  <c r="F105" i="58"/>
  <c r="F107" i="58"/>
  <c r="F109" i="58"/>
  <c r="F111" i="58"/>
  <c r="F113" i="58"/>
  <c r="F115" i="58"/>
  <c r="F117" i="58"/>
  <c r="F121" i="58"/>
  <c r="F123" i="58"/>
  <c r="F125" i="58"/>
  <c r="F127" i="58"/>
  <c r="F129" i="58"/>
  <c r="F131" i="58"/>
  <c r="F133" i="58"/>
  <c r="F135" i="58"/>
  <c r="F137" i="58"/>
  <c r="F139" i="58"/>
  <c r="F143" i="58"/>
  <c r="F145" i="58"/>
  <c r="F147" i="58"/>
  <c r="F149" i="58"/>
  <c r="F151" i="58"/>
  <c r="F153" i="58"/>
  <c r="F155" i="58"/>
  <c r="F159" i="58"/>
  <c r="F161" i="58"/>
  <c r="F163" i="58"/>
  <c r="F165" i="58"/>
  <c r="F167" i="58"/>
  <c r="F169" i="58"/>
  <c r="F171" i="58"/>
  <c r="F175" i="58"/>
  <c r="F177" i="58"/>
  <c r="F179" i="58"/>
  <c r="F181" i="58"/>
  <c r="F183" i="58"/>
  <c r="I184" i="58"/>
  <c r="G186" i="58"/>
  <c r="I188" i="58"/>
  <c r="G190" i="58"/>
  <c r="H192" i="58"/>
  <c r="E194" i="58"/>
  <c r="H196" i="58"/>
  <c r="E198" i="58"/>
  <c r="H202" i="58"/>
  <c r="E204" i="58"/>
  <c r="H206" i="58"/>
  <c r="E208" i="58"/>
  <c r="H210" i="58"/>
  <c r="E212" i="58"/>
  <c r="H214" i="58"/>
  <c r="E216" i="58"/>
  <c r="G220" i="58"/>
  <c r="I222" i="58"/>
  <c r="G224" i="58"/>
  <c r="I226" i="58"/>
  <c r="G228" i="58"/>
  <c r="I230" i="58"/>
  <c r="G234" i="58"/>
  <c r="I236" i="58"/>
  <c r="G238" i="58"/>
  <c r="I240" i="58"/>
  <c r="G242" i="58"/>
  <c r="I244" i="58"/>
  <c r="G246" i="58"/>
  <c r="I250" i="58"/>
  <c r="G252" i="58"/>
  <c r="I254" i="58"/>
  <c r="G256" i="58"/>
  <c r="I258" i="58"/>
  <c r="G262" i="58"/>
  <c r="I264" i="58"/>
  <c r="G266" i="58"/>
  <c r="I268" i="58"/>
  <c r="G270" i="58"/>
  <c r="I274" i="58"/>
  <c r="G276" i="58"/>
  <c r="I278" i="58"/>
  <c r="G280" i="58"/>
  <c r="I282" i="58"/>
  <c r="G284" i="58"/>
  <c r="I286" i="58"/>
  <c r="G288" i="58"/>
  <c r="I292" i="58"/>
  <c r="G294" i="58"/>
  <c r="I296" i="58"/>
  <c r="G298" i="58"/>
  <c r="E304" i="58"/>
  <c r="I308" i="58"/>
  <c r="G310" i="58"/>
  <c r="I312" i="58"/>
  <c r="H316" i="58"/>
  <c r="E318" i="58"/>
  <c r="H320" i="58"/>
  <c r="E322" i="58"/>
  <c r="I328" i="58"/>
  <c r="G10" i="59"/>
  <c r="E10" i="59"/>
  <c r="I13" i="59"/>
  <c r="E13" i="59"/>
  <c r="H13" i="59"/>
  <c r="E16" i="59"/>
  <c r="F17" i="59"/>
  <c r="G22" i="59"/>
  <c r="H22" i="59"/>
  <c r="I23" i="59"/>
  <c r="E23" i="59"/>
  <c r="G23" i="59"/>
  <c r="E24" i="59"/>
  <c r="G25" i="59"/>
  <c r="G45" i="59"/>
  <c r="I49" i="59"/>
  <c r="E49" i="59"/>
  <c r="F49" i="59"/>
  <c r="H49" i="59"/>
  <c r="H55" i="59"/>
  <c r="G130" i="59"/>
  <c r="I130" i="59"/>
  <c r="E130" i="59"/>
  <c r="F130" i="59"/>
  <c r="H130" i="59"/>
  <c r="G144" i="59"/>
  <c r="I144" i="59"/>
  <c r="E144" i="59"/>
  <c r="F144" i="59"/>
  <c r="H144" i="59"/>
  <c r="I192" i="58"/>
  <c r="I196" i="58"/>
  <c r="I202" i="58"/>
  <c r="I206" i="58"/>
  <c r="I210" i="58"/>
  <c r="I214" i="58"/>
  <c r="I316" i="58"/>
  <c r="I320" i="58"/>
  <c r="G331" i="58"/>
  <c r="F331" i="58"/>
  <c r="I9" i="59"/>
  <c r="E9" i="59"/>
  <c r="F9" i="59"/>
  <c r="G32" i="59"/>
  <c r="H32" i="59"/>
  <c r="I33" i="59"/>
  <c r="E33" i="59"/>
  <c r="G33" i="59"/>
  <c r="G42" i="59"/>
  <c r="H42" i="59"/>
  <c r="I43" i="59"/>
  <c r="E43" i="59"/>
  <c r="G43" i="59"/>
  <c r="G46" i="59"/>
  <c r="H46" i="59"/>
  <c r="E46" i="59"/>
  <c r="G128" i="59"/>
  <c r="I128" i="59"/>
  <c r="E128" i="59"/>
  <c r="F128" i="59"/>
  <c r="H128" i="59"/>
  <c r="G140" i="59"/>
  <c r="I140" i="59"/>
  <c r="E140" i="59"/>
  <c r="F140" i="59"/>
  <c r="H140" i="59"/>
  <c r="I186" i="58"/>
  <c r="I190" i="58"/>
  <c r="E192" i="58"/>
  <c r="H194" i="58"/>
  <c r="E196" i="58"/>
  <c r="H198" i="58"/>
  <c r="E202" i="58"/>
  <c r="H204" i="58"/>
  <c r="E206" i="58"/>
  <c r="H208" i="58"/>
  <c r="E210" i="58"/>
  <c r="H212" i="58"/>
  <c r="E214" i="58"/>
  <c r="H216" i="58"/>
  <c r="I220" i="58"/>
  <c r="I224" i="58"/>
  <c r="I228" i="58"/>
  <c r="I234" i="58"/>
  <c r="I238" i="58"/>
  <c r="I242" i="58"/>
  <c r="I246" i="58"/>
  <c r="I252" i="58"/>
  <c r="I256" i="58"/>
  <c r="I262" i="58"/>
  <c r="I266" i="58"/>
  <c r="I270" i="58"/>
  <c r="I276" i="58"/>
  <c r="I280" i="58"/>
  <c r="I284" i="58"/>
  <c r="I288" i="58"/>
  <c r="I294" i="58"/>
  <c r="I298" i="58"/>
  <c r="H304" i="58"/>
  <c r="I310" i="58"/>
  <c r="E316" i="58"/>
  <c r="H318" i="58"/>
  <c r="E320" i="58"/>
  <c r="H322" i="58"/>
  <c r="I330" i="58"/>
  <c r="E330" i="58"/>
  <c r="G330" i="58"/>
  <c r="E331" i="58"/>
  <c r="G9" i="59"/>
  <c r="I16" i="59"/>
  <c r="G18" i="59"/>
  <c r="F18" i="59"/>
  <c r="I24" i="59"/>
  <c r="G26" i="59"/>
  <c r="E26" i="59"/>
  <c r="I29" i="59"/>
  <c r="E29" i="59"/>
  <c r="H29" i="59"/>
  <c r="E32" i="59"/>
  <c r="F33" i="59"/>
  <c r="I41" i="59"/>
  <c r="E41" i="59"/>
  <c r="H41" i="59"/>
  <c r="E42" i="59"/>
  <c r="F43" i="59"/>
  <c r="F46" i="59"/>
  <c r="G52" i="59"/>
  <c r="E52" i="59"/>
  <c r="H52" i="59"/>
  <c r="G138" i="59"/>
  <c r="I138" i="59"/>
  <c r="E138" i="59"/>
  <c r="F138" i="59"/>
  <c r="H138" i="59"/>
  <c r="I11" i="59"/>
  <c r="E11" i="59"/>
  <c r="I12" i="59"/>
  <c r="I27" i="59"/>
  <c r="E27" i="59"/>
  <c r="I28" i="59"/>
  <c r="I39" i="59"/>
  <c r="E39" i="59"/>
  <c r="I40" i="59"/>
  <c r="F44" i="59"/>
  <c r="I47" i="59"/>
  <c r="E47" i="59"/>
  <c r="I48" i="59"/>
  <c r="F54" i="59"/>
  <c r="I57" i="59"/>
  <c r="E57" i="59"/>
  <c r="G57" i="59"/>
  <c r="H57" i="59"/>
  <c r="G64" i="59"/>
  <c r="I64" i="59"/>
  <c r="E64" i="59"/>
  <c r="F64" i="59"/>
  <c r="G66" i="59"/>
  <c r="I66" i="59"/>
  <c r="E66" i="59"/>
  <c r="I73" i="59"/>
  <c r="E73" i="59"/>
  <c r="G73" i="59"/>
  <c r="H73" i="59"/>
  <c r="G76" i="59"/>
  <c r="I76" i="59"/>
  <c r="E76" i="59"/>
  <c r="F76" i="59"/>
  <c r="G80" i="59"/>
  <c r="I80" i="59"/>
  <c r="E80" i="59"/>
  <c r="I85" i="59"/>
  <c r="E85" i="59"/>
  <c r="G85" i="59"/>
  <c r="H85" i="59"/>
  <c r="G88" i="59"/>
  <c r="I88" i="59"/>
  <c r="E88" i="59"/>
  <c r="F88" i="59"/>
  <c r="G92" i="59"/>
  <c r="I92" i="59"/>
  <c r="E92" i="59"/>
  <c r="I97" i="59"/>
  <c r="E97" i="59"/>
  <c r="G97" i="59"/>
  <c r="H97" i="59"/>
  <c r="G100" i="59"/>
  <c r="I100" i="59"/>
  <c r="E100" i="59"/>
  <c r="F100" i="59"/>
  <c r="G104" i="59"/>
  <c r="I104" i="59"/>
  <c r="E104" i="59"/>
  <c r="I109" i="59"/>
  <c r="E109" i="59"/>
  <c r="G109" i="59"/>
  <c r="H109" i="59"/>
  <c r="G114" i="59"/>
  <c r="I114" i="59"/>
  <c r="E114" i="59"/>
  <c r="F114" i="59"/>
  <c r="G118" i="59"/>
  <c r="I118" i="59"/>
  <c r="E118" i="59"/>
  <c r="I44" i="59"/>
  <c r="I53" i="59"/>
  <c r="E53" i="59"/>
  <c r="I54" i="59"/>
  <c r="G56" i="59"/>
  <c r="I56" i="59"/>
  <c r="E56" i="59"/>
  <c r="F56" i="59"/>
  <c r="G58" i="59"/>
  <c r="I58" i="59"/>
  <c r="E58" i="59"/>
  <c r="I65" i="59"/>
  <c r="E65" i="59"/>
  <c r="G65" i="59"/>
  <c r="H65" i="59"/>
  <c r="G68" i="59"/>
  <c r="I68" i="59"/>
  <c r="E68" i="59"/>
  <c r="F68" i="59"/>
  <c r="G74" i="59"/>
  <c r="I74" i="59"/>
  <c r="E74" i="59"/>
  <c r="I79" i="59"/>
  <c r="E79" i="59"/>
  <c r="G79" i="59"/>
  <c r="H79" i="59"/>
  <c r="G82" i="59"/>
  <c r="I82" i="59"/>
  <c r="E82" i="59"/>
  <c r="F82" i="59"/>
  <c r="G86" i="59"/>
  <c r="I86" i="59"/>
  <c r="E86" i="59"/>
  <c r="I91" i="59"/>
  <c r="E91" i="59"/>
  <c r="G91" i="59"/>
  <c r="H91" i="59"/>
  <c r="G94" i="59"/>
  <c r="I94" i="59"/>
  <c r="E94" i="59"/>
  <c r="F94" i="59"/>
  <c r="G98" i="59"/>
  <c r="I98" i="59"/>
  <c r="E98" i="59"/>
  <c r="I103" i="59"/>
  <c r="E103" i="59"/>
  <c r="G103" i="59"/>
  <c r="H103" i="59"/>
  <c r="G108" i="59"/>
  <c r="I108" i="59"/>
  <c r="E108" i="59"/>
  <c r="F108" i="59"/>
  <c r="G110" i="59"/>
  <c r="I110" i="59"/>
  <c r="E110" i="59"/>
  <c r="I115" i="59"/>
  <c r="E115" i="59"/>
  <c r="G115" i="59"/>
  <c r="H115" i="59"/>
  <c r="G120" i="59"/>
  <c r="I120" i="59"/>
  <c r="E120" i="59"/>
  <c r="F120" i="59"/>
  <c r="G124" i="59"/>
  <c r="I124" i="59"/>
  <c r="E124" i="59"/>
  <c r="F124" i="59"/>
  <c r="I63" i="59"/>
  <c r="E63" i="59"/>
  <c r="G63" i="59"/>
  <c r="I67" i="59"/>
  <c r="E67" i="59"/>
  <c r="G67" i="59"/>
  <c r="I75" i="59"/>
  <c r="E75" i="59"/>
  <c r="G75" i="59"/>
  <c r="I81" i="59"/>
  <c r="E81" i="59"/>
  <c r="G81" i="59"/>
  <c r="I87" i="59"/>
  <c r="E87" i="59"/>
  <c r="G87" i="59"/>
  <c r="I93" i="59"/>
  <c r="E93" i="59"/>
  <c r="G93" i="59"/>
  <c r="I99" i="59"/>
  <c r="E99" i="59"/>
  <c r="G99" i="59"/>
  <c r="I105" i="59"/>
  <c r="E105" i="59"/>
  <c r="G105" i="59"/>
  <c r="I113" i="59"/>
  <c r="E113" i="59"/>
  <c r="G113" i="59"/>
  <c r="I119" i="59"/>
  <c r="E119" i="59"/>
  <c r="G119" i="59"/>
  <c r="I125" i="59"/>
  <c r="E125" i="59"/>
  <c r="G125" i="59"/>
  <c r="I133" i="59"/>
  <c r="E133" i="59"/>
  <c r="G133" i="59"/>
  <c r="I139" i="59"/>
  <c r="E139" i="59"/>
  <c r="G139" i="59"/>
  <c r="I145" i="59"/>
  <c r="E145" i="59"/>
  <c r="G145" i="59"/>
  <c r="I123" i="59"/>
  <c r="E123" i="59"/>
  <c r="G123" i="59"/>
  <c r="I129" i="59"/>
  <c r="E129" i="59"/>
  <c r="G129" i="59"/>
  <c r="H133" i="59"/>
  <c r="I135" i="59"/>
  <c r="E135" i="59"/>
  <c r="G135" i="59"/>
  <c r="H139" i="59"/>
  <c r="I143" i="59"/>
  <c r="E143" i="59"/>
  <c r="G143" i="59"/>
  <c r="H145" i="59"/>
  <c r="H536" i="8" l="1"/>
  <c r="H535" i="8"/>
  <c r="H528" i="8"/>
  <c r="H527" i="8"/>
  <c r="H520" i="8"/>
  <c r="H519" i="8"/>
  <c r="N450" i="8" l="1"/>
  <c r="F513" i="19" l="1"/>
  <c r="G513" i="19"/>
  <c r="C511" i="19"/>
  <c r="C510" i="19"/>
  <c r="C509" i="19"/>
  <c r="C508" i="19"/>
  <c r="C507" i="19"/>
  <c r="C506" i="19"/>
  <c r="C505" i="19"/>
  <c r="C504" i="19"/>
  <c r="C503" i="19"/>
  <c r="C502" i="19"/>
  <c r="C501" i="19"/>
  <c r="C500" i="19"/>
  <c r="C499" i="19"/>
  <c r="C498" i="19"/>
  <c r="C497" i="19"/>
  <c r="C496" i="19"/>
  <c r="C495" i="19"/>
  <c r="C494" i="19"/>
  <c r="C493" i="19"/>
  <c r="C492" i="19"/>
  <c r="C491" i="19"/>
  <c r="C490" i="19"/>
  <c r="C488" i="19"/>
  <c r="C489" i="19"/>
  <c r="C487" i="19"/>
  <c r="F10" i="52"/>
  <c r="J39" i="11" l="1"/>
  <c r="A554" i="42" l="1"/>
  <c r="D511" i="19" l="1"/>
  <c r="E511" i="19" s="1"/>
  <c r="D510" i="19"/>
  <c r="E510" i="19" s="1"/>
  <c r="D509" i="19"/>
  <c r="E509" i="19" s="1"/>
  <c r="D508" i="19"/>
  <c r="E508" i="19" s="1"/>
  <c r="D507" i="19"/>
  <c r="E507" i="19" s="1"/>
  <c r="D504" i="19"/>
  <c r="E504" i="19" s="1"/>
  <c r="D503" i="19"/>
  <c r="E503" i="19" s="1"/>
  <c r="D502" i="19"/>
  <c r="E502" i="19" s="1"/>
  <c r="D501" i="19"/>
  <c r="E501" i="19" s="1"/>
  <c r="D500" i="19"/>
  <c r="E500" i="19" s="1"/>
  <c r="D499" i="19"/>
  <c r="E499" i="19" s="1"/>
  <c r="D498" i="19"/>
  <c r="E498" i="19" s="1"/>
  <c r="D497" i="19"/>
  <c r="E497" i="19" s="1"/>
  <c r="D496" i="19"/>
  <c r="E496" i="19" s="1"/>
  <c r="D495" i="19"/>
  <c r="E495" i="19" s="1"/>
  <c r="D494" i="19"/>
  <c r="E494" i="19" s="1"/>
  <c r="D493" i="19"/>
  <c r="E493" i="19" s="1"/>
  <c r="D492" i="19"/>
  <c r="E492" i="19" s="1"/>
  <c r="D491" i="19"/>
  <c r="E491" i="19" s="1"/>
  <c r="D490" i="19"/>
  <c r="E490" i="19" s="1"/>
  <c r="D489" i="19"/>
  <c r="E489" i="19" s="1"/>
  <c r="D488" i="19"/>
  <c r="D487" i="19"/>
  <c r="E487" i="19" s="1"/>
  <c r="D506" i="19" l="1"/>
  <c r="E506" i="19" s="1"/>
  <c r="D505" i="19"/>
  <c r="E505" i="19" s="1"/>
  <c r="E488" i="19"/>
  <c r="F427" i="19"/>
  <c r="G427" i="19"/>
  <c r="F428" i="19"/>
  <c r="G428" i="19"/>
  <c r="E428" i="19"/>
  <c r="E427" i="19"/>
  <c r="E513" i="19" l="1"/>
  <c r="N136" i="4"/>
  <c r="G136" i="4" s="1"/>
  <c r="M136" i="4"/>
  <c r="F136" i="4" s="1"/>
  <c r="L136" i="4"/>
  <c r="E136" i="4" s="1"/>
  <c r="J136" i="4"/>
  <c r="I136" i="4"/>
  <c r="N19" i="16" l="1"/>
  <c r="H147" i="42" l="1"/>
  <c r="A147" i="42"/>
  <c r="H146" i="42"/>
  <c r="A146" i="42"/>
  <c r="J386" i="19" l="1"/>
  <c r="I386" i="19"/>
  <c r="J385" i="19"/>
  <c r="I385" i="19"/>
  <c r="J384" i="19"/>
  <c r="I384" i="19"/>
  <c r="J383" i="19"/>
  <c r="I383" i="19"/>
  <c r="J382" i="19"/>
  <c r="I382" i="19"/>
  <c r="J373" i="19" l="1"/>
  <c r="J372" i="19"/>
  <c r="J371" i="19"/>
  <c r="J370" i="19"/>
  <c r="J369" i="19"/>
  <c r="J368" i="19"/>
  <c r="J367" i="19"/>
  <c r="J366" i="19"/>
  <c r="J365" i="19"/>
  <c r="I365" i="19"/>
  <c r="I373" i="19"/>
  <c r="I372" i="19"/>
  <c r="I371" i="19"/>
  <c r="I370" i="19"/>
  <c r="I369" i="19"/>
  <c r="I368" i="19"/>
  <c r="I367" i="19"/>
  <c r="I366" i="19"/>
  <c r="F381" i="19" l="1"/>
  <c r="G381" i="19"/>
  <c r="E381" i="19"/>
  <c r="F364" i="19"/>
  <c r="G364" i="19"/>
  <c r="E364" i="19"/>
  <c r="F362" i="19"/>
  <c r="G362" i="19"/>
  <c r="E362" i="19"/>
  <c r="E379" i="19"/>
  <c r="E7" i="56" l="1"/>
  <c r="E65" i="56" l="1"/>
  <c r="E64" i="56"/>
  <c r="E93" i="56"/>
  <c r="E92" i="56"/>
  <c r="E91" i="56"/>
  <c r="J275" i="8" l="1"/>
  <c r="J276" i="8"/>
  <c r="D275" i="8"/>
  <c r="E275" i="8"/>
  <c r="F275" i="8"/>
  <c r="G275" i="8"/>
  <c r="H275" i="8"/>
  <c r="I275" i="8"/>
  <c r="D276" i="8"/>
  <c r="E276" i="8"/>
  <c r="F276" i="8"/>
  <c r="G276" i="8"/>
  <c r="H276" i="8"/>
  <c r="I276" i="8"/>
  <c r="C276" i="8"/>
  <c r="C275" i="8"/>
  <c r="I69" i="56" l="1"/>
  <c r="I70" i="56"/>
  <c r="I71" i="56"/>
  <c r="I72" i="56"/>
  <c r="I73" i="56"/>
  <c r="I74" i="56"/>
  <c r="I75" i="56"/>
  <c r="I76" i="56"/>
  <c r="I77" i="56"/>
  <c r="I78" i="56"/>
  <c r="I79" i="56"/>
  <c r="I80" i="56"/>
  <c r="I81" i="56"/>
  <c r="I82" i="56"/>
  <c r="I83" i="56"/>
  <c r="I84" i="56"/>
  <c r="I85" i="56"/>
  <c r="I86" i="56"/>
  <c r="I87" i="56"/>
  <c r="I88" i="56"/>
  <c r="I89" i="56"/>
  <c r="I68" i="56"/>
  <c r="I37" i="52" l="1"/>
  <c r="N37" i="52" s="1"/>
  <c r="F37" i="52"/>
  <c r="L37" i="52" l="1"/>
  <c r="J37" i="52"/>
  <c r="I117" i="5"/>
  <c r="G107" i="17" l="1"/>
  <c r="G105" i="17"/>
  <c r="G103" i="17"/>
  <c r="G101" i="17"/>
  <c r="G99" i="17"/>
  <c r="G97" i="17"/>
  <c r="G95" i="17"/>
  <c r="G93" i="17"/>
  <c r="G91" i="17"/>
  <c r="G89" i="17"/>
  <c r="G87" i="17"/>
  <c r="G85" i="17"/>
  <c r="G83" i="17"/>
  <c r="G81" i="17"/>
  <c r="G79" i="17"/>
  <c r="G77" i="17"/>
  <c r="G75" i="17"/>
  <c r="G73" i="17"/>
  <c r="G71" i="17"/>
  <c r="G69" i="17"/>
  <c r="G67" i="17"/>
  <c r="G65" i="17"/>
  <c r="A541" i="42" l="1"/>
  <c r="A437" i="42"/>
  <c r="A366" i="42"/>
  <c r="A621" i="42"/>
  <c r="H620" i="42"/>
  <c r="A620" i="42"/>
  <c r="H480" i="42" l="1"/>
  <c r="A480" i="42"/>
  <c r="H470" i="42"/>
  <c r="A470" i="42"/>
  <c r="E336" i="19" l="1"/>
  <c r="E339" i="19" s="1"/>
  <c r="E338" i="19"/>
  <c r="E344" i="19"/>
  <c r="E347" i="19" s="1"/>
  <c r="E340" i="19" l="1"/>
  <c r="E348" i="19"/>
  <c r="E6" i="56"/>
  <c r="E59" i="56" l="1"/>
  <c r="E58" i="56"/>
  <c r="E57" i="56"/>
  <c r="E56" i="56"/>
  <c r="E55" i="56"/>
  <c r="E54" i="56"/>
  <c r="E53" i="56"/>
  <c r="E52" i="56"/>
  <c r="E51" i="56"/>
  <c r="E50" i="56"/>
  <c r="E49" i="56"/>
  <c r="E48" i="56"/>
  <c r="E47" i="56"/>
  <c r="E46" i="56"/>
  <c r="E45" i="56"/>
  <c r="E44" i="56"/>
  <c r="E43" i="56"/>
  <c r="E42" i="56"/>
  <c r="E41" i="56"/>
  <c r="E40" i="56"/>
  <c r="E39" i="56"/>
  <c r="E38" i="56"/>
  <c r="E37" i="56"/>
  <c r="E36" i="56"/>
  <c r="E35" i="56"/>
  <c r="I33" i="56" l="1"/>
  <c r="E33" i="56"/>
  <c r="I32" i="56"/>
  <c r="E32" i="56"/>
  <c r="I31" i="56"/>
  <c r="E31" i="56"/>
  <c r="I30" i="56"/>
  <c r="E30" i="56"/>
  <c r="I29" i="56"/>
  <c r="E29" i="56"/>
  <c r="I28" i="56"/>
  <c r="E28" i="56"/>
  <c r="I27" i="56"/>
  <c r="E27" i="56"/>
  <c r="I26" i="56"/>
  <c r="E26" i="56"/>
  <c r="I25" i="56"/>
  <c r="E25" i="56"/>
  <c r="I24" i="56"/>
  <c r="E24" i="56"/>
  <c r="I23" i="56"/>
  <c r="E23" i="56"/>
  <c r="I22" i="56"/>
  <c r="E22" i="56"/>
  <c r="I21" i="56"/>
  <c r="E21" i="56"/>
  <c r="I20" i="56"/>
  <c r="E20" i="56"/>
  <c r="I19" i="56"/>
  <c r="E19" i="56"/>
  <c r="I18" i="56"/>
  <c r="E18" i="56"/>
  <c r="I17" i="56"/>
  <c r="E17" i="56"/>
  <c r="I16" i="56"/>
  <c r="E16" i="56"/>
  <c r="I15" i="56"/>
  <c r="E15" i="56"/>
  <c r="I14" i="56"/>
  <c r="E14" i="56"/>
  <c r="I13" i="56"/>
  <c r="E13" i="56"/>
  <c r="I12" i="56"/>
  <c r="E12" i="56"/>
  <c r="G539" i="8" l="1"/>
  <c r="G531" i="8"/>
  <c r="G523" i="8"/>
  <c r="G640" i="8"/>
  <c r="F640" i="8"/>
  <c r="E640" i="8"/>
  <c r="D640" i="8"/>
  <c r="C640" i="8"/>
  <c r="B642" i="8"/>
  <c r="B641" i="8"/>
  <c r="D630" i="8"/>
  <c r="C630" i="8"/>
  <c r="B631" i="8"/>
  <c r="E623" i="8"/>
  <c r="E622" i="8"/>
  <c r="D622" i="8"/>
  <c r="C622" i="8"/>
  <c r="B624" i="8"/>
  <c r="B623" i="8"/>
  <c r="H614" i="8"/>
  <c r="G614" i="8"/>
  <c r="F614" i="8"/>
  <c r="E614" i="8"/>
  <c r="B615" i="8"/>
  <c r="D603" i="8"/>
  <c r="C603" i="8"/>
  <c r="B604" i="8"/>
  <c r="D596" i="8"/>
  <c r="C596" i="8"/>
  <c r="B597" i="8"/>
  <c r="D589" i="8"/>
  <c r="C589" i="8"/>
  <c r="B590" i="8"/>
  <c r="B583" i="8"/>
  <c r="B582" i="8"/>
  <c r="B573" i="8"/>
  <c r="E564" i="8"/>
  <c r="D564" i="8"/>
  <c r="C564" i="8"/>
  <c r="B566" i="8"/>
  <c r="B565" i="8"/>
  <c r="E555" i="8"/>
  <c r="D555" i="8"/>
  <c r="C555" i="8"/>
  <c r="B557" i="8"/>
  <c r="B556" i="8"/>
  <c r="D547" i="8"/>
  <c r="C547" i="8"/>
  <c r="E539" i="8"/>
  <c r="D539" i="8"/>
  <c r="C539" i="8"/>
  <c r="B541" i="8"/>
  <c r="B540" i="8"/>
  <c r="D531" i="8"/>
  <c r="C531" i="8"/>
  <c r="E523" i="8"/>
  <c r="D523" i="8"/>
  <c r="C523" i="8"/>
  <c r="B525" i="8"/>
  <c r="B524" i="8"/>
  <c r="H244" i="11"/>
  <c r="G244" i="11"/>
  <c r="F244" i="11"/>
  <c r="E244" i="11"/>
  <c r="H238" i="11"/>
  <c r="G238" i="11"/>
  <c r="F238" i="11"/>
  <c r="E238" i="11"/>
  <c r="H232" i="11"/>
  <c r="G232" i="11"/>
  <c r="F232" i="11"/>
  <c r="E232" i="11"/>
  <c r="H226" i="11"/>
  <c r="G226" i="11"/>
  <c r="F226" i="11"/>
  <c r="E226" i="11"/>
  <c r="H220" i="11"/>
  <c r="G220" i="11"/>
  <c r="F220" i="11"/>
  <c r="E220" i="11"/>
  <c r="J216" i="11"/>
  <c r="I216" i="11"/>
  <c r="H216" i="11"/>
  <c r="G216" i="11"/>
  <c r="F216" i="11"/>
  <c r="E216" i="11"/>
  <c r="K206" i="11"/>
  <c r="O200" i="11"/>
  <c r="F194" i="11"/>
  <c r="E194" i="11"/>
  <c r="L188" i="11"/>
  <c r="K188" i="11"/>
  <c r="J188" i="11"/>
  <c r="I188" i="11"/>
  <c r="H188" i="11"/>
  <c r="G188" i="11"/>
  <c r="F188" i="11"/>
  <c r="E188" i="11"/>
  <c r="G182" i="11"/>
  <c r="F182" i="11"/>
  <c r="E182" i="11"/>
  <c r="H176" i="11"/>
  <c r="G176" i="11"/>
  <c r="F481" i="19" l="1"/>
  <c r="F483" i="19" s="1"/>
  <c r="G481" i="19"/>
  <c r="G483" i="19" s="1"/>
  <c r="E481" i="19"/>
  <c r="E483" i="19" s="1"/>
  <c r="E1" i="56" s="1"/>
  <c r="E4" i="56" l="1"/>
  <c r="F379" i="19" l="1"/>
  <c r="G379" i="19"/>
  <c r="F158" i="11" l="1"/>
  <c r="G158" i="11"/>
  <c r="E358" i="19" l="1"/>
  <c r="E357" i="19"/>
  <c r="E360" i="19" l="1"/>
  <c r="E359" i="19"/>
  <c r="E366" i="19" l="1"/>
  <c r="H10" i="47"/>
  <c r="H6" i="11" s="1"/>
  <c r="I10" i="47"/>
  <c r="I6" i="11" s="1"/>
  <c r="G25" i="42"/>
  <c r="G24" i="42"/>
  <c r="F23" i="42"/>
  <c r="F22" i="42"/>
  <c r="P13" i="48" l="1"/>
  <c r="P13" i="53"/>
  <c r="J79" i="1"/>
  <c r="M33" i="5" l="1"/>
  <c r="M35" i="5"/>
  <c r="M34" i="5"/>
  <c r="E335" i="2" l="1"/>
  <c r="E362" i="2" s="1"/>
  <c r="F44" i="52" l="1"/>
  <c r="F43" i="52"/>
  <c r="D43" i="52"/>
  <c r="F41" i="52"/>
  <c r="F40" i="52"/>
  <c r="F39" i="52"/>
  <c r="D39" i="52"/>
  <c r="F36" i="52"/>
  <c r="F35" i="52"/>
  <c r="D35" i="52"/>
  <c r="F32" i="52"/>
  <c r="F31" i="52"/>
  <c r="F30" i="52"/>
  <c r="D30" i="52"/>
  <c r="F28" i="52"/>
  <c r="F27" i="52"/>
  <c r="F26" i="52"/>
  <c r="D26" i="52"/>
  <c r="F24" i="52"/>
  <c r="F23" i="52"/>
  <c r="F22" i="52"/>
  <c r="D22" i="52"/>
  <c r="F19" i="52"/>
  <c r="F18" i="52"/>
  <c r="D18" i="52"/>
  <c r="F16" i="52"/>
  <c r="F15" i="52"/>
  <c r="F14" i="52"/>
  <c r="F12" i="52"/>
  <c r="F11" i="52"/>
  <c r="D14" i="52"/>
  <c r="D10" i="52"/>
  <c r="I44" i="52" l="1"/>
  <c r="N44" i="52" s="1"/>
  <c r="I43" i="52"/>
  <c r="I41" i="52"/>
  <c r="N41" i="52" s="1"/>
  <c r="I40" i="52"/>
  <c r="N40" i="52" s="1"/>
  <c r="I39" i="52"/>
  <c r="I36" i="52"/>
  <c r="N36" i="52" s="1"/>
  <c r="I35" i="52"/>
  <c r="I32" i="52"/>
  <c r="N32" i="52" s="1"/>
  <c r="I31" i="52"/>
  <c r="N31" i="52" s="1"/>
  <c r="I30" i="52"/>
  <c r="I28" i="52"/>
  <c r="N28" i="52" s="1"/>
  <c r="I27" i="52"/>
  <c r="I26" i="52"/>
  <c r="N26" i="52" s="1"/>
  <c r="I24" i="52"/>
  <c r="N24" i="52" s="1"/>
  <c r="I23" i="52"/>
  <c r="I22" i="52"/>
  <c r="L22" i="52" s="1"/>
  <c r="I19" i="52"/>
  <c r="I16" i="52"/>
  <c r="N16" i="52" s="1"/>
  <c r="I15" i="52"/>
  <c r="N15" i="52" s="1"/>
  <c r="I14" i="52"/>
  <c r="N14" i="52" s="1"/>
  <c r="I12" i="52"/>
  <c r="I11" i="52"/>
  <c r="N22" i="52" l="1"/>
  <c r="I18" i="52"/>
  <c r="N18" i="52" s="1"/>
  <c r="N19" i="52"/>
  <c r="J22" i="52"/>
  <c r="L32" i="52"/>
  <c r="J32" i="52"/>
  <c r="L44" i="52"/>
  <c r="L26" i="52"/>
  <c r="J24" i="52"/>
  <c r="J31" i="52"/>
  <c r="L40" i="52"/>
  <c r="L24" i="52"/>
  <c r="J28" i="52"/>
  <c r="L31" i="52"/>
  <c r="J40" i="52"/>
  <c r="J41" i="52"/>
  <c r="L28" i="52"/>
  <c r="J26" i="52"/>
  <c r="L41" i="52"/>
  <c r="J44" i="52"/>
  <c r="J14" i="52"/>
  <c r="L15" i="52"/>
  <c r="J19" i="52"/>
  <c r="L16" i="52"/>
  <c r="J16" i="52"/>
  <c r="L14" i="52"/>
  <c r="J15" i="52"/>
  <c r="I10" i="52"/>
  <c r="N10" i="52" s="1"/>
  <c r="L18" i="52" l="1"/>
  <c r="J18" i="52"/>
  <c r="L19" i="52"/>
  <c r="N12" i="52"/>
  <c r="J12" i="52"/>
  <c r="L12" i="52"/>
  <c r="N11" i="52"/>
  <c r="L11" i="52"/>
  <c r="J11" i="52"/>
  <c r="G54" i="17"/>
  <c r="G52" i="17"/>
  <c r="G50" i="17"/>
  <c r="G48" i="17"/>
  <c r="G46" i="17"/>
  <c r="G44" i="17"/>
  <c r="G42" i="17"/>
  <c r="G40" i="17"/>
  <c r="G38" i="17"/>
  <c r="G36" i="17"/>
  <c r="G34" i="17"/>
  <c r="G32" i="17"/>
  <c r="G30" i="17"/>
  <c r="G28" i="17"/>
  <c r="J54" i="17"/>
  <c r="P54" i="17" s="1"/>
  <c r="J52" i="17"/>
  <c r="P52" i="17" s="1"/>
  <c r="J50" i="17"/>
  <c r="P50" i="17" s="1"/>
  <c r="J48" i="17"/>
  <c r="P48" i="17" s="1"/>
  <c r="J46" i="17"/>
  <c r="P46" i="17" s="1"/>
  <c r="J44" i="17"/>
  <c r="P44" i="17" s="1"/>
  <c r="J42" i="17"/>
  <c r="P42" i="17" s="1"/>
  <c r="J40" i="17"/>
  <c r="P40" i="17" s="1"/>
  <c r="J38" i="17"/>
  <c r="P38" i="17" s="1"/>
  <c r="J36" i="17"/>
  <c r="P36" i="17" s="1"/>
  <c r="J34" i="17"/>
  <c r="P34" i="17" s="1"/>
  <c r="J32" i="17"/>
  <c r="P32" i="17" s="1"/>
  <c r="J30" i="17"/>
  <c r="P30" i="17" s="1"/>
  <c r="J28" i="17"/>
  <c r="P28" i="17" s="1"/>
  <c r="J26" i="17"/>
  <c r="P26" i="17" s="1"/>
  <c r="J24" i="17"/>
  <c r="P24" i="17" s="1"/>
  <c r="J22" i="17"/>
  <c r="P22" i="17" s="1"/>
  <c r="J20" i="17"/>
  <c r="P20" i="17" s="1"/>
  <c r="J18" i="17"/>
  <c r="P18" i="17" s="1"/>
  <c r="J16" i="17"/>
  <c r="P16" i="17" s="1"/>
  <c r="J14" i="17"/>
  <c r="P14" i="17" s="1"/>
  <c r="G26" i="17"/>
  <c r="G24" i="17"/>
  <c r="G22" i="17"/>
  <c r="G20" i="17"/>
  <c r="G18" i="17"/>
  <c r="G16" i="17"/>
  <c r="G14" i="17"/>
  <c r="J12" i="17"/>
  <c r="P12" i="17" s="1"/>
  <c r="G12" i="17"/>
  <c r="L8" i="4" l="1"/>
  <c r="M8" i="4"/>
  <c r="N8" i="4"/>
  <c r="L9" i="4"/>
  <c r="M9" i="4"/>
  <c r="N9" i="4"/>
  <c r="L10" i="4"/>
  <c r="M10" i="4"/>
  <c r="N10" i="4"/>
  <c r="L13" i="4"/>
  <c r="M13" i="4"/>
  <c r="N13" i="4"/>
  <c r="L14" i="4"/>
  <c r="M14" i="4"/>
  <c r="N14" i="4"/>
  <c r="L15" i="4"/>
  <c r="M15" i="4"/>
  <c r="N15" i="4"/>
  <c r="L16" i="4"/>
  <c r="M16" i="4"/>
  <c r="N16" i="4"/>
  <c r="L18" i="4"/>
  <c r="M18" i="4"/>
  <c r="N18" i="4"/>
  <c r="L22" i="4"/>
  <c r="M22" i="4"/>
  <c r="N22" i="4"/>
  <c r="L23" i="4"/>
  <c r="M23" i="4"/>
  <c r="N23" i="4"/>
  <c r="L24" i="4"/>
  <c r="M24" i="4"/>
  <c r="N24" i="4"/>
  <c r="L28" i="4"/>
  <c r="M28" i="4"/>
  <c r="N28" i="4"/>
  <c r="L29" i="4"/>
  <c r="M29" i="4"/>
  <c r="N29" i="4"/>
  <c r="L30" i="4"/>
  <c r="M30" i="4"/>
  <c r="N30" i="4"/>
  <c r="L33" i="4"/>
  <c r="M33" i="4"/>
  <c r="N33" i="4"/>
  <c r="L34" i="4"/>
  <c r="M34" i="4"/>
  <c r="N34" i="4"/>
  <c r="L35" i="4"/>
  <c r="M35" i="4"/>
  <c r="N35" i="4"/>
  <c r="L36" i="4"/>
  <c r="M36" i="4"/>
  <c r="N36" i="4"/>
  <c r="L38" i="4"/>
  <c r="M38" i="4"/>
  <c r="N38" i="4"/>
  <c r="L43" i="4"/>
  <c r="M43" i="4"/>
  <c r="N43" i="4"/>
  <c r="L44" i="4"/>
  <c r="M44" i="4"/>
  <c r="N44" i="4"/>
  <c r="L45" i="4"/>
  <c r="M45" i="4"/>
  <c r="N45" i="4"/>
  <c r="L46" i="4"/>
  <c r="M46" i="4"/>
  <c r="N46" i="4"/>
  <c r="L47" i="4"/>
  <c r="M47" i="4"/>
  <c r="N47" i="4"/>
  <c r="L49" i="4"/>
  <c r="M49" i="4"/>
  <c r="N49" i="4"/>
  <c r="L50" i="4"/>
  <c r="M50" i="4"/>
  <c r="N50" i="4"/>
  <c r="L51" i="4"/>
  <c r="M51" i="4"/>
  <c r="N51" i="4"/>
  <c r="L52" i="4"/>
  <c r="M52" i="4"/>
  <c r="N52" i="4"/>
  <c r="L53" i="4"/>
  <c r="M53" i="4"/>
  <c r="N53" i="4"/>
  <c r="L54" i="4"/>
  <c r="M54" i="4"/>
  <c r="N54" i="4"/>
  <c r="L55" i="4"/>
  <c r="M55" i="4"/>
  <c r="N55" i="4"/>
  <c r="L56" i="4"/>
  <c r="M56" i="4"/>
  <c r="N56" i="4"/>
  <c r="L58" i="4"/>
  <c r="M58" i="4"/>
  <c r="N58" i="4"/>
  <c r="L59" i="4"/>
  <c r="M59" i="4"/>
  <c r="N59" i="4"/>
  <c r="L60" i="4"/>
  <c r="M60" i="4"/>
  <c r="N60" i="4"/>
  <c r="L61" i="4"/>
  <c r="M61" i="4"/>
  <c r="N61" i="4"/>
  <c r="L62" i="4"/>
  <c r="M62" i="4"/>
  <c r="N62" i="4"/>
  <c r="L63" i="4"/>
  <c r="M63" i="4"/>
  <c r="N63" i="4"/>
  <c r="L64" i="4"/>
  <c r="M64" i="4"/>
  <c r="N64" i="4"/>
  <c r="L65" i="4"/>
  <c r="M65" i="4"/>
  <c r="N65" i="4"/>
  <c r="L66" i="4"/>
  <c r="M66" i="4"/>
  <c r="N66" i="4"/>
  <c r="L67" i="4"/>
  <c r="M67" i="4"/>
  <c r="N67" i="4"/>
  <c r="L68" i="4"/>
  <c r="M68" i="4"/>
  <c r="N68" i="4"/>
  <c r="L69" i="4"/>
  <c r="M69" i="4"/>
  <c r="N69" i="4"/>
  <c r="L70" i="4"/>
  <c r="M70" i="4"/>
  <c r="N70" i="4"/>
  <c r="L71" i="4"/>
  <c r="M71" i="4"/>
  <c r="N71" i="4"/>
  <c r="L72" i="4"/>
  <c r="M72" i="4"/>
  <c r="N72" i="4"/>
  <c r="L73" i="4"/>
  <c r="M73" i="4"/>
  <c r="N73" i="4"/>
  <c r="L74" i="4"/>
  <c r="M74" i="4"/>
  <c r="N74" i="4"/>
  <c r="L75" i="4"/>
  <c r="M75" i="4"/>
  <c r="N75" i="4"/>
  <c r="L76" i="4"/>
  <c r="M76" i="4"/>
  <c r="N76" i="4"/>
  <c r="L77" i="4"/>
  <c r="M77" i="4"/>
  <c r="N77" i="4"/>
  <c r="L78" i="4"/>
  <c r="M78" i="4"/>
  <c r="N78" i="4"/>
  <c r="L79" i="4"/>
  <c r="M79" i="4"/>
  <c r="N79" i="4"/>
  <c r="L80" i="4"/>
  <c r="M80" i="4"/>
  <c r="N80" i="4"/>
  <c r="L81" i="4"/>
  <c r="M81" i="4"/>
  <c r="N81" i="4"/>
  <c r="L82" i="4"/>
  <c r="M82" i="4"/>
  <c r="N82" i="4"/>
  <c r="L83" i="4"/>
  <c r="M83" i="4"/>
  <c r="N83" i="4"/>
  <c r="L84" i="4"/>
  <c r="M84" i="4"/>
  <c r="N84" i="4"/>
  <c r="L85" i="4"/>
  <c r="M85" i="4"/>
  <c r="N85" i="4"/>
  <c r="L86" i="4"/>
  <c r="M86" i="4"/>
  <c r="N86" i="4"/>
  <c r="L87" i="4"/>
  <c r="M87" i="4"/>
  <c r="N87" i="4"/>
  <c r="L89" i="4"/>
  <c r="M89" i="4"/>
  <c r="N89" i="4"/>
  <c r="L90" i="4"/>
  <c r="M90" i="4"/>
  <c r="N90" i="4"/>
  <c r="L91" i="4"/>
  <c r="M91" i="4"/>
  <c r="N91" i="4"/>
  <c r="L93" i="4"/>
  <c r="M93" i="4"/>
  <c r="N93" i="4"/>
  <c r="L94" i="4"/>
  <c r="M94" i="4"/>
  <c r="N94" i="4"/>
  <c r="L95" i="4"/>
  <c r="M95" i="4"/>
  <c r="N95" i="4"/>
  <c r="L96" i="4"/>
  <c r="M96" i="4"/>
  <c r="N96" i="4"/>
  <c r="L97" i="4"/>
  <c r="M97" i="4"/>
  <c r="N97" i="4"/>
  <c r="L98" i="4"/>
  <c r="M98" i="4"/>
  <c r="N98" i="4"/>
  <c r="L99" i="4"/>
  <c r="M99" i="4"/>
  <c r="N99" i="4"/>
  <c r="L100" i="4"/>
  <c r="M100" i="4"/>
  <c r="N100" i="4"/>
  <c r="L101" i="4"/>
  <c r="M101" i="4"/>
  <c r="N101" i="4"/>
  <c r="L102" i="4"/>
  <c r="M102" i="4"/>
  <c r="N102" i="4"/>
  <c r="L103" i="4"/>
  <c r="M103" i="4"/>
  <c r="N103" i="4"/>
  <c r="L104" i="4"/>
  <c r="M104" i="4"/>
  <c r="N104" i="4"/>
  <c r="L105" i="4"/>
  <c r="M105" i="4"/>
  <c r="N105" i="4"/>
  <c r="L106" i="4"/>
  <c r="M106" i="4"/>
  <c r="N106" i="4"/>
  <c r="L107" i="4"/>
  <c r="M107" i="4"/>
  <c r="N107" i="4"/>
  <c r="L108" i="4"/>
  <c r="M108" i="4"/>
  <c r="N108" i="4"/>
  <c r="L109" i="4"/>
  <c r="M109" i="4"/>
  <c r="N109" i="4"/>
  <c r="L110" i="4"/>
  <c r="M110" i="4"/>
  <c r="N110" i="4"/>
  <c r="L113" i="4"/>
  <c r="M113" i="4"/>
  <c r="N113" i="4"/>
  <c r="L114" i="4"/>
  <c r="M114" i="4"/>
  <c r="N114" i="4"/>
  <c r="L115" i="4"/>
  <c r="M115" i="4"/>
  <c r="N115" i="4"/>
  <c r="L116" i="4"/>
  <c r="M116" i="4"/>
  <c r="N116" i="4"/>
  <c r="L117" i="4"/>
  <c r="M117" i="4"/>
  <c r="N117" i="4"/>
  <c r="L118" i="4"/>
  <c r="M118" i="4"/>
  <c r="N118" i="4"/>
  <c r="L119" i="4"/>
  <c r="M119" i="4"/>
  <c r="N119" i="4"/>
  <c r="L120" i="4"/>
  <c r="M120" i="4"/>
  <c r="N120" i="4"/>
  <c r="L121" i="4"/>
  <c r="M121" i="4"/>
  <c r="N121" i="4"/>
  <c r="L122" i="4"/>
  <c r="M122" i="4"/>
  <c r="N122" i="4"/>
  <c r="L123" i="4"/>
  <c r="M123" i="4"/>
  <c r="N123" i="4"/>
  <c r="L124" i="4"/>
  <c r="M124" i="4"/>
  <c r="N124" i="4"/>
  <c r="L125" i="4"/>
  <c r="M125" i="4"/>
  <c r="N125" i="4"/>
  <c r="L126" i="4"/>
  <c r="M126" i="4"/>
  <c r="N126" i="4"/>
  <c r="L127" i="4"/>
  <c r="M127" i="4"/>
  <c r="N127" i="4"/>
  <c r="L128" i="4"/>
  <c r="M128" i="4"/>
  <c r="N128" i="4"/>
  <c r="L129" i="4"/>
  <c r="M129" i="4"/>
  <c r="N129" i="4"/>
  <c r="L130" i="4"/>
  <c r="M130" i="4"/>
  <c r="N130" i="4"/>
  <c r="L131" i="4"/>
  <c r="M131" i="4"/>
  <c r="N131" i="4"/>
  <c r="L132" i="4"/>
  <c r="M132" i="4"/>
  <c r="N132" i="4"/>
  <c r="L137" i="4"/>
  <c r="M137" i="4"/>
  <c r="N137" i="4"/>
  <c r="L138" i="4"/>
  <c r="M138" i="4"/>
  <c r="N138" i="4"/>
  <c r="L139" i="4"/>
  <c r="M139" i="4"/>
  <c r="N139" i="4"/>
  <c r="L150" i="4"/>
  <c r="M150" i="4"/>
  <c r="N150" i="4"/>
  <c r="L151" i="4"/>
  <c r="M151" i="4"/>
  <c r="N151" i="4"/>
  <c r="L152" i="4"/>
  <c r="M152" i="4"/>
  <c r="N152" i="4"/>
  <c r="L153" i="4"/>
  <c r="M153" i="4"/>
  <c r="N153" i="4"/>
  <c r="L156" i="4"/>
  <c r="M156" i="4"/>
  <c r="N156" i="4"/>
  <c r="L157" i="4"/>
  <c r="M157" i="4"/>
  <c r="N157" i="4"/>
  <c r="L160" i="4"/>
  <c r="M160" i="4"/>
  <c r="N160" i="4"/>
  <c r="L161" i="4"/>
  <c r="M161" i="4"/>
  <c r="N161" i="4"/>
  <c r="E358" i="2" l="1"/>
  <c r="E385" i="2" s="1"/>
  <c r="E620" i="42" s="1"/>
  <c r="E354" i="2"/>
  <c r="E381" i="2" s="1"/>
  <c r="E350" i="2"/>
  <c r="E377" i="2" s="1"/>
  <c r="E554" i="42" s="1"/>
  <c r="E346" i="2"/>
  <c r="E373" i="2" s="1"/>
  <c r="E509" i="42" s="1"/>
  <c r="E342" i="2"/>
  <c r="E369" i="2" s="1"/>
  <c r="E338" i="2"/>
  <c r="E365" i="2" s="1"/>
  <c r="E306" i="2"/>
  <c r="E87" i="56" s="1"/>
  <c r="E302" i="2"/>
  <c r="E83" i="56" s="1"/>
  <c r="E298" i="2"/>
  <c r="E79" i="56" s="1"/>
  <c r="E294" i="2"/>
  <c r="E75" i="56" s="1"/>
  <c r="E290" i="2"/>
  <c r="E71" i="56" s="1"/>
  <c r="A118" i="11"/>
  <c r="E359" i="2"/>
  <c r="E386" i="2" s="1"/>
  <c r="E357" i="2"/>
  <c r="E384" i="2" s="1"/>
  <c r="E356" i="2"/>
  <c r="E383" i="2" s="1"/>
  <c r="E355" i="2"/>
  <c r="E382" i="2" s="1"/>
  <c r="E353" i="2"/>
  <c r="E380" i="2" s="1"/>
  <c r="E589" i="42" s="1"/>
  <c r="E352" i="2"/>
  <c r="E379" i="2" s="1"/>
  <c r="E351" i="2"/>
  <c r="E378" i="2" s="1"/>
  <c r="E349" i="2"/>
  <c r="E376" i="2" s="1"/>
  <c r="E348" i="2"/>
  <c r="E375" i="2" s="1"/>
  <c r="E347" i="2"/>
  <c r="E374" i="2" s="1"/>
  <c r="E345" i="2"/>
  <c r="E372" i="2" s="1"/>
  <c r="E344" i="2"/>
  <c r="E371" i="2" s="1"/>
  <c r="E480" i="42" s="1"/>
  <c r="E343" i="2"/>
  <c r="E370" i="2" s="1"/>
  <c r="E341" i="2"/>
  <c r="E368" i="2" s="1"/>
  <c r="E444" i="42" s="1"/>
  <c r="E340" i="2"/>
  <c r="E367" i="2" s="1"/>
  <c r="E339" i="2"/>
  <c r="E366" i="2" s="1"/>
  <c r="E337" i="2"/>
  <c r="E364" i="2" s="1"/>
  <c r="E336" i="2"/>
  <c r="E363" i="2" s="1"/>
  <c r="M335" i="2"/>
  <c r="E308" i="2"/>
  <c r="E89" i="56" s="1"/>
  <c r="E307" i="2"/>
  <c r="E88" i="56" s="1"/>
  <c r="E305" i="2"/>
  <c r="E86" i="56" s="1"/>
  <c r="E304" i="2"/>
  <c r="E85" i="56" s="1"/>
  <c r="E303" i="2"/>
  <c r="E84" i="56" s="1"/>
  <c r="E301" i="2"/>
  <c r="E82" i="56" s="1"/>
  <c r="E300" i="2"/>
  <c r="E81" i="56" s="1"/>
  <c r="E299" i="2"/>
  <c r="E80" i="56" s="1"/>
  <c r="E297" i="2"/>
  <c r="E78" i="56" s="1"/>
  <c r="E296" i="2"/>
  <c r="E77" i="56" s="1"/>
  <c r="E295" i="2"/>
  <c r="E76" i="56" s="1"/>
  <c r="E293" i="2"/>
  <c r="E74" i="56" s="1"/>
  <c r="E292" i="2"/>
  <c r="E73" i="56" s="1"/>
  <c r="E291" i="2"/>
  <c r="E72" i="56" s="1"/>
  <c r="E289" i="2"/>
  <c r="E70" i="56" s="1"/>
  <c r="E288" i="2"/>
  <c r="E69" i="56" s="1"/>
  <c r="E287" i="2"/>
  <c r="E68" i="56" s="1"/>
  <c r="K89" i="3"/>
  <c r="K88" i="3"/>
  <c r="K87" i="3"/>
  <c r="K86" i="3"/>
  <c r="K85" i="3"/>
  <c r="K84" i="3"/>
  <c r="K83" i="3"/>
  <c r="K82" i="3"/>
  <c r="K81" i="3"/>
  <c r="K80" i="3"/>
  <c r="K79" i="3"/>
  <c r="K78" i="3"/>
  <c r="K77" i="3"/>
  <c r="K76" i="3"/>
  <c r="K75" i="3"/>
  <c r="K74" i="3"/>
  <c r="K73" i="3"/>
  <c r="K72" i="3"/>
  <c r="K71" i="3"/>
  <c r="K70" i="3"/>
  <c r="K69" i="3"/>
  <c r="K68" i="3"/>
  <c r="K67" i="3"/>
  <c r="K66" i="3"/>
  <c r="K65" i="3"/>
  <c r="K64" i="3"/>
  <c r="K63" i="3"/>
  <c r="K62" i="3"/>
  <c r="K61" i="3"/>
  <c r="K60" i="3"/>
  <c r="K59" i="3"/>
  <c r="K58" i="3"/>
  <c r="K57" i="3"/>
  <c r="K56" i="3"/>
  <c r="K55" i="3"/>
  <c r="K54" i="3"/>
  <c r="K53" i="3"/>
  <c r="K52" i="3"/>
  <c r="K51" i="3"/>
  <c r="K50" i="3"/>
  <c r="K49" i="3"/>
  <c r="K48" i="3"/>
  <c r="K47" i="3"/>
  <c r="K46" i="3"/>
  <c r="K45" i="3"/>
  <c r="K44" i="3"/>
  <c r="K43" i="3"/>
  <c r="K42" i="3"/>
  <c r="K41" i="3"/>
  <c r="E501" i="8"/>
  <c r="E500" i="8"/>
  <c r="E499" i="8"/>
  <c r="E498" i="8"/>
  <c r="E497" i="8"/>
  <c r="E496" i="8"/>
  <c r="E495" i="8"/>
  <c r="E494" i="8"/>
  <c r="E493" i="8"/>
  <c r="E492" i="8"/>
  <c r="E491" i="8"/>
  <c r="E490" i="8"/>
  <c r="E489" i="8"/>
  <c r="E488" i="8"/>
  <c r="E487" i="8"/>
  <c r="E486" i="8"/>
  <c r="E485" i="8"/>
  <c r="E484" i="8"/>
  <c r="E483" i="8"/>
  <c r="E482" i="8"/>
  <c r="E481" i="8"/>
  <c r="E480" i="8"/>
  <c r="E479" i="8"/>
  <c r="E478" i="8"/>
  <c r="E477" i="8"/>
  <c r="E475" i="8"/>
  <c r="E474" i="8"/>
  <c r="E473" i="8"/>
  <c r="E472" i="8"/>
  <c r="E471" i="8"/>
  <c r="E470" i="8"/>
  <c r="E469" i="8"/>
  <c r="E468" i="8"/>
  <c r="E467" i="8"/>
  <c r="E466" i="8"/>
  <c r="E465" i="8"/>
  <c r="E464" i="8"/>
  <c r="E463" i="8"/>
  <c r="E462" i="8"/>
  <c r="E461" i="8"/>
  <c r="E460" i="8"/>
  <c r="E459" i="8"/>
  <c r="E458" i="8"/>
  <c r="E457" i="8"/>
  <c r="E456" i="8"/>
  <c r="E455" i="8"/>
  <c r="E454" i="8"/>
  <c r="E453" i="8"/>
  <c r="E452" i="8"/>
  <c r="C478" i="8"/>
  <c r="C479" i="8"/>
  <c r="C480" i="8"/>
  <c r="C481" i="8"/>
  <c r="C482" i="8"/>
  <c r="C483" i="8"/>
  <c r="C484" i="8"/>
  <c r="C485" i="8"/>
  <c r="C486" i="8"/>
  <c r="C487" i="8"/>
  <c r="C488" i="8"/>
  <c r="C489" i="8"/>
  <c r="C490" i="8"/>
  <c r="C491" i="8"/>
  <c r="C492" i="8"/>
  <c r="C493" i="8"/>
  <c r="C494" i="8"/>
  <c r="C495" i="8"/>
  <c r="C496" i="8"/>
  <c r="C497" i="8"/>
  <c r="C498" i="8"/>
  <c r="C499" i="8"/>
  <c r="C500" i="8"/>
  <c r="C501" i="8"/>
  <c r="C477" i="8"/>
  <c r="C453" i="8"/>
  <c r="C454" i="8"/>
  <c r="C455" i="8"/>
  <c r="C456" i="8"/>
  <c r="C457" i="8"/>
  <c r="C458" i="8"/>
  <c r="C459" i="8"/>
  <c r="C460" i="8"/>
  <c r="C461" i="8"/>
  <c r="C462" i="8"/>
  <c r="C463" i="8"/>
  <c r="C464" i="8"/>
  <c r="C465" i="8"/>
  <c r="C466" i="8"/>
  <c r="C467" i="8"/>
  <c r="C468" i="8"/>
  <c r="C469" i="8"/>
  <c r="C470" i="8"/>
  <c r="C471" i="8"/>
  <c r="C472" i="8"/>
  <c r="C473" i="8"/>
  <c r="C474" i="8"/>
  <c r="C475" i="8"/>
  <c r="C452" i="8"/>
  <c r="G501" i="8"/>
  <c r="G89" i="3" s="1"/>
  <c r="F501" i="8"/>
  <c r="F89" i="3" s="1"/>
  <c r="G500" i="8"/>
  <c r="G88" i="3" s="1"/>
  <c r="F500" i="8"/>
  <c r="F88" i="3" s="1"/>
  <c r="G499" i="8"/>
  <c r="G87" i="3" s="1"/>
  <c r="F499" i="8"/>
  <c r="F87" i="3" s="1"/>
  <c r="G498" i="8"/>
  <c r="G86" i="3" s="1"/>
  <c r="F498" i="8"/>
  <c r="F86" i="3" s="1"/>
  <c r="G497" i="8"/>
  <c r="G85" i="3" s="1"/>
  <c r="F497" i="8"/>
  <c r="F85" i="3" s="1"/>
  <c r="P496" i="8"/>
  <c r="G496" i="8"/>
  <c r="G84" i="3" s="1"/>
  <c r="F496" i="8"/>
  <c r="F84" i="3" s="1"/>
  <c r="G495" i="8"/>
  <c r="G83" i="3" s="1"/>
  <c r="F495" i="8"/>
  <c r="F83" i="3" s="1"/>
  <c r="G494" i="8"/>
  <c r="G82" i="3" s="1"/>
  <c r="F494" i="8"/>
  <c r="F82" i="3" s="1"/>
  <c r="G493" i="8"/>
  <c r="G81" i="3" s="1"/>
  <c r="F493" i="8"/>
  <c r="F81" i="3" s="1"/>
  <c r="G492" i="8"/>
  <c r="G80" i="3" s="1"/>
  <c r="F492" i="8"/>
  <c r="F80" i="3" s="1"/>
  <c r="G491" i="8"/>
  <c r="G79" i="3" s="1"/>
  <c r="F491" i="8"/>
  <c r="F79" i="3" s="1"/>
  <c r="G490" i="8"/>
  <c r="G78" i="3" s="1"/>
  <c r="F490" i="8"/>
  <c r="F78" i="3" s="1"/>
  <c r="G489" i="8"/>
  <c r="G77" i="3" s="1"/>
  <c r="F489" i="8"/>
  <c r="F77" i="3" s="1"/>
  <c r="P488" i="8"/>
  <c r="G488" i="8"/>
  <c r="G76" i="3" s="1"/>
  <c r="F488" i="8"/>
  <c r="F76" i="3" s="1"/>
  <c r="G487" i="8"/>
  <c r="G75" i="3" s="1"/>
  <c r="F487" i="8"/>
  <c r="F75" i="3" s="1"/>
  <c r="G486" i="8"/>
  <c r="G74" i="3" s="1"/>
  <c r="F486" i="8"/>
  <c r="F74" i="3" s="1"/>
  <c r="G485" i="8"/>
  <c r="G73" i="3" s="1"/>
  <c r="F485" i="8"/>
  <c r="F73" i="3" s="1"/>
  <c r="G484" i="8"/>
  <c r="G72" i="3" s="1"/>
  <c r="F484" i="8"/>
  <c r="F72" i="3" s="1"/>
  <c r="G483" i="8"/>
  <c r="G71" i="3" s="1"/>
  <c r="F483" i="8"/>
  <c r="F71" i="3" s="1"/>
  <c r="G482" i="8"/>
  <c r="G70" i="3" s="1"/>
  <c r="F482" i="8"/>
  <c r="F70" i="3" s="1"/>
  <c r="G481" i="8"/>
  <c r="G69" i="3" s="1"/>
  <c r="F481" i="8"/>
  <c r="F69" i="3" s="1"/>
  <c r="P480" i="8"/>
  <c r="G480" i="8"/>
  <c r="G68" i="3" s="1"/>
  <c r="F480" i="8"/>
  <c r="F68" i="3" s="1"/>
  <c r="G479" i="8"/>
  <c r="G67" i="3" s="1"/>
  <c r="F479" i="8"/>
  <c r="F67" i="3" s="1"/>
  <c r="G478" i="8"/>
  <c r="G66" i="3" s="1"/>
  <c r="F478" i="8"/>
  <c r="F66" i="3" s="1"/>
  <c r="G477" i="8"/>
  <c r="G65" i="3" s="1"/>
  <c r="F477" i="8"/>
  <c r="F65" i="3" s="1"/>
  <c r="G475" i="8"/>
  <c r="G64" i="3" s="1"/>
  <c r="F475" i="8"/>
  <c r="F64" i="3" s="1"/>
  <c r="G474" i="8"/>
  <c r="G63" i="3" s="1"/>
  <c r="F474" i="8"/>
  <c r="F63" i="3" s="1"/>
  <c r="G473" i="8"/>
  <c r="G62" i="3" s="1"/>
  <c r="F473" i="8"/>
  <c r="F62" i="3" s="1"/>
  <c r="G472" i="8"/>
  <c r="G61" i="3" s="1"/>
  <c r="F472" i="8"/>
  <c r="F61" i="3" s="1"/>
  <c r="P471" i="8"/>
  <c r="G471" i="8"/>
  <c r="G60" i="3" s="1"/>
  <c r="F471" i="8"/>
  <c r="F60" i="3" s="1"/>
  <c r="G470" i="8"/>
  <c r="G59" i="3" s="1"/>
  <c r="F470" i="8"/>
  <c r="F59" i="3" s="1"/>
  <c r="G469" i="8"/>
  <c r="G58" i="3" s="1"/>
  <c r="F469" i="8"/>
  <c r="F58" i="3" s="1"/>
  <c r="G468" i="8"/>
  <c r="G57" i="3" s="1"/>
  <c r="F468" i="8"/>
  <c r="F57" i="3" s="1"/>
  <c r="G467" i="8"/>
  <c r="G56" i="3" s="1"/>
  <c r="F467" i="8"/>
  <c r="F56" i="3" s="1"/>
  <c r="G466" i="8"/>
  <c r="G55" i="3" s="1"/>
  <c r="F466" i="8"/>
  <c r="F55" i="3" s="1"/>
  <c r="G465" i="8"/>
  <c r="G54" i="3" s="1"/>
  <c r="F465" i="8"/>
  <c r="F54" i="3" s="1"/>
  <c r="G464" i="8"/>
  <c r="G53" i="3" s="1"/>
  <c r="F464" i="8"/>
  <c r="F53" i="3" s="1"/>
  <c r="P463" i="8"/>
  <c r="G463" i="8"/>
  <c r="G52" i="3" s="1"/>
  <c r="F463" i="8"/>
  <c r="F52" i="3" s="1"/>
  <c r="G462" i="8"/>
  <c r="G51" i="3" s="1"/>
  <c r="F462" i="8"/>
  <c r="F51" i="3" s="1"/>
  <c r="G461" i="8"/>
  <c r="G50" i="3" s="1"/>
  <c r="F461" i="8"/>
  <c r="F50" i="3" s="1"/>
  <c r="G460" i="8"/>
  <c r="G49" i="3" s="1"/>
  <c r="F460" i="8"/>
  <c r="F49" i="3" s="1"/>
  <c r="J89" i="3"/>
  <c r="J88" i="3"/>
  <c r="J87" i="3"/>
  <c r="J86" i="3"/>
  <c r="J85" i="3"/>
  <c r="J84" i="3"/>
  <c r="J83" i="3"/>
  <c r="J82" i="3"/>
  <c r="J81" i="3"/>
  <c r="J80" i="3"/>
  <c r="J79" i="3"/>
  <c r="J78" i="3"/>
  <c r="J77" i="3"/>
  <c r="J76" i="3"/>
  <c r="J75" i="3"/>
  <c r="J74" i="3"/>
  <c r="J73" i="3"/>
  <c r="J72" i="3"/>
  <c r="J71" i="3"/>
  <c r="J70" i="3"/>
  <c r="J69" i="3"/>
  <c r="J68" i="3"/>
  <c r="J67" i="3"/>
  <c r="J66" i="3"/>
  <c r="J65" i="3"/>
  <c r="E431" i="42" l="1"/>
  <c r="E433" i="42"/>
  <c r="E470" i="42"/>
  <c r="E475" i="42"/>
  <c r="E452" i="2"/>
  <c r="I89" i="17"/>
  <c r="E443" i="2"/>
  <c r="I71" i="17"/>
  <c r="E459" i="2"/>
  <c r="I103" i="17"/>
  <c r="E448" i="2"/>
  <c r="I81" i="17"/>
  <c r="E453" i="2"/>
  <c r="I91" i="17"/>
  <c r="E445" i="2"/>
  <c r="I75" i="17"/>
  <c r="E450" i="2"/>
  <c r="I85" i="17"/>
  <c r="E456" i="2"/>
  <c r="I97" i="17"/>
  <c r="E461" i="2"/>
  <c r="I107" i="17"/>
  <c r="E455" i="2"/>
  <c r="I95" i="17"/>
  <c r="E446" i="2"/>
  <c r="I77" i="17"/>
  <c r="E457" i="2"/>
  <c r="I99" i="17"/>
  <c r="E442" i="2"/>
  <c r="I69" i="17"/>
  <c r="E458" i="2"/>
  <c r="I101" i="17"/>
  <c r="E447" i="2"/>
  <c r="I79" i="17"/>
  <c r="E444" i="2"/>
  <c r="I73" i="17"/>
  <c r="E449" i="2"/>
  <c r="I83" i="17"/>
  <c r="E454" i="2"/>
  <c r="E265" i="2" s="1"/>
  <c r="I93" i="17"/>
  <c r="E460" i="2"/>
  <c r="I105" i="17"/>
  <c r="E451" i="2"/>
  <c r="I87" i="17"/>
  <c r="E440" i="2"/>
  <c r="I65" i="17"/>
  <c r="E441" i="2"/>
  <c r="I67" i="17"/>
  <c r="L293" i="2"/>
  <c r="L299" i="2"/>
  <c r="L306" i="2"/>
  <c r="L287" i="2"/>
  <c r="L292" i="2"/>
  <c r="L297" i="2"/>
  <c r="L303" i="2"/>
  <c r="L308" i="2"/>
  <c r="L302" i="2"/>
  <c r="L288" i="2"/>
  <c r="L289" i="2"/>
  <c r="L295" i="2"/>
  <c r="L300" i="2"/>
  <c r="L305" i="2"/>
  <c r="L294" i="2"/>
  <c r="L304" i="2"/>
  <c r="L290" i="2"/>
  <c r="L291" i="2"/>
  <c r="L296" i="2"/>
  <c r="L301" i="2"/>
  <c r="L307" i="2"/>
  <c r="L298" i="2"/>
  <c r="E319" i="2"/>
  <c r="E324" i="2"/>
  <c r="E329" i="2"/>
  <c r="E314" i="2"/>
  <c r="E330" i="2"/>
  <c r="E315" i="2"/>
  <c r="E325" i="2"/>
  <c r="E266" i="42" s="1"/>
  <c r="E331" i="2"/>
  <c r="E318" i="2"/>
  <c r="E327" i="2"/>
  <c r="E332" i="2"/>
  <c r="E322" i="2"/>
  <c r="E326" i="2"/>
  <c r="E323" i="2"/>
  <c r="E320" i="2"/>
  <c r="E313" i="2"/>
  <c r="E312" i="2"/>
  <c r="E311" i="2"/>
  <c r="E317" i="2"/>
  <c r="E328" i="2"/>
  <c r="E321" i="2"/>
  <c r="E316" i="2"/>
  <c r="F335" i="2"/>
  <c r="G342" i="2"/>
  <c r="G346" i="2"/>
  <c r="G373" i="2" s="1"/>
  <c r="G509" i="42" s="1"/>
  <c r="F352" i="2"/>
  <c r="G359" i="2"/>
  <c r="G335" i="2"/>
  <c r="G337" i="2"/>
  <c r="F339" i="2"/>
  <c r="F341" i="2"/>
  <c r="F343" i="2"/>
  <c r="F345" i="2"/>
  <c r="G348" i="2"/>
  <c r="G350" i="2"/>
  <c r="G352" i="2"/>
  <c r="G354" i="2"/>
  <c r="G381" i="2" s="1"/>
  <c r="F356" i="2"/>
  <c r="F358" i="2"/>
  <c r="F337" i="2"/>
  <c r="G344" i="2"/>
  <c r="F350" i="2"/>
  <c r="G357" i="2"/>
  <c r="F336" i="2"/>
  <c r="F338" i="2"/>
  <c r="G339" i="2"/>
  <c r="G341" i="2"/>
  <c r="G343" i="2"/>
  <c r="G345" i="2"/>
  <c r="F347" i="2"/>
  <c r="F349" i="2"/>
  <c r="F351" i="2"/>
  <c r="F353" i="2"/>
  <c r="G356" i="2"/>
  <c r="G358" i="2"/>
  <c r="G340" i="2"/>
  <c r="F348" i="2"/>
  <c r="F354" i="2"/>
  <c r="F381" i="2" s="1"/>
  <c r="G355" i="2"/>
  <c r="G336" i="2"/>
  <c r="G338" i="2"/>
  <c r="F340" i="2"/>
  <c r="F342" i="2"/>
  <c r="F344" i="2"/>
  <c r="F346" i="2"/>
  <c r="F373" i="2" s="1"/>
  <c r="F509" i="42" s="1"/>
  <c r="G347" i="2"/>
  <c r="G349" i="2"/>
  <c r="G351" i="2"/>
  <c r="G353" i="2"/>
  <c r="F355" i="2"/>
  <c r="F357" i="2"/>
  <c r="F359" i="2"/>
  <c r="G300" i="2"/>
  <c r="F308" i="2"/>
  <c r="G295" i="2"/>
  <c r="G297" i="2"/>
  <c r="F299" i="2"/>
  <c r="F301" i="2"/>
  <c r="F303" i="2"/>
  <c r="F305" i="2"/>
  <c r="G308" i="2"/>
  <c r="F295" i="2"/>
  <c r="G304" i="2"/>
  <c r="F296" i="2"/>
  <c r="F298" i="2"/>
  <c r="G299" i="2"/>
  <c r="G301" i="2"/>
  <c r="G303" i="2"/>
  <c r="G305" i="2"/>
  <c r="F307" i="2"/>
  <c r="F297" i="2"/>
  <c r="G306" i="2"/>
  <c r="G296" i="2"/>
  <c r="G298" i="2"/>
  <c r="F300" i="2"/>
  <c r="F302" i="2"/>
  <c r="F304" i="2"/>
  <c r="F306" i="2"/>
  <c r="G307" i="2"/>
  <c r="G302" i="2"/>
  <c r="J64" i="3"/>
  <c r="J63" i="3"/>
  <c r="J62" i="3"/>
  <c r="J61" i="3"/>
  <c r="J60" i="3"/>
  <c r="J59" i="3"/>
  <c r="J58" i="3"/>
  <c r="J57" i="3"/>
  <c r="J56" i="3"/>
  <c r="J55" i="3"/>
  <c r="J54" i="3"/>
  <c r="J53" i="3"/>
  <c r="J52" i="3"/>
  <c r="J51" i="3"/>
  <c r="J50" i="3"/>
  <c r="J49" i="3"/>
  <c r="J48" i="3"/>
  <c r="J47" i="3"/>
  <c r="J46" i="3"/>
  <c r="J45" i="3"/>
  <c r="J44" i="3"/>
  <c r="J43" i="3"/>
  <c r="J42" i="3"/>
  <c r="J41" i="3"/>
  <c r="T112" i="47"/>
  <c r="S98" i="47"/>
  <c r="E253" i="2" l="1"/>
  <c r="E268" i="2"/>
  <c r="E264" i="2"/>
  <c r="E270" i="2"/>
  <c r="E269" i="2"/>
  <c r="E267" i="2"/>
  <c r="E266" i="2"/>
  <c r="E271" i="2"/>
  <c r="E251" i="2"/>
  <c r="E250" i="2"/>
  <c r="E147" i="42"/>
  <c r="E146" i="42"/>
  <c r="E148" i="42"/>
  <c r="E262" i="2"/>
  <c r="E257" i="2"/>
  <c r="E260" i="2"/>
  <c r="E258" i="2"/>
  <c r="E261" i="2"/>
  <c r="E259" i="2"/>
  <c r="E256" i="2"/>
  <c r="E263" i="2"/>
  <c r="E255" i="2"/>
  <c r="E249" i="2"/>
  <c r="E248" i="2"/>
  <c r="E254" i="2"/>
  <c r="E252" i="2"/>
  <c r="Q87" i="17"/>
  <c r="P87" i="17"/>
  <c r="P93" i="17"/>
  <c r="Q93" i="17"/>
  <c r="Q73" i="17"/>
  <c r="P73" i="17"/>
  <c r="P101" i="17"/>
  <c r="Q101" i="17"/>
  <c r="P99" i="17"/>
  <c r="Q99" i="17"/>
  <c r="P95" i="17"/>
  <c r="Q95" i="17"/>
  <c r="P97" i="17"/>
  <c r="Q97" i="17"/>
  <c r="Q75" i="17"/>
  <c r="P75" i="17"/>
  <c r="Q81" i="17"/>
  <c r="P81" i="17"/>
  <c r="Q71" i="17"/>
  <c r="P71" i="17"/>
  <c r="P105" i="17"/>
  <c r="Q105" i="17"/>
  <c r="Q83" i="17"/>
  <c r="P83" i="17"/>
  <c r="Q79" i="17"/>
  <c r="P79" i="17"/>
  <c r="Q69" i="17"/>
  <c r="P69" i="17"/>
  <c r="Q77" i="17"/>
  <c r="P77" i="17"/>
  <c r="Q107" i="17"/>
  <c r="P107" i="17"/>
  <c r="Q85" i="17"/>
  <c r="P85" i="17"/>
  <c r="Q91" i="17"/>
  <c r="P91" i="17"/>
  <c r="P103" i="17"/>
  <c r="Q103" i="17"/>
  <c r="Q89" i="17"/>
  <c r="P89" i="17"/>
  <c r="Q65" i="17"/>
  <c r="P65" i="17"/>
  <c r="Q67" i="17"/>
  <c r="P67" i="17"/>
  <c r="G460" i="2"/>
  <c r="G111" i="47"/>
  <c r="G182" i="47"/>
  <c r="G147" i="47"/>
  <c r="G166" i="47"/>
  <c r="F453" i="2"/>
  <c r="F106" i="47"/>
  <c r="F145" i="47"/>
  <c r="F206" i="47"/>
  <c r="G457" i="2"/>
  <c r="G109" i="47"/>
  <c r="G123" i="47"/>
  <c r="F456" i="2"/>
  <c r="F108" i="47"/>
  <c r="G376" i="2"/>
  <c r="G116" i="47"/>
  <c r="G134" i="47"/>
  <c r="F369" i="2"/>
  <c r="F130" i="47"/>
  <c r="F115" i="47"/>
  <c r="F209" i="47"/>
  <c r="F376" i="2"/>
  <c r="F116" i="47"/>
  <c r="F134" i="47"/>
  <c r="F385" i="2"/>
  <c r="F620" i="42" s="1"/>
  <c r="F138" i="47"/>
  <c r="F155" i="47"/>
  <c r="F215" i="47"/>
  <c r="G377" i="2"/>
  <c r="G554" i="42" s="1"/>
  <c r="G117" i="47"/>
  <c r="G135" i="47"/>
  <c r="F362" i="2"/>
  <c r="F112" i="47"/>
  <c r="F126" i="47"/>
  <c r="F149" i="47"/>
  <c r="G451" i="2"/>
  <c r="G163" i="47"/>
  <c r="G179" i="47"/>
  <c r="F448" i="2"/>
  <c r="F177" i="47"/>
  <c r="F161" i="47"/>
  <c r="F194" i="47"/>
  <c r="F382" i="2"/>
  <c r="F170" i="47"/>
  <c r="F188" i="47"/>
  <c r="F457" i="2"/>
  <c r="F109" i="47"/>
  <c r="F123" i="47"/>
  <c r="G458" i="2"/>
  <c r="G110" i="47"/>
  <c r="G124" i="47"/>
  <c r="F451" i="2"/>
  <c r="F179" i="47"/>
  <c r="F163" i="47"/>
  <c r="G455" i="2"/>
  <c r="G165" i="47"/>
  <c r="G181" i="47"/>
  <c r="F455" i="2"/>
  <c r="F181" i="47"/>
  <c r="F165" i="47"/>
  <c r="G459" i="2"/>
  <c r="G125" i="47"/>
  <c r="G456" i="2"/>
  <c r="G108" i="47"/>
  <c r="F449" i="2"/>
  <c r="F104" i="47"/>
  <c r="F162" i="47"/>
  <c r="F195" i="47"/>
  <c r="F121" i="47"/>
  <c r="F178" i="47"/>
  <c r="F458" i="2"/>
  <c r="F110" i="47"/>
  <c r="F124" i="47"/>
  <c r="G450" i="2"/>
  <c r="G105" i="47"/>
  <c r="G144" i="47"/>
  <c r="G196" i="47"/>
  <c r="G205" i="47"/>
  <c r="F386" i="2"/>
  <c r="F216" i="47"/>
  <c r="F139" i="47"/>
  <c r="G378" i="2"/>
  <c r="G136" i="47"/>
  <c r="F371" i="2"/>
  <c r="F480" i="42" s="1"/>
  <c r="F185" i="47"/>
  <c r="F131" i="47"/>
  <c r="F152" i="47"/>
  <c r="F211" i="47"/>
  <c r="G363" i="2"/>
  <c r="G113" i="47"/>
  <c r="G127" i="47"/>
  <c r="G367" i="2"/>
  <c r="G168" i="47"/>
  <c r="F378" i="2"/>
  <c r="F136" i="47"/>
  <c r="G370" i="2"/>
  <c r="G210" i="47"/>
  <c r="F363" i="2"/>
  <c r="F113" i="47"/>
  <c r="F127" i="47"/>
  <c r="F364" i="2"/>
  <c r="F128" i="47"/>
  <c r="G379" i="2"/>
  <c r="G137" i="47"/>
  <c r="G186" i="47"/>
  <c r="F370" i="2"/>
  <c r="F210" i="47"/>
  <c r="G362" i="2"/>
  <c r="G112" i="47"/>
  <c r="G126" i="47"/>
  <c r="G149" i="47"/>
  <c r="G369" i="2"/>
  <c r="G115" i="47"/>
  <c r="G209" i="47"/>
  <c r="G130" i="47"/>
  <c r="F450" i="2"/>
  <c r="F105" i="47"/>
  <c r="F144" i="47"/>
  <c r="F196" i="47"/>
  <c r="F205" i="47"/>
  <c r="G448" i="2"/>
  <c r="G161" i="47"/>
  <c r="G194" i="47"/>
  <c r="G177" i="47"/>
  <c r="G385" i="2"/>
  <c r="G620" i="42" s="1"/>
  <c r="G215" i="47"/>
  <c r="G138" i="47"/>
  <c r="G155" i="47"/>
  <c r="G368" i="2"/>
  <c r="G129" i="47"/>
  <c r="G114" i="47"/>
  <c r="G151" i="47"/>
  <c r="F368" i="2"/>
  <c r="F114" i="47"/>
  <c r="F151" i="47"/>
  <c r="F129" i="47"/>
  <c r="F459" i="2"/>
  <c r="F125" i="47"/>
  <c r="G452" i="2"/>
  <c r="G180" i="47"/>
  <c r="G164" i="47"/>
  <c r="G197" i="47"/>
  <c r="F461" i="2"/>
  <c r="F183" i="47"/>
  <c r="F148" i="47"/>
  <c r="F198" i="47"/>
  <c r="F207" i="47"/>
  <c r="G374" i="2"/>
  <c r="G213" i="47"/>
  <c r="G153" i="47"/>
  <c r="G132" i="47"/>
  <c r="F367" i="2"/>
  <c r="F168" i="47"/>
  <c r="G383" i="2"/>
  <c r="G189" i="47"/>
  <c r="F374" i="2"/>
  <c r="F132" i="47"/>
  <c r="F153" i="47"/>
  <c r="F213" i="47"/>
  <c r="G366" i="2"/>
  <c r="G184" i="47"/>
  <c r="F377" i="2"/>
  <c r="F117" i="47"/>
  <c r="F135" i="47"/>
  <c r="F383" i="2"/>
  <c r="F189" i="47"/>
  <c r="G375" i="2"/>
  <c r="G133" i="47"/>
  <c r="G154" i="47"/>
  <c r="G214" i="47"/>
  <c r="F366" i="2"/>
  <c r="F184" i="47"/>
  <c r="F379" i="2"/>
  <c r="F137" i="47"/>
  <c r="F186" i="47"/>
  <c r="G454" i="2"/>
  <c r="G107" i="47"/>
  <c r="G146" i="47"/>
  <c r="G122" i="47"/>
  <c r="F384" i="2"/>
  <c r="F118" i="47"/>
  <c r="F171" i="47"/>
  <c r="F190" i="47"/>
  <c r="G382" i="2"/>
  <c r="G188" i="47"/>
  <c r="G170" i="47"/>
  <c r="G384" i="2"/>
  <c r="G171" i="47"/>
  <c r="G190" i="47"/>
  <c r="G118" i="47"/>
  <c r="G386" i="2"/>
  <c r="G139" i="47"/>
  <c r="G216" i="47"/>
  <c r="F460" i="2"/>
  <c r="F147" i="47"/>
  <c r="F166" i="47"/>
  <c r="F111" i="47"/>
  <c r="F182" i="47"/>
  <c r="F454" i="2"/>
  <c r="F122" i="47"/>
  <c r="F107" i="47"/>
  <c r="F146" i="47"/>
  <c r="G449" i="2"/>
  <c r="G121" i="47"/>
  <c r="G178" i="47"/>
  <c r="G104" i="47"/>
  <c r="G162" i="47"/>
  <c r="G195" i="47"/>
  <c r="G461" i="2"/>
  <c r="G148" i="47"/>
  <c r="G198" i="47"/>
  <c r="G207" i="47"/>
  <c r="G183" i="47"/>
  <c r="F452" i="2"/>
  <c r="F164" i="47"/>
  <c r="F197" i="47"/>
  <c r="F180" i="47"/>
  <c r="G453" i="2"/>
  <c r="G145" i="47"/>
  <c r="G106" i="47"/>
  <c r="G206" i="47"/>
  <c r="G380" i="2"/>
  <c r="G589" i="42" s="1"/>
  <c r="G169" i="47"/>
  <c r="G187" i="47"/>
  <c r="G365" i="2"/>
  <c r="G150" i="47"/>
  <c r="G167" i="47"/>
  <c r="G208" i="47"/>
  <c r="F375" i="2"/>
  <c r="F214" i="47"/>
  <c r="F133" i="47"/>
  <c r="F154" i="47"/>
  <c r="F380" i="2"/>
  <c r="F589" i="42" s="1"/>
  <c r="F187" i="47"/>
  <c r="F169" i="47"/>
  <c r="G372" i="2"/>
  <c r="G212" i="47"/>
  <c r="F365" i="2"/>
  <c r="F208" i="47"/>
  <c r="F150" i="47"/>
  <c r="F167" i="47"/>
  <c r="G371" i="2"/>
  <c r="G480" i="42" s="1"/>
  <c r="G131" i="47"/>
  <c r="G152" i="47"/>
  <c r="G211" i="47"/>
  <c r="G185" i="47"/>
  <c r="F372" i="2"/>
  <c r="F212" i="47"/>
  <c r="G364" i="2"/>
  <c r="G128" i="47"/>
  <c r="M289" i="2"/>
  <c r="M287" i="2"/>
  <c r="M288" i="2"/>
  <c r="F331" i="2"/>
  <c r="F325" i="2"/>
  <c r="F266" i="42" s="1"/>
  <c r="F332" i="2"/>
  <c r="F326" i="2"/>
  <c r="G327" i="2"/>
  <c r="F320" i="2"/>
  <c r="G321" i="2"/>
  <c r="G331" i="2"/>
  <c r="F324" i="2"/>
  <c r="F321" i="2"/>
  <c r="G325" i="2"/>
  <c r="G266" i="42" s="1"/>
  <c r="G328" i="2"/>
  <c r="F327" i="2"/>
  <c r="G319" i="2"/>
  <c r="G322" i="2"/>
  <c r="G323" i="2"/>
  <c r="F328" i="2"/>
  <c r="G320" i="2"/>
  <c r="G329" i="2"/>
  <c r="F322" i="2"/>
  <c r="G332" i="2"/>
  <c r="F323" i="2"/>
  <c r="G324" i="2"/>
  <c r="F330" i="2"/>
  <c r="F319" i="2"/>
  <c r="G326" i="2"/>
  <c r="G330" i="2"/>
  <c r="F329" i="2"/>
  <c r="N123" i="1"/>
  <c r="E480" i="19" l="1"/>
  <c r="F146" i="42"/>
  <c r="F148" i="42"/>
  <c r="F149" i="42"/>
  <c r="F147" i="42"/>
  <c r="G149" i="42"/>
  <c r="G146" i="42"/>
  <c r="G148" i="42"/>
  <c r="G147" i="42"/>
  <c r="E479" i="19"/>
  <c r="E478" i="19"/>
  <c r="F433" i="42"/>
  <c r="F431" i="42"/>
  <c r="G470" i="42"/>
  <c r="G475" i="42"/>
  <c r="G431" i="42"/>
  <c r="G433" i="42"/>
  <c r="F470" i="42"/>
  <c r="F475" i="42"/>
  <c r="N430" i="8"/>
  <c r="O430" i="8" s="1"/>
  <c r="P430" i="8" s="1"/>
  <c r="J430" i="8"/>
  <c r="K430" i="8" s="1"/>
  <c r="L430" i="8" s="1"/>
  <c r="N60" i="1"/>
  <c r="G5" i="17" l="1"/>
  <c r="N61" i="1"/>
  <c r="N62" i="1" s="1"/>
  <c r="F19" i="42"/>
  <c r="G19" i="42"/>
  <c r="N42" i="4" s="1"/>
  <c r="E19" i="42"/>
  <c r="L42" i="4" s="1"/>
  <c r="J42" i="4"/>
  <c r="I42" i="4"/>
  <c r="M42" i="4" l="1"/>
  <c r="F42" i="4" s="1"/>
  <c r="E42" i="4"/>
  <c r="G42" i="4"/>
  <c r="N63" i="1"/>
  <c r="N82" i="1"/>
  <c r="N84" i="1" s="1"/>
  <c r="E428" i="8"/>
  <c r="E430" i="8" l="1"/>
  <c r="N83" i="1"/>
  <c r="N85" i="1" s="1"/>
  <c r="E448" i="19" l="1"/>
  <c r="E449" i="19"/>
  <c r="N12" i="54" l="1"/>
  <c r="N10" i="54"/>
  <c r="A622" i="42" l="1"/>
  <c r="A609" i="42"/>
  <c r="A596" i="42"/>
  <c r="A585" i="42"/>
  <c r="A584" i="42"/>
  <c r="A575" i="42"/>
  <c r="A574" i="42"/>
  <c r="A567" i="42"/>
  <c r="A555" i="42"/>
  <c r="A542" i="42"/>
  <c r="A528" i="42"/>
  <c r="A527" i="42"/>
  <c r="A514" i="42"/>
  <c r="A513" i="42"/>
  <c r="A495" i="42"/>
  <c r="A494" i="42"/>
  <c r="A481" i="42"/>
  <c r="A479" i="42"/>
  <c r="A471" i="42"/>
  <c r="A469" i="42"/>
  <c r="A454" i="42"/>
  <c r="A453" i="42"/>
  <c r="A438" i="42"/>
  <c r="A422" i="42"/>
  <c r="A421" i="42"/>
  <c r="A415" i="42"/>
  <c r="A399" i="42"/>
  <c r="A390" i="42"/>
  <c r="A389" i="42"/>
  <c r="A380" i="42"/>
  <c r="A379" i="42"/>
  <c r="A368" i="42"/>
  <c r="D144" i="11"/>
  <c r="D143" i="11"/>
  <c r="D140" i="11"/>
  <c r="D139" i="11"/>
  <c r="D138" i="11"/>
  <c r="D135" i="11"/>
  <c r="D134" i="11"/>
  <c r="D133" i="11"/>
  <c r="D130" i="11"/>
  <c r="D129" i="11"/>
  <c r="D128" i="11"/>
  <c r="D125" i="11"/>
  <c r="D124" i="11"/>
  <c r="D123" i="11"/>
  <c r="D120" i="11"/>
  <c r="D119" i="11"/>
  <c r="D118" i="11"/>
  <c r="D114" i="11"/>
  <c r="D113" i="11"/>
  <c r="D110" i="11"/>
  <c r="D109" i="11"/>
  <c r="D108" i="11"/>
  <c r="D105" i="11"/>
  <c r="D104" i="11"/>
  <c r="D103" i="11"/>
  <c r="A351" i="42"/>
  <c r="A350" i="42"/>
  <c r="A331" i="42"/>
  <c r="A330" i="42"/>
  <c r="A323" i="42"/>
  <c r="A322" i="42"/>
  <c r="A321" i="42"/>
  <c r="A320" i="42"/>
  <c r="A308" i="42"/>
  <c r="A307" i="42"/>
  <c r="A295" i="42"/>
  <c r="A294" i="42"/>
  <c r="A285" i="42"/>
  <c r="A284" i="42"/>
  <c r="A271" i="42"/>
  <c r="A270" i="42"/>
  <c r="A255" i="42"/>
  <c r="A254" i="42"/>
  <c r="A242" i="42"/>
  <c r="A241" i="42"/>
  <c r="A224" i="42"/>
  <c r="A223" i="42"/>
  <c r="A206" i="42"/>
  <c r="A192" i="42"/>
  <c r="A191" i="42"/>
  <c r="A149" i="42"/>
  <c r="A148" i="42"/>
  <c r="A124" i="42"/>
  <c r="A123" i="42"/>
  <c r="A101" i="42"/>
  <c r="A100" i="42"/>
  <c r="A85" i="42"/>
  <c r="A84" i="42"/>
  <c r="A69" i="42"/>
  <c r="A68" i="42"/>
  <c r="A55" i="42"/>
  <c r="A54" i="42"/>
  <c r="A45" i="42"/>
  <c r="A44" i="42"/>
  <c r="A34" i="42"/>
  <c r="A33" i="42"/>
  <c r="E16" i="42" l="1"/>
  <c r="P505" i="8" l="1"/>
  <c r="G505" i="8"/>
  <c r="F505" i="8"/>
  <c r="G504" i="8"/>
  <c r="F504" i="8"/>
  <c r="G503" i="8"/>
  <c r="F503" i="8"/>
  <c r="G502" i="8"/>
  <c r="F502" i="8"/>
  <c r="G459" i="8"/>
  <c r="G48" i="3" s="1"/>
  <c r="F459" i="8"/>
  <c r="F48" i="3" s="1"/>
  <c r="G458" i="8"/>
  <c r="G47" i="3" s="1"/>
  <c r="F458" i="8"/>
  <c r="F47" i="3" s="1"/>
  <c r="G457" i="8"/>
  <c r="G46" i="3" s="1"/>
  <c r="F457" i="8"/>
  <c r="F46" i="3" s="1"/>
  <c r="G456" i="8"/>
  <c r="G45" i="3" s="1"/>
  <c r="F456" i="8"/>
  <c r="F45" i="3" s="1"/>
  <c r="P455" i="8"/>
  <c r="G455" i="8"/>
  <c r="G44" i="3" s="1"/>
  <c r="F455" i="8"/>
  <c r="F44" i="3" s="1"/>
  <c r="G454" i="8"/>
  <c r="G43" i="3" s="1"/>
  <c r="F454" i="8"/>
  <c r="F43" i="3" s="1"/>
  <c r="G453" i="8"/>
  <c r="G42" i="3" s="1"/>
  <c r="F453" i="8"/>
  <c r="F42" i="3" s="1"/>
  <c r="G452" i="8"/>
  <c r="G41" i="3" s="1"/>
  <c r="F452" i="8"/>
  <c r="F41" i="3" s="1"/>
  <c r="F290" i="2" l="1"/>
  <c r="G293" i="2"/>
  <c r="G290" i="2"/>
  <c r="F292" i="2"/>
  <c r="F294" i="2"/>
  <c r="F288" i="2"/>
  <c r="F287" i="2"/>
  <c r="G292" i="2"/>
  <c r="G294" i="2"/>
  <c r="G291" i="2"/>
  <c r="G288" i="2"/>
  <c r="F289" i="2"/>
  <c r="G287" i="2"/>
  <c r="G289" i="2"/>
  <c r="F291" i="2"/>
  <c r="F293" i="2"/>
  <c r="E505" i="8"/>
  <c r="E504" i="8"/>
  <c r="E503" i="8"/>
  <c r="E502" i="8"/>
  <c r="F440" i="2" l="1"/>
  <c r="F98" i="47"/>
  <c r="F201" i="47"/>
  <c r="G443" i="2"/>
  <c r="G159" i="47"/>
  <c r="G193" i="47"/>
  <c r="G202" i="47"/>
  <c r="F446" i="2"/>
  <c r="F102" i="47"/>
  <c r="F175" i="47"/>
  <c r="F142" i="47"/>
  <c r="F442" i="2"/>
  <c r="F158" i="47"/>
  <c r="F192" i="47"/>
  <c r="G445" i="2"/>
  <c r="G101" i="47"/>
  <c r="G204" i="47"/>
  <c r="F445" i="2"/>
  <c r="F204" i="47"/>
  <c r="F101" i="47"/>
  <c r="G441" i="2"/>
  <c r="G99" i="47"/>
  <c r="G442" i="2"/>
  <c r="G192" i="47"/>
  <c r="G158" i="47"/>
  <c r="G444" i="2"/>
  <c r="G174" i="47"/>
  <c r="G203" i="47"/>
  <c r="G100" i="47"/>
  <c r="F441" i="2"/>
  <c r="F99" i="47"/>
  <c r="G446" i="2"/>
  <c r="G142" i="47"/>
  <c r="G175" i="47"/>
  <c r="G102" i="47"/>
  <c r="F444" i="2"/>
  <c r="F100" i="47"/>
  <c r="F174" i="47"/>
  <c r="F203" i="47"/>
  <c r="G440" i="2"/>
  <c r="G266" i="2" s="1"/>
  <c r="G201" i="47"/>
  <c r="G98" i="47"/>
  <c r="G447" i="2"/>
  <c r="G103" i="47"/>
  <c r="G176" i="47"/>
  <c r="G120" i="47"/>
  <c r="G160" i="47"/>
  <c r="G143" i="47"/>
  <c r="F447" i="2"/>
  <c r="F120" i="47"/>
  <c r="F143" i="47"/>
  <c r="F160" i="47"/>
  <c r="F103" i="47"/>
  <c r="F176" i="47"/>
  <c r="F443" i="2"/>
  <c r="F193" i="47"/>
  <c r="F202" i="47"/>
  <c r="F159" i="47"/>
  <c r="F315" i="2"/>
  <c r="G314" i="2"/>
  <c r="F317" i="2"/>
  <c r="F313" i="2"/>
  <c r="G316" i="2"/>
  <c r="F316" i="2"/>
  <c r="F311" i="2"/>
  <c r="G313" i="2"/>
  <c r="G315" i="2"/>
  <c r="F312" i="2"/>
  <c r="G317" i="2"/>
  <c r="G312" i="2"/>
  <c r="G311" i="2"/>
  <c r="G318" i="2"/>
  <c r="F318" i="2"/>
  <c r="F314" i="2"/>
  <c r="E363" i="42"/>
  <c r="F267" i="2" l="1"/>
  <c r="F266" i="2"/>
  <c r="G267" i="2"/>
  <c r="F259" i="2"/>
  <c r="F252" i="2"/>
  <c r="G254" i="2"/>
  <c r="G255" i="2"/>
  <c r="F251" i="2"/>
  <c r="G264" i="2"/>
  <c r="F269" i="2"/>
  <c r="F264" i="2"/>
  <c r="G270" i="2"/>
  <c r="F270" i="2"/>
  <c r="G265" i="2"/>
  <c r="G53" i="47" s="1"/>
  <c r="G271" i="2"/>
  <c r="F271" i="2"/>
  <c r="G269" i="2"/>
  <c r="G268" i="2"/>
  <c r="F265" i="2"/>
  <c r="F53" i="47" s="1"/>
  <c r="F268" i="2"/>
  <c r="F258" i="2"/>
  <c r="F51" i="47" s="1"/>
  <c r="G259" i="2"/>
  <c r="G258" i="2"/>
  <c r="G51" i="47" s="1"/>
  <c r="G256" i="2"/>
  <c r="G49" i="47" s="1"/>
  <c r="F257" i="2"/>
  <c r="F50" i="47" s="1"/>
  <c r="F256" i="2"/>
  <c r="F49" i="47" s="1"/>
  <c r="G262" i="2"/>
  <c r="F262" i="2"/>
  <c r="G257" i="2"/>
  <c r="G263" i="2"/>
  <c r="F263" i="2"/>
  <c r="G261" i="2"/>
  <c r="G260" i="2"/>
  <c r="F261" i="2"/>
  <c r="F260" i="2"/>
  <c r="G250" i="2"/>
  <c r="G48" i="47" s="1"/>
  <c r="G251" i="2"/>
  <c r="G252" i="2"/>
  <c r="F255" i="2"/>
  <c r="G249" i="2"/>
  <c r="G47" i="47" s="1"/>
  <c r="F253" i="2"/>
  <c r="G253" i="2"/>
  <c r="G248" i="2"/>
  <c r="G46" i="47" s="1"/>
  <c r="F250" i="2"/>
  <c r="F48" i="47" s="1"/>
  <c r="F249" i="2"/>
  <c r="F47" i="47" s="1"/>
  <c r="F248" i="2"/>
  <c r="F254" i="2"/>
  <c r="G54" i="47"/>
  <c r="F54" i="47"/>
  <c r="O5" i="4"/>
  <c r="F46" i="47" l="1"/>
  <c r="F480" i="19"/>
  <c r="G50" i="47"/>
  <c r="G480" i="19"/>
  <c r="G52" i="47"/>
  <c r="F52" i="47"/>
  <c r="F479" i="19"/>
  <c r="G479" i="19"/>
  <c r="G478" i="19"/>
  <c r="F478" i="19"/>
  <c r="E20" i="42"/>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86" i="2"/>
  <c r="H385" i="2"/>
  <c r="H384" i="2"/>
  <c r="H383" i="2"/>
  <c r="H382" i="2"/>
  <c r="H381" i="2"/>
  <c r="H380" i="2"/>
  <c r="H379" i="2"/>
  <c r="H378" i="2"/>
  <c r="H377" i="2"/>
  <c r="H376" i="2"/>
  <c r="H375" i="2"/>
  <c r="H374" i="2"/>
  <c r="H373" i="2"/>
  <c r="H372" i="2"/>
  <c r="H371" i="2"/>
  <c r="H370" i="2"/>
  <c r="H369" i="2"/>
  <c r="H368" i="2"/>
  <c r="H367" i="2"/>
  <c r="H366" i="2"/>
  <c r="H365" i="2"/>
  <c r="H364" i="2"/>
  <c r="H363" i="2"/>
  <c r="H362" i="2"/>
  <c r="H332" i="1"/>
  <c r="H331" i="1"/>
  <c r="H330" i="1"/>
  <c r="H329" i="1"/>
  <c r="H328" i="1"/>
  <c r="H327" i="1"/>
  <c r="H326" i="1"/>
  <c r="H325" i="1"/>
  <c r="H324" i="1"/>
  <c r="H323" i="1"/>
  <c r="H322" i="1"/>
  <c r="H321" i="1"/>
  <c r="H320" i="1"/>
  <c r="H319" i="1"/>
  <c r="H318" i="1"/>
  <c r="H317" i="1"/>
  <c r="H316" i="1"/>
  <c r="H315" i="1"/>
  <c r="H314" i="1"/>
  <c r="H313" i="1"/>
  <c r="H312" i="1"/>
  <c r="H311" i="1"/>
  <c r="H332" i="2"/>
  <c r="H331" i="2"/>
  <c r="H330" i="2"/>
  <c r="H329" i="2"/>
  <c r="H328" i="2"/>
  <c r="H327" i="2"/>
  <c r="H326" i="2"/>
  <c r="H325" i="2"/>
  <c r="H324" i="2"/>
  <c r="H323" i="2"/>
  <c r="H322" i="2"/>
  <c r="H321" i="2"/>
  <c r="H320" i="2"/>
  <c r="H319" i="2"/>
  <c r="H318" i="2"/>
  <c r="H317" i="2"/>
  <c r="H316" i="2"/>
  <c r="H315" i="2"/>
  <c r="H314" i="2"/>
  <c r="H313" i="2"/>
  <c r="H312" i="2"/>
  <c r="H311" i="2"/>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59" i="2"/>
  <c r="H358" i="2"/>
  <c r="H357" i="2"/>
  <c r="H356" i="2"/>
  <c r="H355" i="2"/>
  <c r="H354" i="2"/>
  <c r="H353" i="2"/>
  <c r="H352" i="2"/>
  <c r="H351" i="2"/>
  <c r="H350" i="2"/>
  <c r="H349" i="2"/>
  <c r="H348" i="2"/>
  <c r="H347" i="2"/>
  <c r="H346" i="2"/>
  <c r="H345" i="2"/>
  <c r="H344" i="2"/>
  <c r="H343" i="2"/>
  <c r="H342" i="2"/>
  <c r="H341" i="2"/>
  <c r="H340" i="2"/>
  <c r="H339" i="2"/>
  <c r="H338" i="2"/>
  <c r="H337" i="2"/>
  <c r="H336" i="2"/>
  <c r="H335" i="2"/>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0" i="1"/>
  <c r="H409" i="1"/>
  <c r="H408" i="1"/>
  <c r="H407" i="1"/>
  <c r="H406" i="1"/>
  <c r="H405" i="1"/>
  <c r="H404" i="1"/>
  <c r="H403" i="1"/>
  <c r="H402" i="1"/>
  <c r="H401" i="1"/>
  <c r="H400" i="1"/>
  <c r="H399" i="1"/>
  <c r="H398" i="1"/>
  <c r="H397" i="1"/>
  <c r="H396" i="1"/>
  <c r="H395" i="1"/>
  <c r="H394" i="1"/>
  <c r="H393" i="1"/>
  <c r="H392" i="1"/>
  <c r="H391" i="1"/>
  <c r="H390" i="1"/>
  <c r="H389" i="1"/>
  <c r="H308" i="1"/>
  <c r="H307" i="1"/>
  <c r="H306" i="1"/>
  <c r="H305" i="1"/>
  <c r="H304" i="1"/>
  <c r="H303" i="1"/>
  <c r="H302" i="1"/>
  <c r="H301" i="1"/>
  <c r="H300" i="1"/>
  <c r="H299" i="1"/>
  <c r="H298" i="1"/>
  <c r="H297" i="1"/>
  <c r="H296" i="1"/>
  <c r="H295" i="1"/>
  <c r="H294" i="1"/>
  <c r="H293" i="1"/>
  <c r="H292" i="1"/>
  <c r="H291" i="1"/>
  <c r="H290" i="1"/>
  <c r="H289" i="1"/>
  <c r="H288" i="1"/>
  <c r="H287" i="1"/>
  <c r="H437" i="2"/>
  <c r="H436" i="2"/>
  <c r="H435" i="2"/>
  <c r="H434" i="2"/>
  <c r="H433" i="2"/>
  <c r="H432" i="2"/>
  <c r="H431" i="2"/>
  <c r="H430" i="2"/>
  <c r="H429" i="2"/>
  <c r="H428" i="2"/>
  <c r="H427" i="2"/>
  <c r="H426" i="2"/>
  <c r="H425" i="2"/>
  <c r="H424" i="2"/>
  <c r="H423" i="2"/>
  <c r="H422" i="2"/>
  <c r="H421" i="2"/>
  <c r="H420" i="2"/>
  <c r="H419" i="2"/>
  <c r="H418" i="2"/>
  <c r="H417" i="2"/>
  <c r="H416" i="2"/>
  <c r="H415" i="2"/>
  <c r="H414" i="2"/>
  <c r="H413" i="2"/>
  <c r="H410" i="2"/>
  <c r="H409" i="2"/>
  <c r="H408" i="2"/>
  <c r="H407" i="2"/>
  <c r="H406" i="2"/>
  <c r="H405" i="2"/>
  <c r="H404" i="2"/>
  <c r="H403" i="2"/>
  <c r="H402" i="2"/>
  <c r="H401" i="2"/>
  <c r="H400" i="2"/>
  <c r="H399" i="2"/>
  <c r="H398" i="2"/>
  <c r="H397" i="2"/>
  <c r="H396" i="2"/>
  <c r="H395" i="2"/>
  <c r="H394" i="2"/>
  <c r="H393" i="2"/>
  <c r="H392" i="2"/>
  <c r="H391" i="2"/>
  <c r="H390" i="2"/>
  <c r="H389" i="2"/>
  <c r="H308" i="2"/>
  <c r="H307" i="2"/>
  <c r="H306" i="2"/>
  <c r="H305" i="2"/>
  <c r="H304" i="2"/>
  <c r="H303" i="2"/>
  <c r="H302" i="2"/>
  <c r="H301" i="2"/>
  <c r="H300" i="2"/>
  <c r="H299" i="2"/>
  <c r="H298" i="2"/>
  <c r="H297" i="2"/>
  <c r="H296" i="2"/>
  <c r="H295" i="2"/>
  <c r="H294" i="2"/>
  <c r="H293" i="2"/>
  <c r="H292" i="2"/>
  <c r="H291" i="2"/>
  <c r="H290" i="2"/>
  <c r="H289" i="2"/>
  <c r="H288" i="2"/>
  <c r="H287" i="2"/>
  <c r="E383" i="19" l="1"/>
  <c r="F355" i="19" l="1"/>
  <c r="G355" i="19"/>
  <c r="E355" i="19"/>
  <c r="F383" i="19"/>
  <c r="F53" i="11" s="1"/>
  <c r="F208" i="11" s="1"/>
  <c r="G383" i="19"/>
  <c r="G53" i="11" s="1"/>
  <c r="F209" i="11" s="1"/>
  <c r="E386" i="19" l="1"/>
  <c r="E372" i="19"/>
  <c r="G9" i="17"/>
  <c r="G161" i="4"/>
  <c r="F161" i="4"/>
  <c r="E161" i="4"/>
  <c r="J161" i="4"/>
  <c r="I161" i="4"/>
  <c r="F24" i="50"/>
  <c r="J450" i="8"/>
  <c r="J34" i="3"/>
  <c r="J33" i="3"/>
  <c r="J32" i="3"/>
  <c r="J31" i="3"/>
  <c r="J28" i="3"/>
  <c r="J27" i="3"/>
  <c r="J26" i="3"/>
  <c r="J23" i="3"/>
  <c r="J22" i="3"/>
  <c r="J21" i="3"/>
  <c r="J20" i="3"/>
  <c r="J19" i="3"/>
  <c r="J18" i="3"/>
  <c r="J17" i="3"/>
  <c r="J16" i="3"/>
  <c r="J13" i="3"/>
  <c r="J12" i="3"/>
  <c r="J11" i="3"/>
  <c r="J10" i="3"/>
  <c r="J5" i="3"/>
  <c r="J4" i="3"/>
  <c r="J3" i="3"/>
  <c r="J124" i="1" l="1"/>
  <c r="J125" i="1"/>
  <c r="J126" i="1"/>
  <c r="E418" i="19" l="1"/>
  <c r="C618" i="8"/>
  <c r="C623" i="8" s="1"/>
  <c r="C619" i="8"/>
  <c r="D623" i="8" s="1"/>
  <c r="E116" i="2"/>
  <c r="E411" i="19"/>
  <c r="E117" i="2"/>
  <c r="E304" i="47"/>
  <c r="E126" i="2"/>
  <c r="K3" i="3" l="1"/>
  <c r="I431" i="8" l="1"/>
  <c r="J431" i="8" s="1"/>
  <c r="K431" i="8" s="1"/>
  <c r="L431" i="8" s="1"/>
  <c r="K34" i="3" l="1"/>
  <c r="K33" i="3"/>
  <c r="K32" i="3"/>
  <c r="K31" i="3"/>
  <c r="K28" i="3"/>
  <c r="K27" i="3"/>
  <c r="K26" i="3"/>
  <c r="K23" i="3"/>
  <c r="K22" i="3"/>
  <c r="K21" i="3"/>
  <c r="K20" i="3"/>
  <c r="K19" i="3"/>
  <c r="K18" i="3"/>
  <c r="K17" i="3"/>
  <c r="K16" i="3"/>
  <c r="K13" i="3"/>
  <c r="K12" i="3"/>
  <c r="K11" i="3"/>
  <c r="K10" i="3"/>
  <c r="K5" i="3"/>
  <c r="K4" i="3"/>
  <c r="N475" i="1"/>
  <c r="N473" i="1"/>
  <c r="N472" i="1"/>
  <c r="N471" i="1"/>
  <c r="N132" i="1"/>
  <c r="N57" i="1"/>
  <c r="N55" i="1"/>
  <c r="N42" i="1"/>
  <c r="N29" i="1"/>
  <c r="N22" i="1"/>
  <c r="N21" i="1"/>
  <c r="N20" i="1"/>
  <c r="N19" i="1"/>
  <c r="N24" i="1" s="1"/>
  <c r="N14" i="1"/>
  <c r="J121" i="1" l="1"/>
  <c r="G11" i="42" l="1"/>
  <c r="N135" i="4" s="1"/>
  <c r="F11" i="42"/>
  <c r="M135" i="4" s="1"/>
  <c r="E11" i="42"/>
  <c r="L135" i="4" s="1"/>
  <c r="J135" i="4"/>
  <c r="I135" i="4"/>
  <c r="I134" i="4"/>
  <c r="G135" i="4" l="1"/>
  <c r="E135" i="4"/>
  <c r="F135" i="4"/>
  <c r="F10" i="42" l="1"/>
  <c r="M92" i="4" s="1"/>
  <c r="G10" i="42"/>
  <c r="N92" i="4" s="1"/>
  <c r="E10" i="42"/>
  <c r="L92" i="4" s="1"/>
  <c r="J92" i="4"/>
  <c r="I92" i="4"/>
  <c r="F92" i="4" l="1"/>
  <c r="E92" i="4"/>
  <c r="G92" i="4"/>
  <c r="J128" i="1"/>
  <c r="G91" i="4" l="1"/>
  <c r="F91" i="4"/>
  <c r="E91" i="4"/>
  <c r="J91" i="4"/>
  <c r="I91" i="4"/>
  <c r="G90" i="4"/>
  <c r="F90" i="4"/>
  <c r="E90" i="4"/>
  <c r="J90" i="4"/>
  <c r="I90" i="4"/>
  <c r="G89" i="4"/>
  <c r="F89" i="4"/>
  <c r="E89" i="4"/>
  <c r="J89" i="4"/>
  <c r="I89" i="4"/>
  <c r="C60" i="8" l="1"/>
  <c r="J91" i="1" l="1"/>
  <c r="J69" i="1"/>
  <c r="H321" i="42" l="1"/>
  <c r="H323" i="42"/>
  <c r="H224" i="42"/>
  <c r="H149" i="42"/>
  <c r="H124" i="42"/>
  <c r="H101" i="42"/>
  <c r="J155" i="4"/>
  <c r="I155" i="4"/>
  <c r="J154" i="4"/>
  <c r="I154" i="4"/>
  <c r="J116" i="1" l="1"/>
  <c r="J117" i="1"/>
  <c r="J118" i="1"/>
  <c r="J119" i="1"/>
  <c r="E373" i="42" l="1"/>
  <c r="I5" i="47"/>
  <c r="H5" i="47"/>
  <c r="B49" i="42" l="1"/>
  <c r="B50" i="42" s="1"/>
  <c r="B39" i="42"/>
  <c r="B40" i="42" l="1"/>
  <c r="E201" i="19"/>
  <c r="E282" i="47" l="1"/>
  <c r="E238" i="47"/>
  <c r="C158" i="11"/>
  <c r="D158" i="11"/>
  <c r="E158" i="11"/>
  <c r="B160" i="11"/>
  <c r="B161" i="11"/>
  <c r="B162" i="11"/>
  <c r="B163" i="11"/>
  <c r="B164" i="11"/>
  <c r="B165" i="11"/>
  <c r="H9" i="47" l="1"/>
  <c r="H5" i="11" s="1"/>
  <c r="I9" i="47"/>
  <c r="I5" i="11" s="1"/>
  <c r="H12" i="47"/>
  <c r="I12" i="47"/>
  <c r="D47" i="11" l="1"/>
  <c r="M200" i="11" s="1"/>
  <c r="L12" i="54" l="1"/>
  <c r="P18" i="53"/>
  <c r="H25" i="53"/>
  <c r="H26" i="53"/>
  <c r="H27" i="53"/>
  <c r="H28" i="53"/>
  <c r="H28" i="48" l="1"/>
  <c r="F14" i="53" l="1"/>
  <c r="E79" i="47" l="1"/>
  <c r="E55" i="47"/>
  <c r="T3" i="13"/>
  <c r="R57" i="17"/>
  <c r="R3" i="16"/>
  <c r="Q3" i="14"/>
  <c r="R5" i="17"/>
  <c r="K3" i="15"/>
  <c r="M33" i="51"/>
  <c r="M28" i="50"/>
  <c r="O5" i="54"/>
  <c r="Q5" i="53"/>
  <c r="O23" i="54"/>
  <c r="Q21" i="53"/>
  <c r="O24" i="49"/>
  <c r="Q21" i="48"/>
  <c r="J22" i="4"/>
  <c r="I22" i="4"/>
  <c r="K13" i="47" l="1"/>
  <c r="E277" i="47" l="1"/>
  <c r="E276" i="47"/>
  <c r="E236" i="47"/>
  <c r="E235" i="47"/>
  <c r="E278" i="47"/>
  <c r="E243" i="47" l="1"/>
  <c r="E280" i="47"/>
  <c r="E141" i="47"/>
  <c r="E191" i="47"/>
  <c r="E200" i="47"/>
  <c r="E119" i="47"/>
  <c r="E173" i="47"/>
  <c r="E157" i="47"/>
  <c r="E288" i="47"/>
  <c r="E241" i="47"/>
  <c r="E301" i="47"/>
  <c r="E259" i="47"/>
  <c r="E97" i="47"/>
  <c r="E45" i="47"/>
  <c r="E218" i="47"/>
  <c r="E244" i="47"/>
  <c r="E64" i="2"/>
  <c r="B687" i="8" l="1"/>
  <c r="B688" i="8" s="1"/>
  <c r="B684" i="8"/>
  <c r="B685" i="8" s="1"/>
  <c r="B681" i="8"/>
  <c r="B682" i="8" s="1"/>
  <c r="B678" i="8"/>
  <c r="B679" i="8" s="1"/>
  <c r="B675" i="8"/>
  <c r="B676" i="8" s="1"/>
  <c r="B672" i="8"/>
  <c r="B673" i="8" s="1"/>
  <c r="B669" i="8"/>
  <c r="B670" i="8" s="1"/>
  <c r="B666" i="8"/>
  <c r="B667" i="8" s="1"/>
  <c r="B663" i="8"/>
  <c r="B664" i="8" s="1"/>
  <c r="J1" i="47"/>
  <c r="D620" i="8" l="1"/>
  <c r="E624" i="8" s="1"/>
  <c r="C594" i="8"/>
  <c r="D597" i="8" s="1"/>
  <c r="J88" i="4" l="1"/>
  <c r="I88" i="4"/>
  <c r="G115" i="5" l="1"/>
  <c r="G116" i="5" s="1"/>
  <c r="G117" i="5" s="1"/>
  <c r="H622" i="42" l="1"/>
  <c r="H621" i="42"/>
  <c r="H609" i="42"/>
  <c r="H596" i="42"/>
  <c r="H585" i="42"/>
  <c r="H584" i="42"/>
  <c r="H575" i="42"/>
  <c r="H574" i="42"/>
  <c r="H567" i="42"/>
  <c r="H555" i="42"/>
  <c r="H554" i="42"/>
  <c r="H542" i="42"/>
  <c r="H541" i="42"/>
  <c r="H528" i="42"/>
  <c r="H527" i="42"/>
  <c r="H514" i="42"/>
  <c r="H513" i="42"/>
  <c r="H495" i="42"/>
  <c r="H494" i="42"/>
  <c r="H481" i="42"/>
  <c r="H479" i="42"/>
  <c r="H471" i="42"/>
  <c r="H469" i="42"/>
  <c r="H454" i="42"/>
  <c r="H453" i="42"/>
  <c r="H438" i="42"/>
  <c r="H437" i="42"/>
  <c r="H422" i="42"/>
  <c r="H421" i="42"/>
  <c r="H415" i="42"/>
  <c r="H399" i="42"/>
  <c r="H390" i="42"/>
  <c r="H389" i="42"/>
  <c r="H380" i="42"/>
  <c r="H379" i="42"/>
  <c r="H368" i="42"/>
  <c r="H366" i="42"/>
  <c r="H351" i="42"/>
  <c r="H350" i="42"/>
  <c r="H331" i="42"/>
  <c r="H330" i="42"/>
  <c r="H322" i="42"/>
  <c r="H320" i="42"/>
  <c r="H308" i="42"/>
  <c r="H307" i="42"/>
  <c r="H295" i="42"/>
  <c r="H294" i="42"/>
  <c r="H285" i="42"/>
  <c r="H284" i="42"/>
  <c r="H271" i="42"/>
  <c r="H270" i="42"/>
  <c r="H255" i="42"/>
  <c r="H254" i="42"/>
  <c r="H223" i="42"/>
  <c r="H206" i="42"/>
  <c r="H242" i="42"/>
  <c r="H241" i="42"/>
  <c r="H192" i="42"/>
  <c r="H191" i="42"/>
  <c r="H148" i="42"/>
  <c r="H123" i="42"/>
  <c r="H100" i="42"/>
  <c r="H85" i="42"/>
  <c r="H84" i="42"/>
  <c r="H69" i="42"/>
  <c r="H68" i="42"/>
  <c r="H55" i="42"/>
  <c r="H54" i="42"/>
  <c r="H45" i="42"/>
  <c r="H44" i="42"/>
  <c r="H34" i="42"/>
  <c r="H33" i="42"/>
  <c r="B163" i="42"/>
  <c r="B164" i="42" s="1"/>
  <c r="P18" i="48"/>
  <c r="J77" i="1"/>
  <c r="J78" i="1"/>
  <c r="J80" i="1"/>
  <c r="J81" i="1"/>
  <c r="J86" i="1"/>
  <c r="J87" i="1"/>
  <c r="J92" i="1"/>
  <c r="J93" i="1"/>
  <c r="J94" i="1"/>
  <c r="J98" i="1"/>
  <c r="J99" i="1"/>
  <c r="J100" i="1"/>
  <c r="J102" i="1"/>
  <c r="J103" i="1"/>
  <c r="J104" i="1"/>
  <c r="B109" i="42"/>
  <c r="B165" i="42" l="1"/>
  <c r="H165" i="42" s="1"/>
  <c r="A164" i="42"/>
  <c r="J134" i="4"/>
  <c r="B110" i="42"/>
  <c r="A110" i="42" s="1"/>
  <c r="H164" i="42"/>
  <c r="B166" i="42" l="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A165" i="42"/>
  <c r="B111" i="42"/>
  <c r="A111" i="42" s="1"/>
  <c r="H110" i="42"/>
  <c r="N43" i="52" l="1"/>
  <c r="N35" i="52"/>
  <c r="B112" i="42"/>
  <c r="H111" i="42"/>
  <c r="I8" i="42"/>
  <c r="D619" i="8"/>
  <c r="D624" i="8" s="1"/>
  <c r="D618" i="8"/>
  <c r="C624" i="8" s="1"/>
  <c r="J23" i="52" l="1"/>
  <c r="N30" i="52"/>
  <c r="J39" i="52"/>
  <c r="L36" i="52"/>
  <c r="L10" i="52"/>
  <c r="L30" i="52"/>
  <c r="L39" i="52"/>
  <c r="J10" i="52"/>
  <c r="J36" i="52"/>
  <c r="J27" i="52"/>
  <c r="N39" i="52"/>
  <c r="J35" i="52"/>
  <c r="L23" i="52"/>
  <c r="L43" i="52"/>
  <c r="N23" i="52"/>
  <c r="J30" i="52"/>
  <c r="J43" i="52"/>
  <c r="N27" i="52"/>
  <c r="L27" i="52"/>
  <c r="L35" i="52"/>
  <c r="G8" i="42"/>
  <c r="F8" i="42"/>
  <c r="B113" i="42"/>
  <c r="E8" i="42"/>
  <c r="I540" i="8"/>
  <c r="H540" i="8"/>
  <c r="I532" i="8"/>
  <c r="H532" i="8"/>
  <c r="I523" i="8"/>
  <c r="H523" i="8"/>
  <c r="B114" i="42" l="1"/>
  <c r="E147" i="11"/>
  <c r="E4" i="47"/>
  <c r="B115" i="42" l="1"/>
  <c r="E32" i="47"/>
  <c r="E22" i="47"/>
  <c r="E5" i="47" s="1"/>
  <c r="O5" i="52"/>
  <c r="E396" i="19"/>
  <c r="E403" i="19"/>
  <c r="J469" i="1"/>
  <c r="B116" i="42" l="1"/>
  <c r="F117" i="10"/>
  <c r="F120" i="10" s="1"/>
  <c r="G117" i="10"/>
  <c r="G120" i="10" s="1"/>
  <c r="B117" i="42" l="1"/>
  <c r="E62" i="11"/>
  <c r="E159" i="11" l="1"/>
  <c r="E167" i="11" s="1"/>
  <c r="D213" i="11"/>
  <c r="B118" i="42"/>
  <c r="D46" i="11"/>
  <c r="L200" i="11" s="1"/>
  <c r="D48" i="11"/>
  <c r="N200" i="11" s="1"/>
  <c r="B119" i="42" l="1"/>
  <c r="J284" i="1"/>
  <c r="D284" i="1"/>
  <c r="J283" i="1"/>
  <c r="D283" i="1"/>
  <c r="J282" i="1"/>
  <c r="D282" i="1"/>
  <c r="J281" i="1"/>
  <c r="D281" i="1"/>
  <c r="J280" i="1"/>
  <c r="D280" i="1"/>
  <c r="J279" i="1"/>
  <c r="D279" i="1"/>
  <c r="J278" i="1"/>
  <c r="D278" i="1"/>
  <c r="J277" i="1"/>
  <c r="D277" i="1"/>
  <c r="J276" i="1"/>
  <c r="D276" i="1"/>
  <c r="J275" i="1"/>
  <c r="D275" i="1"/>
  <c r="J274" i="1"/>
  <c r="D274" i="1"/>
  <c r="J273" i="1"/>
  <c r="D273" i="1"/>
  <c r="J272" i="1"/>
  <c r="D284" i="2"/>
  <c r="D283" i="2"/>
  <c r="D282" i="2"/>
  <c r="D281" i="2"/>
  <c r="D280" i="2"/>
  <c r="D279" i="2"/>
  <c r="D278" i="2"/>
  <c r="D277" i="2"/>
  <c r="D276" i="2"/>
  <c r="D275" i="2"/>
  <c r="D274" i="2"/>
  <c r="D273" i="2"/>
  <c r="E592" i="42" l="1"/>
  <c r="G592" i="42"/>
  <c r="F592" i="42"/>
  <c r="J506" i="1"/>
  <c r="J505" i="1"/>
  <c r="J504" i="1"/>
  <c r="J503" i="1"/>
  <c r="J502" i="1"/>
  <c r="J501" i="1"/>
  <c r="J500" i="1"/>
  <c r="J499" i="1"/>
  <c r="J498" i="1"/>
  <c r="J497" i="1"/>
  <c r="F603" i="42" l="1"/>
  <c r="F527" i="42"/>
  <c r="F424" i="42"/>
  <c r="F607" i="42"/>
  <c r="F547" i="42"/>
  <c r="F440" i="42"/>
  <c r="G627" i="42"/>
  <c r="G580" i="42"/>
  <c r="G616" i="42"/>
  <c r="G548" i="42"/>
  <c r="G446" i="42"/>
  <c r="G603" i="42"/>
  <c r="G385" i="42"/>
  <c r="E523" i="42"/>
  <c r="E153" i="47"/>
  <c r="E213" i="47"/>
  <c r="E132" i="47"/>
  <c r="E481" i="42"/>
  <c r="E131" i="47"/>
  <c r="E211" i="47"/>
  <c r="E152" i="47"/>
  <c r="E185" i="47"/>
  <c r="E406" i="42"/>
  <c r="E167" i="47"/>
  <c r="E208" i="47"/>
  <c r="E150" i="47"/>
  <c r="E435" i="42"/>
  <c r="E129" i="47"/>
  <c r="E151" i="47"/>
  <c r="E114" i="47"/>
  <c r="E615" i="42"/>
  <c r="E171" i="47"/>
  <c r="E190" i="47"/>
  <c r="E118" i="47"/>
  <c r="F399" i="42"/>
  <c r="F594" i="42"/>
  <c r="F513" i="42"/>
  <c r="F415" i="42"/>
  <c r="G601" i="42"/>
  <c r="G519" i="42"/>
  <c r="G415" i="42"/>
  <c r="G561" i="42"/>
  <c r="E456" i="42"/>
  <c r="E115" i="47"/>
  <c r="E130" i="47"/>
  <c r="E209" i="47"/>
  <c r="E570" i="42"/>
  <c r="E136" i="47"/>
  <c r="E621" i="42"/>
  <c r="L147" i="4" s="1"/>
  <c r="E155" i="47"/>
  <c r="E138" i="47"/>
  <c r="E215" i="47"/>
  <c r="E530" i="42"/>
  <c r="E133" i="47"/>
  <c r="E214" i="47"/>
  <c r="E154" i="47"/>
  <c r="E557" i="42"/>
  <c r="E135" i="47"/>
  <c r="E117" i="47"/>
  <c r="E494" i="42"/>
  <c r="E212" i="47"/>
  <c r="E372" i="42"/>
  <c r="E149" i="47"/>
  <c r="E112" i="47"/>
  <c r="E126" i="47"/>
  <c r="F490" i="42"/>
  <c r="F585" i="42"/>
  <c r="F495" i="42"/>
  <c r="F395" i="42"/>
  <c r="G477" i="42"/>
  <c r="G411" i="42"/>
  <c r="G587" i="42"/>
  <c r="G499" i="42"/>
  <c r="G533" i="42"/>
  <c r="E413" i="42"/>
  <c r="E184" i="47"/>
  <c r="E594" i="42"/>
  <c r="E188" i="47"/>
  <c r="E170" i="47"/>
  <c r="E385" i="42"/>
  <c r="E127" i="47"/>
  <c r="E113" i="47"/>
  <c r="E578" i="42"/>
  <c r="E137" i="47"/>
  <c r="E186" i="47"/>
  <c r="E544" i="42"/>
  <c r="E116" i="47"/>
  <c r="E134" i="47"/>
  <c r="F627" i="42"/>
  <c r="F563" i="42"/>
  <c r="F465" i="42"/>
  <c r="F638" i="42"/>
  <c r="F569" i="42"/>
  <c r="F471" i="42"/>
  <c r="F364" i="42"/>
  <c r="G425" i="42"/>
  <c r="G638" i="42"/>
  <c r="G569" i="42"/>
  <c r="G467" i="42"/>
  <c r="G364" i="42"/>
  <c r="G453" i="42"/>
  <c r="E469" i="42"/>
  <c r="E210" i="47"/>
  <c r="E638" i="42"/>
  <c r="E139" i="47"/>
  <c r="E216" i="47"/>
  <c r="E425" i="42"/>
  <c r="E168" i="47"/>
  <c r="E605" i="42"/>
  <c r="E189" i="47"/>
  <c r="E395" i="42"/>
  <c r="E128" i="47"/>
  <c r="E585" i="42"/>
  <c r="E169" i="47"/>
  <c r="E187" i="47"/>
  <c r="E550" i="42"/>
  <c r="E507" i="42"/>
  <c r="L32" i="4" s="1"/>
  <c r="E501" i="42"/>
  <c r="E503" i="42"/>
  <c r="E504" i="42"/>
  <c r="E506" i="42"/>
  <c r="L12" i="4" s="1"/>
  <c r="F503" i="42"/>
  <c r="F504" i="42"/>
  <c r="F506" i="42"/>
  <c r="M12" i="4" s="1"/>
  <c r="F507" i="42"/>
  <c r="M32" i="4" s="1"/>
  <c r="F501" i="42"/>
  <c r="G504" i="42"/>
  <c r="G506" i="42"/>
  <c r="N12" i="4" s="1"/>
  <c r="G507" i="42"/>
  <c r="N32" i="4" s="1"/>
  <c r="G501" i="42"/>
  <c r="G503" i="42"/>
  <c r="E430" i="2"/>
  <c r="E428" i="2"/>
  <c r="E129" i="11" s="1"/>
  <c r="E415" i="2"/>
  <c r="E105" i="11" s="1"/>
  <c r="E431" i="2"/>
  <c r="E134" i="11" s="1"/>
  <c r="E416" i="2"/>
  <c r="E432" i="2"/>
  <c r="E135" i="11" s="1"/>
  <c r="E413" i="2"/>
  <c r="E429" i="2"/>
  <c r="E130" i="11" s="1"/>
  <c r="E434" i="2"/>
  <c r="E139" i="11" s="1"/>
  <c r="E419" i="2"/>
  <c r="E435" i="2"/>
  <c r="E140" i="11" s="1"/>
  <c r="E420" i="2"/>
  <c r="E114" i="11" s="1"/>
  <c r="E436" i="2"/>
  <c r="E417" i="2"/>
  <c r="E109" i="11" s="1"/>
  <c r="E433" i="2"/>
  <c r="E427" i="2"/>
  <c r="E426" i="2"/>
  <c r="E125" i="11" s="1"/>
  <c r="E425" i="2"/>
  <c r="E124" i="11" s="1"/>
  <c r="E422" i="2"/>
  <c r="E119" i="11" s="1"/>
  <c r="E423" i="2"/>
  <c r="E120" i="11" s="1"/>
  <c r="E414" i="2"/>
  <c r="E104" i="11" s="1"/>
  <c r="E424" i="2"/>
  <c r="E278" i="2" s="1"/>
  <c r="E418" i="2"/>
  <c r="E110" i="11" s="1"/>
  <c r="E421" i="2"/>
  <c r="E437" i="2"/>
  <c r="E144" i="11" s="1"/>
  <c r="J496" i="1"/>
  <c r="J495" i="1"/>
  <c r="J494" i="1"/>
  <c r="J493" i="1"/>
  <c r="J492" i="1"/>
  <c r="J507" i="1"/>
  <c r="J491" i="1"/>
  <c r="J490" i="1"/>
  <c r="J489" i="1"/>
  <c r="J488" i="1"/>
  <c r="J486" i="1"/>
  <c r="J487" i="1"/>
  <c r="J485" i="1"/>
  <c r="J484" i="1"/>
  <c r="J483" i="1"/>
  <c r="J482" i="1"/>
  <c r="B196" i="26"/>
  <c r="B197" i="26"/>
  <c r="B198" i="26"/>
  <c r="B199" i="26"/>
  <c r="B200" i="26"/>
  <c r="B201" i="26"/>
  <c r="B202" i="26"/>
  <c r="B203" i="26"/>
  <c r="B204" i="26"/>
  <c r="B195" i="26"/>
  <c r="D45" i="11"/>
  <c r="K200" i="11" s="1"/>
  <c r="D44" i="11"/>
  <c r="J200" i="11" s="1"/>
  <c r="D43" i="11"/>
  <c r="I200" i="11" s="1"/>
  <c r="D42" i="11"/>
  <c r="H200" i="11" s="1"/>
  <c r="D41" i="11"/>
  <c r="G200" i="11" s="1"/>
  <c r="D40" i="11"/>
  <c r="F200" i="11" s="1"/>
  <c r="D39" i="11"/>
  <c r="E200" i="11" s="1"/>
  <c r="D53" i="11"/>
  <c r="F206" i="11" s="1"/>
  <c r="D54" i="11"/>
  <c r="G206" i="11" s="1"/>
  <c r="D55" i="11"/>
  <c r="H206" i="11" s="1"/>
  <c r="D56" i="11"/>
  <c r="I206" i="11" s="1"/>
  <c r="D52" i="11"/>
  <c r="E206" i="11" s="1"/>
  <c r="D57" i="11"/>
  <c r="J206" i="11" s="1"/>
  <c r="E277" i="2" l="1"/>
  <c r="E38" i="47" s="1"/>
  <c r="E273" i="2"/>
  <c r="E34" i="47" s="1"/>
  <c r="E279" i="2"/>
  <c r="E40" i="47" s="1"/>
  <c r="E275" i="2"/>
  <c r="E36" i="47" s="1"/>
  <c r="E274" i="2"/>
  <c r="E35" i="47" s="1"/>
  <c r="E138" i="11"/>
  <c r="E282" i="2"/>
  <c r="E43" i="47" s="1"/>
  <c r="E143" i="11"/>
  <c r="E283" i="2"/>
  <c r="E44" i="47" s="1"/>
  <c r="E133" i="11"/>
  <c r="E281" i="2"/>
  <c r="E42" i="47" s="1"/>
  <c r="E118" i="11"/>
  <c r="E128" i="11"/>
  <c r="E123" i="11"/>
  <c r="E39" i="47"/>
  <c r="E103" i="11"/>
  <c r="E113" i="11"/>
  <c r="E108" i="11"/>
  <c r="E454" i="42"/>
  <c r="F541" i="42"/>
  <c r="M145" i="4" s="1"/>
  <c r="E460" i="42"/>
  <c r="F611" i="42"/>
  <c r="E465" i="42"/>
  <c r="F609" i="42"/>
  <c r="E462" i="42"/>
  <c r="F542" i="42"/>
  <c r="F615" i="42"/>
  <c r="G437" i="42"/>
  <c r="N146" i="4" s="1"/>
  <c r="E453" i="42"/>
  <c r="G440" i="42"/>
  <c r="F539" i="42"/>
  <c r="F616" i="42"/>
  <c r="E459" i="42"/>
  <c r="F544" i="42"/>
  <c r="F613" i="42"/>
  <c r="F605" i="42"/>
  <c r="G598" i="42"/>
  <c r="E569" i="42"/>
  <c r="E547" i="42"/>
  <c r="G473" i="42"/>
  <c r="E451" i="42"/>
  <c r="G443" i="42"/>
  <c r="E637" i="42"/>
  <c r="E635" i="42"/>
  <c r="E633" i="42"/>
  <c r="G596" i="42"/>
  <c r="G594" i="42"/>
  <c r="G600" i="42"/>
  <c r="E567" i="42"/>
  <c r="E565" i="42"/>
  <c r="G547" i="42"/>
  <c r="F548" i="42"/>
  <c r="F545" i="42"/>
  <c r="F550" i="42"/>
  <c r="E542" i="42"/>
  <c r="E539" i="42"/>
  <c r="E548" i="42"/>
  <c r="E545" i="42"/>
  <c r="E541" i="42"/>
  <c r="L145" i="4" s="1"/>
  <c r="E499" i="42"/>
  <c r="G471" i="42"/>
  <c r="G469" i="42"/>
  <c r="E457" i="42"/>
  <c r="E463" i="42"/>
  <c r="G555" i="42"/>
  <c r="G441" i="42"/>
  <c r="G438" i="42"/>
  <c r="G530" i="42"/>
  <c r="E631" i="42"/>
  <c r="F533" i="42"/>
  <c r="E618" i="42"/>
  <c r="G490" i="42"/>
  <c r="G552" i="42"/>
  <c r="G605" i="42"/>
  <c r="F373" i="42"/>
  <c r="G488" i="42"/>
  <c r="G557" i="42"/>
  <c r="E574" i="42"/>
  <c r="G484" i="42"/>
  <c r="E495" i="42"/>
  <c r="G527" i="42"/>
  <c r="F492" i="42"/>
  <c r="E584" i="42"/>
  <c r="G422" i="42"/>
  <c r="F372" i="42"/>
  <c r="G590" i="42"/>
  <c r="G419" i="42"/>
  <c r="E415" i="42"/>
  <c r="G399" i="42"/>
  <c r="G428" i="42"/>
  <c r="E572" i="42"/>
  <c r="G495" i="42"/>
  <c r="G486" i="42"/>
  <c r="F497" i="42"/>
  <c r="E582" i="42"/>
  <c r="G429" i="42"/>
  <c r="F570" i="42"/>
  <c r="G525" i="42"/>
  <c r="G492" i="42"/>
  <c r="E587" i="42"/>
  <c r="G465" i="42"/>
  <c r="E479" i="42"/>
  <c r="G541" i="42"/>
  <c r="N145" i="4" s="1"/>
  <c r="F425" i="42"/>
  <c r="G567" i="42"/>
  <c r="F460" i="42"/>
  <c r="E603" i="42"/>
  <c r="G421" i="42"/>
  <c r="F375" i="42"/>
  <c r="F567" i="42"/>
  <c r="E577" i="42"/>
  <c r="G528" i="42"/>
  <c r="G497" i="42"/>
  <c r="E555" i="42"/>
  <c r="F519" i="42"/>
  <c r="E560" i="42"/>
  <c r="E497" i="42"/>
  <c r="G563" i="42"/>
  <c r="G560" i="42"/>
  <c r="G444" i="42"/>
  <c r="G447" i="42"/>
  <c r="E590" i="42"/>
  <c r="G426" i="42"/>
  <c r="G424" i="42"/>
  <c r="F366" i="42"/>
  <c r="M144" i="4" s="1"/>
  <c r="F370" i="42"/>
  <c r="F565" i="42"/>
  <c r="E580" i="42"/>
  <c r="E417" i="42"/>
  <c r="G531" i="42"/>
  <c r="G535" i="42"/>
  <c r="G494" i="42"/>
  <c r="G479" i="42"/>
  <c r="G483" i="42"/>
  <c r="F499" i="42"/>
  <c r="E492" i="42"/>
  <c r="G558" i="42"/>
  <c r="G435" i="42"/>
  <c r="G449" i="42"/>
  <c r="G427" i="42"/>
  <c r="F368" i="42"/>
  <c r="E575" i="42"/>
  <c r="G537" i="42"/>
  <c r="G481" i="42"/>
  <c r="F494" i="42"/>
  <c r="G457" i="42"/>
  <c r="E528" i="42"/>
  <c r="F413" i="42"/>
  <c r="E611" i="42"/>
  <c r="E511" i="42"/>
  <c r="F428" i="42"/>
  <c r="G375" i="42"/>
  <c r="F453" i="42"/>
  <c r="G582" i="42"/>
  <c r="F582" i="42"/>
  <c r="E533" i="42"/>
  <c r="F514" i="42"/>
  <c r="E484" i="42"/>
  <c r="E517" i="42"/>
  <c r="F528" i="42"/>
  <c r="G451" i="42"/>
  <c r="G565" i="42"/>
  <c r="G401" i="42"/>
  <c r="F477" i="42"/>
  <c r="E552" i="42"/>
  <c r="E525" i="42"/>
  <c r="E622" i="42"/>
  <c r="G523" i="42"/>
  <c r="F417" i="42"/>
  <c r="F511" i="42"/>
  <c r="E483" i="42"/>
  <c r="E514" i="42"/>
  <c r="G544" i="42"/>
  <c r="G613" i="42"/>
  <c r="F422" i="42"/>
  <c r="F525" i="42"/>
  <c r="E467" i="42"/>
  <c r="G462" i="42"/>
  <c r="G366" i="42"/>
  <c r="N144" i="4" s="1"/>
  <c r="F637" i="42"/>
  <c r="F451" i="42"/>
  <c r="E380" i="42"/>
  <c r="G397" i="42"/>
  <c r="F484" i="42"/>
  <c r="E563" i="42"/>
  <c r="E537" i="42"/>
  <c r="E627" i="42"/>
  <c r="F523" i="42"/>
  <c r="E488" i="42"/>
  <c r="E521" i="42"/>
  <c r="G550" i="42"/>
  <c r="G611" i="42"/>
  <c r="F419" i="42"/>
  <c r="F537" i="42"/>
  <c r="E473" i="42"/>
  <c r="G454" i="42"/>
  <c r="G372" i="42"/>
  <c r="F456" i="42"/>
  <c r="F457" i="42"/>
  <c r="E377" i="42"/>
  <c r="G408" i="42"/>
  <c r="F481" i="42"/>
  <c r="G383" i="42"/>
  <c r="G631" i="42"/>
  <c r="E392" i="42"/>
  <c r="E401" i="42"/>
  <c r="E409" i="42"/>
  <c r="G459" i="42"/>
  <c r="F635" i="42"/>
  <c r="E383" i="42"/>
  <c r="G404" i="42"/>
  <c r="G406" i="42"/>
  <c r="F488" i="42"/>
  <c r="E426" i="42"/>
  <c r="E428" i="42"/>
  <c r="E419" i="42"/>
  <c r="E421" i="42"/>
  <c r="E424" i="42"/>
  <c r="F554" i="42"/>
  <c r="F557" i="42"/>
  <c r="F552" i="42"/>
  <c r="F558" i="42"/>
  <c r="F561" i="42"/>
  <c r="F555" i="42"/>
  <c r="G393" i="42"/>
  <c r="G390" i="42"/>
  <c r="G395" i="42"/>
  <c r="G387" i="42"/>
  <c r="F392" i="42"/>
  <c r="F389" i="42"/>
  <c r="F393" i="42"/>
  <c r="F387" i="42"/>
  <c r="F385" i="42"/>
  <c r="F383" i="42"/>
  <c r="F379" i="42"/>
  <c r="F380" i="42"/>
  <c r="F578" i="42"/>
  <c r="F575" i="42"/>
  <c r="F572" i="42"/>
  <c r="F577" i="42"/>
  <c r="F580" i="42"/>
  <c r="F410" i="42"/>
  <c r="F407" i="42"/>
  <c r="F409" i="42"/>
  <c r="F406" i="42"/>
  <c r="F401" i="42"/>
  <c r="E449" i="42"/>
  <c r="E447" i="42"/>
  <c r="E437" i="42"/>
  <c r="L146" i="4" s="1"/>
  <c r="E443" i="42"/>
  <c r="E441" i="42"/>
  <c r="E438" i="42"/>
  <c r="G575" i="42"/>
  <c r="G577" i="42"/>
  <c r="F444" i="42"/>
  <c r="F441" i="42"/>
  <c r="F438" i="42"/>
  <c r="F446" i="42"/>
  <c r="F449" i="42"/>
  <c r="F435" i="42"/>
  <c r="G513" i="42"/>
  <c r="E440" i="42"/>
  <c r="E402" i="42"/>
  <c r="G379" i="42"/>
  <c r="G621" i="42"/>
  <c r="N147" i="4" s="1"/>
  <c r="G637" i="42"/>
  <c r="G389" i="42"/>
  <c r="G417" i="42"/>
  <c r="F408" i="42"/>
  <c r="F404" i="42"/>
  <c r="E446" i="42"/>
  <c r="G578" i="42"/>
  <c r="F443" i="42"/>
  <c r="E422" i="42"/>
  <c r="G392" i="42"/>
  <c r="F377" i="42"/>
  <c r="E389" i="42"/>
  <c r="E387" i="42"/>
  <c r="E390" i="42"/>
  <c r="G633" i="42"/>
  <c r="G635" i="42"/>
  <c r="F473" i="42"/>
  <c r="F467" i="42"/>
  <c r="F624" i="42"/>
  <c r="F621" i="42"/>
  <c r="F622" i="42"/>
  <c r="F629" i="42"/>
  <c r="F625" i="42"/>
  <c r="F618" i="42"/>
  <c r="E598" i="42"/>
  <c r="E596" i="42"/>
  <c r="E601" i="42"/>
  <c r="E600" i="42"/>
  <c r="E375" i="42"/>
  <c r="E364" i="42"/>
  <c r="E368" i="42"/>
  <c r="G521" i="42"/>
  <c r="G517" i="42"/>
  <c r="G514" i="42"/>
  <c r="G511" i="42"/>
  <c r="F600" i="42"/>
  <c r="F598" i="42"/>
  <c r="F601" i="42"/>
  <c r="E607" i="42"/>
  <c r="E616" i="42"/>
  <c r="E404" i="42"/>
  <c r="E399" i="42"/>
  <c r="E408" i="42"/>
  <c r="E397" i="42"/>
  <c r="E411" i="42"/>
  <c r="G380" i="42"/>
  <c r="G382" i="42"/>
  <c r="G625" i="42"/>
  <c r="G629" i="42"/>
  <c r="G618" i="42"/>
  <c r="G622" i="42"/>
  <c r="E370" i="42"/>
  <c r="G413" i="42"/>
  <c r="F402" i="42"/>
  <c r="F397" i="42"/>
  <c r="E609" i="42"/>
  <c r="E407" i="42"/>
  <c r="G572" i="42"/>
  <c r="F437" i="42"/>
  <c r="M146" i="4" s="1"/>
  <c r="E429" i="42"/>
  <c r="F560" i="42"/>
  <c r="F390" i="42"/>
  <c r="F382" i="42"/>
  <c r="E366" i="42"/>
  <c r="L144" i="4" s="1"/>
  <c r="G516" i="42"/>
  <c r="F596" i="42"/>
  <c r="F411" i="42"/>
  <c r="E613" i="42"/>
  <c r="E410" i="42"/>
  <c r="G377" i="42"/>
  <c r="G574" i="42"/>
  <c r="G624" i="42"/>
  <c r="F447" i="42"/>
  <c r="E393" i="42"/>
  <c r="E427" i="42"/>
  <c r="F469" i="42"/>
  <c r="F631" i="42"/>
  <c r="F574" i="42"/>
  <c r="E561" i="42"/>
  <c r="E558" i="42"/>
  <c r="E535" i="42"/>
  <c r="E531" i="42"/>
  <c r="E625" i="42"/>
  <c r="E629" i="42"/>
  <c r="F521" i="42"/>
  <c r="F517" i="42"/>
  <c r="E490" i="42"/>
  <c r="E486" i="42"/>
  <c r="E513" i="42"/>
  <c r="E516" i="42"/>
  <c r="G539" i="42"/>
  <c r="G542" i="42"/>
  <c r="G607" i="42"/>
  <c r="G609" i="42"/>
  <c r="F421" i="42"/>
  <c r="F429" i="42"/>
  <c r="F427" i="42"/>
  <c r="F535" i="42"/>
  <c r="F531" i="42"/>
  <c r="E471" i="42"/>
  <c r="G463" i="42"/>
  <c r="G460" i="42"/>
  <c r="G370" i="42"/>
  <c r="G373" i="42"/>
  <c r="G570" i="42"/>
  <c r="F633" i="42"/>
  <c r="F462" i="42"/>
  <c r="F459" i="42"/>
  <c r="F463" i="42"/>
  <c r="E379" i="42"/>
  <c r="E382" i="42"/>
  <c r="G585" i="42"/>
  <c r="G409" i="42"/>
  <c r="G407" i="42"/>
  <c r="G410" i="42"/>
  <c r="F584" i="42"/>
  <c r="F587" i="42"/>
  <c r="F479" i="42"/>
  <c r="F483" i="42"/>
  <c r="E527" i="42"/>
  <c r="E624" i="42"/>
  <c r="F516" i="42"/>
  <c r="E477" i="42"/>
  <c r="E519" i="42"/>
  <c r="G545" i="42"/>
  <c r="G615" i="42"/>
  <c r="F426" i="42"/>
  <c r="F530" i="42"/>
  <c r="G456" i="42"/>
  <c r="G368" i="42"/>
  <c r="F454" i="42"/>
  <c r="G584" i="42"/>
  <c r="G402" i="42"/>
  <c r="F590" i="42"/>
  <c r="F486" i="42"/>
  <c r="F433" i="2"/>
  <c r="F138" i="11" s="1"/>
  <c r="F425" i="2"/>
  <c r="F124" i="11" s="1"/>
  <c r="F417" i="2"/>
  <c r="F109" i="11" s="1"/>
  <c r="F436" i="2"/>
  <c r="F143" i="11" s="1"/>
  <c r="F428" i="2"/>
  <c r="F129" i="11" s="1"/>
  <c r="F420" i="2"/>
  <c r="F114" i="11" s="1"/>
  <c r="F435" i="2"/>
  <c r="F140" i="11" s="1"/>
  <c r="F427" i="2"/>
  <c r="F128" i="11" s="1"/>
  <c r="F419" i="2"/>
  <c r="F113" i="11" s="1"/>
  <c r="F434" i="2"/>
  <c r="F139" i="11" s="1"/>
  <c r="F426" i="2"/>
  <c r="F125" i="11" s="1"/>
  <c r="F418" i="2"/>
  <c r="F110" i="11" s="1"/>
  <c r="F437" i="2"/>
  <c r="F144" i="11" s="1"/>
  <c r="F429" i="2"/>
  <c r="F130" i="11" s="1"/>
  <c r="F421" i="2"/>
  <c r="F118" i="11" s="1"/>
  <c r="F413" i="2"/>
  <c r="F103" i="11" s="1"/>
  <c r="F432" i="2"/>
  <c r="F135" i="11" s="1"/>
  <c r="F424" i="2"/>
  <c r="F123" i="11" s="1"/>
  <c r="F416" i="2"/>
  <c r="F108" i="11" s="1"/>
  <c r="F431" i="2"/>
  <c r="F134" i="11" s="1"/>
  <c r="F423" i="2"/>
  <c r="F120" i="11" s="1"/>
  <c r="F415" i="2"/>
  <c r="F105" i="11" s="1"/>
  <c r="F430" i="2"/>
  <c r="F133" i="11" s="1"/>
  <c r="F422" i="2"/>
  <c r="F119" i="11" s="1"/>
  <c r="F414" i="2"/>
  <c r="F104" i="11" s="1"/>
  <c r="M147" i="4" l="1"/>
  <c r="F278" i="2"/>
  <c r="F39" i="47" s="1"/>
  <c r="F273" i="2"/>
  <c r="F34" i="47" s="1"/>
  <c r="F274" i="2"/>
  <c r="F35" i="47" s="1"/>
  <c r="F275" i="2"/>
  <c r="F36" i="47" s="1"/>
  <c r="F282" i="2"/>
  <c r="F43" i="47" s="1"/>
  <c r="F283" i="2"/>
  <c r="F44" i="47" s="1"/>
  <c r="F281" i="2"/>
  <c r="F42" i="47" s="1"/>
  <c r="F279" i="2"/>
  <c r="F40" i="47" s="1"/>
  <c r="F277" i="2"/>
  <c r="F38" i="47" s="1"/>
  <c r="N20" i="4"/>
  <c r="L20" i="4"/>
  <c r="M40" i="4"/>
  <c r="M20" i="4"/>
  <c r="L40" i="4"/>
  <c r="N40" i="4"/>
  <c r="G423" i="2"/>
  <c r="G120" i="11" s="1"/>
  <c r="G432" i="2"/>
  <c r="G135" i="11" s="1"/>
  <c r="G437" i="2"/>
  <c r="G144" i="11" s="1"/>
  <c r="G430" i="2"/>
  <c r="G133" i="11" s="1"/>
  <c r="G416" i="2"/>
  <c r="G108" i="11" s="1"/>
  <c r="G421" i="2"/>
  <c r="G118" i="11" s="1"/>
  <c r="G426" i="2"/>
  <c r="G125" i="11" s="1"/>
  <c r="G435" i="2"/>
  <c r="G140" i="11" s="1"/>
  <c r="G417" i="2"/>
  <c r="G109" i="11" s="1"/>
  <c r="G422" i="2"/>
  <c r="G119" i="11" s="1"/>
  <c r="G431" i="2"/>
  <c r="G134" i="11" s="1"/>
  <c r="G413" i="2"/>
  <c r="G103" i="11" s="1"/>
  <c r="G418" i="2"/>
  <c r="G110" i="11" s="1"/>
  <c r="G427" i="2"/>
  <c r="G128" i="11" s="1"/>
  <c r="G436" i="2"/>
  <c r="G143" i="11" s="1"/>
  <c r="G414" i="2"/>
  <c r="G104" i="11" s="1"/>
  <c r="G419" i="2"/>
  <c r="G113" i="11" s="1"/>
  <c r="G428" i="2"/>
  <c r="G129" i="11" s="1"/>
  <c r="G433" i="2"/>
  <c r="G138" i="11" s="1"/>
  <c r="G415" i="2"/>
  <c r="G105" i="11" s="1"/>
  <c r="G424" i="2"/>
  <c r="G123" i="11" s="1"/>
  <c r="G429" i="2"/>
  <c r="G130" i="11" s="1"/>
  <c r="G434" i="2"/>
  <c r="G139" i="11" s="1"/>
  <c r="G420" i="2"/>
  <c r="G114" i="11" s="1"/>
  <c r="G425" i="2"/>
  <c r="G124" i="11" s="1"/>
  <c r="J21" i="4"/>
  <c r="I21" i="4"/>
  <c r="J41" i="4"/>
  <c r="I41" i="4"/>
  <c r="I40" i="4"/>
  <c r="J20" i="4"/>
  <c r="J40" i="4"/>
  <c r="I20" i="4"/>
  <c r="J48" i="4"/>
  <c r="I48" i="4"/>
  <c r="J19" i="4"/>
  <c r="I39" i="4"/>
  <c r="J39" i="4"/>
  <c r="I19" i="4"/>
  <c r="J133" i="4"/>
  <c r="I133" i="4"/>
  <c r="G275" i="2" l="1"/>
  <c r="G36" i="47" s="1"/>
  <c r="G273" i="2"/>
  <c r="G34" i="47" s="1"/>
  <c r="G274" i="2"/>
  <c r="G35" i="47" s="1"/>
  <c r="G283" i="2"/>
  <c r="G44" i="47" s="1"/>
  <c r="G281" i="2"/>
  <c r="G42" i="47" s="1"/>
  <c r="G282" i="2"/>
  <c r="G43" i="47" s="1"/>
  <c r="G279" i="2"/>
  <c r="G40" i="47" s="1"/>
  <c r="G277" i="2"/>
  <c r="G38" i="47" s="1"/>
  <c r="G278" i="2"/>
  <c r="G39" i="47" s="1"/>
  <c r="G446" i="19"/>
  <c r="F446" i="19"/>
  <c r="E446" i="19"/>
  <c r="E435" i="19"/>
  <c r="F435" i="19"/>
  <c r="G435" i="19"/>
  <c r="J76" i="1"/>
  <c r="I32" i="4"/>
  <c r="J32" i="4"/>
  <c r="I12" i="4"/>
  <c r="J12" i="4"/>
  <c r="E395" i="19"/>
  <c r="G402" i="19"/>
  <c r="F402" i="19"/>
  <c r="E402" i="19"/>
  <c r="F395" i="19"/>
  <c r="G395" i="19"/>
  <c r="E144" i="8" l="1"/>
  <c r="E145" i="8"/>
  <c r="E146" i="8"/>
  <c r="E147" i="8"/>
  <c r="E148" i="8"/>
  <c r="E143" i="8"/>
  <c r="E115" i="8"/>
  <c r="E116" i="8"/>
  <c r="E117" i="8"/>
  <c r="E118" i="8"/>
  <c r="E119" i="8"/>
  <c r="E114" i="8"/>
  <c r="I18" i="4"/>
  <c r="J18" i="4"/>
  <c r="E18" i="4"/>
  <c r="F18" i="4"/>
  <c r="F337" i="19" s="1"/>
  <c r="G18" i="4"/>
  <c r="G337" i="19" s="1"/>
  <c r="J56" i="1" l="1"/>
  <c r="J58" i="1"/>
  <c r="J59" i="1"/>
  <c r="E25" i="47"/>
  <c r="E450" i="8"/>
  <c r="E442" i="8"/>
  <c r="E438" i="8"/>
  <c r="E437" i="8"/>
  <c r="E435" i="8"/>
  <c r="E434" i="8"/>
  <c r="E447" i="19"/>
  <c r="G507" i="8"/>
  <c r="F507" i="8"/>
  <c r="G448" i="8"/>
  <c r="G32" i="3" s="1"/>
  <c r="G449" i="8"/>
  <c r="G33" i="3" s="1"/>
  <c r="G450" i="8"/>
  <c r="G34" i="3" s="1"/>
  <c r="G57" i="1" s="1"/>
  <c r="G447" i="8"/>
  <c r="G31" i="3" s="1"/>
  <c r="G443" i="8"/>
  <c r="G27" i="3" s="1"/>
  <c r="G444" i="8"/>
  <c r="G28" i="3" s="1"/>
  <c r="G445" i="8"/>
  <c r="G442" i="8"/>
  <c r="G26" i="3" s="1"/>
  <c r="G434" i="8"/>
  <c r="G17" i="3" s="1"/>
  <c r="G435" i="8"/>
  <c r="G18" i="3" s="1"/>
  <c r="G436" i="8"/>
  <c r="G19" i="3" s="1"/>
  <c r="G437" i="8"/>
  <c r="G20" i="3" s="1"/>
  <c r="G438" i="8"/>
  <c r="G21" i="3" s="1"/>
  <c r="G439" i="8"/>
  <c r="G22" i="3" s="1"/>
  <c r="G440" i="8"/>
  <c r="G23" i="3" s="1"/>
  <c r="G433" i="8"/>
  <c r="G16" i="3" s="1"/>
  <c r="G423" i="8"/>
  <c r="G4" i="3" s="1"/>
  <c r="G424" i="8"/>
  <c r="G422" i="8"/>
  <c r="G3" i="3" s="1"/>
  <c r="F422" i="8"/>
  <c r="F3" i="3" s="1"/>
  <c r="F448" i="8"/>
  <c r="F32" i="3" s="1"/>
  <c r="F449" i="8"/>
  <c r="F33" i="3" s="1"/>
  <c r="F450" i="8"/>
  <c r="F34" i="3" s="1"/>
  <c r="F57" i="1" s="1"/>
  <c r="F447" i="8"/>
  <c r="F31" i="3" s="1"/>
  <c r="F443" i="8"/>
  <c r="F27" i="3" s="1"/>
  <c r="F444" i="8"/>
  <c r="F28" i="3" s="1"/>
  <c r="F445" i="8"/>
  <c r="F442" i="8"/>
  <c r="F26" i="3" s="1"/>
  <c r="F437" i="8"/>
  <c r="F20" i="3" s="1"/>
  <c r="F438" i="8"/>
  <c r="F21" i="3" s="1"/>
  <c r="F439" i="8"/>
  <c r="F22" i="3" s="1"/>
  <c r="F440" i="8"/>
  <c r="F23" i="3" s="1"/>
  <c r="F436" i="8"/>
  <c r="F19" i="3" s="1"/>
  <c r="F435" i="8"/>
  <c r="F18" i="3" s="1"/>
  <c r="F434" i="8"/>
  <c r="F17" i="3" s="1"/>
  <c r="F433" i="8"/>
  <c r="F16" i="3" s="1"/>
  <c r="F423" i="8"/>
  <c r="F4" i="3" s="1"/>
  <c r="F424" i="8"/>
  <c r="O450" i="8"/>
  <c r="P450" i="8" s="1"/>
  <c r="K450" i="8"/>
  <c r="L450" i="8" s="1"/>
  <c r="M431" i="8"/>
  <c r="N431" i="8" s="1"/>
  <c r="O431" i="8" s="1"/>
  <c r="M429" i="8"/>
  <c r="I429" i="8"/>
  <c r="J429" i="8" s="1"/>
  <c r="N429" i="8" l="1"/>
  <c r="F372" i="19"/>
  <c r="F46" i="11" s="1"/>
  <c r="L202" i="11" s="1"/>
  <c r="L381" i="19"/>
  <c r="N381" i="19"/>
  <c r="I381" i="19"/>
  <c r="K381" i="19"/>
  <c r="M381" i="19"/>
  <c r="G386" i="19"/>
  <c r="G56" i="11" s="1"/>
  <c r="I209" i="11" s="1"/>
  <c r="G372" i="19"/>
  <c r="P381" i="19"/>
  <c r="Q381" i="19"/>
  <c r="O381" i="19"/>
  <c r="R381" i="19"/>
  <c r="J381" i="19"/>
  <c r="M364" i="19"/>
  <c r="L364" i="19"/>
  <c r="N364" i="19"/>
  <c r="K364" i="19"/>
  <c r="I364" i="19"/>
  <c r="O364" i="19"/>
  <c r="R364" i="19"/>
  <c r="P364" i="19"/>
  <c r="Q364" i="19"/>
  <c r="J364" i="19"/>
  <c r="F344" i="19"/>
  <c r="F348" i="19" s="1"/>
  <c r="G344" i="19"/>
  <c r="G348" i="19" s="1"/>
  <c r="F336" i="19"/>
  <c r="F339" i="19" s="1"/>
  <c r="G336" i="19"/>
  <c r="G340" i="19" s="1"/>
  <c r="F276" i="47"/>
  <c r="G277" i="47"/>
  <c r="F235" i="47"/>
  <c r="F236" i="47"/>
  <c r="F277" i="47"/>
  <c r="F304" i="47"/>
  <c r="G236" i="47"/>
  <c r="G126" i="2"/>
  <c r="G235" i="47"/>
  <c r="G276" i="47"/>
  <c r="F22" i="47"/>
  <c r="F5" i="47" s="1"/>
  <c r="F25" i="47"/>
  <c r="F79" i="47"/>
  <c r="F141" i="47"/>
  <c r="F173" i="47"/>
  <c r="F191" i="47"/>
  <c r="F200" i="47"/>
  <c r="F32" i="47"/>
  <c r="F45" i="47"/>
  <c r="F55" i="47"/>
  <c r="F97" i="47"/>
  <c r="F119" i="47"/>
  <c r="F157" i="47"/>
  <c r="F259" i="47"/>
  <c r="F301" i="47"/>
  <c r="F21" i="11"/>
  <c r="D190" i="11" s="1"/>
  <c r="F38" i="11"/>
  <c r="D202" i="11" s="1"/>
  <c r="F51" i="11"/>
  <c r="D208" i="11" s="1"/>
  <c r="F62" i="11"/>
  <c r="F78" i="11"/>
  <c r="D228" i="11" s="1"/>
  <c r="F90" i="11"/>
  <c r="D240" i="11" s="1"/>
  <c r="F102" i="11"/>
  <c r="F107" i="11"/>
  <c r="F112" i="11"/>
  <c r="F147" i="11"/>
  <c r="F9" i="11"/>
  <c r="D178" i="11" s="1"/>
  <c r="F15" i="11"/>
  <c r="D184" i="11" s="1"/>
  <c r="F31" i="11"/>
  <c r="D196" i="11" s="1"/>
  <c r="F72" i="11"/>
  <c r="D222" i="11" s="1"/>
  <c r="F84" i="11"/>
  <c r="D234" i="11" s="1"/>
  <c r="F96" i="11"/>
  <c r="D246" i="11" s="1"/>
  <c r="F117" i="11"/>
  <c r="F122" i="11"/>
  <c r="F127" i="11"/>
  <c r="F132" i="11"/>
  <c r="F137" i="11"/>
  <c r="F142" i="11"/>
  <c r="F218" i="47"/>
  <c r="F238" i="47"/>
  <c r="F282" i="47"/>
  <c r="G238" i="47"/>
  <c r="G282" i="47"/>
  <c r="F243" i="47"/>
  <c r="F280" i="47"/>
  <c r="G32" i="47"/>
  <c r="G45" i="47"/>
  <c r="G55" i="47"/>
  <c r="G97" i="47"/>
  <c r="G119" i="47"/>
  <c r="G157" i="47"/>
  <c r="G218" i="47"/>
  <c r="G22" i="47"/>
  <c r="G5" i="47" s="1"/>
  <c r="G173" i="47"/>
  <c r="G259" i="47"/>
  <c r="G301" i="47"/>
  <c r="G21" i="11"/>
  <c r="D191" i="11" s="1"/>
  <c r="G38" i="11"/>
  <c r="D203" i="11" s="1"/>
  <c r="G51" i="11"/>
  <c r="D209" i="11" s="1"/>
  <c r="G62" i="11"/>
  <c r="G78" i="11"/>
  <c r="D229" i="11" s="1"/>
  <c r="G90" i="11"/>
  <c r="D241" i="11" s="1"/>
  <c r="G102" i="11"/>
  <c r="G107" i="11"/>
  <c r="G112" i="11"/>
  <c r="G147" i="11"/>
  <c r="G25" i="47"/>
  <c r="G79" i="47"/>
  <c r="G141" i="47"/>
  <c r="G191" i="47"/>
  <c r="G200" i="47"/>
  <c r="G9" i="11"/>
  <c r="D179" i="11" s="1"/>
  <c r="G15" i="11"/>
  <c r="D185" i="11" s="1"/>
  <c r="G72" i="11"/>
  <c r="D223" i="11" s="1"/>
  <c r="G117" i="11"/>
  <c r="G127" i="11"/>
  <c r="G137" i="11"/>
  <c r="G84" i="11"/>
  <c r="D235" i="11" s="1"/>
  <c r="G31" i="11"/>
  <c r="D197" i="11" s="1"/>
  <c r="G96" i="11"/>
  <c r="D247" i="11" s="1"/>
  <c r="G122" i="11"/>
  <c r="G132" i="11"/>
  <c r="G142" i="11"/>
  <c r="F241" i="47"/>
  <c r="F288" i="47"/>
  <c r="G280" i="47"/>
  <c r="G243" i="47"/>
  <c r="G241" i="47"/>
  <c r="G288" i="47"/>
  <c r="A22" i="42"/>
  <c r="A25" i="42"/>
  <c r="A24" i="42"/>
  <c r="A23" i="42"/>
  <c r="K429" i="8"/>
  <c r="L429" i="8" s="1"/>
  <c r="F16" i="42"/>
  <c r="G16" i="42"/>
  <c r="F386" i="19"/>
  <c r="F56" i="11" s="1"/>
  <c r="I208" i="11" s="1"/>
  <c r="G46" i="11"/>
  <c r="L203" i="11" s="1"/>
  <c r="F418" i="19"/>
  <c r="F448" i="19"/>
  <c r="F117" i="2"/>
  <c r="G117" i="2"/>
  <c r="G418" i="19"/>
  <c r="G448" i="19"/>
  <c r="F201" i="19"/>
  <c r="G201" i="19"/>
  <c r="F411" i="19"/>
  <c r="G411" i="19"/>
  <c r="F4" i="47"/>
  <c r="G4" i="47"/>
  <c r="B527" i="8"/>
  <c r="B532" i="8" s="1"/>
  <c r="F396" i="19"/>
  <c r="F403" i="19"/>
  <c r="G403" i="19"/>
  <c r="G396" i="19"/>
  <c r="B518" i="8"/>
  <c r="E142" i="11"/>
  <c r="E122" i="11"/>
  <c r="E112" i="11"/>
  <c r="E127" i="11"/>
  <c r="E132" i="11"/>
  <c r="E107" i="11"/>
  <c r="E137" i="11"/>
  <c r="E117" i="11"/>
  <c r="E102" i="11"/>
  <c r="E449" i="8"/>
  <c r="E72" i="11"/>
  <c r="D221" i="11" s="1"/>
  <c r="E78" i="11"/>
  <c r="D227" i="11" s="1"/>
  <c r="E96" i="11"/>
  <c r="D245" i="11" s="1"/>
  <c r="E90" i="11"/>
  <c r="D239" i="11" s="1"/>
  <c r="E84" i="11"/>
  <c r="D233" i="11" s="1"/>
  <c r="E21" i="11"/>
  <c r="D189" i="11" s="1"/>
  <c r="E15" i="11"/>
  <c r="D183" i="11" s="1"/>
  <c r="E38" i="11"/>
  <c r="D201" i="11" s="1"/>
  <c r="E31" i="11"/>
  <c r="D195" i="11" s="1"/>
  <c r="E51" i="11"/>
  <c r="D207" i="11" s="1"/>
  <c r="E9" i="11"/>
  <c r="E436" i="19"/>
  <c r="F346" i="19"/>
  <c r="F338" i="19"/>
  <c r="G338" i="19"/>
  <c r="G346" i="19"/>
  <c r="E346" i="19"/>
  <c r="E440" i="8"/>
  <c r="G449" i="19"/>
  <c r="E439" i="8"/>
  <c r="F449" i="19"/>
  <c r="E436" i="8"/>
  <c r="F438" i="19"/>
  <c r="G438" i="19"/>
  <c r="E433" i="8"/>
  <c r="E438" i="19"/>
  <c r="E443" i="8"/>
  <c r="E445" i="8"/>
  <c r="E448" i="8"/>
  <c r="E447" i="8"/>
  <c r="E431" i="8"/>
  <c r="F45" i="26"/>
  <c r="F45" i="10"/>
  <c r="G45" i="10"/>
  <c r="G45" i="26"/>
  <c r="E57" i="2"/>
  <c r="E45" i="26"/>
  <c r="E45" i="10"/>
  <c r="E444" i="8"/>
  <c r="E429" i="8"/>
  <c r="E33" i="10"/>
  <c r="G57" i="2"/>
  <c r="F57" i="2"/>
  <c r="P431" i="8"/>
  <c r="D177" i="11" l="1"/>
  <c r="E4" i="11"/>
  <c r="F429" i="8"/>
  <c r="F11" i="3" s="1"/>
  <c r="O429" i="8"/>
  <c r="G429" i="8" s="1"/>
  <c r="G347" i="19"/>
  <c r="F340" i="19"/>
  <c r="G339" i="19"/>
  <c r="G341" i="19" s="1"/>
  <c r="G234" i="47" s="1"/>
  <c r="F347" i="19"/>
  <c r="G159" i="11"/>
  <c r="D215" i="11"/>
  <c r="F159" i="11"/>
  <c r="F167" i="11" s="1"/>
  <c r="D214" i="11"/>
  <c r="F126" i="2"/>
  <c r="G304" i="47"/>
  <c r="J304" i="47" s="1"/>
  <c r="F244" i="47"/>
  <c r="J57" i="1"/>
  <c r="J238" i="47"/>
  <c r="J282" i="47"/>
  <c r="J277" i="47"/>
  <c r="J236" i="47"/>
  <c r="J276" i="47"/>
  <c r="J280" i="47"/>
  <c r="J243" i="47"/>
  <c r="B534" i="8"/>
  <c r="J241" i="47"/>
  <c r="J288" i="47"/>
  <c r="B543" i="8"/>
  <c r="B548" i="8" s="1"/>
  <c r="G431" i="8"/>
  <c r="G13" i="3" s="1"/>
  <c r="F431" i="8"/>
  <c r="F13" i="3" s="1"/>
  <c r="E46" i="11"/>
  <c r="L201" i="11" s="1"/>
  <c r="G11" i="3" l="1"/>
  <c r="G244" i="47" s="1"/>
  <c r="J244" i="47" s="1"/>
  <c r="P429" i="8"/>
  <c r="G278" i="47"/>
  <c r="F358" i="19"/>
  <c r="G359" i="19"/>
  <c r="F436" i="19"/>
  <c r="F359" i="19"/>
  <c r="G357" i="19"/>
  <c r="F357" i="19"/>
  <c r="G360" i="19"/>
  <c r="G358" i="19"/>
  <c r="F360" i="19"/>
  <c r="F341" i="19"/>
  <c r="F234" i="47" s="1"/>
  <c r="E26" i="39"/>
  <c r="E7" i="39"/>
  <c r="G436" i="19"/>
  <c r="J235" i="47"/>
  <c r="F20" i="51"/>
  <c r="J131" i="1"/>
  <c r="J134" i="1"/>
  <c r="G119" i="4"/>
  <c r="G132" i="1" s="1"/>
  <c r="F119" i="4"/>
  <c r="F132" i="1" s="1"/>
  <c r="E119" i="4"/>
  <c r="E132" i="1" s="1"/>
  <c r="J119" i="4"/>
  <c r="I119" i="4"/>
  <c r="G118" i="4"/>
  <c r="F118" i="4"/>
  <c r="E118" i="4"/>
  <c r="J118" i="4"/>
  <c r="I118" i="4"/>
  <c r="J114" i="1"/>
  <c r="J115" i="1"/>
  <c r="J122" i="1"/>
  <c r="J123" i="1"/>
  <c r="J129" i="1"/>
  <c r="J130" i="1"/>
  <c r="F31" i="50"/>
  <c r="G117" i="4"/>
  <c r="F117" i="4"/>
  <c r="E117" i="4"/>
  <c r="J117" i="4"/>
  <c r="I117" i="4"/>
  <c r="G116" i="4"/>
  <c r="F116" i="4"/>
  <c r="E116" i="4"/>
  <c r="J116" i="4"/>
  <c r="I116" i="4"/>
  <c r="E43" i="4"/>
  <c r="F43" i="4"/>
  <c r="G43" i="4"/>
  <c r="E49" i="4"/>
  <c r="F49" i="4"/>
  <c r="G49" i="4"/>
  <c r="E100" i="4"/>
  <c r="F100" i="4"/>
  <c r="G100" i="4"/>
  <c r="E162" i="4"/>
  <c r="F162" i="4"/>
  <c r="G162" i="4"/>
  <c r="G10" i="4"/>
  <c r="G13" i="4"/>
  <c r="G14" i="4"/>
  <c r="G15" i="4"/>
  <c r="G16" i="4"/>
  <c r="G30" i="4"/>
  <c r="G33" i="4"/>
  <c r="G34" i="4"/>
  <c r="G35" i="4"/>
  <c r="G36" i="4"/>
  <c r="G45" i="4"/>
  <c r="G180" i="19" s="1"/>
  <c r="G46" i="4"/>
  <c r="G47" i="4"/>
  <c r="G50" i="4"/>
  <c r="G52" i="4"/>
  <c r="G53" i="4"/>
  <c r="G54" i="4"/>
  <c r="G55" i="4"/>
  <c r="G56" i="4"/>
  <c r="G58" i="4"/>
  <c r="G61" i="4"/>
  <c r="G63" i="4"/>
  <c r="G64" i="4"/>
  <c r="G65" i="4"/>
  <c r="G66" i="4"/>
  <c r="G69" i="4"/>
  <c r="G71" i="4"/>
  <c r="G72" i="4"/>
  <c r="G73" i="4"/>
  <c r="G74" i="4"/>
  <c r="G78" i="4"/>
  <c r="G79" i="4"/>
  <c r="G80" i="4"/>
  <c r="G81" i="4"/>
  <c r="G19" i="1" s="1"/>
  <c r="G82" i="4"/>
  <c r="G84" i="4"/>
  <c r="G85" i="4"/>
  <c r="G86" i="4"/>
  <c r="G87" i="4"/>
  <c r="G95" i="4"/>
  <c r="G96" i="4"/>
  <c r="G20" i="1" s="1"/>
  <c r="G97" i="4"/>
  <c r="G98" i="4"/>
  <c r="G99" i="4"/>
  <c r="G104" i="4"/>
  <c r="G105" i="4"/>
  <c r="G108" i="4"/>
  <c r="G109" i="4"/>
  <c r="G110" i="4"/>
  <c r="G113" i="4"/>
  <c r="G114" i="4"/>
  <c r="G115" i="4"/>
  <c r="G120" i="4"/>
  <c r="G121" i="4"/>
  <c r="G122" i="4"/>
  <c r="G123" i="4"/>
  <c r="G124" i="4"/>
  <c r="G126" i="4"/>
  <c r="G127" i="4"/>
  <c r="G128" i="4"/>
  <c r="G130" i="4"/>
  <c r="G131" i="4"/>
  <c r="G132" i="4"/>
  <c r="G151" i="4"/>
  <c r="G153" i="4"/>
  <c r="G317" i="47" l="1"/>
  <c r="F278" i="47"/>
  <c r="G366" i="19"/>
  <c r="G40" i="11" s="1"/>
  <c r="F203" i="11" s="1"/>
  <c r="F366" i="19"/>
  <c r="F40" i="11" s="1"/>
  <c r="F202" i="11" s="1"/>
  <c r="E27" i="39"/>
  <c r="E8" i="39"/>
  <c r="F447" i="19"/>
  <c r="G107" i="2"/>
  <c r="G447" i="19"/>
  <c r="J133" i="1"/>
  <c r="J132" i="1"/>
  <c r="J106" i="1"/>
  <c r="J107" i="1"/>
  <c r="J108" i="1"/>
  <c r="J109" i="1"/>
  <c r="C586" i="8"/>
  <c r="C590" i="8" s="1"/>
  <c r="J278" i="47" l="1"/>
  <c r="E40" i="11"/>
  <c r="F201" i="11" s="1"/>
  <c r="J70" i="1"/>
  <c r="J71" i="1"/>
  <c r="J72" i="1"/>
  <c r="H30" i="49"/>
  <c r="H29" i="49"/>
  <c r="H28" i="49"/>
  <c r="J54" i="1"/>
  <c r="J55" i="1"/>
  <c r="F115" i="4"/>
  <c r="E115" i="4"/>
  <c r="J115" i="4"/>
  <c r="I115" i="4"/>
  <c r="J5" i="15" l="1"/>
  <c r="K28" i="14"/>
  <c r="K24" i="14"/>
  <c r="K21" i="14"/>
  <c r="O21" i="14" s="1"/>
  <c r="K5" i="14"/>
  <c r="I5" i="14"/>
  <c r="K15" i="14"/>
  <c r="K14" i="14"/>
  <c r="K7" i="14"/>
  <c r="N38" i="13" l="1"/>
  <c r="J135" i="1" l="1"/>
  <c r="J166" i="1"/>
  <c r="J167" i="1"/>
  <c r="J198" i="1"/>
  <c r="J199"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H27" i="48"/>
  <c r="H26" i="48"/>
  <c r="H25" i="48"/>
  <c r="J64" i="1"/>
  <c r="J65" i="1"/>
  <c r="J105" i="1"/>
  <c r="J110" i="1"/>
  <c r="J111" i="1"/>
  <c r="J112" i="1"/>
  <c r="J113" i="1"/>
  <c r="F26" i="2"/>
  <c r="G26" i="2"/>
  <c r="F41" i="2"/>
  <c r="G41" i="2"/>
  <c r="J28" i="1"/>
  <c r="J30" i="1"/>
  <c r="J32" i="1"/>
  <c r="J33" i="1"/>
  <c r="J34" i="1"/>
  <c r="J36" i="1"/>
  <c r="J38" i="1"/>
  <c r="J39" i="1"/>
  <c r="J41" i="1"/>
  <c r="J43" i="1"/>
  <c r="J45" i="1"/>
  <c r="J46" i="1"/>
  <c r="J47" i="1"/>
  <c r="J50" i="1"/>
  <c r="F114" i="4" l="1"/>
  <c r="F42" i="2" s="1"/>
  <c r="F181" i="6" s="1"/>
  <c r="E114" i="4"/>
  <c r="J114" i="4"/>
  <c r="I114" i="4"/>
  <c r="G42" i="2"/>
  <c r="G181" i="6" s="1"/>
  <c r="D42" i="1"/>
  <c r="E26" i="2"/>
  <c r="I14" i="14" s="1"/>
  <c r="O14" i="14" s="1"/>
  <c r="J42" i="1" l="1"/>
  <c r="K23" i="14"/>
  <c r="E42" i="2"/>
  <c r="J5" i="1"/>
  <c r="J9" i="1"/>
  <c r="J11" i="1"/>
  <c r="J12" i="1"/>
  <c r="J13" i="1"/>
  <c r="J15" i="1"/>
  <c r="J16" i="1"/>
  <c r="J18" i="1"/>
  <c r="J23" i="1"/>
  <c r="J25" i="1"/>
  <c r="J26" i="1"/>
  <c r="J27" i="1"/>
  <c r="D29" i="1"/>
  <c r="D102" i="4"/>
  <c r="G102" i="4" s="1"/>
  <c r="G21" i="1" s="1"/>
  <c r="D103" i="4"/>
  <c r="G103" i="4" s="1"/>
  <c r="G22" i="1" s="1"/>
  <c r="J103" i="4"/>
  <c r="I103" i="4"/>
  <c r="F105" i="4"/>
  <c r="E105" i="4"/>
  <c r="J105" i="4"/>
  <c r="I105" i="4"/>
  <c r="J101" i="4"/>
  <c r="I101" i="4"/>
  <c r="F102" i="4"/>
  <c r="F21" i="1" s="1"/>
  <c r="E102" i="4"/>
  <c r="E21" i="1" s="1"/>
  <c r="J102" i="4"/>
  <c r="I102" i="4"/>
  <c r="F99" i="4"/>
  <c r="E99" i="4"/>
  <c r="J99" i="4"/>
  <c r="I99" i="4"/>
  <c r="G24" i="1" l="1"/>
  <c r="F103" i="4"/>
  <c r="F22" i="1" s="1"/>
  <c r="E103" i="4"/>
  <c r="E22" i="1" s="1"/>
  <c r="E181" i="6"/>
  <c r="I23" i="14"/>
  <c r="O23" i="14" s="1"/>
  <c r="J29" i="1"/>
  <c r="J21" i="1"/>
  <c r="J106" i="4"/>
  <c r="I106" i="4"/>
  <c r="F98" i="4"/>
  <c r="E98" i="4"/>
  <c r="J98" i="4"/>
  <c r="I98" i="4"/>
  <c r="F97" i="4"/>
  <c r="E97" i="4"/>
  <c r="J97" i="4"/>
  <c r="I97" i="4"/>
  <c r="F96" i="4"/>
  <c r="F20" i="1" s="1"/>
  <c r="E96" i="4"/>
  <c r="E20" i="1" s="1"/>
  <c r="J96" i="4"/>
  <c r="I96" i="4"/>
  <c r="F95" i="4"/>
  <c r="E95" i="4"/>
  <c r="J95" i="4"/>
  <c r="I95" i="4"/>
  <c r="J94" i="4"/>
  <c r="I94" i="4"/>
  <c r="F12" i="2"/>
  <c r="F14" i="2" s="1"/>
  <c r="F177" i="6" s="1"/>
  <c r="G12" i="2"/>
  <c r="G14" i="2" s="1"/>
  <c r="G177" i="6" s="1"/>
  <c r="K9" i="14"/>
  <c r="J285" i="1"/>
  <c r="J476" i="1"/>
  <c r="J477" i="1"/>
  <c r="J478" i="1"/>
  <c r="J479" i="1"/>
  <c r="J480" i="1"/>
  <c r="J481" i="1"/>
  <c r="J466" i="1"/>
  <c r="J467" i="1"/>
  <c r="J468" i="1"/>
  <c r="J470" i="1"/>
  <c r="J474" i="1"/>
  <c r="J508" i="1"/>
  <c r="J4" i="1"/>
  <c r="K13" i="14" l="1"/>
  <c r="J14" i="1"/>
  <c r="J20" i="1"/>
  <c r="J22" i="1" l="1"/>
  <c r="F113" i="4"/>
  <c r="E113" i="4"/>
  <c r="J113" i="4"/>
  <c r="I113" i="4"/>
  <c r="F104" i="4"/>
  <c r="E104" i="4"/>
  <c r="J104" i="4"/>
  <c r="I104" i="4"/>
  <c r="F36" i="4" l="1"/>
  <c r="E36" i="4"/>
  <c r="J36" i="4"/>
  <c r="I36" i="4"/>
  <c r="F16" i="4"/>
  <c r="E16" i="4"/>
  <c r="J16" i="4"/>
  <c r="I16" i="4"/>
  <c r="F35" i="4"/>
  <c r="E35" i="4"/>
  <c r="J35" i="4"/>
  <c r="I35" i="4"/>
  <c r="F34" i="4"/>
  <c r="E34" i="4"/>
  <c r="J34" i="4"/>
  <c r="I34" i="4"/>
  <c r="F15" i="4"/>
  <c r="E15" i="4"/>
  <c r="J15" i="4"/>
  <c r="I15" i="4"/>
  <c r="F14" i="4"/>
  <c r="E14" i="4"/>
  <c r="J14" i="4"/>
  <c r="I14" i="4"/>
  <c r="F33" i="4"/>
  <c r="E33" i="4"/>
  <c r="J33" i="4"/>
  <c r="I33" i="4"/>
  <c r="F13" i="4"/>
  <c r="E13" i="4"/>
  <c r="J13" i="4"/>
  <c r="I13" i="4"/>
  <c r="J28" i="4" l="1"/>
  <c r="I28" i="4"/>
  <c r="D28" i="4"/>
  <c r="G28" i="4" s="1"/>
  <c r="D8" i="4"/>
  <c r="G8" i="4" s="1"/>
  <c r="J8" i="4"/>
  <c r="I8" i="4"/>
  <c r="J27" i="4"/>
  <c r="I27" i="4"/>
  <c r="J7" i="4"/>
  <c r="I7" i="4"/>
  <c r="E8" i="4" l="1"/>
  <c r="F8" i="4"/>
  <c r="E28" i="4"/>
  <c r="F28" i="4"/>
  <c r="J112" i="4"/>
  <c r="I112" i="4"/>
  <c r="J111" i="4"/>
  <c r="I111" i="4"/>
  <c r="F79" i="4"/>
  <c r="E79" i="4"/>
  <c r="J79" i="4"/>
  <c r="I79" i="4"/>
  <c r="D67" i="4"/>
  <c r="G67" i="4" s="1"/>
  <c r="J31" i="4"/>
  <c r="I31" i="4"/>
  <c r="J139" i="4" l="1"/>
  <c r="I139" i="4"/>
  <c r="F110" i="4"/>
  <c r="E110" i="4"/>
  <c r="J110" i="4"/>
  <c r="I110" i="4"/>
  <c r="F109" i="4"/>
  <c r="E109" i="4"/>
  <c r="J109" i="4"/>
  <c r="I109" i="4"/>
  <c r="F46" i="4" l="1"/>
  <c r="E46" i="4"/>
  <c r="J46" i="4"/>
  <c r="I46" i="4"/>
  <c r="F47" i="4"/>
  <c r="E47" i="4"/>
  <c r="J47" i="4"/>
  <c r="I47" i="4"/>
  <c r="F45" i="4"/>
  <c r="F180" i="19" s="1"/>
  <c r="E45" i="4"/>
  <c r="E180" i="19" s="1"/>
  <c r="J45" i="4"/>
  <c r="I45" i="4"/>
  <c r="J44" i="4"/>
  <c r="I44" i="4"/>
  <c r="G116" i="2"/>
  <c r="F116" i="2"/>
  <c r="G106" i="2"/>
  <c r="F106" i="2"/>
  <c r="F30" i="4"/>
  <c r="F176" i="19" s="1"/>
  <c r="E30" i="4"/>
  <c r="E176" i="19" s="1"/>
  <c r="J30" i="4"/>
  <c r="I30" i="4"/>
  <c r="G176" i="19"/>
  <c r="F10" i="4"/>
  <c r="F172" i="19" s="1"/>
  <c r="E10" i="4"/>
  <c r="E172" i="19" s="1"/>
  <c r="J10" i="4"/>
  <c r="I10" i="4"/>
  <c r="G172" i="19"/>
  <c r="F78" i="4"/>
  <c r="E78" i="4"/>
  <c r="J78" i="4"/>
  <c r="I78" i="4"/>
  <c r="J29" i="4"/>
  <c r="I29" i="4"/>
  <c r="J9" i="4"/>
  <c r="I9" i="4"/>
  <c r="J26" i="4"/>
  <c r="I26" i="4"/>
  <c r="J6" i="4"/>
  <c r="I6" i="4"/>
  <c r="F317" i="47" l="1"/>
  <c r="F15" i="54"/>
  <c r="L10" i="54"/>
  <c r="G73" i="2"/>
  <c r="F73" i="2"/>
  <c r="C593" i="8"/>
  <c r="C597" i="8" s="1"/>
  <c r="E317" i="47"/>
  <c r="G95" i="2"/>
  <c r="F95" i="2"/>
  <c r="F107" i="2"/>
  <c r="E107" i="2"/>
  <c r="F184" i="19"/>
  <c r="F320" i="47" s="1"/>
  <c r="F133" i="2"/>
  <c r="G184" i="19"/>
  <c r="G320" i="47" s="1"/>
  <c r="G133" i="2"/>
  <c r="G162" i="19"/>
  <c r="G131" i="2"/>
  <c r="G368" i="19" s="1"/>
  <c r="F131" i="2"/>
  <c r="F368" i="19" s="1"/>
  <c r="F162" i="19"/>
  <c r="G6" i="42"/>
  <c r="F6" i="42"/>
  <c r="G182" i="19"/>
  <c r="F182" i="19"/>
  <c r="F318" i="47" s="1"/>
  <c r="G115" i="2"/>
  <c r="F115" i="2"/>
  <c r="F13" i="49"/>
  <c r="E73" i="2"/>
  <c r="D73" i="1" s="1"/>
  <c r="E95" i="2"/>
  <c r="D95" i="1" s="1"/>
  <c r="H13" i="49"/>
  <c r="F75" i="2"/>
  <c r="F97" i="2"/>
  <c r="G75" i="2"/>
  <c r="G97" i="2"/>
  <c r="G177" i="19"/>
  <c r="G96" i="2" s="1"/>
  <c r="G173" i="19"/>
  <c r="F173" i="19"/>
  <c r="F74" i="2" s="1"/>
  <c r="F177" i="19"/>
  <c r="F316" i="47" s="1"/>
  <c r="G147" i="19"/>
  <c r="F155" i="19"/>
  <c r="G155" i="19"/>
  <c r="F147" i="19"/>
  <c r="F112" i="2"/>
  <c r="F202" i="19"/>
  <c r="G202" i="19"/>
  <c r="G112" i="2"/>
  <c r="J25" i="4"/>
  <c r="I25" i="4"/>
  <c r="F95" i="1" l="1"/>
  <c r="E95" i="1"/>
  <c r="G95" i="1"/>
  <c r="G73" i="1"/>
  <c r="F73" i="1"/>
  <c r="E73" i="1"/>
  <c r="G384" i="19"/>
  <c r="G286" i="47"/>
  <c r="G246" i="47"/>
  <c r="G426" i="19"/>
  <c r="G430" i="19" s="1"/>
  <c r="G285" i="47" s="1"/>
  <c r="G287" i="47"/>
  <c r="G247" i="47"/>
  <c r="F286" i="47"/>
  <c r="F246" i="47"/>
  <c r="F426" i="19"/>
  <c r="F287" i="47"/>
  <c r="F247" i="47"/>
  <c r="G315" i="47"/>
  <c r="G318" i="47"/>
  <c r="F308" i="47"/>
  <c r="F369" i="19"/>
  <c r="F43" i="11" s="1"/>
  <c r="I202" i="11" s="1"/>
  <c r="G308" i="47"/>
  <c r="G369" i="19"/>
  <c r="G316" i="47"/>
  <c r="F384" i="19"/>
  <c r="F240" i="47"/>
  <c r="F284" i="47"/>
  <c r="G15" i="42"/>
  <c r="N134" i="4" s="1"/>
  <c r="G307" i="47"/>
  <c r="G240" i="47"/>
  <c r="G284" i="47"/>
  <c r="F315" i="47"/>
  <c r="F15" i="42"/>
  <c r="M134" i="4" s="1"/>
  <c r="F307" i="47"/>
  <c r="G43" i="11"/>
  <c r="I203" i="11" s="1"/>
  <c r="G42" i="11"/>
  <c r="H203" i="11" s="1"/>
  <c r="F42" i="11"/>
  <c r="H202" i="11" s="1"/>
  <c r="N95" i="1"/>
  <c r="N73" i="1"/>
  <c r="F430" i="19"/>
  <c r="F285" i="47" s="1"/>
  <c r="F419" i="19"/>
  <c r="F412" i="19"/>
  <c r="G412" i="19"/>
  <c r="G419" i="19"/>
  <c r="G132" i="2"/>
  <c r="F132" i="2"/>
  <c r="J317" i="47"/>
  <c r="F96" i="2"/>
  <c r="G74" i="2"/>
  <c r="G54" i="11" l="1"/>
  <c r="G209" i="11" s="1"/>
  <c r="F54" i="11"/>
  <c r="G208" i="11" s="1"/>
  <c r="G245" i="47"/>
  <c r="F245" i="47"/>
  <c r="F120" i="2"/>
  <c r="G120" i="2"/>
  <c r="F53" i="26"/>
  <c r="F53" i="10"/>
  <c r="G53" i="10"/>
  <c r="G53" i="26"/>
  <c r="J95" i="1"/>
  <c r="J73" i="1"/>
  <c r="C61" i="8" l="1"/>
  <c r="N103" i="8"/>
  <c r="J5" i="4"/>
  <c r="I5" i="4"/>
  <c r="D132" i="8" l="1"/>
  <c r="E132" i="8"/>
  <c r="S82" i="1" s="1"/>
  <c r="P82" i="1" l="1"/>
  <c r="R82" i="1"/>
  <c r="Q82" i="1"/>
  <c r="E86" i="2"/>
  <c r="D86" i="1" s="1"/>
  <c r="E184" i="19"/>
  <c r="E133" i="2"/>
  <c r="E369" i="19" s="1"/>
  <c r="E162" i="19"/>
  <c r="E131" i="2"/>
  <c r="E15" i="42" s="1"/>
  <c r="L134" i="4" s="1"/>
  <c r="E6" i="42"/>
  <c r="E182" i="19"/>
  <c r="E115" i="2"/>
  <c r="E106" i="2"/>
  <c r="D106" i="1" s="1"/>
  <c r="C577" i="8"/>
  <c r="D582" i="8" s="1"/>
  <c r="E75" i="2"/>
  <c r="D75" i="1" s="1"/>
  <c r="E97" i="2"/>
  <c r="D97" i="1" s="1"/>
  <c r="C579" i="8"/>
  <c r="F582" i="8" s="1"/>
  <c r="E173" i="19"/>
  <c r="E177" i="19"/>
  <c r="D64" i="1"/>
  <c r="F14" i="48"/>
  <c r="E147" i="19"/>
  <c r="E155" i="19"/>
  <c r="E112" i="2"/>
  <c r="E202" i="19"/>
  <c r="G97" i="1" l="1"/>
  <c r="F97" i="1"/>
  <c r="E97" i="1"/>
  <c r="F75" i="1"/>
  <c r="E75" i="1"/>
  <c r="G75" i="1"/>
  <c r="E315" i="47"/>
  <c r="J315" i="47" s="1"/>
  <c r="E384" i="19"/>
  <c r="E54" i="11" s="1"/>
  <c r="G207" i="11" s="1"/>
  <c r="E247" i="47"/>
  <c r="J247" i="47" s="1"/>
  <c r="E246" i="47"/>
  <c r="J246" i="47" s="1"/>
  <c r="E287" i="47"/>
  <c r="J287" i="47" s="1"/>
  <c r="E286" i="47"/>
  <c r="J286" i="47" s="1"/>
  <c r="E318" i="47"/>
  <c r="J318" i="47" s="1"/>
  <c r="P12" i="53"/>
  <c r="P10" i="53"/>
  <c r="E368" i="19"/>
  <c r="E42" i="11" s="1"/>
  <c r="H201" i="11" s="1"/>
  <c r="N75" i="1"/>
  <c r="N97" i="1"/>
  <c r="E316" i="47"/>
  <c r="J316" i="47" s="1"/>
  <c r="E426" i="19"/>
  <c r="E430" i="19" s="1"/>
  <c r="E240" i="47"/>
  <c r="J240" i="47" s="1"/>
  <c r="E419" i="19"/>
  <c r="E412" i="19"/>
  <c r="E284" i="47"/>
  <c r="J284" i="47" s="1"/>
  <c r="E132" i="2"/>
  <c r="L11" i="51" s="1"/>
  <c r="E308" i="47"/>
  <c r="J308" i="47" s="1"/>
  <c r="E307" i="47"/>
  <c r="J307" i="47" s="1"/>
  <c r="L13" i="51"/>
  <c r="E320" i="47"/>
  <c r="J320" i="47" s="1"/>
  <c r="F33" i="50"/>
  <c r="C607" i="8"/>
  <c r="C615" i="8" s="1"/>
  <c r="F39" i="50"/>
  <c r="L9" i="49"/>
  <c r="C576" i="8"/>
  <c r="C582" i="8" s="1"/>
  <c r="C578" i="8"/>
  <c r="E582" i="8" s="1"/>
  <c r="N9" i="49"/>
  <c r="F40" i="50"/>
  <c r="C608" i="8"/>
  <c r="D615" i="8" s="1"/>
  <c r="F41" i="50"/>
  <c r="C609" i="8"/>
  <c r="E615" i="8" s="1"/>
  <c r="F15" i="51"/>
  <c r="F11" i="51"/>
  <c r="F18" i="50"/>
  <c r="D107" i="1"/>
  <c r="E74" i="2"/>
  <c r="D74" i="1" s="1"/>
  <c r="E96" i="2"/>
  <c r="D96" i="1" s="1"/>
  <c r="G96" i="1" l="1"/>
  <c r="F96" i="1"/>
  <c r="E96" i="1"/>
  <c r="E74" i="1"/>
  <c r="F74" i="1"/>
  <c r="G74" i="1"/>
  <c r="F26" i="19"/>
  <c r="F82" i="2" s="1"/>
  <c r="G26" i="19"/>
  <c r="G82" i="2" s="1"/>
  <c r="P11" i="53"/>
  <c r="N96" i="1"/>
  <c r="N74" i="1"/>
  <c r="E120" i="2"/>
  <c r="D120" i="1" s="1"/>
  <c r="E245" i="47"/>
  <c r="J245" i="47" s="1"/>
  <c r="E53" i="26"/>
  <c r="E53" i="10"/>
  <c r="E285" i="47"/>
  <c r="J285" i="47" s="1"/>
  <c r="J97" i="1"/>
  <c r="J75" i="1"/>
  <c r="D579" i="8"/>
  <c r="F583" i="8" s="1"/>
  <c r="D577" i="8"/>
  <c r="D583" i="8" s="1"/>
  <c r="E120" i="1" l="1"/>
  <c r="E370" i="19" s="1"/>
  <c r="F120" i="1"/>
  <c r="F370" i="19" s="1"/>
  <c r="F44" i="11" s="1"/>
  <c r="J202" i="11" s="1"/>
  <c r="G120" i="1"/>
  <c r="G370" i="19" s="1"/>
  <c r="G44" i="11" s="1"/>
  <c r="J203" i="11" s="1"/>
  <c r="P15" i="53"/>
  <c r="N120" i="1"/>
  <c r="D576" i="8"/>
  <c r="C583" i="8" s="1"/>
  <c r="L11" i="49"/>
  <c r="D578" i="8"/>
  <c r="E583" i="8" s="1"/>
  <c r="N11" i="49"/>
  <c r="J96" i="1"/>
  <c r="J74" i="1"/>
  <c r="D248" i="2"/>
  <c r="J120" i="1" l="1"/>
  <c r="E44" i="11"/>
  <c r="J201" i="11" s="1"/>
  <c r="E235" i="8"/>
  <c r="E219" i="8"/>
  <c r="E172" i="8"/>
  <c r="E174" i="8"/>
  <c r="E177" i="8"/>
  <c r="E179" i="8"/>
  <c r="E161" i="8"/>
  <c r="E168" i="8" s="1"/>
  <c r="E33" i="26"/>
  <c r="E96" i="26"/>
  <c r="D111" i="26" s="1"/>
  <c r="F117" i="26"/>
  <c r="G117" i="26"/>
  <c r="E34" i="10"/>
  <c r="E35" i="10" s="1"/>
  <c r="E90" i="26"/>
  <c r="D105" i="26" s="1"/>
  <c r="E91" i="26"/>
  <c r="D106" i="26" s="1"/>
  <c r="E92" i="26"/>
  <c r="D107" i="26" s="1"/>
  <c r="E93" i="26"/>
  <c r="D108" i="26" s="1"/>
  <c r="E94" i="26"/>
  <c r="D109" i="26" s="1"/>
  <c r="E97" i="26"/>
  <c r="D112" i="26" s="1"/>
  <c r="E98" i="26"/>
  <c r="D113" i="26" s="1"/>
  <c r="E95" i="26"/>
  <c r="D110" i="26" s="1"/>
  <c r="E58" i="26"/>
  <c r="E59" i="26" s="1"/>
  <c r="F58" i="26"/>
  <c r="F59" i="26" s="1"/>
  <c r="G58" i="26"/>
  <c r="G59" i="26" s="1"/>
  <c r="C5" i="8"/>
  <c r="C8" i="8"/>
  <c r="C7" i="8"/>
  <c r="C9" i="8"/>
  <c r="C6" i="8"/>
  <c r="E90" i="10"/>
  <c r="D105" i="10" s="1"/>
  <c r="E91" i="10"/>
  <c r="D106" i="10" s="1"/>
  <c r="E92" i="10"/>
  <c r="D107" i="10" s="1"/>
  <c r="E93" i="10"/>
  <c r="D108" i="10" s="1"/>
  <c r="E94" i="10"/>
  <c r="D109" i="10" s="1"/>
  <c r="E97" i="10"/>
  <c r="D112" i="10" s="1"/>
  <c r="E98" i="10"/>
  <c r="D113" i="10" s="1"/>
  <c r="E95" i="10"/>
  <c r="D110" i="10" s="1"/>
  <c r="E58" i="10"/>
  <c r="E59" i="10" s="1"/>
  <c r="F58" i="10"/>
  <c r="F59" i="10" s="1"/>
  <c r="G58" i="10"/>
  <c r="G59" i="10" s="1"/>
  <c r="F219" i="8"/>
  <c r="F226" i="8" s="1"/>
  <c r="E103" i="8"/>
  <c r="F103" i="8"/>
  <c r="F106" i="8" s="1"/>
  <c r="F13" i="10" s="1"/>
  <c r="F161" i="8"/>
  <c r="F132" i="8"/>
  <c r="C90" i="10"/>
  <c r="C105" i="10" s="1"/>
  <c r="C93" i="10"/>
  <c r="C108" i="10" s="1"/>
  <c r="C96" i="10"/>
  <c r="C111" i="10" s="1"/>
  <c r="C92" i="10"/>
  <c r="C107" i="10" s="1"/>
  <c r="C94" i="10"/>
  <c r="C109" i="10" s="1"/>
  <c r="C91" i="10"/>
  <c r="C106" i="10" s="1"/>
  <c r="H219" i="8"/>
  <c r="H220" i="8" s="1"/>
  <c r="H161" i="8"/>
  <c r="H15" i="26"/>
  <c r="H14" i="26"/>
  <c r="H13" i="26"/>
  <c r="H12" i="26"/>
  <c r="H132" i="8"/>
  <c r="H139" i="8" s="1"/>
  <c r="H103" i="8"/>
  <c r="H11" i="10" s="1"/>
  <c r="H32" i="10"/>
  <c r="H32" i="26"/>
  <c r="E129" i="26"/>
  <c r="E130" i="26"/>
  <c r="E131" i="26"/>
  <c r="E132" i="26"/>
  <c r="H129" i="26"/>
  <c r="H130" i="26"/>
  <c r="H131" i="26"/>
  <c r="H132" i="26"/>
  <c r="F129" i="26"/>
  <c r="F130" i="26"/>
  <c r="F131" i="26"/>
  <c r="F132" i="26"/>
  <c r="G129" i="26"/>
  <c r="G130" i="26"/>
  <c r="G131" i="26"/>
  <c r="G132" i="26"/>
  <c r="E41" i="2"/>
  <c r="I24" i="14" s="1"/>
  <c r="O24" i="14" s="1"/>
  <c r="E198" i="6"/>
  <c r="E210" i="6"/>
  <c r="E242" i="2" s="1"/>
  <c r="G183" i="19"/>
  <c r="G151" i="6"/>
  <c r="G231" i="2" s="1"/>
  <c r="G155" i="6"/>
  <c r="G233" i="2" s="1"/>
  <c r="G208" i="6"/>
  <c r="C13" i="8"/>
  <c r="C12" i="8"/>
  <c r="B269" i="19" s="1"/>
  <c r="C11" i="8"/>
  <c r="B54" i="4" s="1"/>
  <c r="C21" i="8"/>
  <c r="E81" i="4"/>
  <c r="E19" i="1" s="1"/>
  <c r="E24" i="1" s="1"/>
  <c r="E84" i="4"/>
  <c r="E80" i="4"/>
  <c r="E120" i="4"/>
  <c r="E151" i="6" s="1"/>
  <c r="E231" i="2" s="1"/>
  <c r="D231" i="1" s="1"/>
  <c r="E122" i="4"/>
  <c r="E121" i="4"/>
  <c r="E155" i="6" s="1"/>
  <c r="E233" i="2" s="1"/>
  <c r="D233" i="1" s="1"/>
  <c r="E127" i="4"/>
  <c r="E36" i="2" s="1"/>
  <c r="E179" i="6" s="1"/>
  <c r="F58" i="4"/>
  <c r="F81" i="4"/>
  <c r="F19" i="1" s="1"/>
  <c r="F24" i="1" s="1"/>
  <c r="F84" i="4"/>
  <c r="E58" i="4"/>
  <c r="E63" i="4"/>
  <c r="E65" i="4"/>
  <c r="F153" i="4"/>
  <c r="F151" i="4"/>
  <c r="F132" i="4"/>
  <c r="F131" i="4"/>
  <c r="F130" i="4"/>
  <c r="F128" i="4"/>
  <c r="F208" i="6" s="1"/>
  <c r="F127" i="4"/>
  <c r="F126" i="4"/>
  <c r="F124" i="4"/>
  <c r="F123" i="4"/>
  <c r="F122" i="4"/>
  <c r="F121" i="4"/>
  <c r="F155" i="6" s="1"/>
  <c r="F233" i="2" s="1"/>
  <c r="F120" i="4"/>
  <c r="F151" i="6" s="1"/>
  <c r="F231" i="2" s="1"/>
  <c r="F87" i="4"/>
  <c r="F86" i="4"/>
  <c r="F85" i="4"/>
  <c r="F82" i="4"/>
  <c r="F80" i="4"/>
  <c r="F74" i="4"/>
  <c r="F73" i="4"/>
  <c r="F72" i="4"/>
  <c r="F71" i="4"/>
  <c r="F69" i="4"/>
  <c r="F67" i="4"/>
  <c r="F66" i="4"/>
  <c r="F65" i="4"/>
  <c r="F64" i="4"/>
  <c r="F63" i="4"/>
  <c r="F61" i="4"/>
  <c r="F56" i="4"/>
  <c r="F55" i="4"/>
  <c r="F54" i="4"/>
  <c r="F53" i="4"/>
  <c r="F52" i="4"/>
  <c r="F50" i="4"/>
  <c r="F108" i="4"/>
  <c r="E153" i="4"/>
  <c r="E151" i="4"/>
  <c r="E132" i="4"/>
  <c r="E131" i="4"/>
  <c r="E130" i="4"/>
  <c r="E128" i="4"/>
  <c r="E208" i="6" s="1"/>
  <c r="E126" i="4"/>
  <c r="E124" i="4"/>
  <c r="E123" i="4"/>
  <c r="E87" i="4"/>
  <c r="E86" i="4"/>
  <c r="E85" i="4"/>
  <c r="E82" i="4"/>
  <c r="E74" i="4"/>
  <c r="E73" i="4"/>
  <c r="E72" i="4"/>
  <c r="E71" i="4"/>
  <c r="E69" i="4"/>
  <c r="E67" i="4"/>
  <c r="E66" i="4"/>
  <c r="E64" i="4"/>
  <c r="E61" i="4"/>
  <c r="E56" i="4"/>
  <c r="E55" i="4"/>
  <c r="E54" i="4"/>
  <c r="E53" i="4"/>
  <c r="E52" i="4"/>
  <c r="E50" i="4"/>
  <c r="E108" i="4"/>
  <c r="G219" i="8"/>
  <c r="G226" i="8" s="1"/>
  <c r="G161" i="8"/>
  <c r="G132" i="8"/>
  <c r="G103" i="8"/>
  <c r="G11" i="10" s="1"/>
  <c r="J219" i="8"/>
  <c r="J226" i="8" s="1"/>
  <c r="I219" i="8"/>
  <c r="I220" i="8" s="1"/>
  <c r="D219" i="8"/>
  <c r="D226" i="8" s="1"/>
  <c r="C219" i="8"/>
  <c r="J161" i="8"/>
  <c r="J168" i="8" s="1"/>
  <c r="I161" i="8"/>
  <c r="I168" i="8" s="1"/>
  <c r="D161" i="8"/>
  <c r="D162" i="8" s="1"/>
  <c r="C161" i="8"/>
  <c r="J160" i="4"/>
  <c r="I160" i="4"/>
  <c r="J7" i="12"/>
  <c r="J8" i="12"/>
  <c r="J6" i="12"/>
  <c r="J9" i="12"/>
  <c r="J10" i="12"/>
  <c r="J11" i="12"/>
  <c r="J16" i="12"/>
  <c r="J14" i="12"/>
  <c r="J17" i="12"/>
  <c r="J18" i="12"/>
  <c r="J19" i="12"/>
  <c r="J23" i="12"/>
  <c r="J25" i="12" s="1"/>
  <c r="J24" i="12"/>
  <c r="J27" i="12"/>
  <c r="J28" i="12"/>
  <c r="J29" i="12"/>
  <c r="J35" i="12"/>
  <c r="J43" i="12" s="1"/>
  <c r="J36" i="12"/>
  <c r="J44" i="12" s="1"/>
  <c r="J34" i="12"/>
  <c r="J37" i="12"/>
  <c r="J38" i="12"/>
  <c r="J46" i="12" s="1"/>
  <c r="J39" i="12"/>
  <c r="J47" i="12" s="1"/>
  <c r="J42" i="12"/>
  <c r="B188" i="10"/>
  <c r="B189" i="10"/>
  <c r="B190" i="10"/>
  <c r="B191" i="10"/>
  <c r="B192" i="10"/>
  <c r="B193" i="10"/>
  <c r="B194" i="10"/>
  <c r="D11" i="26"/>
  <c r="D12" i="26"/>
  <c r="E12" i="26"/>
  <c r="F12" i="26"/>
  <c r="G12" i="26"/>
  <c r="D13" i="26"/>
  <c r="E13" i="26"/>
  <c r="F13" i="26"/>
  <c r="G13" i="26"/>
  <c r="D14" i="26"/>
  <c r="E14" i="26"/>
  <c r="F14" i="26"/>
  <c r="G14" i="26"/>
  <c r="D15" i="26"/>
  <c r="E15" i="26"/>
  <c r="F15" i="26"/>
  <c r="G15" i="26"/>
  <c r="C19" i="26"/>
  <c r="C20" i="26"/>
  <c r="C21" i="26"/>
  <c r="C22" i="26"/>
  <c r="H30" i="26"/>
  <c r="C33" i="26"/>
  <c r="C285" i="26" s="1"/>
  <c r="C37" i="26"/>
  <c r="C286" i="26" s="1"/>
  <c r="D37" i="26"/>
  <c r="C41" i="26"/>
  <c r="C287" i="26" s="1"/>
  <c r="D41" i="26"/>
  <c r="C45" i="26"/>
  <c r="C288" i="26" s="1"/>
  <c r="D45" i="26"/>
  <c r="C49" i="26"/>
  <c r="C289" i="26" s="1"/>
  <c r="D49" i="26"/>
  <c r="C53" i="26"/>
  <c r="C290" i="26" s="1"/>
  <c r="D53" i="26"/>
  <c r="C57" i="26"/>
  <c r="C291" i="26" s="1"/>
  <c r="D57" i="26"/>
  <c r="C61" i="26"/>
  <c r="C292" i="26" s="1"/>
  <c r="D61" i="26"/>
  <c r="C65" i="26"/>
  <c r="C293" i="26" s="1"/>
  <c r="D65" i="26"/>
  <c r="C69" i="26"/>
  <c r="C294" i="26" s="1"/>
  <c r="D69" i="26"/>
  <c r="C89" i="26"/>
  <c r="C104" i="26" s="1"/>
  <c r="F89" i="26"/>
  <c r="G89" i="26"/>
  <c r="C90" i="26"/>
  <c r="C105" i="26" s="1"/>
  <c r="F90" i="26"/>
  <c r="G90" i="26"/>
  <c r="C91" i="26"/>
  <c r="C106" i="26" s="1"/>
  <c r="F91" i="26"/>
  <c r="G91" i="26"/>
  <c r="C92" i="26"/>
  <c r="C107" i="26" s="1"/>
  <c r="F92" i="26"/>
  <c r="G92" i="26"/>
  <c r="C93" i="26"/>
  <c r="C108" i="26" s="1"/>
  <c r="F93" i="26"/>
  <c r="G93" i="26"/>
  <c r="C94" i="26"/>
  <c r="C109" i="26" s="1"/>
  <c r="F94" i="26"/>
  <c r="G94" i="26"/>
  <c r="C95" i="26"/>
  <c r="C110" i="26" s="1"/>
  <c r="F95" i="26"/>
  <c r="G95" i="26"/>
  <c r="C96" i="26"/>
  <c r="C111" i="26" s="1"/>
  <c r="F96" i="26"/>
  <c r="G96" i="26"/>
  <c r="C97" i="26"/>
  <c r="C112" i="26" s="1"/>
  <c r="F97" i="26"/>
  <c r="G97" i="26"/>
  <c r="C98" i="26"/>
  <c r="C113" i="26" s="1"/>
  <c r="F98" i="26"/>
  <c r="G98" i="26"/>
  <c r="C282" i="26"/>
  <c r="C283" i="26"/>
  <c r="C284" i="26"/>
  <c r="D285" i="26"/>
  <c r="D286" i="26"/>
  <c r="D287" i="26"/>
  <c r="D288" i="26"/>
  <c r="D289" i="26"/>
  <c r="D290" i="26"/>
  <c r="D291" i="26"/>
  <c r="D292" i="26"/>
  <c r="D293" i="26"/>
  <c r="D294" i="26"/>
  <c r="C295" i="26"/>
  <c r="D295" i="26"/>
  <c r="C296" i="26"/>
  <c r="C297" i="26"/>
  <c r="C298" i="26"/>
  <c r="C300" i="26"/>
  <c r="C301" i="26"/>
  <c r="C302" i="26"/>
  <c r="C303" i="26"/>
  <c r="D303" i="26"/>
  <c r="E303" i="26"/>
  <c r="F303" i="26"/>
  <c r="G303" i="26"/>
  <c r="D304" i="26"/>
  <c r="D305" i="26"/>
  <c r="D306" i="26"/>
  <c r="D307" i="26"/>
  <c r="B305" i="26" s="1"/>
  <c r="D308" i="26"/>
  <c r="D309" i="26"/>
  <c r="D310" i="26"/>
  <c r="B310" i="26"/>
  <c r="D311" i="26"/>
  <c r="D312" i="26"/>
  <c r="C304" i="26"/>
  <c r="E304" i="26"/>
  <c r="F304" i="26"/>
  <c r="G304" i="26"/>
  <c r="C305" i="26"/>
  <c r="E305" i="26"/>
  <c r="F305" i="26"/>
  <c r="G305" i="26"/>
  <c r="C306" i="26"/>
  <c r="E306" i="26"/>
  <c r="F306" i="26"/>
  <c r="G306" i="26"/>
  <c r="C307" i="26"/>
  <c r="E307" i="26"/>
  <c r="F307" i="26"/>
  <c r="G307" i="26"/>
  <c r="C308" i="26"/>
  <c r="E308" i="26"/>
  <c r="F308" i="26"/>
  <c r="G308" i="26"/>
  <c r="C309" i="26"/>
  <c r="E309" i="26"/>
  <c r="F309" i="26"/>
  <c r="G309" i="26"/>
  <c r="C310" i="26"/>
  <c r="E310" i="26"/>
  <c r="F310" i="26"/>
  <c r="G310" i="26"/>
  <c r="C311" i="26"/>
  <c r="E311" i="26"/>
  <c r="F311" i="26"/>
  <c r="G311" i="26"/>
  <c r="C312" i="26"/>
  <c r="E312" i="26"/>
  <c r="F312" i="26"/>
  <c r="G312" i="26"/>
  <c r="C313" i="26"/>
  <c r="D313" i="26"/>
  <c r="E313" i="26"/>
  <c r="F313" i="26"/>
  <c r="G313" i="26"/>
  <c r="C314" i="26"/>
  <c r="C315" i="26"/>
  <c r="C316" i="26"/>
  <c r="C318" i="26"/>
  <c r="C319" i="26"/>
  <c r="C320" i="26"/>
  <c r="C321" i="26"/>
  <c r="D321" i="26"/>
  <c r="E321" i="26"/>
  <c r="F321" i="26"/>
  <c r="G321" i="26"/>
  <c r="C322" i="26"/>
  <c r="D322" i="26"/>
  <c r="E322" i="26"/>
  <c r="F322" i="26"/>
  <c r="G322" i="26"/>
  <c r="C323" i="26"/>
  <c r="D323" i="26"/>
  <c r="E323" i="26"/>
  <c r="F323" i="26"/>
  <c r="G323" i="26"/>
  <c r="C324" i="26"/>
  <c r="D324" i="26"/>
  <c r="E324" i="26"/>
  <c r="F324" i="26"/>
  <c r="G324" i="26"/>
  <c r="C325" i="26"/>
  <c r="D325" i="26"/>
  <c r="E325" i="26"/>
  <c r="F325" i="26"/>
  <c r="G325" i="26"/>
  <c r="C326" i="26"/>
  <c r="D326" i="26"/>
  <c r="E326" i="26"/>
  <c r="F326" i="26"/>
  <c r="G326" i="26"/>
  <c r="C327" i="26"/>
  <c r="D327" i="26"/>
  <c r="E327" i="26"/>
  <c r="F327" i="26"/>
  <c r="G327" i="26"/>
  <c r="C328" i="26"/>
  <c r="D328" i="26"/>
  <c r="E328" i="26"/>
  <c r="F328" i="26"/>
  <c r="G328" i="26"/>
  <c r="C329" i="26"/>
  <c r="D329" i="26"/>
  <c r="E329" i="26"/>
  <c r="F329" i="26"/>
  <c r="G329" i="26"/>
  <c r="C330" i="26"/>
  <c r="D330" i="26"/>
  <c r="E330" i="26"/>
  <c r="F330" i="26"/>
  <c r="G330" i="26"/>
  <c r="C331" i="26"/>
  <c r="D331" i="26"/>
  <c r="E331" i="26"/>
  <c r="F331" i="26"/>
  <c r="G331" i="26"/>
  <c r="C332" i="26"/>
  <c r="C333" i="26"/>
  <c r="C334" i="26"/>
  <c r="C336" i="26"/>
  <c r="C337" i="26"/>
  <c r="C338" i="26"/>
  <c r="C339" i="26"/>
  <c r="D339" i="26"/>
  <c r="E339" i="26"/>
  <c r="F339" i="26"/>
  <c r="G339" i="26"/>
  <c r="D340" i="26"/>
  <c r="D341" i="26"/>
  <c r="D342" i="26"/>
  <c r="D343" i="26"/>
  <c r="D344" i="26"/>
  <c r="D345" i="26"/>
  <c r="D346" i="26"/>
  <c r="D347" i="26"/>
  <c r="D348" i="26"/>
  <c r="C340" i="26"/>
  <c r="E340" i="26"/>
  <c r="F340" i="26"/>
  <c r="G340" i="26"/>
  <c r="C341" i="26"/>
  <c r="E341" i="26"/>
  <c r="F341" i="26"/>
  <c r="G341" i="26"/>
  <c r="C342" i="26"/>
  <c r="E342" i="26"/>
  <c r="F342" i="26"/>
  <c r="G342" i="26"/>
  <c r="C343" i="26"/>
  <c r="E343" i="26"/>
  <c r="F343" i="26"/>
  <c r="G343" i="26"/>
  <c r="C344" i="26"/>
  <c r="E344" i="26"/>
  <c r="F344" i="26"/>
  <c r="G344" i="26"/>
  <c r="C345" i="26"/>
  <c r="E345" i="26"/>
  <c r="F345" i="26"/>
  <c r="G345" i="26"/>
  <c r="C346" i="26"/>
  <c r="E346" i="26"/>
  <c r="F346" i="26"/>
  <c r="G346" i="26"/>
  <c r="C347" i="26"/>
  <c r="E347" i="26"/>
  <c r="F347" i="26"/>
  <c r="G347" i="26"/>
  <c r="C348" i="26"/>
  <c r="E348" i="26"/>
  <c r="F348" i="26"/>
  <c r="G348" i="26"/>
  <c r="C349" i="26"/>
  <c r="D349" i="26"/>
  <c r="E349" i="26"/>
  <c r="F349" i="26"/>
  <c r="G349" i="26"/>
  <c r="C350" i="26"/>
  <c r="C351" i="26"/>
  <c r="C352" i="26"/>
  <c r="C354" i="26"/>
  <c r="C355" i="26"/>
  <c r="C356" i="26"/>
  <c r="C357" i="26"/>
  <c r="D357" i="26"/>
  <c r="E357" i="26"/>
  <c r="F357" i="26"/>
  <c r="G357" i="26"/>
  <c r="D358" i="26"/>
  <c r="D359" i="26"/>
  <c r="D360" i="26"/>
  <c r="D361" i="26"/>
  <c r="D362" i="26"/>
  <c r="D363" i="26"/>
  <c r="D364" i="26"/>
  <c r="D365" i="26"/>
  <c r="D366" i="26"/>
  <c r="C358" i="26"/>
  <c r="E358" i="26"/>
  <c r="F358" i="26"/>
  <c r="G358" i="26"/>
  <c r="C359" i="26"/>
  <c r="E359" i="26"/>
  <c r="F359" i="26"/>
  <c r="G359" i="26"/>
  <c r="C360" i="26"/>
  <c r="E360" i="26"/>
  <c r="F360" i="26"/>
  <c r="G360" i="26"/>
  <c r="C361" i="26"/>
  <c r="E361" i="26"/>
  <c r="F361" i="26"/>
  <c r="G361" i="26"/>
  <c r="C362" i="26"/>
  <c r="E362" i="26"/>
  <c r="F362" i="26"/>
  <c r="G362" i="26"/>
  <c r="C363" i="26"/>
  <c r="E363" i="26"/>
  <c r="F363" i="26"/>
  <c r="G363" i="26"/>
  <c r="C364" i="26"/>
  <c r="E364" i="26"/>
  <c r="F364" i="26"/>
  <c r="G364" i="26"/>
  <c r="C365" i="26"/>
  <c r="E365" i="26"/>
  <c r="F365" i="26"/>
  <c r="G365" i="26"/>
  <c r="C366" i="26"/>
  <c r="E366" i="26"/>
  <c r="F366" i="26"/>
  <c r="G366" i="26"/>
  <c r="C367" i="26"/>
  <c r="D367" i="26"/>
  <c r="E367" i="26"/>
  <c r="F367" i="26"/>
  <c r="G367" i="26"/>
  <c r="C368" i="26"/>
  <c r="C369" i="26"/>
  <c r="C370" i="26"/>
  <c r="D103" i="8"/>
  <c r="C19" i="10"/>
  <c r="C20" i="10"/>
  <c r="C21" i="10"/>
  <c r="C22" i="10"/>
  <c r="H30" i="10"/>
  <c r="C33" i="10"/>
  <c r="C277" i="10" s="1"/>
  <c r="C37" i="10"/>
  <c r="C278" i="10" s="1"/>
  <c r="D37" i="10"/>
  <c r="C41" i="10"/>
  <c r="C279" i="10" s="1"/>
  <c r="D41" i="10"/>
  <c r="C45" i="10"/>
  <c r="C280" i="10" s="1"/>
  <c r="D45" i="10"/>
  <c r="C49" i="10"/>
  <c r="C281" i="10" s="1"/>
  <c r="D49" i="10"/>
  <c r="C53" i="10"/>
  <c r="C282" i="10" s="1"/>
  <c r="D53" i="10"/>
  <c r="C57" i="10"/>
  <c r="C283" i="10" s="1"/>
  <c r="D57" i="10"/>
  <c r="C61" i="10"/>
  <c r="C284" i="10" s="1"/>
  <c r="C65" i="10"/>
  <c r="C285" i="10" s="1"/>
  <c r="D65" i="10"/>
  <c r="C69" i="10"/>
  <c r="C286" i="10" s="1"/>
  <c r="D69" i="10"/>
  <c r="C89" i="10"/>
  <c r="C104" i="10" s="1"/>
  <c r="F89" i="10"/>
  <c r="G89" i="10"/>
  <c r="F90" i="10"/>
  <c r="G90" i="10"/>
  <c r="F91" i="10"/>
  <c r="G91" i="10"/>
  <c r="F92" i="10"/>
  <c r="G92" i="10"/>
  <c r="F93" i="10"/>
  <c r="G93" i="10"/>
  <c r="F94" i="10"/>
  <c r="G94" i="10"/>
  <c r="C95" i="10"/>
  <c r="C110" i="10" s="1"/>
  <c r="F95" i="10"/>
  <c r="G95" i="10"/>
  <c r="F96" i="10"/>
  <c r="G96" i="10"/>
  <c r="C97" i="10"/>
  <c r="C112" i="10" s="1"/>
  <c r="F97" i="10"/>
  <c r="G97" i="10"/>
  <c r="C98" i="10"/>
  <c r="C113" i="10" s="1"/>
  <c r="F98" i="10"/>
  <c r="G98" i="10"/>
  <c r="B195" i="10"/>
  <c r="C274" i="10"/>
  <c r="C275" i="10"/>
  <c r="C276" i="10"/>
  <c r="D277" i="10"/>
  <c r="D278" i="10"/>
  <c r="D279" i="10"/>
  <c r="D280" i="10"/>
  <c r="D281" i="10"/>
  <c r="D282" i="10"/>
  <c r="D283" i="10"/>
  <c r="D284" i="10"/>
  <c r="D285" i="10"/>
  <c r="D286" i="10"/>
  <c r="C287" i="10"/>
  <c r="D287" i="10"/>
  <c r="C288" i="10"/>
  <c r="C289" i="10"/>
  <c r="C290" i="10"/>
  <c r="C292" i="10"/>
  <c r="C293" i="10"/>
  <c r="C294" i="10"/>
  <c r="C295" i="10"/>
  <c r="D295" i="10"/>
  <c r="E295" i="10"/>
  <c r="F295" i="10"/>
  <c r="G295" i="10"/>
  <c r="D296" i="10"/>
  <c r="D297" i="10"/>
  <c r="D298" i="10"/>
  <c r="D299" i="10"/>
  <c r="D300" i="10"/>
  <c r="D301" i="10"/>
  <c r="D302" i="10"/>
  <c r="D303" i="10"/>
  <c r="D304" i="10"/>
  <c r="C296" i="10"/>
  <c r="E296" i="10"/>
  <c r="F296" i="10"/>
  <c r="G296" i="10"/>
  <c r="C297" i="10"/>
  <c r="E297" i="10"/>
  <c r="F297" i="10"/>
  <c r="G297" i="10"/>
  <c r="C298" i="10"/>
  <c r="E298" i="10"/>
  <c r="F298" i="10"/>
  <c r="G298" i="10"/>
  <c r="C299" i="10"/>
  <c r="E299" i="10"/>
  <c r="F299" i="10"/>
  <c r="G299" i="10"/>
  <c r="C300" i="10"/>
  <c r="E300" i="10"/>
  <c r="F300" i="10"/>
  <c r="G300" i="10"/>
  <c r="C301" i="10"/>
  <c r="E301" i="10"/>
  <c r="F301" i="10"/>
  <c r="G301" i="10"/>
  <c r="C302" i="10"/>
  <c r="E302" i="10"/>
  <c r="F302" i="10"/>
  <c r="G302" i="10"/>
  <c r="C303" i="10"/>
  <c r="E303" i="10"/>
  <c r="F303" i="10"/>
  <c r="G303" i="10"/>
  <c r="C304" i="10"/>
  <c r="E304" i="10"/>
  <c r="F304" i="10"/>
  <c r="G304" i="10"/>
  <c r="C305" i="10"/>
  <c r="D305" i="10"/>
  <c r="E305" i="10"/>
  <c r="F305" i="10"/>
  <c r="G305" i="10"/>
  <c r="C306" i="10"/>
  <c r="C307" i="10"/>
  <c r="C308" i="10"/>
  <c r="C310" i="10"/>
  <c r="C311" i="10"/>
  <c r="C312" i="10"/>
  <c r="C313" i="10"/>
  <c r="D313" i="10"/>
  <c r="E313" i="10"/>
  <c r="F313" i="10"/>
  <c r="G313" i="10"/>
  <c r="C314" i="10"/>
  <c r="D314" i="10"/>
  <c r="E314" i="10"/>
  <c r="F314" i="10"/>
  <c r="G314" i="10"/>
  <c r="C315" i="10"/>
  <c r="D315" i="10"/>
  <c r="E315" i="10"/>
  <c r="F315" i="10"/>
  <c r="G315" i="10"/>
  <c r="C316" i="10"/>
  <c r="D316" i="10"/>
  <c r="E316" i="10"/>
  <c r="F316" i="10"/>
  <c r="G316" i="10"/>
  <c r="C317" i="10"/>
  <c r="D317" i="10"/>
  <c r="E317" i="10"/>
  <c r="F317" i="10"/>
  <c r="G317" i="10"/>
  <c r="C318" i="10"/>
  <c r="D318" i="10"/>
  <c r="E318" i="10"/>
  <c r="F318" i="10"/>
  <c r="G318" i="10"/>
  <c r="C319" i="10"/>
  <c r="D319" i="10"/>
  <c r="E319" i="10"/>
  <c r="F319" i="10"/>
  <c r="G319" i="10"/>
  <c r="C320" i="10"/>
  <c r="D320" i="10"/>
  <c r="E320" i="10"/>
  <c r="F320" i="10"/>
  <c r="G320" i="10"/>
  <c r="C321" i="10"/>
  <c r="D321" i="10"/>
  <c r="E321" i="10"/>
  <c r="F321" i="10"/>
  <c r="G321" i="10"/>
  <c r="C322" i="10"/>
  <c r="D322" i="10"/>
  <c r="E322" i="10"/>
  <c r="F322" i="10"/>
  <c r="G322" i="10"/>
  <c r="C323" i="10"/>
  <c r="D323" i="10"/>
  <c r="E323" i="10"/>
  <c r="F323" i="10"/>
  <c r="G323" i="10"/>
  <c r="C324" i="10"/>
  <c r="C325" i="10"/>
  <c r="C326" i="10"/>
  <c r="C328" i="10"/>
  <c r="C329" i="10"/>
  <c r="C330" i="10"/>
  <c r="C331" i="10"/>
  <c r="D331" i="10"/>
  <c r="E331" i="10"/>
  <c r="F331" i="10"/>
  <c r="G331" i="10"/>
  <c r="D332" i="10"/>
  <c r="D333" i="10"/>
  <c r="D334" i="10"/>
  <c r="D335" i="10"/>
  <c r="D336" i="10"/>
  <c r="D337" i="10"/>
  <c r="D338" i="10"/>
  <c r="D339" i="10"/>
  <c r="B339" i="10" s="1"/>
  <c r="D340" i="10"/>
  <c r="C332" i="10"/>
  <c r="E332" i="10"/>
  <c r="F332" i="10"/>
  <c r="G332" i="10"/>
  <c r="C333" i="10"/>
  <c r="E333" i="10"/>
  <c r="F333" i="10"/>
  <c r="G333" i="10"/>
  <c r="C334" i="10"/>
  <c r="E334" i="10"/>
  <c r="F334" i="10"/>
  <c r="G334" i="10"/>
  <c r="C335" i="10"/>
  <c r="E335" i="10"/>
  <c r="F335" i="10"/>
  <c r="G335" i="10"/>
  <c r="C336" i="10"/>
  <c r="E336" i="10"/>
  <c r="F336" i="10"/>
  <c r="G336" i="10"/>
  <c r="C337" i="10"/>
  <c r="E337" i="10"/>
  <c r="F337" i="10"/>
  <c r="G337" i="10"/>
  <c r="C338" i="10"/>
  <c r="E338" i="10"/>
  <c r="F338" i="10"/>
  <c r="G338" i="10"/>
  <c r="C339" i="10"/>
  <c r="E339" i="10"/>
  <c r="F339" i="10"/>
  <c r="G339" i="10"/>
  <c r="C340" i="10"/>
  <c r="E340" i="10"/>
  <c r="F340" i="10"/>
  <c r="G340" i="10"/>
  <c r="C341" i="10"/>
  <c r="D341" i="10"/>
  <c r="E341" i="10"/>
  <c r="F341" i="10"/>
  <c r="G341" i="10"/>
  <c r="C342" i="10"/>
  <c r="C343" i="10"/>
  <c r="C344" i="10"/>
  <c r="C346" i="10"/>
  <c r="C347" i="10"/>
  <c r="C348" i="10"/>
  <c r="C349" i="10"/>
  <c r="D349" i="10"/>
  <c r="E349" i="10"/>
  <c r="F349" i="10"/>
  <c r="G349" i="10"/>
  <c r="D350" i="10"/>
  <c r="D351" i="10"/>
  <c r="D352" i="10"/>
  <c r="D353" i="10"/>
  <c r="D354" i="10"/>
  <c r="D355" i="10"/>
  <c r="D356" i="10"/>
  <c r="D357" i="10"/>
  <c r="D358" i="10"/>
  <c r="C350" i="10"/>
  <c r="E350" i="10"/>
  <c r="F350" i="10"/>
  <c r="G350" i="10"/>
  <c r="C351" i="10"/>
  <c r="E351" i="10"/>
  <c r="F351" i="10"/>
  <c r="G351" i="10"/>
  <c r="C352" i="10"/>
  <c r="E352" i="10"/>
  <c r="F352" i="10"/>
  <c r="G352" i="10"/>
  <c r="C353" i="10"/>
  <c r="E353" i="10"/>
  <c r="F353" i="10"/>
  <c r="G353" i="10"/>
  <c r="C354" i="10"/>
  <c r="E354" i="10"/>
  <c r="F354" i="10"/>
  <c r="G354" i="10"/>
  <c r="C355" i="10"/>
  <c r="E355" i="10"/>
  <c r="F355" i="10"/>
  <c r="G355" i="10"/>
  <c r="C356" i="10"/>
  <c r="E356" i="10"/>
  <c r="F356" i="10"/>
  <c r="G356" i="10"/>
  <c r="C357" i="10"/>
  <c r="E357" i="10"/>
  <c r="F357" i="10"/>
  <c r="G357" i="10"/>
  <c r="C358" i="10"/>
  <c r="E358" i="10"/>
  <c r="F358" i="10"/>
  <c r="G358" i="10"/>
  <c r="C359" i="10"/>
  <c r="D359" i="10"/>
  <c r="E359" i="10"/>
  <c r="F359" i="10"/>
  <c r="G359" i="10"/>
  <c r="C360" i="10"/>
  <c r="C361" i="10"/>
  <c r="C362" i="10"/>
  <c r="E5" i="8"/>
  <c r="E6" i="8"/>
  <c r="E7" i="8"/>
  <c r="E8" i="8"/>
  <c r="E9" i="8"/>
  <c r="C10" i="8"/>
  <c r="E10" i="8"/>
  <c r="E11" i="8"/>
  <c r="E12" i="8"/>
  <c r="E13" i="8"/>
  <c r="C14" i="8"/>
  <c r="E14" i="8"/>
  <c r="C15" i="8"/>
  <c r="E15" i="8"/>
  <c r="C16" i="8"/>
  <c r="E16" i="8"/>
  <c r="C17" i="8"/>
  <c r="E17" i="8"/>
  <c r="C18" i="8"/>
  <c r="E18" i="8"/>
  <c r="C19" i="8"/>
  <c r="E19" i="8"/>
  <c r="C20" i="8"/>
  <c r="E20" i="8"/>
  <c r="C22" i="8"/>
  <c r="B191" i="6" s="1"/>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79" i="8"/>
  <c r="C84" i="8" s="1"/>
  <c r="D79" i="8"/>
  <c r="D84" i="8" s="1"/>
  <c r="E79" i="8"/>
  <c r="E84" i="8" s="1"/>
  <c r="F79" i="8"/>
  <c r="F84" i="8" s="1"/>
  <c r="G79" i="8"/>
  <c r="G84" i="8" s="1"/>
  <c r="G127" i="8" s="1"/>
  <c r="H79" i="8"/>
  <c r="H84" i="8" s="1"/>
  <c r="I79" i="8"/>
  <c r="I84" i="8" s="1"/>
  <c r="J79" i="8"/>
  <c r="J84" i="8" s="1"/>
  <c r="J185" i="8" s="1"/>
  <c r="C103" i="8"/>
  <c r="C106" i="8" s="1"/>
  <c r="C132" i="8"/>
  <c r="C133" i="8" s="1"/>
  <c r="C190" i="8"/>
  <c r="C191" i="8" s="1"/>
  <c r="D190" i="8"/>
  <c r="D191" i="8" s="1"/>
  <c r="E190" i="8"/>
  <c r="C248" i="8"/>
  <c r="C255" i="8" s="1"/>
  <c r="D248" i="8"/>
  <c r="D255" i="8" s="1"/>
  <c r="E248" i="8"/>
  <c r="F248" i="8" s="1"/>
  <c r="G248" i="8" s="1"/>
  <c r="H248" i="8" s="1"/>
  <c r="E269" i="8"/>
  <c r="D281" i="8"/>
  <c r="E281" i="8"/>
  <c r="D282" i="8"/>
  <c r="C283" i="8"/>
  <c r="E282" i="8" s="1"/>
  <c r="D283" i="8"/>
  <c r="D284" i="8"/>
  <c r="D285" i="8"/>
  <c r="D286" i="8"/>
  <c r="D287" i="8"/>
  <c r="D288" i="8"/>
  <c r="D289" i="8"/>
  <c r="D290" i="8"/>
  <c r="D291" i="8"/>
  <c r="D292" i="8"/>
  <c r="D293" i="8"/>
  <c r="D294" i="8"/>
  <c r="D295" i="8"/>
  <c r="D296" i="8"/>
  <c r="D297" i="8"/>
  <c r="D298" i="8"/>
  <c r="D299" i="8"/>
  <c r="D300" i="8"/>
  <c r="I11" i="4"/>
  <c r="J11" i="4"/>
  <c r="I17" i="4"/>
  <c r="J17" i="4"/>
  <c r="I23" i="4"/>
  <c r="J23" i="4"/>
  <c r="I24" i="4"/>
  <c r="J24" i="4"/>
  <c r="I37" i="4"/>
  <c r="J37" i="4"/>
  <c r="I38" i="4"/>
  <c r="J38" i="4"/>
  <c r="I108" i="4"/>
  <c r="J108" i="4"/>
  <c r="I50" i="4"/>
  <c r="J50" i="4"/>
  <c r="I51" i="4"/>
  <c r="J51" i="4"/>
  <c r="I52" i="4"/>
  <c r="J52" i="4"/>
  <c r="I53" i="4"/>
  <c r="J53" i="4"/>
  <c r="I54" i="4"/>
  <c r="J54" i="4"/>
  <c r="I55" i="4"/>
  <c r="J55" i="4"/>
  <c r="I56" i="4"/>
  <c r="J56" i="4"/>
  <c r="I57" i="4"/>
  <c r="J57" i="4"/>
  <c r="I58" i="4"/>
  <c r="J58" i="4"/>
  <c r="I59" i="4"/>
  <c r="J59" i="4"/>
  <c r="I61" i="4"/>
  <c r="J61" i="4"/>
  <c r="I62" i="4"/>
  <c r="J62" i="4"/>
  <c r="I63" i="4"/>
  <c r="J63" i="4"/>
  <c r="I64" i="4"/>
  <c r="J64" i="4"/>
  <c r="I65" i="4"/>
  <c r="J65" i="4"/>
  <c r="I66" i="4"/>
  <c r="J66" i="4"/>
  <c r="I67" i="4"/>
  <c r="J67" i="4"/>
  <c r="I68" i="4"/>
  <c r="J68" i="4"/>
  <c r="I69" i="4"/>
  <c r="J69" i="4"/>
  <c r="I70" i="4"/>
  <c r="J70" i="4"/>
  <c r="I71" i="4"/>
  <c r="J71" i="4"/>
  <c r="I72" i="4"/>
  <c r="J72" i="4"/>
  <c r="I73" i="4"/>
  <c r="J73" i="4"/>
  <c r="I74" i="4"/>
  <c r="J74" i="4"/>
  <c r="I75" i="4"/>
  <c r="J75" i="4"/>
  <c r="I76" i="4"/>
  <c r="J76" i="4"/>
  <c r="I77" i="4"/>
  <c r="J77" i="4"/>
  <c r="I80" i="4"/>
  <c r="J80" i="4"/>
  <c r="I81" i="4"/>
  <c r="J81" i="4"/>
  <c r="I82" i="4"/>
  <c r="J82" i="4"/>
  <c r="I83" i="4"/>
  <c r="J83" i="4"/>
  <c r="I84" i="4"/>
  <c r="J84" i="4"/>
  <c r="I85" i="4"/>
  <c r="J85" i="4"/>
  <c r="I86" i="4"/>
  <c r="J86" i="4"/>
  <c r="I87" i="4"/>
  <c r="J87" i="4"/>
  <c r="I93" i="4"/>
  <c r="J93" i="4"/>
  <c r="I107" i="4"/>
  <c r="J107" i="4"/>
  <c r="I120" i="4"/>
  <c r="J120" i="4"/>
  <c r="I121" i="4"/>
  <c r="J121" i="4"/>
  <c r="I122" i="4"/>
  <c r="J122" i="4"/>
  <c r="I123" i="4"/>
  <c r="J123" i="4"/>
  <c r="I124" i="4"/>
  <c r="J124" i="4"/>
  <c r="I125" i="4"/>
  <c r="J125" i="4"/>
  <c r="I126" i="4"/>
  <c r="J126" i="4"/>
  <c r="I127" i="4"/>
  <c r="J127" i="4"/>
  <c r="I128" i="4"/>
  <c r="J128" i="4"/>
  <c r="I129" i="4"/>
  <c r="J129" i="4"/>
  <c r="I130" i="4"/>
  <c r="J130" i="4"/>
  <c r="I131" i="4"/>
  <c r="J131" i="4"/>
  <c r="I132" i="4"/>
  <c r="J132" i="4"/>
  <c r="I138" i="4"/>
  <c r="J138" i="4"/>
  <c r="I141" i="4"/>
  <c r="J141" i="4"/>
  <c r="I142" i="4"/>
  <c r="J142" i="4"/>
  <c r="I143" i="4"/>
  <c r="J143" i="4"/>
  <c r="I144" i="4"/>
  <c r="J144" i="4"/>
  <c r="I145" i="4"/>
  <c r="J145" i="4"/>
  <c r="I146" i="4"/>
  <c r="J146" i="4"/>
  <c r="I147" i="4"/>
  <c r="J147" i="4"/>
  <c r="I148" i="4"/>
  <c r="J148" i="4"/>
  <c r="I149" i="4"/>
  <c r="J149" i="4"/>
  <c r="I150" i="4"/>
  <c r="J150" i="4"/>
  <c r="I151" i="4"/>
  <c r="J151" i="4"/>
  <c r="I152" i="4"/>
  <c r="J152" i="4"/>
  <c r="I153" i="4"/>
  <c r="J153" i="4"/>
  <c r="I140" i="4"/>
  <c r="J140" i="4"/>
  <c r="I157" i="4"/>
  <c r="J157" i="4"/>
  <c r="I158" i="4"/>
  <c r="J158" i="4"/>
  <c r="I159" i="4"/>
  <c r="J159" i="4"/>
  <c r="E167" i="6"/>
  <c r="F167" i="6"/>
  <c r="G167" i="6"/>
  <c r="F198" i="6"/>
  <c r="G198" i="6"/>
  <c r="F210" i="6"/>
  <c r="G210" i="6"/>
  <c r="E241" i="2"/>
  <c r="F241" i="2"/>
  <c r="G241" i="2"/>
  <c r="D249" i="2"/>
  <c r="D250" i="2"/>
  <c r="D251" i="2"/>
  <c r="D252" i="2"/>
  <c r="D253" i="2"/>
  <c r="D254" i="2"/>
  <c r="D255" i="2"/>
  <c r="D256" i="2"/>
  <c r="D257" i="2"/>
  <c r="D258" i="2"/>
  <c r="D259" i="2"/>
  <c r="D260" i="2"/>
  <c r="D261" i="2"/>
  <c r="D262" i="2"/>
  <c r="D263" i="2"/>
  <c r="D264" i="2"/>
  <c r="D265" i="2"/>
  <c r="D266" i="2"/>
  <c r="D267" i="2"/>
  <c r="D268" i="2"/>
  <c r="D269" i="2"/>
  <c r="D270" i="2"/>
  <c r="D271" i="2"/>
  <c r="D248" i="1"/>
  <c r="D249" i="1"/>
  <c r="D250" i="1"/>
  <c r="D251" i="1"/>
  <c r="D252" i="1"/>
  <c r="D253" i="1"/>
  <c r="D254" i="1"/>
  <c r="D255" i="1"/>
  <c r="D256" i="1"/>
  <c r="D257" i="1"/>
  <c r="D258" i="1"/>
  <c r="D259" i="1"/>
  <c r="D260" i="1"/>
  <c r="D261" i="1"/>
  <c r="D262" i="1"/>
  <c r="D263" i="1"/>
  <c r="D264" i="1"/>
  <c r="D265" i="1"/>
  <c r="D266" i="1"/>
  <c r="D267" i="1"/>
  <c r="D268" i="1"/>
  <c r="D269" i="1"/>
  <c r="D270" i="1"/>
  <c r="D271" i="1"/>
  <c r="F6" i="5"/>
  <c r="F7" i="5"/>
  <c r="B358" i="26"/>
  <c r="B366" i="26"/>
  <c r="B356" i="10"/>
  <c r="B298" i="10"/>
  <c r="B347" i="26"/>
  <c r="F233" i="1" l="1"/>
  <c r="E233" i="1"/>
  <c r="G233" i="1"/>
  <c r="G231" i="1"/>
  <c r="E231" i="1"/>
  <c r="F231" i="1"/>
  <c r="B222" i="19"/>
  <c r="B224" i="19"/>
  <c r="B469" i="19"/>
  <c r="B221" i="19"/>
  <c r="B223" i="19"/>
  <c r="B211" i="11"/>
  <c r="B470" i="19"/>
  <c r="G319" i="47"/>
  <c r="B42" i="4"/>
  <c r="B358" i="19"/>
  <c r="B360" i="19"/>
  <c r="B357" i="19"/>
  <c r="B359" i="19"/>
  <c r="J26" i="12"/>
  <c r="E106" i="8"/>
  <c r="E13" i="10" s="1"/>
  <c r="S60" i="1"/>
  <c r="D59" i="52"/>
  <c r="B156" i="19"/>
  <c r="B147" i="4"/>
  <c r="B145" i="4"/>
  <c r="D48" i="52"/>
  <c r="B148" i="19"/>
  <c r="B144" i="4"/>
  <c r="B146" i="4"/>
  <c r="C27" i="39"/>
  <c r="C8" i="39"/>
  <c r="B465" i="19"/>
  <c r="B475" i="19"/>
  <c r="B50" i="19"/>
  <c r="B52" i="19"/>
  <c r="B103" i="19"/>
  <c r="B178" i="19"/>
  <c r="B155" i="4"/>
  <c r="C26" i="39"/>
  <c r="C7" i="39"/>
  <c r="B51" i="19"/>
  <c r="B464" i="19"/>
  <c r="B474" i="19"/>
  <c r="B49" i="19"/>
  <c r="B102" i="19"/>
  <c r="B174" i="19"/>
  <c r="B154" i="4"/>
  <c r="B126" i="2"/>
  <c r="B57" i="19"/>
  <c r="B125" i="1"/>
  <c r="B125" i="2"/>
  <c r="B126" i="1"/>
  <c r="B92" i="4"/>
  <c r="A98" i="19"/>
  <c r="B127" i="1"/>
  <c r="B127" i="2"/>
  <c r="B91" i="4"/>
  <c r="B89" i="4"/>
  <c r="B124" i="1"/>
  <c r="B90" i="4"/>
  <c r="B124" i="2"/>
  <c r="A92" i="19"/>
  <c r="N233" i="1"/>
  <c r="N231" i="1"/>
  <c r="G205" i="19"/>
  <c r="G69" i="19"/>
  <c r="F69" i="19"/>
  <c r="F70" i="19" s="1"/>
  <c r="F71" i="19" s="1"/>
  <c r="L7" i="53"/>
  <c r="D23" i="53"/>
  <c r="L23" i="53"/>
  <c r="F7" i="53"/>
  <c r="F7" i="48"/>
  <c r="B22" i="4"/>
  <c r="B88" i="4"/>
  <c r="D11" i="10"/>
  <c r="F124" i="19"/>
  <c r="G124" i="19"/>
  <c r="E124" i="19"/>
  <c r="F205" i="19"/>
  <c r="F120" i="26"/>
  <c r="F128" i="26" s="1"/>
  <c r="G120" i="26"/>
  <c r="G128" i="26" s="1"/>
  <c r="B41" i="4"/>
  <c r="B40" i="4"/>
  <c r="B26" i="4"/>
  <c r="B39" i="4"/>
  <c r="B143" i="4"/>
  <c r="B21" i="4"/>
  <c r="B20" i="4"/>
  <c r="B19" i="4"/>
  <c r="B142" i="4"/>
  <c r="G536" i="8"/>
  <c r="I538" i="8" s="1"/>
  <c r="G528" i="8"/>
  <c r="I530" i="8" s="1"/>
  <c r="G520" i="8"/>
  <c r="I522" i="8" s="1"/>
  <c r="G535" i="8"/>
  <c r="H538" i="8" s="1"/>
  <c r="G527" i="8"/>
  <c r="H530" i="8" s="1"/>
  <c r="G519" i="8"/>
  <c r="H522" i="8" s="1"/>
  <c r="G156" i="8"/>
  <c r="B195" i="8"/>
  <c r="B191" i="8"/>
  <c r="D11" i="11"/>
  <c r="F176" i="11" s="1"/>
  <c r="B62" i="11"/>
  <c r="B159" i="11" s="1"/>
  <c r="B167" i="11" s="1"/>
  <c r="AI8" i="49"/>
  <c r="AF9" i="49"/>
  <c r="AL34" i="13"/>
  <c r="D92" i="8"/>
  <c r="D95" i="8" s="1"/>
  <c r="D102" i="8" s="1"/>
  <c r="D10" i="11"/>
  <c r="E176" i="11" s="1"/>
  <c r="AE9" i="49"/>
  <c r="AH8" i="49"/>
  <c r="AK34" i="13"/>
  <c r="F7" i="49"/>
  <c r="F11" i="26"/>
  <c r="D22" i="26"/>
  <c r="D21" i="26"/>
  <c r="D20" i="26"/>
  <c r="D19" i="26"/>
  <c r="G11" i="26"/>
  <c r="AR7" i="48"/>
  <c r="J45" i="12"/>
  <c r="B75" i="19"/>
  <c r="B32" i="4"/>
  <c r="B445" i="19"/>
  <c r="B18" i="4"/>
  <c r="B12" i="4"/>
  <c r="B434" i="19"/>
  <c r="B61" i="19"/>
  <c r="B86" i="4"/>
  <c r="D243" i="8"/>
  <c r="L100" i="8"/>
  <c r="F107" i="8"/>
  <c r="F14" i="10" s="1"/>
  <c r="D156" i="8"/>
  <c r="F243" i="8"/>
  <c r="C197" i="8"/>
  <c r="F214" i="8"/>
  <c r="C185" i="8"/>
  <c r="C434" i="8"/>
  <c r="C429" i="8"/>
  <c r="C433" i="8"/>
  <c r="C428" i="8"/>
  <c r="C435" i="8"/>
  <c r="C438" i="8"/>
  <c r="C431" i="8"/>
  <c r="C430" i="8"/>
  <c r="C437" i="8"/>
  <c r="C436" i="8"/>
  <c r="D127" i="8"/>
  <c r="B260" i="19"/>
  <c r="I92" i="8"/>
  <c r="I95" i="8" s="1"/>
  <c r="I102" i="8" s="1"/>
  <c r="D185" i="8"/>
  <c r="D214" i="8"/>
  <c r="B65" i="4"/>
  <c r="B58" i="4"/>
  <c r="G255" i="8"/>
  <c r="B608" i="8"/>
  <c r="D614" i="8" s="1"/>
  <c r="D40" i="50"/>
  <c r="F127" i="8"/>
  <c r="I127" i="8"/>
  <c r="D168" i="8"/>
  <c r="C229" i="8"/>
  <c r="C214" i="8"/>
  <c r="C92" i="8"/>
  <c r="C271" i="8" s="1"/>
  <c r="G243" i="8"/>
  <c r="F156" i="8"/>
  <c r="C127" i="8"/>
  <c r="G92" i="8"/>
  <c r="G214" i="8"/>
  <c r="H168" i="8"/>
  <c r="B220" i="8"/>
  <c r="B607" i="8"/>
  <c r="C614" i="8" s="1"/>
  <c r="D39" i="50"/>
  <c r="M5" i="51"/>
  <c r="I226" i="8"/>
  <c r="H162" i="8"/>
  <c r="G139" i="8"/>
  <c r="G133" i="8"/>
  <c r="E220" i="8"/>
  <c r="E243" i="8"/>
  <c r="E185" i="8"/>
  <c r="E92" i="8"/>
  <c r="E271" i="8" s="1"/>
  <c r="B107" i="1"/>
  <c r="B107" i="2"/>
  <c r="B96" i="2"/>
  <c r="B73" i="2"/>
  <c r="B74" i="2"/>
  <c r="B95" i="2"/>
  <c r="B74" i="1"/>
  <c r="B96" i="1"/>
  <c r="B73" i="1"/>
  <c r="B95" i="1"/>
  <c r="B205" i="1"/>
  <c r="B141" i="1"/>
  <c r="B173" i="2"/>
  <c r="B141" i="2"/>
  <c r="B205" i="2"/>
  <c r="B173" i="1"/>
  <c r="B112" i="19"/>
  <c r="C112" i="6"/>
  <c r="C63" i="6"/>
  <c r="C15" i="6"/>
  <c r="B112" i="2"/>
  <c r="B112" i="1"/>
  <c r="B180" i="19"/>
  <c r="B188" i="6"/>
  <c r="B99" i="4"/>
  <c r="B116" i="19"/>
  <c r="B117" i="19"/>
  <c r="B111" i="19"/>
  <c r="B164" i="19"/>
  <c r="A107" i="19"/>
  <c r="B128" i="2"/>
  <c r="B110" i="19"/>
  <c r="B131" i="19"/>
  <c r="B118" i="19"/>
  <c r="B128" i="1"/>
  <c r="B130" i="19"/>
  <c r="J162" i="8"/>
  <c r="B63" i="19"/>
  <c r="B187" i="6"/>
  <c r="B252" i="19"/>
  <c r="B79" i="4"/>
  <c r="B78" i="4"/>
  <c r="M5" i="50"/>
  <c r="B245" i="19"/>
  <c r="B579" i="8"/>
  <c r="F581" i="8" s="1"/>
  <c r="D29" i="49"/>
  <c r="B569" i="8"/>
  <c r="C572" i="8" s="1"/>
  <c r="B578" i="8"/>
  <c r="E581" i="8" s="1"/>
  <c r="N8" i="49"/>
  <c r="L5" i="13"/>
  <c r="B172" i="1"/>
  <c r="B559" i="8"/>
  <c r="A167" i="1"/>
  <c r="A167" i="2"/>
  <c r="B19" i="3"/>
  <c r="B172" i="2"/>
  <c r="B160" i="19"/>
  <c r="B22" i="1"/>
  <c r="B155" i="19"/>
  <c r="B103" i="4"/>
  <c r="B154" i="19"/>
  <c r="B22" i="2"/>
  <c r="B135" i="19"/>
  <c r="B109" i="19"/>
  <c r="B141" i="19"/>
  <c r="B121" i="19"/>
  <c r="B229" i="19"/>
  <c r="B231" i="19"/>
  <c r="B218" i="19"/>
  <c r="B251" i="19"/>
  <c r="B235" i="19"/>
  <c r="B216" i="19"/>
  <c r="B36" i="4"/>
  <c r="B35" i="4"/>
  <c r="B34" i="4"/>
  <c r="B33" i="4"/>
  <c r="B329" i="19"/>
  <c r="B321" i="19"/>
  <c r="B325" i="19"/>
  <c r="B27" i="4"/>
  <c r="B316" i="19"/>
  <c r="B28" i="4"/>
  <c r="B295" i="19"/>
  <c r="B31" i="4"/>
  <c r="B195" i="19"/>
  <c r="B176" i="19"/>
  <c r="B29" i="4"/>
  <c r="A36" i="19"/>
  <c r="B177" i="19"/>
  <c r="B30" i="4"/>
  <c r="A53" i="6"/>
  <c r="C60" i="6"/>
  <c r="B25" i="4"/>
  <c r="A81" i="2"/>
  <c r="A81" i="1"/>
  <c r="A24" i="19"/>
  <c r="B13" i="3"/>
  <c r="B20" i="3"/>
  <c r="B12" i="3"/>
  <c r="B21" i="3"/>
  <c r="H7" i="49"/>
  <c r="E30" i="8"/>
  <c r="B148" i="4"/>
  <c r="H185" i="8"/>
  <c r="B6" i="1"/>
  <c r="B7" i="2"/>
  <c r="B205" i="19"/>
  <c r="B66" i="4"/>
  <c r="B174" i="2"/>
  <c r="B142" i="2"/>
  <c r="B174" i="1"/>
  <c r="B206" i="2"/>
  <c r="B206" i="1"/>
  <c r="B142" i="1"/>
  <c r="C113" i="6"/>
  <c r="C64" i="6"/>
  <c r="C16" i="6"/>
  <c r="B249" i="19"/>
  <c r="G86" i="2"/>
  <c r="B244" i="19"/>
  <c r="L8" i="49"/>
  <c r="B576" i="8"/>
  <c r="C581" i="8" s="1"/>
  <c r="B577" i="8"/>
  <c r="D581" i="8" s="1"/>
  <c r="D28" i="49"/>
  <c r="B570" i="8"/>
  <c r="D572" i="8" s="1"/>
  <c r="J5" i="13"/>
  <c r="L23" i="48"/>
  <c r="B16" i="3"/>
  <c r="B140" i="1"/>
  <c r="D23" i="48"/>
  <c r="A135" i="1"/>
  <c r="A135" i="2"/>
  <c r="L7" i="48"/>
  <c r="B550" i="8"/>
  <c r="B140" i="2"/>
  <c r="B147" i="19"/>
  <c r="B152" i="19"/>
  <c r="B21" i="2"/>
  <c r="B102" i="4"/>
  <c r="B146" i="19"/>
  <c r="B21" i="1"/>
  <c r="B108" i="19"/>
  <c r="B134" i="19"/>
  <c r="B140" i="19"/>
  <c r="B120" i="19"/>
  <c r="B228" i="19"/>
  <c r="B215" i="19"/>
  <c r="B250" i="19"/>
  <c r="B230" i="19"/>
  <c r="B234" i="19"/>
  <c r="B217" i="19"/>
  <c r="B15" i="4"/>
  <c r="B16" i="4"/>
  <c r="B14" i="4"/>
  <c r="B13" i="4"/>
  <c r="B315" i="19"/>
  <c r="B294" i="19"/>
  <c r="B8" i="4"/>
  <c r="B328" i="19"/>
  <c r="B320" i="19"/>
  <c r="B324" i="19"/>
  <c r="B6" i="4"/>
  <c r="B7" i="4"/>
  <c r="B11" i="4"/>
  <c r="B194" i="19"/>
  <c r="B172" i="19"/>
  <c r="C12" i="6"/>
  <c r="B10" i="4"/>
  <c r="A17" i="19"/>
  <c r="B173" i="19"/>
  <c r="B9" i="4"/>
  <c r="A5" i="19"/>
  <c r="A59" i="2"/>
  <c r="A59" i="1"/>
  <c r="B5" i="4"/>
  <c r="B17" i="3"/>
  <c r="B18" i="3"/>
  <c r="B10" i="3"/>
  <c r="B11" i="3"/>
  <c r="C284" i="8"/>
  <c r="A168" i="19"/>
  <c r="B175" i="1"/>
  <c r="B207" i="1"/>
  <c r="B143" i="1"/>
  <c r="B207" i="2"/>
  <c r="B175" i="2"/>
  <c r="B143" i="2"/>
  <c r="C114" i="6"/>
  <c r="C17" i="6"/>
  <c r="C65" i="6"/>
  <c r="B309" i="19"/>
  <c r="B303" i="19"/>
  <c r="B312" i="19"/>
  <c r="B314" i="19"/>
  <c r="B308" i="19"/>
  <c r="B302" i="19"/>
  <c r="B319" i="19"/>
  <c r="B301" i="19"/>
  <c r="B311" i="19"/>
  <c r="B306" i="19"/>
  <c r="B307" i="19"/>
  <c r="F86" i="2"/>
  <c r="F183" i="19"/>
  <c r="E183" i="19"/>
  <c r="G36" i="2"/>
  <c r="G179" i="6" s="1"/>
  <c r="F36" i="2"/>
  <c r="F179" i="6" s="1"/>
  <c r="H107" i="8"/>
  <c r="H14" i="10" s="1"/>
  <c r="C107" i="8"/>
  <c r="D107" i="8"/>
  <c r="D14" i="10" s="1"/>
  <c r="D106" i="8"/>
  <c r="D13" i="10" s="1"/>
  <c r="G162" i="8"/>
  <c r="D110" i="8"/>
  <c r="C139" i="8"/>
  <c r="G108" i="8"/>
  <c r="G15" i="10" s="1"/>
  <c r="G104" i="8"/>
  <c r="G106" i="8"/>
  <c r="G13" i="10" s="1"/>
  <c r="I162" i="8"/>
  <c r="I103" i="8"/>
  <c r="I106" i="8" s="1"/>
  <c r="D108" i="8"/>
  <c r="D15" i="10" s="1"/>
  <c r="O5" i="49"/>
  <c r="Q5" i="48"/>
  <c r="H255" i="8"/>
  <c r="I248" i="8"/>
  <c r="J248" i="8" s="1"/>
  <c r="J255" i="8" s="1"/>
  <c r="F255" i="8"/>
  <c r="E255" i="8"/>
  <c r="D197" i="8"/>
  <c r="E226" i="8"/>
  <c r="D104" i="8"/>
  <c r="E110" i="8"/>
  <c r="AP7" i="48"/>
  <c r="G168" i="8"/>
  <c r="G107" i="8"/>
  <c r="G14" i="10" s="1"/>
  <c r="F168" i="8"/>
  <c r="G105" i="8"/>
  <c r="G12" i="10" s="1"/>
  <c r="F162" i="8"/>
  <c r="B98" i="4"/>
  <c r="B95" i="4"/>
  <c r="B96" i="4"/>
  <c r="B97" i="4"/>
  <c r="B94" i="4"/>
  <c r="G156" i="6"/>
  <c r="F156" i="6"/>
  <c r="B19" i="1"/>
  <c r="B77" i="4"/>
  <c r="A48" i="19"/>
  <c r="B123" i="1"/>
  <c r="B77" i="19"/>
  <c r="B59" i="19"/>
  <c r="B81" i="4"/>
  <c r="H59" i="26"/>
  <c r="B286" i="10"/>
  <c r="B288" i="26"/>
  <c r="B281" i="10"/>
  <c r="B279" i="10"/>
  <c r="F139" i="8"/>
  <c r="F133" i="8"/>
  <c r="C105" i="8"/>
  <c r="H105" i="8"/>
  <c r="H12" i="10" s="1"/>
  <c r="G110" i="8"/>
  <c r="H106" i="8"/>
  <c r="H13" i="10" s="1"/>
  <c r="H104" i="8"/>
  <c r="F101" i="8"/>
  <c r="E108" i="8"/>
  <c r="E15" i="10" s="1"/>
  <c r="E107" i="8"/>
  <c r="E14" i="10" s="1"/>
  <c r="D21" i="10" s="1"/>
  <c r="E105" i="8"/>
  <c r="E12" i="10" s="1"/>
  <c r="C110" i="8"/>
  <c r="D105" i="8"/>
  <c r="D12" i="10" s="1"/>
  <c r="G101" i="8"/>
  <c r="D41" i="1"/>
  <c r="D60" i="10"/>
  <c r="E156" i="6"/>
  <c r="D60" i="26"/>
  <c r="E211" i="6"/>
  <c r="D36" i="1"/>
  <c r="G66" i="10"/>
  <c r="G67" i="10" s="1"/>
  <c r="C29" i="39"/>
  <c r="B460" i="19"/>
  <c r="B88" i="19"/>
  <c r="B277" i="19"/>
  <c r="A223" i="6"/>
  <c r="B157" i="8"/>
  <c r="B88" i="8"/>
  <c r="C9" i="39"/>
  <c r="B335" i="19"/>
  <c r="C11" i="10"/>
  <c r="C18" i="10" s="1"/>
  <c r="D28" i="10" s="1"/>
  <c r="C101" i="10" s="1"/>
  <c r="B472" i="1"/>
  <c r="E160" i="4"/>
  <c r="E83" i="4"/>
  <c r="E59" i="4"/>
  <c r="E211" i="19" s="1"/>
  <c r="E129" i="4"/>
  <c r="G83" i="4"/>
  <c r="G160" i="4"/>
  <c r="G59" i="4"/>
  <c r="G211" i="19" s="1"/>
  <c r="G129" i="4"/>
  <c r="F160" i="4"/>
  <c r="F70" i="10" s="1"/>
  <c r="F71" i="10" s="1"/>
  <c r="F83" i="4"/>
  <c r="F129" i="4"/>
  <c r="F59" i="4"/>
  <c r="F211" i="19" s="1"/>
  <c r="F30" i="26"/>
  <c r="F12" i="5"/>
  <c r="E30" i="10"/>
  <c r="E12" i="5"/>
  <c r="B215" i="8"/>
  <c r="B223" i="8"/>
  <c r="B224" i="8"/>
  <c r="B71" i="4"/>
  <c r="A290" i="19"/>
  <c r="B305" i="19"/>
  <c r="B74" i="4"/>
  <c r="B292" i="19"/>
  <c r="E66" i="10"/>
  <c r="E67" i="10" s="1"/>
  <c r="B161" i="8"/>
  <c r="G368" i="10"/>
  <c r="C171" i="8"/>
  <c r="B114" i="1"/>
  <c r="B304" i="19"/>
  <c r="B6" i="2"/>
  <c r="B343" i="19"/>
  <c r="B209" i="19"/>
  <c r="B65" i="19"/>
  <c r="B509" i="8"/>
  <c r="B103" i="8"/>
  <c r="B85" i="8"/>
  <c r="B61" i="8"/>
  <c r="B163" i="8"/>
  <c r="B136" i="8"/>
  <c r="B108" i="8"/>
  <c r="B104" i="8"/>
  <c r="B512" i="8"/>
  <c r="B57" i="4"/>
  <c r="B204" i="19"/>
  <c r="B214" i="19"/>
  <c r="B208" i="19"/>
  <c r="B24" i="4"/>
  <c r="B239" i="19"/>
  <c r="B473" i="1"/>
  <c r="C4" i="26"/>
  <c r="C142" i="8"/>
  <c r="B66" i="19"/>
  <c r="B89" i="8"/>
  <c r="A5" i="6"/>
  <c r="B80" i="19"/>
  <c r="B87" i="19"/>
  <c r="B459" i="19"/>
  <c r="A1" i="10"/>
  <c r="B87" i="8"/>
  <c r="B508" i="8"/>
  <c r="E240" i="8"/>
  <c r="B472" i="2"/>
  <c r="C28" i="39"/>
  <c r="C10" i="39"/>
  <c r="B111" i="1"/>
  <c r="B7" i="1"/>
  <c r="B111" i="2"/>
  <c r="B201" i="19"/>
  <c r="B81" i="19"/>
  <c r="B4" i="4"/>
  <c r="B244" i="8"/>
  <c r="A130" i="8"/>
  <c r="B165" i="8"/>
  <c r="B137" i="8"/>
  <c r="B134" i="8"/>
  <c r="B106" i="8"/>
  <c r="A224" i="6"/>
  <c r="B133" i="8"/>
  <c r="B97" i="8"/>
  <c r="B123" i="2"/>
  <c r="B60" i="19"/>
  <c r="B84" i="4"/>
  <c r="B80" i="4"/>
  <c r="B82" i="4"/>
  <c r="B85" i="4"/>
  <c r="B63" i="8"/>
  <c r="B190" i="8"/>
  <c r="C200" i="8"/>
  <c r="B19" i="2"/>
  <c r="B264" i="19"/>
  <c r="B76" i="19"/>
  <c r="B62" i="19"/>
  <c r="B87" i="4"/>
  <c r="E89" i="10"/>
  <c r="D104" i="10" s="1"/>
  <c r="D33" i="10"/>
  <c r="B38" i="4"/>
  <c r="B513" i="8"/>
  <c r="C11" i="26"/>
  <c r="C18" i="26" s="1"/>
  <c r="D28" i="26" s="1"/>
  <c r="E29" i="8"/>
  <c r="B128" i="8"/>
  <c r="B473" i="2"/>
  <c r="B149" i="4"/>
  <c r="B37" i="4"/>
  <c r="A1" i="26"/>
  <c r="F368" i="10"/>
  <c r="B132" i="8"/>
  <c r="B166" i="8"/>
  <c r="B162" i="8"/>
  <c r="B135" i="8"/>
  <c r="B192" i="8"/>
  <c r="B164" i="8"/>
  <c r="B273" i="19"/>
  <c r="B263" i="19"/>
  <c r="B259" i="19"/>
  <c r="B63" i="4"/>
  <c r="B248" i="8"/>
  <c r="B153" i="4"/>
  <c r="E89" i="26"/>
  <c r="D104" i="26" s="1"/>
  <c r="B104" i="26" s="1"/>
  <c r="D33" i="26"/>
  <c r="B249" i="8"/>
  <c r="B113" i="1"/>
  <c r="B285" i="19"/>
  <c r="B282" i="19"/>
  <c r="B272" i="19"/>
  <c r="B266" i="19"/>
  <c r="B262" i="19"/>
  <c r="B258" i="19"/>
  <c r="A247" i="19"/>
  <c r="E153" i="8"/>
  <c r="E182" i="8"/>
  <c r="B62" i="4"/>
  <c r="B61" i="4"/>
  <c r="B64" i="4"/>
  <c r="B67" i="4"/>
  <c r="B286" i="19"/>
  <c r="B276" i="19"/>
  <c r="B268" i="19"/>
  <c r="B252" i="8"/>
  <c r="B251" i="8"/>
  <c r="B113" i="2"/>
  <c r="B281" i="19"/>
  <c r="B278" i="19"/>
  <c r="B271" i="19"/>
  <c r="B265" i="19"/>
  <c r="B261" i="19"/>
  <c r="B256" i="19"/>
  <c r="B53" i="4"/>
  <c r="B50" i="4"/>
  <c r="B56" i="4"/>
  <c r="B170" i="19"/>
  <c r="B190" i="19"/>
  <c r="B202" i="19"/>
  <c r="B206" i="19"/>
  <c r="B211" i="19"/>
  <c r="B52" i="4"/>
  <c r="B55" i="4"/>
  <c r="B203" i="19"/>
  <c r="B207" i="19"/>
  <c r="B212" i="19"/>
  <c r="B227" i="19"/>
  <c r="B238" i="19"/>
  <c r="A217" i="8"/>
  <c r="B219" i="8"/>
  <c r="B151" i="4"/>
  <c r="A188" i="8"/>
  <c r="B222" i="8"/>
  <c r="B194" i="8"/>
  <c r="B193" i="8"/>
  <c r="B4" i="39"/>
  <c r="F66" i="10"/>
  <c r="F67" i="10" s="1"/>
  <c r="I243" i="8"/>
  <c r="I185" i="8"/>
  <c r="I214" i="8"/>
  <c r="B253" i="8"/>
  <c r="B299" i="10"/>
  <c r="B297" i="10"/>
  <c r="B302" i="10"/>
  <c r="B282" i="10"/>
  <c r="E96" i="10"/>
  <c r="D111" i="10" s="1"/>
  <c r="D61" i="10"/>
  <c r="F185" i="8"/>
  <c r="F92" i="8"/>
  <c r="J220" i="8"/>
  <c r="B278" i="10"/>
  <c r="I156" i="8"/>
  <c r="J156" i="8"/>
  <c r="B301" i="10"/>
  <c r="E124" i="8"/>
  <c r="C104" i="8"/>
  <c r="C108" i="8"/>
  <c r="H92" i="8"/>
  <c r="B65" i="8"/>
  <c r="C258" i="8"/>
  <c r="A246" i="8"/>
  <c r="B334" i="10"/>
  <c r="B283" i="10"/>
  <c r="B293" i="26"/>
  <c r="D220" i="8"/>
  <c r="G242" i="2"/>
  <c r="G211" i="6"/>
  <c r="C162" i="8"/>
  <c r="C168" i="8"/>
  <c r="E11" i="26"/>
  <c r="E133" i="8"/>
  <c r="E139" i="8"/>
  <c r="E162" i="8"/>
  <c r="B250" i="8"/>
  <c r="B292" i="26"/>
  <c r="B294" i="26"/>
  <c r="G30" i="10"/>
  <c r="H108" i="8"/>
  <c r="H15" i="10" s="1"/>
  <c r="H110" i="8"/>
  <c r="H217" i="8"/>
  <c r="H226" i="8"/>
  <c r="B150" i="4"/>
  <c r="B62" i="8"/>
  <c r="A159" i="8"/>
  <c r="B364" i="26"/>
  <c r="F66" i="26"/>
  <c r="F67" i="26" s="1"/>
  <c r="B51" i="4"/>
  <c r="E35" i="26"/>
  <c r="E34" i="26"/>
  <c r="G66" i="26"/>
  <c r="G67" i="26" s="1"/>
  <c r="E43" i="11"/>
  <c r="I201" i="11" s="1"/>
  <c r="E66" i="26"/>
  <c r="E67" i="26" s="1"/>
  <c r="E30" i="26"/>
  <c r="B23" i="39"/>
  <c r="G12" i="5"/>
  <c r="G30" i="26"/>
  <c r="B307" i="26"/>
  <c r="B312" i="26"/>
  <c r="B311" i="26"/>
  <c r="B304" i="26"/>
  <c r="B309" i="26"/>
  <c r="B306" i="26"/>
  <c r="F190" i="8"/>
  <c r="E191" i="8"/>
  <c r="E197" i="8"/>
  <c r="B351" i="10"/>
  <c r="B358" i="10"/>
  <c r="B338" i="10"/>
  <c r="B332" i="10"/>
  <c r="B335" i="10"/>
  <c r="B343" i="26"/>
  <c r="B341" i="26"/>
  <c r="B344" i="26"/>
  <c r="B342" i="26"/>
  <c r="B348" i="26"/>
  <c r="B345" i="26"/>
  <c r="B340" i="26"/>
  <c r="B346" i="26"/>
  <c r="B340" i="10"/>
  <c r="F211" i="6"/>
  <c r="F47" i="2" s="1"/>
  <c r="F242" i="2"/>
  <c r="J92" i="8"/>
  <c r="J214" i="8"/>
  <c r="J127" i="8"/>
  <c r="H214" i="8"/>
  <c r="H156" i="8"/>
  <c r="H243" i="8"/>
  <c r="H127" i="8"/>
  <c r="E214" i="8"/>
  <c r="E156" i="8"/>
  <c r="E127" i="8"/>
  <c r="B360" i="26"/>
  <c r="B359" i="26"/>
  <c r="B365" i="26"/>
  <c r="B361" i="26"/>
  <c r="B362" i="26"/>
  <c r="D139" i="8"/>
  <c r="D133" i="8"/>
  <c r="C220" i="8"/>
  <c r="C226" i="8"/>
  <c r="G220" i="8"/>
  <c r="G217" i="8"/>
  <c r="J243" i="8"/>
  <c r="C243" i="8"/>
  <c r="C156" i="8"/>
  <c r="B107" i="8"/>
  <c r="B99" i="8"/>
  <c r="B333" i="10"/>
  <c r="B337" i="10"/>
  <c r="B336" i="10"/>
  <c r="B291" i="26"/>
  <c r="B286" i="26"/>
  <c r="B290" i="26"/>
  <c r="B289" i="26"/>
  <c r="F30" i="10"/>
  <c r="H11" i="26"/>
  <c r="I132" i="8"/>
  <c r="H133" i="8"/>
  <c r="G185" i="8"/>
  <c r="B354" i="10"/>
  <c r="B350" i="10"/>
  <c r="B352" i="10"/>
  <c r="B353" i="10"/>
  <c r="B355" i="10"/>
  <c r="B304" i="10"/>
  <c r="B285" i="10"/>
  <c r="B284" i="10"/>
  <c r="B280" i="10"/>
  <c r="B363" i="26"/>
  <c r="B308" i="26"/>
  <c r="B357" i="10"/>
  <c r="B303" i="10"/>
  <c r="B300" i="10"/>
  <c r="B296" i="10"/>
  <c r="B287" i="26"/>
  <c r="B70" i="4"/>
  <c r="B75" i="4"/>
  <c r="B69" i="4"/>
  <c r="B72" i="4"/>
  <c r="B299" i="19"/>
  <c r="B114" i="2"/>
  <c r="B73" i="4"/>
  <c r="F11" i="10"/>
  <c r="F104" i="8"/>
  <c r="F105" i="8"/>
  <c r="F12" i="10" s="1"/>
  <c r="F108" i="8"/>
  <c r="F15" i="10" s="1"/>
  <c r="F110" i="8"/>
  <c r="F220" i="8"/>
  <c r="F217" i="8"/>
  <c r="B83" i="4"/>
  <c r="H59" i="10"/>
  <c r="E104" i="8"/>
  <c r="E11" i="10"/>
  <c r="H101" i="8"/>
  <c r="B152" i="4"/>
  <c r="B221" i="8"/>
  <c r="B64" i="8"/>
  <c r="B17" i="4"/>
  <c r="B7" i="12"/>
  <c r="B15" i="12"/>
  <c r="C4" i="10"/>
  <c r="E368" i="10"/>
  <c r="B96" i="8"/>
  <c r="B98" i="8"/>
  <c r="B100" i="8"/>
  <c r="B60" i="8"/>
  <c r="A82" i="8"/>
  <c r="B86" i="8"/>
  <c r="B93" i="8"/>
  <c r="B105" i="8"/>
  <c r="B112" i="8"/>
  <c r="B186" i="8"/>
  <c r="F319" i="47" l="1"/>
  <c r="E319" i="47"/>
  <c r="D20" i="10"/>
  <c r="D22" i="10"/>
  <c r="P60" i="1"/>
  <c r="R60" i="1"/>
  <c r="Q60" i="1"/>
  <c r="I271" i="8"/>
  <c r="I272" i="8" s="1"/>
  <c r="B108" i="10"/>
  <c r="G125" i="19"/>
  <c r="G126" i="19" s="1"/>
  <c r="F125" i="19"/>
  <c r="F126" i="19" s="1"/>
  <c r="E125" i="19"/>
  <c r="E126" i="19" s="1"/>
  <c r="G70" i="19"/>
  <c r="G71" i="19" s="1"/>
  <c r="G150" i="6" s="1"/>
  <c r="G230" i="2" s="1"/>
  <c r="F191" i="6"/>
  <c r="C293" i="47"/>
  <c r="B109" i="10"/>
  <c r="B107" i="26"/>
  <c r="B108" i="26"/>
  <c r="B113" i="26"/>
  <c r="B111" i="10"/>
  <c r="B105" i="26"/>
  <c r="B112" i="26"/>
  <c r="B110" i="26"/>
  <c r="B109" i="26"/>
  <c r="B112" i="10"/>
  <c r="B107" i="10"/>
  <c r="B106" i="10"/>
  <c r="C64" i="11"/>
  <c r="D64" i="11"/>
  <c r="C101" i="26"/>
  <c r="B104" i="10"/>
  <c r="B105" i="10"/>
  <c r="B106" i="26"/>
  <c r="B111" i="26"/>
  <c r="B113" i="10"/>
  <c r="B110" i="10"/>
  <c r="K12" i="14"/>
  <c r="D24" i="1"/>
  <c r="D271" i="8"/>
  <c r="D272" i="8" s="1"/>
  <c r="J19" i="1"/>
  <c r="F18" i="10"/>
  <c r="D19" i="10"/>
  <c r="E95" i="8"/>
  <c r="E102" i="8" s="1"/>
  <c r="C95" i="8"/>
  <c r="C102" i="8" s="1"/>
  <c r="G271" i="8"/>
  <c r="G95" i="8"/>
  <c r="G102" i="8" s="1"/>
  <c r="I273" i="8"/>
  <c r="F13" i="51"/>
  <c r="G75" i="4"/>
  <c r="G71" i="2"/>
  <c r="G125" i="4"/>
  <c r="G38" i="4"/>
  <c r="G345" i="19" s="1"/>
  <c r="G349" i="19" s="1"/>
  <c r="G275" i="47" s="1"/>
  <c r="G150" i="4"/>
  <c r="G152" i="4"/>
  <c r="F33" i="26"/>
  <c r="F35" i="26" s="1"/>
  <c r="G33" i="26"/>
  <c r="F33" i="10"/>
  <c r="F34" i="10" s="1"/>
  <c r="F35" i="10" s="1"/>
  <c r="G64" i="2"/>
  <c r="E283" i="8"/>
  <c r="C285" i="8"/>
  <c r="F64" i="2"/>
  <c r="G33" i="10"/>
  <c r="G34" i="10" s="1"/>
  <c r="G35" i="10" s="1"/>
  <c r="I108" i="8"/>
  <c r="I110" i="8"/>
  <c r="J103" i="8"/>
  <c r="J106" i="8" s="1"/>
  <c r="I107" i="8"/>
  <c r="I104" i="8"/>
  <c r="I105" i="8"/>
  <c r="I255" i="8"/>
  <c r="J233" i="1"/>
  <c r="J231" i="1"/>
  <c r="E158" i="6"/>
  <c r="N26" i="13" s="1"/>
  <c r="E234" i="2"/>
  <c r="D234" i="1" s="1"/>
  <c r="G158" i="6"/>
  <c r="G235" i="2" s="1"/>
  <c r="G234" i="2"/>
  <c r="F158" i="6"/>
  <c r="F235" i="2" s="1"/>
  <c r="F234" i="2"/>
  <c r="G212" i="6"/>
  <c r="G47" i="2"/>
  <c r="E60" i="26"/>
  <c r="E110" i="26" s="1"/>
  <c r="F18" i="26"/>
  <c r="F60" i="26"/>
  <c r="F110" i="26" s="1"/>
  <c r="G60" i="26"/>
  <c r="G110" i="26" s="1"/>
  <c r="E47" i="2"/>
  <c r="I28" i="14" s="1"/>
  <c r="O28" i="14" s="1"/>
  <c r="E212" i="6"/>
  <c r="F125" i="4"/>
  <c r="F38" i="4"/>
  <c r="F345" i="19" s="1"/>
  <c r="F349" i="19" s="1"/>
  <c r="F275" i="47" s="1"/>
  <c r="F71" i="2"/>
  <c r="E150" i="4"/>
  <c r="F75" i="4"/>
  <c r="F152" i="4"/>
  <c r="E337" i="19"/>
  <c r="E341" i="19" s="1"/>
  <c r="E75" i="4"/>
  <c r="E152" i="4"/>
  <c r="F150" i="4"/>
  <c r="E125" i="4"/>
  <c r="E38" i="4"/>
  <c r="E345" i="19" s="1"/>
  <c r="E349" i="19" s="1"/>
  <c r="D68" i="10"/>
  <c r="H67" i="10"/>
  <c r="F150" i="6"/>
  <c r="F230" i="2" s="1"/>
  <c r="D68" i="26"/>
  <c r="H271" i="8"/>
  <c r="H95" i="8"/>
  <c r="H102" i="8" s="1"/>
  <c r="F70" i="26"/>
  <c r="F71" i="26" s="1"/>
  <c r="F271" i="8"/>
  <c r="F95" i="8"/>
  <c r="F102" i="8" s="1"/>
  <c r="H67" i="26"/>
  <c r="E70" i="26"/>
  <c r="E71" i="26" s="1"/>
  <c r="E70" i="10"/>
  <c r="E71" i="10" s="1"/>
  <c r="G70" i="26"/>
  <c r="G71" i="26" s="1"/>
  <c r="G70" i="10"/>
  <c r="G71" i="10" s="1"/>
  <c r="F212" i="6"/>
  <c r="G190" i="8"/>
  <c r="F197" i="8"/>
  <c r="F191" i="8"/>
  <c r="C273" i="8"/>
  <c r="C272" i="8"/>
  <c r="E273" i="8"/>
  <c r="E272" i="8"/>
  <c r="F60" i="10"/>
  <c r="F110" i="10" s="1"/>
  <c r="G60" i="10"/>
  <c r="G110" i="10" s="1"/>
  <c r="E60" i="10"/>
  <c r="E110" i="10" s="1"/>
  <c r="J132" i="8"/>
  <c r="I139" i="8"/>
  <c r="I133" i="8"/>
  <c r="J271" i="8"/>
  <c r="J95" i="8"/>
  <c r="J102" i="8" s="1"/>
  <c r="G234" i="1" l="1"/>
  <c r="F234" i="1"/>
  <c r="E234" i="1"/>
  <c r="P12" i="48"/>
  <c r="J319" i="47"/>
  <c r="I428" i="8"/>
  <c r="M428" i="8"/>
  <c r="C161" i="11"/>
  <c r="C169" i="11" s="1"/>
  <c r="F217" i="11"/>
  <c r="D161" i="11"/>
  <c r="D169" i="11" s="1"/>
  <c r="F212" i="11"/>
  <c r="P10" i="48"/>
  <c r="J60" i="1"/>
  <c r="C297" i="47"/>
  <c r="D273" i="8"/>
  <c r="D65" i="11"/>
  <c r="C68" i="11"/>
  <c r="C256" i="47"/>
  <c r="N234" i="1"/>
  <c r="E234" i="47"/>
  <c r="J234" i="47" s="1"/>
  <c r="G191" i="6"/>
  <c r="C296" i="47"/>
  <c r="C65" i="11"/>
  <c r="D63" i="11"/>
  <c r="C295" i="47"/>
  <c r="D66" i="11"/>
  <c r="C292" i="47"/>
  <c r="C298" i="47"/>
  <c r="C252" i="47"/>
  <c r="C257" i="47"/>
  <c r="C253" i="47"/>
  <c r="C254" i="47"/>
  <c r="C251" i="47"/>
  <c r="C255" i="47"/>
  <c r="C294" i="47"/>
  <c r="C569" i="8"/>
  <c r="C573" i="8" s="1"/>
  <c r="E275" i="47"/>
  <c r="C67" i="11"/>
  <c r="C66" i="11"/>
  <c r="D67" i="11"/>
  <c r="D68" i="11"/>
  <c r="C63" i="11"/>
  <c r="J24" i="1"/>
  <c r="J105" i="8"/>
  <c r="J107" i="8"/>
  <c r="G273" i="8"/>
  <c r="G272" i="8"/>
  <c r="J110" i="8"/>
  <c r="G170" i="6"/>
  <c r="G153" i="6"/>
  <c r="G232" i="2" s="1"/>
  <c r="F34" i="26"/>
  <c r="G35" i="26"/>
  <c r="G34" i="26"/>
  <c r="D36" i="10"/>
  <c r="H35" i="10"/>
  <c r="E284" i="8"/>
  <c r="C286" i="8"/>
  <c r="F62" i="26"/>
  <c r="F63" i="26" s="1"/>
  <c r="F46" i="10"/>
  <c r="F47" i="10" s="1"/>
  <c r="E62" i="10"/>
  <c r="E63" i="10" s="1"/>
  <c r="J104" i="8"/>
  <c r="J108" i="8"/>
  <c r="F19" i="49"/>
  <c r="C570" i="8"/>
  <c r="D573" i="8" s="1"/>
  <c r="E235" i="2"/>
  <c r="D235" i="1" s="1"/>
  <c r="H19" i="49"/>
  <c r="G93" i="2"/>
  <c r="E93" i="2"/>
  <c r="F27" i="53" s="1"/>
  <c r="E46" i="10"/>
  <c r="E47" i="10" s="1"/>
  <c r="E71" i="2"/>
  <c r="F93" i="2"/>
  <c r="E46" i="26"/>
  <c r="E47" i="26" s="1"/>
  <c r="H110" i="26"/>
  <c r="D47" i="1"/>
  <c r="G46" i="10"/>
  <c r="G47" i="10" s="1"/>
  <c r="G46" i="26"/>
  <c r="G47" i="26" s="1"/>
  <c r="E68" i="10"/>
  <c r="E112" i="10" s="1"/>
  <c r="E68" i="26"/>
  <c r="E112" i="26" s="1"/>
  <c r="F46" i="26"/>
  <c r="F47" i="26" s="1"/>
  <c r="F68" i="10"/>
  <c r="F112" i="10" s="1"/>
  <c r="G68" i="10"/>
  <c r="G112" i="10" s="1"/>
  <c r="G68" i="26"/>
  <c r="G112" i="26" s="1"/>
  <c r="F153" i="6"/>
  <c r="F232" i="2" s="1"/>
  <c r="F170" i="6"/>
  <c r="F68" i="26"/>
  <c r="F112" i="26" s="1"/>
  <c r="F272" i="8"/>
  <c r="F273" i="8"/>
  <c r="H273" i="8"/>
  <c r="H272" i="8"/>
  <c r="J133" i="8"/>
  <c r="J139" i="8"/>
  <c r="D72" i="10"/>
  <c r="H71" i="10"/>
  <c r="D72" i="26"/>
  <c r="H71" i="26"/>
  <c r="J273" i="8"/>
  <c r="J272" i="8"/>
  <c r="H110" i="10"/>
  <c r="G197" i="8"/>
  <c r="G191" i="8"/>
  <c r="H190" i="8"/>
  <c r="G235" i="1" l="1"/>
  <c r="E235" i="1"/>
  <c r="R26" i="13" s="1"/>
  <c r="F235" i="1"/>
  <c r="G7" i="19"/>
  <c r="G60" i="2" s="1"/>
  <c r="F7" i="19"/>
  <c r="F60" i="2" s="1"/>
  <c r="C160" i="11"/>
  <c r="C168" i="11" s="1"/>
  <c r="E217" i="11"/>
  <c r="C164" i="11"/>
  <c r="C172" i="11" s="1"/>
  <c r="I217" i="11"/>
  <c r="C165" i="11"/>
  <c r="C173" i="11" s="1"/>
  <c r="J217" i="11"/>
  <c r="C162" i="11"/>
  <c r="C170" i="11" s="1"/>
  <c r="G217" i="11"/>
  <c r="C163" i="11"/>
  <c r="C171" i="11" s="1"/>
  <c r="H217" i="11"/>
  <c r="D164" i="11"/>
  <c r="D172" i="11" s="1"/>
  <c r="I212" i="11"/>
  <c r="D163" i="11"/>
  <c r="D171" i="11" s="1"/>
  <c r="H212" i="11"/>
  <c r="D165" i="11"/>
  <c r="D173" i="11" s="1"/>
  <c r="J212" i="11"/>
  <c r="D160" i="11"/>
  <c r="D168" i="11" s="1"/>
  <c r="E212" i="11"/>
  <c r="D162" i="11"/>
  <c r="D170" i="11" s="1"/>
  <c r="G212" i="11"/>
  <c r="N428" i="8"/>
  <c r="O428" i="8" s="1"/>
  <c r="P428" i="8" s="1"/>
  <c r="P11" i="48"/>
  <c r="J61" i="1"/>
  <c r="J428" i="8"/>
  <c r="K428" i="8" s="1"/>
  <c r="L428" i="8" s="1"/>
  <c r="N235" i="1"/>
  <c r="J275" i="47"/>
  <c r="G62" i="10"/>
  <c r="G63" i="10" s="1"/>
  <c r="G62" i="26"/>
  <c r="G63" i="26" s="1"/>
  <c r="F36" i="10"/>
  <c r="F104" i="10" s="1"/>
  <c r="D36" i="26"/>
  <c r="H35" i="26"/>
  <c r="G36" i="10"/>
  <c r="G104" i="10" s="1"/>
  <c r="E36" i="10"/>
  <c r="E104" i="10" s="1"/>
  <c r="E285" i="8"/>
  <c r="C287" i="8"/>
  <c r="F62" i="10"/>
  <c r="F63" i="10" s="1"/>
  <c r="E62" i="26"/>
  <c r="E63" i="26" s="1"/>
  <c r="J234" i="1"/>
  <c r="D48" i="10"/>
  <c r="E94" i="2"/>
  <c r="D94" i="1" s="1"/>
  <c r="F94" i="2"/>
  <c r="G94" i="2"/>
  <c r="D93" i="1"/>
  <c r="F27" i="48"/>
  <c r="E72" i="2"/>
  <c r="D72" i="1" s="1"/>
  <c r="G72" i="2"/>
  <c r="D71" i="1"/>
  <c r="F72" i="2"/>
  <c r="H47" i="10"/>
  <c r="H47" i="26"/>
  <c r="D48" i="26"/>
  <c r="H112" i="10"/>
  <c r="H112" i="26"/>
  <c r="F72" i="10"/>
  <c r="F113" i="10" s="1"/>
  <c r="F72" i="26"/>
  <c r="F113" i="26" s="1"/>
  <c r="E72" i="10"/>
  <c r="E113" i="10" s="1"/>
  <c r="G72" i="26"/>
  <c r="G113" i="26" s="1"/>
  <c r="H191" i="8"/>
  <c r="H197" i="8"/>
  <c r="I190" i="8"/>
  <c r="G72" i="10"/>
  <c r="G113" i="10" s="1"/>
  <c r="E72" i="26"/>
  <c r="E113" i="26" s="1"/>
  <c r="F428" i="8" l="1"/>
  <c r="F10" i="3" s="1"/>
  <c r="G428" i="8"/>
  <c r="G10" i="3" s="1"/>
  <c r="P15" i="48"/>
  <c r="F48" i="10"/>
  <c r="F107" i="10" s="1"/>
  <c r="F48" i="26"/>
  <c r="F107" i="26" s="1"/>
  <c r="E48" i="10"/>
  <c r="E107" i="10" s="1"/>
  <c r="G48" i="10"/>
  <c r="G107" i="10" s="1"/>
  <c r="G48" i="26"/>
  <c r="G107" i="26" s="1"/>
  <c r="E48" i="26"/>
  <c r="E107" i="26" s="1"/>
  <c r="D64" i="10"/>
  <c r="D64" i="26"/>
  <c r="H104" i="10"/>
  <c r="G36" i="26"/>
  <c r="G104" i="26" s="1"/>
  <c r="F36" i="26"/>
  <c r="F104" i="26" s="1"/>
  <c r="E36" i="26"/>
  <c r="E104" i="26" s="1"/>
  <c r="E286" i="8"/>
  <c r="C288" i="8"/>
  <c r="H63" i="10"/>
  <c r="G64" i="10" s="1"/>
  <c r="G111" i="10" s="1"/>
  <c r="H63" i="26"/>
  <c r="J235" i="1"/>
  <c r="H113" i="26"/>
  <c r="J190" i="8"/>
  <c r="I191" i="8"/>
  <c r="I197" i="8"/>
  <c r="H113" i="10"/>
  <c r="E64" i="26" l="1"/>
  <c r="E111" i="26" s="1"/>
  <c r="H104" i="26"/>
  <c r="C289" i="8"/>
  <c r="E287" i="8"/>
  <c r="F64" i="26"/>
  <c r="F111" i="26" s="1"/>
  <c r="E64" i="10"/>
  <c r="E111" i="10" s="1"/>
  <c r="F64" i="10"/>
  <c r="F111" i="10" s="1"/>
  <c r="G64" i="26"/>
  <c r="G111" i="26" s="1"/>
  <c r="H107" i="10"/>
  <c r="H107" i="26"/>
  <c r="J191" i="8"/>
  <c r="J197" i="8"/>
  <c r="C290" i="8" l="1"/>
  <c r="E288" i="8"/>
  <c r="H111" i="26"/>
  <c r="H111" i="10"/>
  <c r="E289" i="8" l="1"/>
  <c r="C291" i="8"/>
  <c r="E290" i="8" l="1"/>
  <c r="C292" i="8"/>
  <c r="C293" i="8" l="1"/>
  <c r="E291" i="8"/>
  <c r="C294" i="8" l="1"/>
  <c r="E292" i="8"/>
  <c r="E293" i="8" l="1"/>
  <c r="C295" i="8"/>
  <c r="E294" i="8" l="1"/>
  <c r="C296" i="8"/>
  <c r="E295" i="8" l="1"/>
  <c r="C297" i="8"/>
  <c r="J82" i="1" l="1"/>
  <c r="E296" i="8"/>
  <c r="C298" i="8"/>
  <c r="J83" i="1" l="1"/>
  <c r="E297" i="8"/>
  <c r="C299" i="8"/>
  <c r="C300" i="8" l="1"/>
  <c r="E298" i="8"/>
  <c r="C301" i="8" l="1"/>
  <c r="E300" i="8" s="1"/>
  <c r="E299" i="8"/>
  <c r="E56" i="11" l="1"/>
  <c r="I207" i="11" s="1"/>
  <c r="E12" i="2" l="1"/>
  <c r="E14" i="2" s="1"/>
  <c r="E177" i="6" l="1"/>
  <c r="I9" i="14"/>
  <c r="O9" i="14" s="1"/>
  <c r="D12" i="1"/>
  <c r="D14" i="1"/>
  <c r="I13" i="15" l="1"/>
  <c r="E51" i="4"/>
  <c r="E203" i="19" s="1"/>
  <c r="G51" i="4"/>
  <c r="G203" i="19" s="1"/>
  <c r="G204" i="19" s="1"/>
  <c r="G309" i="47" s="1"/>
  <c r="F51" i="4"/>
  <c r="F203" i="19" s="1"/>
  <c r="F204" i="19" s="1"/>
  <c r="F309" i="47" s="1"/>
  <c r="E62" i="4"/>
  <c r="E260" i="19" s="1"/>
  <c r="G62" i="4"/>
  <c r="G260" i="19" s="1"/>
  <c r="F62" i="4"/>
  <c r="F260" i="19" s="1"/>
  <c r="E70" i="4"/>
  <c r="E303" i="19" s="1"/>
  <c r="G70" i="4"/>
  <c r="G303" i="19" s="1"/>
  <c r="F70" i="4"/>
  <c r="F303" i="19" s="1"/>
  <c r="E29" i="4"/>
  <c r="E92" i="47" s="1"/>
  <c r="F111" i="2" l="1"/>
  <c r="G206" i="19"/>
  <c r="G208" i="19" s="1"/>
  <c r="G212" i="19" s="1"/>
  <c r="E9" i="4"/>
  <c r="E91" i="47" s="1"/>
  <c r="E93" i="4"/>
  <c r="E139" i="4"/>
  <c r="E187" i="19" s="1"/>
  <c r="G93" i="4"/>
  <c r="G44" i="4"/>
  <c r="F94" i="4"/>
  <c r="E76" i="4"/>
  <c r="G101" i="4"/>
  <c r="F112" i="19"/>
  <c r="F206" i="19"/>
  <c r="F208" i="19" s="1"/>
  <c r="F68" i="4"/>
  <c r="F77" i="4"/>
  <c r="F157" i="4"/>
  <c r="F107" i="4"/>
  <c r="E24" i="4"/>
  <c r="E101" i="4"/>
  <c r="E68" i="4"/>
  <c r="F93" i="4"/>
  <c r="G112" i="19"/>
  <c r="G111" i="2"/>
  <c r="E204" i="19"/>
  <c r="F32" i="50"/>
  <c r="F44" i="4"/>
  <c r="E138" i="4"/>
  <c r="F101" i="4"/>
  <c r="E106" i="4"/>
  <c r="E77" i="4"/>
  <c r="F138" i="4"/>
  <c r="F106" i="4"/>
  <c r="G77" i="4"/>
  <c r="G138" i="4"/>
  <c r="G24" i="4"/>
  <c r="G76" i="4"/>
  <c r="G68" i="4"/>
  <c r="E44" i="4"/>
  <c r="G23" i="4"/>
  <c r="E94" i="4"/>
  <c r="E23" i="4"/>
  <c r="E157" i="4"/>
  <c r="F23" i="4"/>
  <c r="G106" i="4"/>
  <c r="G94" i="4"/>
  <c r="G157" i="4"/>
  <c r="F24" i="4"/>
  <c r="F76" i="4"/>
  <c r="G107" i="4"/>
  <c r="E107" i="4"/>
  <c r="E206" i="19" l="1"/>
  <c r="E208" i="19" s="1"/>
  <c r="E309" i="47"/>
  <c r="J309" i="47" s="1"/>
  <c r="G209" i="19"/>
  <c r="F209" i="19"/>
  <c r="F212" i="19"/>
  <c r="E112" i="19"/>
  <c r="F34" i="50"/>
  <c r="E111" i="2"/>
  <c r="E212" i="19" l="1"/>
  <c r="G29" i="4"/>
  <c r="G92" i="47" s="1"/>
  <c r="F29" i="4"/>
  <c r="F92" i="47" s="1"/>
  <c r="J92" i="47" l="1"/>
  <c r="F9" i="4"/>
  <c r="F91" i="47" s="1"/>
  <c r="G9" i="4"/>
  <c r="G91" i="47" s="1"/>
  <c r="F139" i="4"/>
  <c r="F187" i="19" s="1"/>
  <c r="G139" i="4"/>
  <c r="G187" i="19" s="1"/>
  <c r="J91" i="47" l="1"/>
  <c r="H139" i="26" l="1"/>
  <c r="H131" i="10"/>
  <c r="F22" i="4" l="1"/>
  <c r="G22" i="4"/>
  <c r="E22" i="4" l="1"/>
  <c r="E134" i="4" l="1"/>
  <c r="F134" i="4" l="1"/>
  <c r="G134" i="4"/>
  <c r="G54" i="10" l="1"/>
  <c r="G55" i="10" s="1"/>
  <c r="G54" i="26"/>
  <c r="G55" i="26" s="1"/>
  <c r="F54" i="26"/>
  <c r="F55" i="26" s="1"/>
  <c r="F54" i="10"/>
  <c r="F55" i="10" s="1"/>
  <c r="E54" i="10"/>
  <c r="E55" i="10" s="1"/>
  <c r="E54" i="26"/>
  <c r="E55" i="26" s="1"/>
  <c r="H55" i="10" l="1"/>
  <c r="H55" i="26"/>
  <c r="D56" i="26"/>
  <c r="D56" i="10"/>
  <c r="E56" i="26" l="1"/>
  <c r="E109" i="26" s="1"/>
  <c r="F56" i="26"/>
  <c r="F109" i="26" s="1"/>
  <c r="G56" i="10"/>
  <c r="G109" i="10" s="1"/>
  <c r="F56" i="10"/>
  <c r="F109" i="10" s="1"/>
  <c r="E56" i="10"/>
  <c r="E109" i="10" s="1"/>
  <c r="G56" i="26"/>
  <c r="G109" i="26" s="1"/>
  <c r="H109" i="10" l="1"/>
  <c r="H109" i="26"/>
  <c r="P14" i="53" l="1"/>
  <c r="J85" i="1"/>
  <c r="J84" i="1"/>
  <c r="E26" i="19"/>
  <c r="N10" i="53" l="1"/>
  <c r="E82" i="2"/>
  <c r="D82" i="1" s="1"/>
  <c r="E53" i="11" l="1"/>
  <c r="F207" i="11" s="1"/>
  <c r="N14" i="17" l="1"/>
  <c r="N24" i="17"/>
  <c r="N22" i="17"/>
  <c r="N18" i="17"/>
  <c r="N16" i="17"/>
  <c r="N26" i="17"/>
  <c r="N12" i="17"/>
  <c r="N20" i="17"/>
  <c r="E46" i="47" l="1"/>
  <c r="E53" i="47"/>
  <c r="E54" i="47"/>
  <c r="E49" i="47"/>
  <c r="E48" i="47"/>
  <c r="E47" i="47" l="1"/>
  <c r="E50" i="47"/>
  <c r="E52" i="47"/>
  <c r="E51" i="47"/>
  <c r="E20" i="4"/>
  <c r="E40" i="4"/>
  <c r="E144" i="4"/>
  <c r="E32" i="4"/>
  <c r="E404" i="19" s="1"/>
  <c r="E406" i="19" s="1"/>
  <c r="E98" i="2" s="1"/>
  <c r="E145" i="4"/>
  <c r="E12" i="4"/>
  <c r="E397" i="19" s="1"/>
  <c r="E399" i="19" s="1"/>
  <c r="E76" i="2" s="1"/>
  <c r="E146" i="4"/>
  <c r="E148" i="19" s="1"/>
  <c r="E147" i="4"/>
  <c r="E156" i="19" s="1"/>
  <c r="E63" i="47" l="1"/>
  <c r="N13" i="53"/>
  <c r="E101" i="2"/>
  <c r="E79" i="2"/>
  <c r="N13" i="48"/>
  <c r="E62" i="47"/>
  <c r="F123" i="42"/>
  <c r="G356" i="42"/>
  <c r="F303" i="42"/>
  <c r="G233" i="42"/>
  <c r="G82" i="42"/>
  <c r="F96" i="42"/>
  <c r="G318" i="42"/>
  <c r="E54" i="42"/>
  <c r="E158" i="47"/>
  <c r="E192" i="47"/>
  <c r="E350" i="42"/>
  <c r="E198" i="47"/>
  <c r="E207" i="47"/>
  <c r="E183" i="47"/>
  <c r="E148" i="47"/>
  <c r="E277" i="42"/>
  <c r="E165" i="47"/>
  <c r="E181" i="47"/>
  <c r="E123" i="47"/>
  <c r="E109" i="47"/>
  <c r="E173" i="42"/>
  <c r="E121" i="47"/>
  <c r="E178" i="47"/>
  <c r="E195" i="47"/>
  <c r="E104" i="47"/>
  <c r="E162" i="47"/>
  <c r="G191" i="42"/>
  <c r="F263" i="42"/>
  <c r="F275" i="42"/>
  <c r="G151" i="42"/>
  <c r="G346" i="42"/>
  <c r="F61" i="42"/>
  <c r="G98" i="42"/>
  <c r="F66" i="42"/>
  <c r="F237" i="42"/>
  <c r="E217" i="42"/>
  <c r="L88" i="4" s="1"/>
  <c r="E163" i="47"/>
  <c r="E179" i="47"/>
  <c r="E104" i="42"/>
  <c r="E204" i="47"/>
  <c r="E101" i="47"/>
  <c r="E231" i="42"/>
  <c r="E180" i="47"/>
  <c r="E197" i="47"/>
  <c r="E164" i="47"/>
  <c r="E311" i="42"/>
  <c r="E124" i="47"/>
  <c r="E110" i="47"/>
  <c r="E36" i="42"/>
  <c r="E201" i="47"/>
  <c r="E98" i="47"/>
  <c r="E108" i="42"/>
  <c r="E102" i="47"/>
  <c r="E142" i="47"/>
  <c r="E175" i="47"/>
  <c r="G124" i="42"/>
  <c r="G52" i="42"/>
  <c r="G255" i="42"/>
  <c r="F38" i="42"/>
  <c r="G74" i="42"/>
  <c r="F50" i="42"/>
  <c r="F196" i="42"/>
  <c r="F342" i="42"/>
  <c r="E255" i="42"/>
  <c r="E107" i="47"/>
  <c r="E122" i="47"/>
  <c r="E146" i="47"/>
  <c r="E320" i="42"/>
  <c r="E125" i="47"/>
  <c r="E154" i="42"/>
  <c r="E161" i="47"/>
  <c r="E194" i="47"/>
  <c r="E177" i="47"/>
  <c r="E145" i="47"/>
  <c r="E206" i="47"/>
  <c r="E106" i="47"/>
  <c r="E130" i="42"/>
  <c r="E176" i="47"/>
  <c r="E103" i="47"/>
  <c r="E143" i="47"/>
  <c r="E160" i="47"/>
  <c r="E120" i="47"/>
  <c r="G278" i="42"/>
  <c r="F360" i="42"/>
  <c r="G47" i="42"/>
  <c r="G285" i="42"/>
  <c r="F154" i="42"/>
  <c r="G214" i="42"/>
  <c r="F165" i="42"/>
  <c r="F308" i="42"/>
  <c r="G36" i="42"/>
  <c r="F322" i="42"/>
  <c r="F98" i="42"/>
  <c r="E42" i="42"/>
  <c r="E99" i="47"/>
  <c r="E76" i="42"/>
  <c r="E159" i="47"/>
  <c r="E193" i="47"/>
  <c r="E202" i="47"/>
  <c r="E92" i="42"/>
  <c r="L48" i="4" s="1"/>
  <c r="E174" i="47"/>
  <c r="E203" i="47"/>
  <c r="E100" i="47"/>
  <c r="E105" i="47"/>
  <c r="E144" i="47"/>
  <c r="E196" i="47"/>
  <c r="E205" i="47"/>
  <c r="E282" i="42"/>
  <c r="E108" i="47"/>
  <c r="E344" i="42"/>
  <c r="E111" i="47"/>
  <c r="E147" i="47"/>
  <c r="E182" i="47"/>
  <c r="E166" i="47"/>
  <c r="E409" i="2"/>
  <c r="E105" i="17" s="1"/>
  <c r="E395" i="2"/>
  <c r="E77" i="17" s="1"/>
  <c r="E398" i="2"/>
  <c r="E83" i="17" s="1"/>
  <c r="E405" i="2"/>
  <c r="E97" i="17" s="1"/>
  <c r="E393" i="2"/>
  <c r="E73" i="17" s="1"/>
  <c r="E392" i="2"/>
  <c r="E71" i="17" s="1"/>
  <c r="E260" i="42"/>
  <c r="E399" i="2"/>
  <c r="E85" i="17" s="1"/>
  <c r="E403" i="2"/>
  <c r="E93" i="17" s="1"/>
  <c r="E264" i="42"/>
  <c r="E61" i="42"/>
  <c r="E389" i="2"/>
  <c r="E65" i="17" s="1"/>
  <c r="E60" i="42"/>
  <c r="E391" i="2"/>
  <c r="E69" i="17" s="1"/>
  <c r="E401" i="2"/>
  <c r="E89" i="17" s="1"/>
  <c r="E396" i="2"/>
  <c r="E79" i="17" s="1"/>
  <c r="E59" i="42"/>
  <c r="E407" i="2"/>
  <c r="E101" i="17" s="1"/>
  <c r="E58" i="42"/>
  <c r="E257" i="42"/>
  <c r="E275" i="42"/>
  <c r="E258" i="42"/>
  <c r="E280" i="42"/>
  <c r="E404" i="2"/>
  <c r="E95" i="17" s="1"/>
  <c r="E273" i="42"/>
  <c r="E50" i="42"/>
  <c r="E390" i="2"/>
  <c r="E67" i="17" s="1"/>
  <c r="E271" i="42"/>
  <c r="E270" i="42"/>
  <c r="E64" i="42"/>
  <c r="E52" i="42"/>
  <c r="E55" i="42"/>
  <c r="E322" i="42"/>
  <c r="E402" i="2"/>
  <c r="E91" i="17" s="1"/>
  <c r="E57" i="42"/>
  <c r="E408" i="2"/>
  <c r="E103" i="17" s="1"/>
  <c r="E410" i="2"/>
  <c r="E107" i="17" s="1"/>
  <c r="E268" i="42"/>
  <c r="E278" i="42"/>
  <c r="E276" i="42"/>
  <c r="E206" i="42"/>
  <c r="E47" i="42"/>
  <c r="E394" i="2"/>
  <c r="E75" i="17" s="1"/>
  <c r="E400" i="2"/>
  <c r="E87" i="17" s="1"/>
  <c r="E212" i="42"/>
  <c r="E98" i="42"/>
  <c r="E318" i="42"/>
  <c r="E406" i="2"/>
  <c r="E99" i="17" s="1"/>
  <c r="E397" i="2"/>
  <c r="E81" i="17" s="1"/>
  <c r="E323" i="42"/>
  <c r="E279" i="42"/>
  <c r="G279" i="42"/>
  <c r="G275" i="42"/>
  <c r="G45" i="42"/>
  <c r="F153" i="42"/>
  <c r="G208" i="42"/>
  <c r="G31" i="42"/>
  <c r="G40" i="42"/>
  <c r="G117" i="42"/>
  <c r="G111" i="42"/>
  <c r="G119" i="42"/>
  <c r="G113" i="42"/>
  <c r="G114" i="42"/>
  <c r="G108" i="42"/>
  <c r="G116" i="42"/>
  <c r="G110" i="42"/>
  <c r="F116" i="42"/>
  <c r="F110" i="42"/>
  <c r="F117" i="42"/>
  <c r="F111" i="42"/>
  <c r="F119" i="42"/>
  <c r="F113" i="42"/>
  <c r="F114" i="42"/>
  <c r="F108" i="42"/>
  <c r="G185" i="42"/>
  <c r="G180" i="42"/>
  <c r="G187" i="42"/>
  <c r="G181" i="42"/>
  <c r="G182" i="42"/>
  <c r="G183" i="42"/>
  <c r="G179" i="42"/>
  <c r="G173" i="42"/>
  <c r="G167" i="42"/>
  <c r="G174" i="42"/>
  <c r="G168" i="42"/>
  <c r="G162" i="42"/>
  <c r="G176" i="42"/>
  <c r="G170" i="42"/>
  <c r="G164" i="42"/>
  <c r="G178" i="42"/>
  <c r="G171" i="42"/>
  <c r="G165" i="42"/>
  <c r="F288" i="42"/>
  <c r="F282" i="42"/>
  <c r="F290" i="42"/>
  <c r="F284" i="42"/>
  <c r="F285" i="42"/>
  <c r="F287" i="42"/>
  <c r="G316" i="42"/>
  <c r="G310" i="42"/>
  <c r="G311" i="42"/>
  <c r="G305" i="42"/>
  <c r="G313" i="42"/>
  <c r="G307" i="42"/>
  <c r="G314" i="42"/>
  <c r="G308" i="42"/>
  <c r="F264" i="42"/>
  <c r="F258" i="42"/>
  <c r="F254" i="42"/>
  <c r="F261" i="42"/>
  <c r="G303" i="42"/>
  <c r="G297" i="42"/>
  <c r="G298" i="42"/>
  <c r="G292" i="42"/>
  <c r="G300" i="42"/>
  <c r="G294" i="42"/>
  <c r="G301" i="42"/>
  <c r="G295" i="42"/>
  <c r="F75" i="42"/>
  <c r="F230" i="42"/>
  <c r="F233" i="42"/>
  <c r="G244" i="42"/>
  <c r="G246" i="42"/>
  <c r="G239" i="42"/>
  <c r="G248" i="42"/>
  <c r="G241" i="42"/>
  <c r="G250" i="42"/>
  <c r="G242" i="42"/>
  <c r="F217" i="42"/>
  <c r="M88" i="4" s="1"/>
  <c r="F212" i="42"/>
  <c r="F206" i="42"/>
  <c r="F219" i="42"/>
  <c r="F213" i="42"/>
  <c r="F208" i="42"/>
  <c r="F214" i="42"/>
  <c r="F210" i="42"/>
  <c r="F215" i="42"/>
  <c r="F211" i="42"/>
  <c r="F204" i="42"/>
  <c r="F395" i="2"/>
  <c r="F394" i="2"/>
  <c r="F404" i="2"/>
  <c r="F407" i="2"/>
  <c r="F402" i="2"/>
  <c r="F398" i="2"/>
  <c r="F396" i="2"/>
  <c r="F408" i="2"/>
  <c r="F390" i="2"/>
  <c r="F400" i="2"/>
  <c r="F403" i="2"/>
  <c r="F399" i="2"/>
  <c r="F389" i="2"/>
  <c r="F405" i="2"/>
  <c r="F401" i="2"/>
  <c r="F393" i="2"/>
  <c r="F410" i="2"/>
  <c r="F392" i="2"/>
  <c r="F406" i="2"/>
  <c r="F391" i="2"/>
  <c r="F409" i="2"/>
  <c r="F397" i="2"/>
  <c r="F40" i="4"/>
  <c r="F63" i="47" s="1"/>
  <c r="E190" i="6"/>
  <c r="J21" i="15" s="1"/>
  <c r="E163" i="19"/>
  <c r="E27" i="2"/>
  <c r="I15" i="14" s="1"/>
  <c r="O15" i="14" s="1"/>
  <c r="G40" i="4"/>
  <c r="G63" i="47" s="1"/>
  <c r="F20" i="4"/>
  <c r="F62" i="47" s="1"/>
  <c r="F32" i="4"/>
  <c r="F404" i="19" s="1"/>
  <c r="F406" i="19" s="1"/>
  <c r="F98" i="2" s="1"/>
  <c r="G146" i="4"/>
  <c r="G148" i="19" s="1"/>
  <c r="G144" i="4"/>
  <c r="G147" i="4"/>
  <c r="G156" i="19" s="1"/>
  <c r="F147" i="4"/>
  <c r="F156" i="19" s="1"/>
  <c r="F12" i="4"/>
  <c r="F397" i="19" s="1"/>
  <c r="F399" i="19" s="1"/>
  <c r="F76" i="2" s="1"/>
  <c r="F145" i="4"/>
  <c r="F144" i="4"/>
  <c r="F146" i="4"/>
  <c r="F148" i="19" s="1"/>
  <c r="G20" i="4"/>
  <c r="G62" i="47" s="1"/>
  <c r="G32" i="4"/>
  <c r="G404" i="19" s="1"/>
  <c r="G406" i="19" s="1"/>
  <c r="G98" i="2" s="1"/>
  <c r="G12" i="4"/>
  <c r="G397" i="19" s="1"/>
  <c r="G399" i="19" s="1"/>
  <c r="G76" i="2" s="1"/>
  <c r="G145" i="4"/>
  <c r="G79" i="2" l="1"/>
  <c r="F79" i="2"/>
  <c r="G101" i="2"/>
  <c r="F101" i="2"/>
  <c r="E48" i="4"/>
  <c r="E104" i="2" s="1"/>
  <c r="E367" i="19" s="1"/>
  <c r="E88" i="4"/>
  <c r="M14" i="5" s="1"/>
  <c r="D22" i="51" s="1"/>
  <c r="G127" i="42"/>
  <c r="N41" i="4" s="1"/>
  <c r="E326" i="42"/>
  <c r="L26" i="4" s="1"/>
  <c r="E321" i="42"/>
  <c r="G270" i="42"/>
  <c r="G276" i="42"/>
  <c r="F260" i="42"/>
  <c r="F257" i="42"/>
  <c r="F255" i="42"/>
  <c r="F252" i="42"/>
  <c r="E261" i="42"/>
  <c r="E263" i="42"/>
  <c r="G206" i="42"/>
  <c r="G217" i="42"/>
  <c r="N88" i="4" s="1"/>
  <c r="G211" i="42"/>
  <c r="F157" i="42"/>
  <c r="F155" i="42"/>
  <c r="F151" i="42"/>
  <c r="F158" i="42"/>
  <c r="F144" i="42"/>
  <c r="F156" i="42"/>
  <c r="E103" i="42"/>
  <c r="E100" i="42"/>
  <c r="E101" i="42"/>
  <c r="G34" i="42"/>
  <c r="G38" i="42"/>
  <c r="G33" i="42"/>
  <c r="G141" i="42"/>
  <c r="F76" i="42"/>
  <c r="F48" i="42"/>
  <c r="F232" i="42"/>
  <c r="F73" i="42"/>
  <c r="E62" i="42"/>
  <c r="G139" i="42"/>
  <c r="F311" i="42"/>
  <c r="E336" i="42"/>
  <c r="G76" i="42"/>
  <c r="F44" i="42"/>
  <c r="G78" i="42"/>
  <c r="F47" i="42"/>
  <c r="G80" i="42"/>
  <c r="G138" i="42"/>
  <c r="F231" i="42"/>
  <c r="F74" i="42"/>
  <c r="G77" i="42"/>
  <c r="G135" i="42"/>
  <c r="G130" i="42"/>
  <c r="F42" i="42"/>
  <c r="G71" i="42"/>
  <c r="G68" i="42"/>
  <c r="G140" i="42"/>
  <c r="G132" i="42"/>
  <c r="G137" i="42"/>
  <c r="F221" i="42"/>
  <c r="F224" i="42"/>
  <c r="F69" i="42"/>
  <c r="F78" i="42"/>
  <c r="F104" i="42"/>
  <c r="E208" i="42"/>
  <c r="E117" i="42"/>
  <c r="F45" i="42"/>
  <c r="G66" i="42"/>
  <c r="G75" i="42"/>
  <c r="G129" i="42"/>
  <c r="G133" i="42"/>
  <c r="G142" i="42"/>
  <c r="F229" i="42"/>
  <c r="F226" i="42"/>
  <c r="F235" i="42"/>
  <c r="F68" i="42"/>
  <c r="F77" i="42"/>
  <c r="E211" i="42"/>
  <c r="E119" i="42"/>
  <c r="E328" i="42"/>
  <c r="E330" i="42"/>
  <c r="E325" i="42"/>
  <c r="L6" i="4" s="1"/>
  <c r="F307" i="42"/>
  <c r="F316" i="42"/>
  <c r="F313" i="42"/>
  <c r="F314" i="42"/>
  <c r="F310" i="42"/>
  <c r="G271" i="42"/>
  <c r="G280" i="42"/>
  <c r="G273" i="42"/>
  <c r="G277" i="42"/>
  <c r="G268" i="42"/>
  <c r="E254" i="42"/>
  <c r="E252" i="42"/>
  <c r="G212" i="42"/>
  <c r="G215" i="42"/>
  <c r="G213" i="42"/>
  <c r="G210" i="42"/>
  <c r="G219" i="42"/>
  <c r="G204" i="42"/>
  <c r="E210" i="42"/>
  <c r="E204" i="42"/>
  <c r="F160" i="42"/>
  <c r="E114" i="42"/>
  <c r="E110" i="42"/>
  <c r="F100" i="42"/>
  <c r="F106" i="42"/>
  <c r="F101" i="42"/>
  <c r="F103" i="42"/>
  <c r="E106" i="42"/>
  <c r="G42" i="42"/>
  <c r="G44" i="42"/>
  <c r="G48" i="42"/>
  <c r="G50" i="42"/>
  <c r="F33" i="42"/>
  <c r="E44" i="42"/>
  <c r="E48" i="42"/>
  <c r="E45" i="42"/>
  <c r="E140" i="42"/>
  <c r="E341" i="42"/>
  <c r="E334" i="42"/>
  <c r="E333" i="42"/>
  <c r="E66" i="42"/>
  <c r="E331" i="42"/>
  <c r="G144" i="42"/>
  <c r="G260" i="42"/>
  <c r="G230" i="42"/>
  <c r="F85" i="42"/>
  <c r="G341" i="42"/>
  <c r="G88" i="42"/>
  <c r="F124" i="42"/>
  <c r="E129" i="42"/>
  <c r="G339" i="42"/>
  <c r="G323" i="42"/>
  <c r="G231" i="42"/>
  <c r="F141" i="42"/>
  <c r="E87" i="42"/>
  <c r="E178" i="42"/>
  <c r="E155" i="42"/>
  <c r="F52" i="42"/>
  <c r="F271" i="42"/>
  <c r="E342" i="42"/>
  <c r="E339" i="42"/>
  <c r="E345" i="42"/>
  <c r="F344" i="42"/>
  <c r="G60" i="42"/>
  <c r="F167" i="42"/>
  <c r="F331" i="42"/>
  <c r="G61" i="42"/>
  <c r="G101" i="42"/>
  <c r="G337" i="42"/>
  <c r="G194" i="42"/>
  <c r="F91" i="42"/>
  <c r="G235" i="42"/>
  <c r="G360" i="42"/>
  <c r="F121" i="42"/>
  <c r="F320" i="42"/>
  <c r="F187" i="42"/>
  <c r="E78" i="42"/>
  <c r="E68" i="42"/>
  <c r="E174" i="42"/>
  <c r="G73" i="42"/>
  <c r="G69" i="42"/>
  <c r="G123" i="42"/>
  <c r="G121" i="42"/>
  <c r="G126" i="42"/>
  <c r="N21" i="4" s="1"/>
  <c r="F223" i="42"/>
  <c r="F228" i="42"/>
  <c r="F71" i="42"/>
  <c r="F80" i="42"/>
  <c r="F270" i="42"/>
  <c r="G226" i="42"/>
  <c r="G351" i="42"/>
  <c r="F139" i="42"/>
  <c r="F305" i="42"/>
  <c r="E213" i="42"/>
  <c r="E215" i="42"/>
  <c r="E214" i="42"/>
  <c r="E156" i="42"/>
  <c r="E144" i="42"/>
  <c r="E219" i="42"/>
  <c r="E351" i="42"/>
  <c r="E308" i="42"/>
  <c r="E80" i="42"/>
  <c r="E111" i="42"/>
  <c r="E343" i="42"/>
  <c r="E116" i="42"/>
  <c r="E337" i="42"/>
  <c r="E113" i="42"/>
  <c r="E346" i="42"/>
  <c r="E287" i="42"/>
  <c r="E288" i="42"/>
  <c r="E290" i="42"/>
  <c r="E284" i="42"/>
  <c r="F358" i="42"/>
  <c r="F354" i="42"/>
  <c r="F351" i="42"/>
  <c r="F348" i="42"/>
  <c r="F333" i="42"/>
  <c r="F328" i="42"/>
  <c r="F330" i="42"/>
  <c r="F345" i="42"/>
  <c r="F346" i="42"/>
  <c r="F198" i="42"/>
  <c r="F202" i="42"/>
  <c r="F191" i="42"/>
  <c r="F194" i="42"/>
  <c r="F242" i="42"/>
  <c r="F248" i="42"/>
  <c r="F244" i="42"/>
  <c r="F241" i="42"/>
  <c r="E223" i="42"/>
  <c r="E226" i="42"/>
  <c r="E230" i="42"/>
  <c r="E237" i="42"/>
  <c r="E233" i="42"/>
  <c r="E221" i="42"/>
  <c r="E301" i="42"/>
  <c r="E294" i="42"/>
  <c r="E292" i="42"/>
  <c r="E295" i="42"/>
  <c r="F297" i="42"/>
  <c r="F294" i="42"/>
  <c r="F301" i="42"/>
  <c r="F298" i="42"/>
  <c r="F337" i="42"/>
  <c r="F192" i="42"/>
  <c r="F239" i="42"/>
  <c r="F57" i="42"/>
  <c r="F323" i="42"/>
  <c r="F181" i="42"/>
  <c r="F350" i="42"/>
  <c r="E358" i="42"/>
  <c r="E297" i="42"/>
  <c r="E228" i="42"/>
  <c r="E314" i="42"/>
  <c r="E229" i="42"/>
  <c r="E196" i="42"/>
  <c r="E194" i="42"/>
  <c r="E189" i="42"/>
  <c r="E192" i="42"/>
  <c r="E191" i="42"/>
  <c r="E200" i="42"/>
  <c r="E94" i="42"/>
  <c r="E96" i="42"/>
  <c r="E82" i="42"/>
  <c r="E84" i="42"/>
  <c r="E90" i="42"/>
  <c r="L19" i="4" s="1"/>
  <c r="E88" i="42"/>
  <c r="E250" i="42"/>
  <c r="E241" i="42"/>
  <c r="E246" i="42"/>
  <c r="E244" i="42"/>
  <c r="E248" i="42"/>
  <c r="E242" i="42"/>
  <c r="E239" i="42"/>
  <c r="F31" i="42"/>
  <c r="F34" i="42"/>
  <c r="F40" i="42"/>
  <c r="G106" i="42"/>
  <c r="G100" i="42"/>
  <c r="G334" i="42"/>
  <c r="G336" i="42"/>
  <c r="G331" i="42"/>
  <c r="G328" i="42"/>
  <c r="G330" i="42"/>
  <c r="G344" i="42"/>
  <c r="G325" i="42"/>
  <c r="N6" i="4" s="1"/>
  <c r="G322" i="42"/>
  <c r="G320" i="42"/>
  <c r="G87" i="42"/>
  <c r="G96" i="42"/>
  <c r="G91" i="42"/>
  <c r="N39" i="4" s="1"/>
  <c r="G94" i="42"/>
  <c r="G90" i="42"/>
  <c r="N19" i="4" s="1"/>
  <c r="F343" i="42"/>
  <c r="G104" i="42"/>
  <c r="G343" i="42"/>
  <c r="G345" i="42"/>
  <c r="G321" i="42"/>
  <c r="F88" i="42"/>
  <c r="G92" i="42"/>
  <c r="N48" i="4" s="1"/>
  <c r="F300" i="42"/>
  <c r="F126" i="42"/>
  <c r="M21" i="4" s="1"/>
  <c r="F162" i="42"/>
  <c r="F356" i="42"/>
  <c r="E298" i="42"/>
  <c r="E300" i="42"/>
  <c r="E348" i="42"/>
  <c r="E133" i="42"/>
  <c r="E77" i="42"/>
  <c r="E202" i="42"/>
  <c r="E198" i="42"/>
  <c r="E176" i="42"/>
  <c r="E165" i="42"/>
  <c r="F326" i="42"/>
  <c r="M26" i="4" s="1"/>
  <c r="F318" i="42"/>
  <c r="F321" i="42"/>
  <c r="F325" i="42"/>
  <c r="M6" i="4" s="1"/>
  <c r="F183" i="42"/>
  <c r="F178" i="42"/>
  <c r="F179" i="42"/>
  <c r="F174" i="42"/>
  <c r="F170" i="42"/>
  <c r="F185" i="42"/>
  <c r="F171" i="42"/>
  <c r="F173" i="42"/>
  <c r="F168" i="42"/>
  <c r="F164" i="42"/>
  <c r="G62" i="42"/>
  <c r="G59" i="42"/>
  <c r="G58" i="42"/>
  <c r="G54" i="42"/>
  <c r="E313" i="42"/>
  <c r="E310" i="42"/>
  <c r="E305" i="42"/>
  <c r="E307" i="42"/>
  <c r="E316" i="42"/>
  <c r="F60" i="42"/>
  <c r="F62" i="42"/>
  <c r="F59" i="42"/>
  <c r="F55" i="42"/>
  <c r="F58" i="42"/>
  <c r="F54" i="42"/>
  <c r="F273" i="42"/>
  <c r="F280" i="42"/>
  <c r="F277" i="42"/>
  <c r="F279" i="42"/>
  <c r="F276" i="42"/>
  <c r="G200" i="42"/>
  <c r="G196" i="42"/>
  <c r="G192" i="42"/>
  <c r="G189" i="42"/>
  <c r="E354" i="42"/>
  <c r="E353" i="42"/>
  <c r="E360" i="42"/>
  <c r="E356" i="42"/>
  <c r="F334" i="42"/>
  <c r="G64" i="42"/>
  <c r="F268" i="42"/>
  <c r="G202" i="42"/>
  <c r="F295" i="42"/>
  <c r="F176" i="42"/>
  <c r="E224" i="42"/>
  <c r="E285" i="42"/>
  <c r="E71" i="42"/>
  <c r="E69" i="42"/>
  <c r="E73" i="42"/>
  <c r="E74" i="42"/>
  <c r="E75" i="42"/>
  <c r="G290" i="42"/>
  <c r="G288" i="42"/>
  <c r="G284" i="42"/>
  <c r="G282" i="42"/>
  <c r="E121" i="42"/>
  <c r="E135" i="42"/>
  <c r="E142" i="42"/>
  <c r="E124" i="42"/>
  <c r="E137" i="42"/>
  <c r="E132" i="42"/>
  <c r="E141" i="42"/>
  <c r="E123" i="42"/>
  <c r="E158" i="42"/>
  <c r="E151" i="42"/>
  <c r="E153" i="42"/>
  <c r="E157" i="42"/>
  <c r="E160" i="42"/>
  <c r="G264" i="42"/>
  <c r="N27" i="4" s="1"/>
  <c r="G254" i="42"/>
  <c r="G257" i="42"/>
  <c r="G258" i="42"/>
  <c r="G261" i="42"/>
  <c r="E34" i="42"/>
  <c r="E31" i="42"/>
  <c r="E40" i="42"/>
  <c r="E33" i="42"/>
  <c r="E38" i="42"/>
  <c r="G155" i="42"/>
  <c r="G157" i="42"/>
  <c r="G154" i="42"/>
  <c r="G153" i="42"/>
  <c r="E183" i="42"/>
  <c r="E181" i="42"/>
  <c r="E179" i="42"/>
  <c r="E170" i="42"/>
  <c r="E162" i="42"/>
  <c r="E182" i="42"/>
  <c r="E164" i="42"/>
  <c r="E185" i="42"/>
  <c r="E167" i="42"/>
  <c r="F90" i="42"/>
  <c r="F92" i="42"/>
  <c r="M48" i="4" s="1"/>
  <c r="F82" i="42"/>
  <c r="F84" i="42"/>
  <c r="F87" i="42"/>
  <c r="G232" i="42"/>
  <c r="G229" i="42"/>
  <c r="G224" i="42"/>
  <c r="G237" i="42"/>
  <c r="G228" i="42"/>
  <c r="G223" i="42"/>
  <c r="G353" i="42"/>
  <c r="G350" i="42"/>
  <c r="G358" i="42"/>
  <c r="G354" i="42"/>
  <c r="F135" i="42"/>
  <c r="F137" i="42"/>
  <c r="F138" i="42"/>
  <c r="F133" i="42"/>
  <c r="F129" i="42"/>
  <c r="F130" i="42"/>
  <c r="F132" i="42"/>
  <c r="F127" i="42"/>
  <c r="M41" i="4" s="1"/>
  <c r="F341" i="42"/>
  <c r="F200" i="42"/>
  <c r="F36" i="42"/>
  <c r="G252" i="42"/>
  <c r="F246" i="42"/>
  <c r="G156" i="42"/>
  <c r="F336" i="42"/>
  <c r="F339" i="42"/>
  <c r="F189" i="42"/>
  <c r="G263" i="42"/>
  <c r="N7" i="4" s="1"/>
  <c r="G55" i="42"/>
  <c r="G57" i="42"/>
  <c r="F250" i="42"/>
  <c r="G103" i="42"/>
  <c r="F64" i="42"/>
  <c r="G333" i="42"/>
  <c r="G342" i="42"/>
  <c r="G158" i="42"/>
  <c r="G160" i="42"/>
  <c r="F278" i="42"/>
  <c r="G198" i="42"/>
  <c r="G326" i="42"/>
  <c r="N26" i="4" s="1"/>
  <c r="F94" i="42"/>
  <c r="G84" i="42"/>
  <c r="G85" i="42"/>
  <c r="G221" i="42"/>
  <c r="F292" i="42"/>
  <c r="G348" i="42"/>
  <c r="F142" i="42"/>
  <c r="F140" i="42"/>
  <c r="F180" i="42"/>
  <c r="F182" i="42"/>
  <c r="G287" i="42"/>
  <c r="F353" i="42"/>
  <c r="E149" i="42"/>
  <c r="E303" i="42"/>
  <c r="E126" i="42"/>
  <c r="L21" i="4" s="1"/>
  <c r="E139" i="42"/>
  <c r="E235" i="42"/>
  <c r="E138" i="42"/>
  <c r="E127" i="42"/>
  <c r="L41" i="4" s="1"/>
  <c r="E91" i="42"/>
  <c r="E232" i="42"/>
  <c r="E85" i="42"/>
  <c r="E171" i="42"/>
  <c r="E180" i="42"/>
  <c r="E187" i="42"/>
  <c r="E168" i="42"/>
  <c r="F88" i="4"/>
  <c r="G409" i="2"/>
  <c r="G406" i="2"/>
  <c r="G410" i="2"/>
  <c r="G401" i="2"/>
  <c r="G389" i="2"/>
  <c r="G403" i="2"/>
  <c r="G390" i="2"/>
  <c r="G396" i="2"/>
  <c r="G402" i="2"/>
  <c r="G404" i="2"/>
  <c r="G395" i="2"/>
  <c r="G397" i="2"/>
  <c r="G391" i="2"/>
  <c r="G392" i="2"/>
  <c r="G393" i="2"/>
  <c r="G405" i="2"/>
  <c r="G399" i="2"/>
  <c r="G400" i="2"/>
  <c r="G408" i="2"/>
  <c r="G398" i="2"/>
  <c r="G407" i="2"/>
  <c r="G394" i="2"/>
  <c r="E29" i="2"/>
  <c r="G190" i="6"/>
  <c r="F163" i="19"/>
  <c r="F27" i="2"/>
  <c r="F29" i="2" s="1"/>
  <c r="G163" i="19"/>
  <c r="F190" i="6"/>
  <c r="G27" i="2"/>
  <c r="G29" i="2" s="1"/>
  <c r="F57" i="19" l="1"/>
  <c r="F353" i="19"/>
  <c r="F354" i="19" s="1"/>
  <c r="E57" i="19"/>
  <c r="E59" i="19" s="1"/>
  <c r="E69" i="19" s="1"/>
  <c r="E70" i="19" s="1"/>
  <c r="E191" i="6" s="1"/>
  <c r="J20" i="15" s="1"/>
  <c r="E353" i="19"/>
  <c r="E354" i="19" s="1"/>
  <c r="J62" i="47"/>
  <c r="J63" i="47"/>
  <c r="N133" i="4"/>
  <c r="G133" i="4" s="1"/>
  <c r="M19" i="4"/>
  <c r="F19" i="4" s="1"/>
  <c r="L31" i="4"/>
  <c r="E31" i="4" s="1"/>
  <c r="E86" i="47" s="1"/>
  <c r="M159" i="4"/>
  <c r="F159" i="4" s="1"/>
  <c r="F82" i="47" s="1"/>
  <c r="N11" i="4"/>
  <c r="G11" i="4" s="1"/>
  <c r="G84" i="47" s="1"/>
  <c r="L7" i="4"/>
  <c r="E7" i="4" s="1"/>
  <c r="E230" i="47" s="1"/>
  <c r="L11" i="4"/>
  <c r="E11" i="4" s="1"/>
  <c r="E84" i="47" s="1"/>
  <c r="N57" i="4"/>
  <c r="G57" i="4" s="1"/>
  <c r="L5" i="4"/>
  <c r="E5" i="4" s="1"/>
  <c r="E71" i="47" s="1"/>
  <c r="M17" i="4"/>
  <c r="F17" i="4" s="1"/>
  <c r="F85" i="47" s="1"/>
  <c r="N31" i="4"/>
  <c r="G31" i="4" s="1"/>
  <c r="G86" i="47" s="1"/>
  <c r="L111" i="4"/>
  <c r="E111" i="4" s="1"/>
  <c r="E253" i="19" s="1"/>
  <c r="E110" i="19" s="1"/>
  <c r="N148" i="4"/>
  <c r="G148" i="4" s="1"/>
  <c r="G74" i="47" s="1"/>
  <c r="M133" i="4"/>
  <c r="F133" i="4" s="1"/>
  <c r="L37" i="4"/>
  <c r="E37" i="4" s="1"/>
  <c r="E87" i="47" s="1"/>
  <c r="L27" i="4"/>
  <c r="E27" i="4" s="1"/>
  <c r="E69" i="47" s="1"/>
  <c r="M25" i="4"/>
  <c r="F25" i="4" s="1"/>
  <c r="F72" i="47" s="1"/>
  <c r="L158" i="4"/>
  <c r="E158" i="4" s="1"/>
  <c r="E81" i="47" s="1"/>
  <c r="L155" i="4"/>
  <c r="E155" i="4" s="1"/>
  <c r="E178" i="19" s="1"/>
  <c r="L17" i="4"/>
  <c r="E17" i="4" s="1"/>
  <c r="E85" i="47" s="1"/>
  <c r="L159" i="4"/>
  <c r="E159" i="4" s="1"/>
  <c r="E82" i="47" s="1"/>
  <c r="N154" i="4"/>
  <c r="G154" i="4" s="1"/>
  <c r="G174" i="19" s="1"/>
  <c r="G194" i="19" s="1"/>
  <c r="M158" i="4"/>
  <c r="F158" i="4" s="1"/>
  <c r="F81" i="47" s="1"/>
  <c r="L148" i="4"/>
  <c r="E148" i="4" s="1"/>
  <c r="E74" i="47" s="1"/>
  <c r="L149" i="4"/>
  <c r="E149" i="4" s="1"/>
  <c r="E83" i="26" s="1"/>
  <c r="E84" i="26" s="1"/>
  <c r="E85" i="26" s="1"/>
  <c r="E86" i="26" s="1"/>
  <c r="N149" i="4"/>
  <c r="G149" i="4" s="1"/>
  <c r="G75" i="47" s="1"/>
  <c r="N5" i="4"/>
  <c r="G5" i="4" s="1"/>
  <c r="G71" i="47" s="1"/>
  <c r="M5" i="4"/>
  <c r="F5" i="4" s="1"/>
  <c r="F71" i="47" s="1"/>
  <c r="L141" i="4"/>
  <c r="E141" i="4" s="1"/>
  <c r="E57" i="47" s="1"/>
  <c r="M111" i="4"/>
  <c r="F111" i="4" s="1"/>
  <c r="F88" i="47" s="1"/>
  <c r="N25" i="4"/>
  <c r="G25" i="4" s="1"/>
  <c r="G72" i="47" s="1"/>
  <c r="L133" i="4"/>
  <c r="E133" i="4" s="1"/>
  <c r="E413" i="19" s="1"/>
  <c r="E415" i="19" s="1"/>
  <c r="E49" i="26" s="1"/>
  <c r="E50" i="26" s="1"/>
  <c r="E51" i="26" s="1"/>
  <c r="M37" i="4"/>
  <c r="F37" i="4" s="1"/>
  <c r="F87" i="47" s="1"/>
  <c r="M143" i="4"/>
  <c r="F143" i="4" s="1"/>
  <c r="F59" i="47" s="1"/>
  <c r="M141" i="4"/>
  <c r="F141" i="4" s="1"/>
  <c r="F57" i="47" s="1"/>
  <c r="N141" i="4"/>
  <c r="G141" i="4" s="1"/>
  <c r="G57" i="47" s="1"/>
  <c r="M142" i="4"/>
  <c r="F142" i="4" s="1"/>
  <c r="F58" i="47" s="1"/>
  <c r="N158" i="4"/>
  <c r="G158" i="4" s="1"/>
  <c r="G81" i="47" s="1"/>
  <c r="L39" i="4"/>
  <c r="E39" i="4" s="1"/>
  <c r="M57" i="4"/>
  <c r="F57" i="4" s="1"/>
  <c r="N140" i="4"/>
  <c r="G140" i="4" s="1"/>
  <c r="M149" i="4"/>
  <c r="F149" i="4" s="1"/>
  <c r="L25" i="4"/>
  <c r="E25" i="4" s="1"/>
  <c r="E72" i="47" s="1"/>
  <c r="M140" i="4"/>
  <c r="F140" i="4" s="1"/>
  <c r="N112" i="4"/>
  <c r="G112" i="4" s="1"/>
  <c r="G89" i="47" s="1"/>
  <c r="M27" i="4"/>
  <c r="F27" i="4" s="1"/>
  <c r="M155" i="4"/>
  <c r="F155" i="4" s="1"/>
  <c r="F178" i="19" s="1"/>
  <c r="F195" i="19" s="1"/>
  <c r="L140" i="4"/>
  <c r="E140" i="4" s="1"/>
  <c r="N37" i="4"/>
  <c r="G37" i="4" s="1"/>
  <c r="G87" i="47" s="1"/>
  <c r="L154" i="4"/>
  <c r="E154" i="4" s="1"/>
  <c r="E174" i="19" s="1"/>
  <c r="E194" i="19" s="1"/>
  <c r="M154" i="4"/>
  <c r="F154" i="4" s="1"/>
  <c r="F174" i="19" s="1"/>
  <c r="F194" i="19" s="1"/>
  <c r="L112" i="4"/>
  <c r="E112" i="4" s="1"/>
  <c r="E89" i="47" s="1"/>
  <c r="N155" i="4"/>
  <c r="G155" i="4" s="1"/>
  <c r="G178" i="19" s="1"/>
  <c r="G195" i="19" s="1"/>
  <c r="M31" i="4"/>
  <c r="F31" i="4" s="1"/>
  <c r="F86" i="47" s="1"/>
  <c r="M11" i="4"/>
  <c r="F11" i="4" s="1"/>
  <c r="F84" i="47" s="1"/>
  <c r="M39" i="4"/>
  <c r="F39" i="4" s="1"/>
  <c r="N111" i="4"/>
  <c r="G111" i="4" s="1"/>
  <c r="G88" i="47" s="1"/>
  <c r="M148" i="4"/>
  <c r="F148" i="4" s="1"/>
  <c r="F74" i="47" s="1"/>
  <c r="L143" i="4"/>
  <c r="E143" i="4" s="1"/>
  <c r="E59" i="47" s="1"/>
  <c r="L57" i="4"/>
  <c r="E57" i="4" s="1"/>
  <c r="M112" i="4"/>
  <c r="F112" i="4" s="1"/>
  <c r="F89" i="47" s="1"/>
  <c r="N17" i="4"/>
  <c r="G17" i="4" s="1"/>
  <c r="G85" i="47" s="1"/>
  <c r="M7" i="4"/>
  <c r="F7" i="4" s="1"/>
  <c r="N159" i="4"/>
  <c r="G159" i="4" s="1"/>
  <c r="G82" i="47" s="1"/>
  <c r="L142" i="4"/>
  <c r="E142" i="4" s="1"/>
  <c r="E58" i="47" s="1"/>
  <c r="N142" i="4"/>
  <c r="G142" i="4" s="1"/>
  <c r="G58" i="47" s="1"/>
  <c r="N143" i="4"/>
  <c r="G143" i="4" s="1"/>
  <c r="G59" i="47" s="1"/>
  <c r="E99" i="19"/>
  <c r="E185" i="19"/>
  <c r="E279" i="47"/>
  <c r="E41" i="11"/>
  <c r="G201" i="11" s="1"/>
  <c r="D104" i="1"/>
  <c r="F25" i="48"/>
  <c r="E37" i="26"/>
  <c r="E38" i="26" s="1"/>
  <c r="E39" i="26" s="1"/>
  <c r="F25" i="53"/>
  <c r="E242" i="47"/>
  <c r="E37" i="10"/>
  <c r="E38" i="10" s="1"/>
  <c r="E39" i="10" s="1"/>
  <c r="F10" i="54"/>
  <c r="C587" i="8"/>
  <c r="D590" i="8" s="1"/>
  <c r="F26" i="4"/>
  <c r="F67" i="47" s="1"/>
  <c r="F21" i="4"/>
  <c r="F64" i="47" s="1"/>
  <c r="E19" i="4"/>
  <c r="E26" i="4"/>
  <c r="E67" i="47" s="1"/>
  <c r="F41" i="4"/>
  <c r="F65" i="47" s="1"/>
  <c r="F6" i="4"/>
  <c r="F66" i="47" s="1"/>
  <c r="F48" i="4"/>
  <c r="F104" i="2" s="1"/>
  <c r="E41" i="4"/>
  <c r="E65" i="47" s="1"/>
  <c r="E21" i="4"/>
  <c r="E64" i="47" s="1"/>
  <c r="E6" i="4"/>
  <c r="E66" i="47" s="1"/>
  <c r="G27" i="4"/>
  <c r="G7" i="4"/>
  <c r="G19" i="4"/>
  <c r="F99" i="19"/>
  <c r="F185" i="19"/>
  <c r="G48" i="4"/>
  <c r="G104" i="2" s="1"/>
  <c r="G39" i="4"/>
  <c r="G21" i="4"/>
  <c r="G64" i="47" s="1"/>
  <c r="G26" i="4"/>
  <c r="G67" i="47" s="1"/>
  <c r="G6" i="4"/>
  <c r="G66" i="47" s="1"/>
  <c r="G88" i="4"/>
  <c r="G41" i="4"/>
  <c r="G65" i="47" s="1"/>
  <c r="F385" i="19" l="1"/>
  <c r="E385" i="19"/>
  <c r="G60" i="17"/>
  <c r="F321" i="47"/>
  <c r="F27" i="51"/>
  <c r="E195" i="19"/>
  <c r="F29" i="53" s="1"/>
  <c r="E323" i="47"/>
  <c r="G60" i="47"/>
  <c r="F60" i="47"/>
  <c r="F60" i="19"/>
  <c r="F72" i="19" s="1"/>
  <c r="F73" i="19" s="1"/>
  <c r="F187" i="6" s="1"/>
  <c r="E60" i="47"/>
  <c r="F59" i="19"/>
  <c r="F124" i="2" s="1"/>
  <c r="F93" i="19" s="1"/>
  <c r="F96" i="19" s="1"/>
  <c r="G353" i="19"/>
  <c r="G354" i="19" s="1"/>
  <c r="G57" i="19"/>
  <c r="E60" i="19"/>
  <c r="E72" i="19" s="1"/>
  <c r="E73" i="19" s="1"/>
  <c r="E187" i="6" s="1"/>
  <c r="F29" i="48"/>
  <c r="G77" i="47"/>
  <c r="G68" i="47"/>
  <c r="G230" i="47"/>
  <c r="G95" i="47"/>
  <c r="G283" i="47"/>
  <c r="G239" i="47"/>
  <c r="G281" i="47"/>
  <c r="G237" i="47"/>
  <c r="G274" i="47"/>
  <c r="G41" i="26"/>
  <c r="G42" i="26" s="1"/>
  <c r="G43" i="26" s="1"/>
  <c r="G69" i="47"/>
  <c r="G78" i="47"/>
  <c r="G271" i="47"/>
  <c r="F242" i="47"/>
  <c r="F279" i="47"/>
  <c r="F41" i="26"/>
  <c r="F42" i="26" s="1"/>
  <c r="F43" i="26" s="1"/>
  <c r="F274" i="47"/>
  <c r="G242" i="47"/>
  <c r="G279" i="47"/>
  <c r="F68" i="47"/>
  <c r="F77" i="47"/>
  <c r="F230" i="47"/>
  <c r="G41" i="10"/>
  <c r="G42" i="10" s="1"/>
  <c r="G43" i="10" s="1"/>
  <c r="G233" i="47"/>
  <c r="F69" i="47"/>
  <c r="F78" i="47"/>
  <c r="F271" i="47"/>
  <c r="F83" i="26"/>
  <c r="F84" i="26" s="1"/>
  <c r="F85" i="26" s="1"/>
  <c r="F86" i="26" s="1"/>
  <c r="F75" i="47"/>
  <c r="F95" i="47"/>
  <c r="F283" i="47"/>
  <c r="F239" i="47"/>
  <c r="F281" i="47"/>
  <c r="F237" i="47"/>
  <c r="F91" i="2"/>
  <c r="F233" i="47"/>
  <c r="F41" i="10"/>
  <c r="F42" i="10" s="1"/>
  <c r="F43" i="10" s="1"/>
  <c r="F94" i="47"/>
  <c r="F323" i="47"/>
  <c r="G94" i="47"/>
  <c r="G323" i="47"/>
  <c r="E69" i="2"/>
  <c r="F11" i="49" s="1"/>
  <c r="E41" i="10"/>
  <c r="E42" i="10" s="1"/>
  <c r="E43" i="10" s="1"/>
  <c r="E233" i="47"/>
  <c r="E274" i="47"/>
  <c r="E41" i="26"/>
  <c r="E42" i="26" s="1"/>
  <c r="E43" i="26" s="1"/>
  <c r="C610" i="8"/>
  <c r="F615" i="8" s="1"/>
  <c r="E321" i="47"/>
  <c r="F42" i="50"/>
  <c r="F367" i="19"/>
  <c r="F41" i="11" s="1"/>
  <c r="G202" i="11" s="1"/>
  <c r="E71" i="19"/>
  <c r="E150" i="6" s="1"/>
  <c r="E153" i="6" s="1"/>
  <c r="E124" i="2"/>
  <c r="E93" i="19" s="1"/>
  <c r="E94" i="19" s="1"/>
  <c r="F37" i="10"/>
  <c r="F38" i="10" s="1"/>
  <c r="F39" i="10" s="1"/>
  <c r="F37" i="26"/>
  <c r="F38" i="26" s="1"/>
  <c r="F39" i="26" s="1"/>
  <c r="E91" i="2"/>
  <c r="H11" i="49" s="1"/>
  <c r="J66" i="47"/>
  <c r="J67" i="47"/>
  <c r="J65" i="47"/>
  <c r="J64" i="47"/>
  <c r="E68" i="47"/>
  <c r="E78" i="47"/>
  <c r="E77" i="47"/>
  <c r="F36" i="50"/>
  <c r="F35" i="50"/>
  <c r="E94" i="47"/>
  <c r="F16" i="50"/>
  <c r="E186" i="19"/>
  <c r="E2" i="56" s="1"/>
  <c r="F374" i="19"/>
  <c r="F48" i="11" s="1"/>
  <c r="N202" i="11" s="1"/>
  <c r="F69" i="2"/>
  <c r="E440" i="19"/>
  <c r="E283" i="47"/>
  <c r="E420" i="19"/>
  <c r="E422" i="19" s="1"/>
  <c r="E437" i="19" s="1"/>
  <c r="E237" i="47"/>
  <c r="F420" i="19"/>
  <c r="F422" i="19" s="1"/>
  <c r="F437" i="19" s="1"/>
  <c r="E49" i="10"/>
  <c r="E50" i="10" s="1"/>
  <c r="E51" i="10" s="1"/>
  <c r="E239" i="47"/>
  <c r="F253" i="19"/>
  <c r="F110" i="19" s="1"/>
  <c r="F254" i="19"/>
  <c r="F111" i="19" s="1"/>
  <c r="F451" i="19"/>
  <c r="E254" i="19"/>
  <c r="E111" i="19" s="1"/>
  <c r="J59" i="47"/>
  <c r="F413" i="19"/>
  <c r="F415" i="19" s="1"/>
  <c r="F118" i="2" s="1"/>
  <c r="F83" i="10"/>
  <c r="F84" i="10" s="1"/>
  <c r="F85" i="10" s="1"/>
  <c r="F86" i="10" s="1"/>
  <c r="J84" i="47"/>
  <c r="J85" i="47"/>
  <c r="E388" i="19"/>
  <c r="E451" i="19"/>
  <c r="F440" i="19"/>
  <c r="E118" i="2"/>
  <c r="E271" i="47"/>
  <c r="J86" i="47"/>
  <c r="E374" i="19"/>
  <c r="E48" i="11" s="1"/>
  <c r="N201" i="11" s="1"/>
  <c r="E75" i="47"/>
  <c r="F388" i="19"/>
  <c r="F57" i="11" s="1"/>
  <c r="J208" i="11" s="1"/>
  <c r="J57" i="47"/>
  <c r="E88" i="47"/>
  <c r="J87" i="47"/>
  <c r="F186" i="19"/>
  <c r="F189" i="19" s="1"/>
  <c r="F192" i="19" s="1"/>
  <c r="F197" i="19" s="1"/>
  <c r="J58" i="47"/>
  <c r="E95" i="47"/>
  <c r="E281" i="47"/>
  <c r="E83" i="10"/>
  <c r="E84" i="10" s="1"/>
  <c r="E85" i="10" s="1"/>
  <c r="E86" i="10" s="1"/>
  <c r="G185" i="19"/>
  <c r="G99" i="19"/>
  <c r="G367" i="19"/>
  <c r="G41" i="11" s="1"/>
  <c r="G203" i="11" s="1"/>
  <c r="G37" i="10"/>
  <c r="G38" i="10" s="1"/>
  <c r="G39" i="10" s="1"/>
  <c r="G105" i="2"/>
  <c r="G37" i="26"/>
  <c r="G38" i="26" s="1"/>
  <c r="G39" i="26" s="1"/>
  <c r="F105" i="2"/>
  <c r="E105" i="2"/>
  <c r="D105" i="1" s="1"/>
  <c r="G91" i="2"/>
  <c r="G69" i="2"/>
  <c r="J81" i="47"/>
  <c r="G374" i="19"/>
  <c r="G48" i="11" s="1"/>
  <c r="N203" i="11" s="1"/>
  <c r="G83" i="26"/>
  <c r="G84" i="26" s="1"/>
  <c r="G85" i="26" s="1"/>
  <c r="G86" i="26" s="1"/>
  <c r="G253" i="19"/>
  <c r="G110" i="19" s="1"/>
  <c r="G186" i="19"/>
  <c r="G413" i="19"/>
  <c r="G415" i="19" s="1"/>
  <c r="G420" i="19"/>
  <c r="G422" i="19" s="1"/>
  <c r="J82" i="47"/>
  <c r="G388" i="19"/>
  <c r="G57" i="11" s="1"/>
  <c r="J209" i="11" s="1"/>
  <c r="J71" i="47"/>
  <c r="G440" i="19"/>
  <c r="J72" i="47"/>
  <c r="G451" i="19"/>
  <c r="J74" i="47"/>
  <c r="G83" i="10"/>
  <c r="G84" i="10" s="1"/>
  <c r="G85" i="10" s="1"/>
  <c r="G86" i="10" s="1"/>
  <c r="J89" i="47"/>
  <c r="G254" i="19"/>
  <c r="G111" i="19" s="1"/>
  <c r="J274" i="47" l="1"/>
  <c r="G385" i="19"/>
  <c r="E196" i="19"/>
  <c r="G321" i="47"/>
  <c r="J321" i="47" s="1"/>
  <c r="G196" i="19"/>
  <c r="F196" i="19"/>
  <c r="F199" i="19" s="1"/>
  <c r="F55" i="11"/>
  <c r="H208" i="11" s="1"/>
  <c r="E55" i="11"/>
  <c r="H207" i="11" s="1"/>
  <c r="J60" i="47"/>
  <c r="F77" i="19"/>
  <c r="F19" i="2" s="1"/>
  <c r="F61" i="19"/>
  <c r="F303" i="47" s="1"/>
  <c r="F94" i="19"/>
  <c r="F95" i="19"/>
  <c r="F62" i="19"/>
  <c r="J233" i="47"/>
  <c r="G60" i="19"/>
  <c r="G72" i="19" s="1"/>
  <c r="G73" i="19" s="1"/>
  <c r="G77" i="19" s="1"/>
  <c r="G19" i="2" s="1"/>
  <c r="G59" i="19"/>
  <c r="G124" i="2" s="1"/>
  <c r="G93" i="19" s="1"/>
  <c r="G96" i="19" s="1"/>
  <c r="E61" i="19"/>
  <c r="E123" i="2" s="1"/>
  <c r="E77" i="19"/>
  <c r="E19" i="2" s="1"/>
  <c r="D19" i="1" s="1"/>
  <c r="E62" i="19"/>
  <c r="E63" i="19" s="1"/>
  <c r="F26" i="48"/>
  <c r="F356" i="19"/>
  <c r="F365" i="19" s="1"/>
  <c r="E57" i="11"/>
  <c r="J207" i="11" s="1"/>
  <c r="D69" i="1"/>
  <c r="F28" i="49"/>
  <c r="J69" i="47"/>
  <c r="J230" i="47"/>
  <c r="H43" i="10"/>
  <c r="D44" i="10"/>
  <c r="D44" i="26"/>
  <c r="H43" i="26"/>
  <c r="C611" i="8"/>
  <c r="G615" i="8" s="1"/>
  <c r="G322" i="47"/>
  <c r="F322" i="47"/>
  <c r="J279" i="47"/>
  <c r="J94" i="47"/>
  <c r="D40" i="10"/>
  <c r="H39" i="26"/>
  <c r="E170" i="6"/>
  <c r="J10" i="15" s="1"/>
  <c r="E95" i="19"/>
  <c r="E230" i="2"/>
  <c r="D230" i="1" s="1"/>
  <c r="E96" i="19"/>
  <c r="J242" i="47"/>
  <c r="F29" i="49"/>
  <c r="F26" i="53"/>
  <c r="D91" i="1"/>
  <c r="E356" i="19"/>
  <c r="E365" i="19" s="1"/>
  <c r="J68" i="47"/>
  <c r="J78" i="47"/>
  <c r="F70" i="2"/>
  <c r="E119" i="2"/>
  <c r="J283" i="47"/>
  <c r="E189" i="19"/>
  <c r="E190" i="19" s="1"/>
  <c r="E205" i="19" s="1"/>
  <c r="E209" i="19" s="1"/>
  <c r="E322" i="47"/>
  <c r="F43" i="50"/>
  <c r="J237" i="47"/>
  <c r="F119" i="2"/>
  <c r="J239" i="47"/>
  <c r="J75" i="47"/>
  <c r="F49" i="10"/>
  <c r="F50" i="10" s="1"/>
  <c r="F51" i="10" s="1"/>
  <c r="J77" i="47"/>
  <c r="F49" i="26"/>
  <c r="F50" i="26" s="1"/>
  <c r="F51" i="26" s="1"/>
  <c r="J281" i="47"/>
  <c r="J95" i="47"/>
  <c r="J271" i="47"/>
  <c r="J88" i="47"/>
  <c r="J323" i="47"/>
  <c r="D40" i="26"/>
  <c r="F190" i="19"/>
  <c r="H39" i="10"/>
  <c r="G70" i="2"/>
  <c r="E92" i="2"/>
  <c r="D92" i="1" s="1"/>
  <c r="F92" i="2"/>
  <c r="G92" i="2"/>
  <c r="E70" i="2"/>
  <c r="D70" i="1" s="1"/>
  <c r="G356" i="19"/>
  <c r="G365" i="19" s="1"/>
  <c r="G49" i="26"/>
  <c r="G50" i="26" s="1"/>
  <c r="G51" i="26" s="1"/>
  <c r="G118" i="2"/>
  <c r="G49" i="10"/>
  <c r="G50" i="10" s="1"/>
  <c r="G51" i="10" s="1"/>
  <c r="G437" i="19"/>
  <c r="G119" i="2"/>
  <c r="G189" i="19"/>
  <c r="E232" i="2"/>
  <c r="D232" i="1" s="1"/>
  <c r="N25" i="13"/>
  <c r="E232" i="1" l="1"/>
  <c r="R25" i="13" s="1"/>
  <c r="F232" i="1"/>
  <c r="G232" i="1"/>
  <c r="G230" i="1"/>
  <c r="F230" i="1"/>
  <c r="E230" i="1"/>
  <c r="E39" i="11"/>
  <c r="E201" i="11" s="1"/>
  <c r="G39" i="11"/>
  <c r="E203" i="11" s="1"/>
  <c r="F39" i="11"/>
  <c r="E202" i="11" s="1"/>
  <c r="G55" i="11"/>
  <c r="H209" i="11" s="1"/>
  <c r="F63" i="19"/>
  <c r="F123" i="2"/>
  <c r="F252" i="19" s="1"/>
  <c r="F76" i="19"/>
  <c r="G187" i="6"/>
  <c r="G61" i="19"/>
  <c r="G303" i="47" s="1"/>
  <c r="G62" i="19"/>
  <c r="G94" i="19"/>
  <c r="G95" i="19"/>
  <c r="F25" i="51"/>
  <c r="E303" i="47"/>
  <c r="E76" i="19"/>
  <c r="E252" i="19"/>
  <c r="F44" i="10"/>
  <c r="F106" i="10" s="1"/>
  <c r="E44" i="10"/>
  <c r="E106" i="10" s="1"/>
  <c r="E44" i="26"/>
  <c r="E106" i="26" s="1"/>
  <c r="F44" i="26"/>
  <c r="F106" i="26" s="1"/>
  <c r="G44" i="26"/>
  <c r="G106" i="26" s="1"/>
  <c r="G44" i="10"/>
  <c r="G106" i="10" s="1"/>
  <c r="E40" i="10"/>
  <c r="E105" i="10" s="1"/>
  <c r="F40" i="26"/>
  <c r="F105" i="26" s="1"/>
  <c r="N230" i="1"/>
  <c r="E192" i="19"/>
  <c r="F11" i="50" s="1"/>
  <c r="F12" i="50"/>
  <c r="J322" i="47"/>
  <c r="E40" i="26"/>
  <c r="E105" i="26" s="1"/>
  <c r="G40" i="26"/>
  <c r="G105" i="26" s="1"/>
  <c r="F40" i="10"/>
  <c r="F105" i="10" s="1"/>
  <c r="G40" i="10"/>
  <c r="G105" i="10" s="1"/>
  <c r="F243" i="19"/>
  <c r="F242" i="19"/>
  <c r="G190" i="19"/>
  <c r="G192" i="19"/>
  <c r="D52" i="10"/>
  <c r="H51" i="10"/>
  <c r="H51" i="26"/>
  <c r="D52" i="26"/>
  <c r="N232" i="1"/>
  <c r="G197" i="19" l="1"/>
  <c r="G199" i="19" s="1"/>
  <c r="G123" i="2"/>
  <c r="G252" i="19" s="1"/>
  <c r="G63" i="19"/>
  <c r="G76" i="19"/>
  <c r="J303" i="47"/>
  <c r="H106" i="10"/>
  <c r="H106" i="26"/>
  <c r="J230" i="1"/>
  <c r="F44" i="50"/>
  <c r="L28" i="5"/>
  <c r="Q28" i="5" s="1"/>
  <c r="R28" i="5" s="1"/>
  <c r="E197" i="19"/>
  <c r="C612" i="8"/>
  <c r="H615" i="8" s="1"/>
  <c r="H105" i="26"/>
  <c r="H105" i="10"/>
  <c r="G52" i="26"/>
  <c r="G108" i="26" s="1"/>
  <c r="E52" i="26"/>
  <c r="E108" i="26" s="1"/>
  <c r="F52" i="26"/>
  <c r="F108" i="26" s="1"/>
  <c r="G52" i="10"/>
  <c r="G108" i="10" s="1"/>
  <c r="G114" i="10" s="1"/>
  <c r="F52" i="10"/>
  <c r="F108" i="10" s="1"/>
  <c r="E52" i="10"/>
  <c r="E108" i="10" s="1"/>
  <c r="J232" i="1"/>
  <c r="E199" i="19" l="1"/>
  <c r="E243" i="19" s="1"/>
  <c r="G242" i="19"/>
  <c r="G243" i="19"/>
  <c r="G115" i="10"/>
  <c r="H108" i="10"/>
  <c r="E114" i="10"/>
  <c r="H108" i="26"/>
  <c r="G114" i="26"/>
  <c r="F114" i="26"/>
  <c r="E114" i="26"/>
  <c r="F114" i="10"/>
  <c r="E242" i="19" l="1"/>
  <c r="F17" i="54" s="1"/>
  <c r="F115" i="26"/>
  <c r="G115" i="26"/>
  <c r="F115" i="10"/>
  <c r="E115" i="26"/>
  <c r="H114" i="26"/>
  <c r="E115" i="10"/>
  <c r="H114" i="10"/>
  <c r="E117" i="26" l="1"/>
  <c r="E120" i="26" s="1"/>
  <c r="E128" i="26" s="1"/>
  <c r="E117" i="10"/>
  <c r="E120" i="10" s="1"/>
  <c r="F116" i="10"/>
  <c r="H115" i="10"/>
  <c r="G257" i="47" s="1"/>
  <c r="H115" i="26"/>
  <c r="G298" i="47" s="1"/>
  <c r="G116" i="26"/>
  <c r="E116" i="26"/>
  <c r="F116" i="26"/>
  <c r="E116" i="10"/>
  <c r="G116" i="10"/>
  <c r="F298" i="47" l="1"/>
  <c r="G251" i="47"/>
  <c r="G253" i="47"/>
  <c r="G255" i="47"/>
  <c r="G256" i="47"/>
  <c r="F251" i="47"/>
  <c r="F252" i="47"/>
  <c r="F256" i="47"/>
  <c r="G252" i="47"/>
  <c r="F253" i="47"/>
  <c r="F255" i="47"/>
  <c r="F254" i="47"/>
  <c r="G254" i="47"/>
  <c r="G293" i="47"/>
  <c r="G295" i="47"/>
  <c r="G297" i="47"/>
  <c r="G64" i="11"/>
  <c r="G66" i="11"/>
  <c r="G68" i="11"/>
  <c r="G296" i="47"/>
  <c r="G63" i="11"/>
  <c r="F295" i="47"/>
  <c r="F292" i="47"/>
  <c r="F296" i="47"/>
  <c r="F63" i="11"/>
  <c r="F67" i="11"/>
  <c r="G292" i="47"/>
  <c r="G67" i="11"/>
  <c r="F293" i="47"/>
  <c r="F297" i="47"/>
  <c r="F68" i="11"/>
  <c r="F64" i="11"/>
  <c r="F66" i="11"/>
  <c r="F294" i="47"/>
  <c r="G294" i="47"/>
  <c r="F65" i="11"/>
  <c r="G65" i="11"/>
  <c r="F257" i="47"/>
  <c r="F287" i="10"/>
  <c r="E257" i="47"/>
  <c r="G295" i="26"/>
  <c r="E298" i="47"/>
  <c r="F286" i="26"/>
  <c r="F289" i="26"/>
  <c r="E68" i="11"/>
  <c r="E294" i="26"/>
  <c r="F294" i="26"/>
  <c r="F290" i="26"/>
  <c r="E292" i="26"/>
  <c r="G286" i="26"/>
  <c r="F285" i="26"/>
  <c r="E65" i="11"/>
  <c r="E292" i="47"/>
  <c r="F293" i="26"/>
  <c r="F292" i="26"/>
  <c r="F291" i="26"/>
  <c r="E285" i="26"/>
  <c r="E67" i="11"/>
  <c r="E295" i="47"/>
  <c r="E287" i="26"/>
  <c r="E64" i="11"/>
  <c r="E288" i="26"/>
  <c r="E63" i="11"/>
  <c r="F288" i="26"/>
  <c r="E294" i="47"/>
  <c r="E286" i="26"/>
  <c r="E290" i="26"/>
  <c r="E289" i="26"/>
  <c r="G291" i="26"/>
  <c r="G285" i="26"/>
  <c r="E297" i="47"/>
  <c r="G294" i="26"/>
  <c r="G290" i="26"/>
  <c r="E291" i="26"/>
  <c r="G293" i="26"/>
  <c r="E296" i="47"/>
  <c r="G288" i="26"/>
  <c r="G287" i="26"/>
  <c r="G292" i="26"/>
  <c r="G289" i="26"/>
  <c r="E66" i="11"/>
  <c r="E293" i="26"/>
  <c r="F287" i="26"/>
  <c r="E293" i="47"/>
  <c r="G287" i="10"/>
  <c r="E284" i="10"/>
  <c r="E285" i="10"/>
  <c r="F284" i="10"/>
  <c r="G284" i="10"/>
  <c r="F286" i="10"/>
  <c r="G286" i="10"/>
  <c r="E277" i="10"/>
  <c r="G278" i="10"/>
  <c r="E278" i="10"/>
  <c r="F285" i="10"/>
  <c r="F280" i="10"/>
  <c r="F282" i="10"/>
  <c r="E256" i="47"/>
  <c r="F277" i="10"/>
  <c r="E254" i="47"/>
  <c r="G285" i="10"/>
  <c r="E282" i="10"/>
  <c r="E286" i="10"/>
  <c r="E280" i="10"/>
  <c r="G282" i="10"/>
  <c r="E252" i="47"/>
  <c r="E283" i="10"/>
  <c r="G279" i="10"/>
  <c r="F279" i="10"/>
  <c r="E279" i="10"/>
  <c r="G283" i="10"/>
  <c r="E253" i="47"/>
  <c r="G277" i="10"/>
  <c r="F283" i="10"/>
  <c r="E251" i="47"/>
  <c r="F278" i="10"/>
  <c r="G280" i="10"/>
  <c r="E255" i="47"/>
  <c r="G281" i="10"/>
  <c r="E281" i="10"/>
  <c r="F281" i="10"/>
  <c r="E295" i="26"/>
  <c r="E287" i="10"/>
  <c r="F295" i="26"/>
  <c r="E160" i="11" l="1"/>
  <c r="E213" i="11"/>
  <c r="G162" i="11"/>
  <c r="G215" i="11"/>
  <c r="F163" i="11"/>
  <c r="H214" i="11"/>
  <c r="F160" i="11"/>
  <c r="E214" i="11"/>
  <c r="G160" i="11"/>
  <c r="E215" i="11"/>
  <c r="G161" i="11"/>
  <c r="F215" i="11"/>
  <c r="E164" i="11"/>
  <c r="I213" i="11"/>
  <c r="F162" i="11"/>
  <c r="G214" i="11"/>
  <c r="F161" i="11"/>
  <c r="F214" i="11"/>
  <c r="G164" i="11"/>
  <c r="I215" i="11"/>
  <c r="E163" i="11"/>
  <c r="H213" i="11"/>
  <c r="E161" i="11"/>
  <c r="F213" i="11"/>
  <c r="E165" i="11"/>
  <c r="J213" i="11"/>
  <c r="F165" i="11"/>
  <c r="J214" i="11"/>
  <c r="G165" i="11"/>
  <c r="J215" i="11"/>
  <c r="E162" i="11"/>
  <c r="G213" i="11"/>
  <c r="F164" i="11"/>
  <c r="I214" i="11"/>
  <c r="G163" i="11"/>
  <c r="H215" i="11"/>
  <c r="F258" i="47"/>
  <c r="G258" i="47"/>
  <c r="G299" i="47"/>
  <c r="F299" i="47"/>
  <c r="J257" i="47"/>
  <c r="J298" i="47"/>
  <c r="J293" i="47"/>
  <c r="J255" i="47"/>
  <c r="J256" i="47"/>
  <c r="J297" i="47"/>
  <c r="J294" i="47"/>
  <c r="J254" i="47"/>
  <c r="E258" i="47"/>
  <c r="J251" i="47"/>
  <c r="J253" i="47"/>
  <c r="J252" i="47"/>
  <c r="E276" i="10"/>
  <c r="F276" i="10"/>
  <c r="E299" i="47"/>
  <c r="J292" i="47"/>
  <c r="J296" i="47"/>
  <c r="J295" i="47"/>
  <c r="K160" i="11" l="1"/>
  <c r="J160" i="11"/>
  <c r="K162" i="11"/>
  <c r="K163" i="11"/>
  <c r="J161" i="11"/>
  <c r="J164" i="11"/>
  <c r="J163" i="11"/>
  <c r="J165" i="11"/>
  <c r="K165" i="11"/>
  <c r="K164" i="11"/>
  <c r="J162" i="11"/>
  <c r="K161" i="11"/>
  <c r="J299" i="47"/>
  <c r="J258" i="47"/>
  <c r="L160" i="11" l="1"/>
  <c r="L162" i="11"/>
  <c r="L163" i="11"/>
  <c r="L164" i="11"/>
  <c r="L165" i="11"/>
  <c r="L161" i="11"/>
  <c r="G173" i="11" l="1"/>
  <c r="H173" i="11"/>
  <c r="F173" i="11"/>
  <c r="I173" i="11"/>
  <c r="E172" i="11"/>
  <c r="G172" i="11"/>
  <c r="H172" i="11"/>
  <c r="F172" i="11"/>
  <c r="I172" i="11"/>
  <c r="G168" i="11"/>
  <c r="H168" i="11"/>
  <c r="F168" i="11"/>
  <c r="I168" i="11"/>
  <c r="E171" i="11"/>
  <c r="G171" i="11"/>
  <c r="H171" i="11"/>
  <c r="F171" i="11"/>
  <c r="I171" i="11"/>
  <c r="G169" i="11"/>
  <c r="H169" i="11"/>
  <c r="F169" i="11"/>
  <c r="I169" i="11"/>
  <c r="G170" i="11"/>
  <c r="H170" i="11"/>
  <c r="F170" i="11"/>
  <c r="I170" i="11"/>
  <c r="E170" i="11"/>
  <c r="E173" i="11"/>
  <c r="E168" i="11"/>
  <c r="E169" i="11"/>
  <c r="G430" i="8"/>
  <c r="G12" i="3" s="1"/>
  <c r="F430" i="8"/>
  <c r="F12" i="3" s="1"/>
  <c r="J63" i="1" l="1"/>
  <c r="P14" i="48"/>
  <c r="J62" i="1"/>
  <c r="E7" i="19"/>
  <c r="N10" i="48" l="1"/>
  <c r="E60" i="2"/>
  <c r="D60" i="1" s="1"/>
  <c r="F500" i="2" l="1"/>
  <c r="F93" i="11" s="1"/>
  <c r="G240" i="11" s="1"/>
  <c r="G500" i="2"/>
  <c r="G93" i="11" s="1"/>
  <c r="G241" i="11" s="1"/>
  <c r="E500" i="2"/>
  <c r="E93" i="11" s="1"/>
  <c r="G239" i="11" s="1"/>
  <c r="F485" i="2" l="1"/>
  <c r="F75" i="11" s="1"/>
  <c r="G222" i="11" s="1"/>
  <c r="G485" i="2"/>
  <c r="G75" i="11" s="1"/>
  <c r="G223" i="11" s="1"/>
  <c r="G505" i="2" l="1"/>
  <c r="G99" i="11" s="1"/>
  <c r="G247" i="11" s="1"/>
  <c r="E485" i="2"/>
  <c r="E75" i="11" s="1"/>
  <c r="G221" i="11" s="1"/>
  <c r="E505" i="2" l="1"/>
  <c r="E99" i="11" s="1"/>
  <c r="G245" i="11" s="1"/>
  <c r="F505" i="2"/>
  <c r="F99" i="11" s="1"/>
  <c r="G246" i="11" s="1"/>
  <c r="F495" i="2" l="1"/>
  <c r="F479" i="2"/>
  <c r="G495" i="2"/>
  <c r="G479" i="2"/>
  <c r="G490" i="2" l="1"/>
  <c r="G81" i="11" s="1"/>
  <c r="G229" i="11" s="1"/>
  <c r="F490" i="2"/>
  <c r="F81" i="11" s="1"/>
  <c r="G228" i="11" s="1"/>
  <c r="G87" i="11"/>
  <c r="G235" i="11" s="1"/>
  <c r="G330" i="47"/>
  <c r="E495" i="2"/>
  <c r="E479" i="2"/>
  <c r="F330" i="47"/>
  <c r="F87" i="11"/>
  <c r="G234" i="11" s="1"/>
  <c r="E490" i="2" l="1"/>
  <c r="E81" i="11" s="1"/>
  <c r="G227" i="11" s="1"/>
  <c r="E330" i="47"/>
  <c r="E87" i="11"/>
  <c r="G233" i="11" s="1"/>
  <c r="H233" i="11" l="1"/>
  <c r="L189" i="11"/>
  <c r="H227" i="11"/>
  <c r="F195" i="11"/>
  <c r="F197" i="11"/>
  <c r="F196" i="11"/>
  <c r="E195" i="11"/>
  <c r="L190" i="11"/>
  <c r="H228" i="11"/>
  <c r="H229" i="11"/>
  <c r="L191" i="11"/>
  <c r="K189" i="11"/>
  <c r="H234" i="11"/>
  <c r="H235" i="11"/>
  <c r="E233" i="11"/>
  <c r="E234" i="11"/>
  <c r="K190" i="11"/>
  <c r="E197" i="11"/>
  <c r="K191" i="11"/>
  <c r="E196" i="11"/>
  <c r="E189" i="11"/>
  <c r="E190" i="11"/>
  <c r="E191" i="11"/>
  <c r="J189" i="11"/>
  <c r="J190" i="11"/>
  <c r="I189" i="11"/>
  <c r="J191" i="11"/>
  <c r="I191" i="11"/>
  <c r="I190" i="11"/>
  <c r="H190" i="11"/>
  <c r="F189" i="11"/>
  <c r="H189" i="11"/>
  <c r="G189" i="11"/>
  <c r="F191" i="11"/>
  <c r="H177" i="11"/>
  <c r="H191" i="11"/>
  <c r="F190" i="11"/>
  <c r="G190" i="11"/>
  <c r="H246" i="11"/>
  <c r="O202" i="11"/>
  <c r="E246" i="11"/>
  <c r="G191" i="11"/>
  <c r="O201" i="11"/>
  <c r="H245" i="11"/>
  <c r="E245" i="11"/>
  <c r="M201" i="11"/>
  <c r="M202" i="11"/>
  <c r="H179" i="11"/>
  <c r="O203" i="11"/>
  <c r="H247" i="11"/>
  <c r="E247" i="11"/>
  <c r="H178" i="11"/>
  <c r="E183" i="11"/>
  <c r="H221" i="11"/>
  <c r="K203" i="11"/>
  <c r="E185" i="11"/>
  <c r="H223" i="11"/>
  <c r="E177" i="11"/>
  <c r="F177" i="11"/>
  <c r="E184" i="11"/>
  <c r="H222" i="11"/>
  <c r="M203" i="11"/>
  <c r="E178" i="11"/>
  <c r="E179" i="11"/>
  <c r="F179" i="11"/>
  <c r="F178" i="11"/>
  <c r="G177" i="11"/>
  <c r="G178" i="11"/>
  <c r="F185" i="11"/>
  <c r="F184" i="11"/>
  <c r="G179" i="11"/>
  <c r="F183" i="11"/>
  <c r="G184" i="11"/>
  <c r="G183" i="11"/>
  <c r="G185" i="11"/>
  <c r="K201" i="11"/>
  <c r="K202" i="11"/>
  <c r="H241" i="11"/>
  <c r="K209" i="11"/>
  <c r="E241" i="11"/>
  <c r="H239" i="11"/>
  <c r="K207" i="11"/>
  <c r="E239" i="11"/>
  <c r="H240" i="11"/>
  <c r="K208" i="11"/>
  <c r="E240" i="11"/>
  <c r="E207" i="11"/>
  <c r="E208" i="11"/>
  <c r="E209" i="11"/>
  <c r="E480" i="2"/>
  <c r="G480" i="2"/>
  <c r="F480" i="2"/>
  <c r="F491" i="2"/>
  <c r="F82" i="11" s="1"/>
  <c r="F496" i="2"/>
  <c r="F88" i="11" s="1"/>
  <c r="E496" i="2"/>
  <c r="E88" i="11" s="1"/>
  <c r="G496" i="2"/>
  <c r="G331" i="47" s="1"/>
  <c r="E491" i="2"/>
  <c r="E82" i="11" s="1"/>
  <c r="G491" i="2"/>
  <c r="G82" i="11" s="1"/>
  <c r="E506" i="2"/>
  <c r="E100" i="11" s="1"/>
  <c r="F506" i="2"/>
  <c r="F100" i="11" s="1"/>
  <c r="G506" i="2"/>
  <c r="G100" i="11" s="1"/>
  <c r="E486" i="2"/>
  <c r="E76" i="11" s="1"/>
  <c r="G501" i="2"/>
  <c r="G94" i="11" s="1"/>
  <c r="E501" i="2"/>
  <c r="E94" i="11" s="1"/>
  <c r="G486" i="2"/>
  <c r="G76" i="11" s="1"/>
  <c r="F486" i="2"/>
  <c r="F76" i="11" s="1"/>
  <c r="G390" i="19"/>
  <c r="E390" i="19"/>
  <c r="F390" i="19"/>
  <c r="F501" i="2"/>
  <c r="F94" i="11" s="1"/>
  <c r="G439" i="19" l="1"/>
  <c r="G442" i="19" s="1"/>
  <c r="G443" i="19" s="1"/>
  <c r="G8" i="19" s="1"/>
  <c r="G499" i="2"/>
  <c r="G92" i="11" s="1"/>
  <c r="F241" i="11" s="1"/>
  <c r="F450" i="19"/>
  <c r="F453" i="19" s="1"/>
  <c r="F454" i="19" s="1"/>
  <c r="F99" i="2" s="1"/>
  <c r="F499" i="2"/>
  <c r="F92" i="11" s="1"/>
  <c r="F240" i="11" s="1"/>
  <c r="E439" i="19"/>
  <c r="E442" i="19" s="1"/>
  <c r="E443" i="19" s="1"/>
  <c r="F57" i="52" s="1"/>
  <c r="H57" i="52" s="1"/>
  <c r="E499" i="2"/>
  <c r="E92" i="11" s="1"/>
  <c r="F239" i="11" s="1"/>
  <c r="F439" i="19"/>
  <c r="F442" i="19" s="1"/>
  <c r="F443" i="19" s="1"/>
  <c r="F77" i="2" s="1"/>
  <c r="F331" i="47"/>
  <c r="G88" i="11"/>
  <c r="G450" i="19"/>
  <c r="G453" i="19" s="1"/>
  <c r="G454" i="19" s="1"/>
  <c r="G99" i="2" s="1"/>
  <c r="E371" i="19"/>
  <c r="L26" i="5"/>
  <c r="Q26" i="5" s="1"/>
  <c r="R26" i="5" s="1"/>
  <c r="E450" i="19"/>
  <c r="E453" i="19" s="1"/>
  <c r="E454" i="19" s="1"/>
  <c r="E99" i="2" s="1"/>
  <c r="E24" i="47"/>
  <c r="E331" i="47"/>
  <c r="F498" i="2"/>
  <c r="F91" i="11" s="1"/>
  <c r="F371" i="19"/>
  <c r="F110" i="2"/>
  <c r="F24" i="47"/>
  <c r="E498" i="2"/>
  <c r="E91" i="11" s="1"/>
  <c r="E58" i="11"/>
  <c r="F71" i="52"/>
  <c r="H71" i="52" s="1"/>
  <c r="G498" i="2"/>
  <c r="G91" i="11" s="1"/>
  <c r="G58" i="11"/>
  <c r="G24" i="47"/>
  <c r="G371" i="19"/>
  <c r="G110" i="2"/>
  <c r="E110" i="2"/>
  <c r="L34" i="5" s="1"/>
  <c r="F58" i="11"/>
  <c r="G77" i="2" l="1"/>
  <c r="F8" i="19"/>
  <c r="F61" i="2" s="1"/>
  <c r="E8" i="19"/>
  <c r="N11" i="48" s="1"/>
  <c r="F27" i="19"/>
  <c r="F39" i="19" s="1"/>
  <c r="E77" i="2"/>
  <c r="F45" i="11"/>
  <c r="E45" i="11"/>
  <c r="G45" i="11"/>
  <c r="G27" i="19"/>
  <c r="G83" i="2" s="1"/>
  <c r="F68" i="52"/>
  <c r="H68" i="52" s="1"/>
  <c r="E27" i="19"/>
  <c r="E32" i="19" s="1"/>
  <c r="J24" i="47"/>
  <c r="G20" i="19"/>
  <c r="G7" i="6"/>
  <c r="G61" i="2"/>
  <c r="G13" i="19"/>
  <c r="F20" i="19" l="1"/>
  <c r="F7" i="6"/>
  <c r="F136" i="2" s="1"/>
  <c r="F13" i="19"/>
  <c r="F229" i="47" s="1"/>
  <c r="F55" i="6"/>
  <c r="F168" i="2" s="1"/>
  <c r="E61" i="2"/>
  <c r="D61" i="1" s="1"/>
  <c r="F44" i="19"/>
  <c r="F18" i="11" s="1"/>
  <c r="E13" i="19"/>
  <c r="N18" i="48" s="1"/>
  <c r="E20" i="19"/>
  <c r="J36" i="13" s="1"/>
  <c r="G18" i="10"/>
  <c r="D18" i="10" s="1"/>
  <c r="H102" i="10" s="1"/>
  <c r="H117" i="10" s="1"/>
  <c r="H120" i="10" s="1"/>
  <c r="E7" i="6"/>
  <c r="E220" i="47" s="1"/>
  <c r="F32" i="19"/>
  <c r="F100" i="2" s="1"/>
  <c r="F83" i="2"/>
  <c r="G55" i="6"/>
  <c r="G104" i="6" s="1"/>
  <c r="G475" i="19" s="1"/>
  <c r="G58" i="6" s="1"/>
  <c r="G171" i="2" s="1"/>
  <c r="G44" i="19"/>
  <c r="G18" i="11" s="1"/>
  <c r="G32" i="19"/>
  <c r="G270" i="47" s="1"/>
  <c r="G39" i="19"/>
  <c r="G18" i="26"/>
  <c r="D18" i="26" s="1"/>
  <c r="D27" i="26" s="1"/>
  <c r="E55" i="6"/>
  <c r="E261" i="47" s="1"/>
  <c r="E83" i="2"/>
  <c r="D83" i="1" s="1"/>
  <c r="E44" i="19"/>
  <c r="E18" i="11" s="1"/>
  <c r="N11" i="53"/>
  <c r="E39" i="19"/>
  <c r="L36" i="13" s="1"/>
  <c r="G78" i="2"/>
  <c r="G229" i="47"/>
  <c r="G136" i="2"/>
  <c r="G220" i="47"/>
  <c r="F78" i="2"/>
  <c r="F10" i="53"/>
  <c r="N18" i="53"/>
  <c r="E270" i="47"/>
  <c r="E100" i="2"/>
  <c r="E78" i="2" l="1"/>
  <c r="F220" i="47"/>
  <c r="J220" i="47" s="1"/>
  <c r="E229" i="47"/>
  <c r="J229" i="47" s="1"/>
  <c r="F104" i="6"/>
  <c r="F474" i="19" s="1"/>
  <c r="F10" i="6" s="1"/>
  <c r="F139" i="2" s="1"/>
  <c r="F261" i="47"/>
  <c r="F10" i="48"/>
  <c r="F270" i="47"/>
  <c r="J270" i="47" s="1"/>
  <c r="C31" i="10"/>
  <c r="D24" i="10"/>
  <c r="D102" i="10" s="1"/>
  <c r="D27" i="10"/>
  <c r="N36" i="13"/>
  <c r="E136" i="2"/>
  <c r="D136" i="1" s="1"/>
  <c r="F136" i="1" s="1"/>
  <c r="G261" i="47"/>
  <c r="C31" i="26"/>
  <c r="G168" i="2"/>
  <c r="G100" i="2"/>
  <c r="H102" i="26"/>
  <c r="H117" i="26" s="1"/>
  <c r="H120" i="26" s="1"/>
  <c r="H128" i="26" s="1"/>
  <c r="G134" i="26" s="1"/>
  <c r="D24" i="26"/>
  <c r="D102" i="26" s="1"/>
  <c r="E168" i="2"/>
  <c r="D168" i="1" s="1"/>
  <c r="E104" i="6"/>
  <c r="E474" i="19" s="1"/>
  <c r="E10" i="6" s="1"/>
  <c r="E139" i="2" s="1"/>
  <c r="D139" i="1" s="1"/>
  <c r="G474" i="19"/>
  <c r="G10" i="6" s="1"/>
  <c r="G139" i="2" s="1"/>
  <c r="J261" i="47"/>
  <c r="G200" i="2"/>
  <c r="G17" i="11"/>
  <c r="C544" i="8"/>
  <c r="D150" i="10"/>
  <c r="D147" i="10"/>
  <c r="D151" i="10"/>
  <c r="F126" i="10"/>
  <c r="E126" i="10"/>
  <c r="D149" i="10"/>
  <c r="D148" i="10"/>
  <c r="G126" i="10"/>
  <c r="F17" i="11" l="1"/>
  <c r="F200" i="2"/>
  <c r="C528" i="8"/>
  <c r="C532" i="8" s="1"/>
  <c r="F475" i="19"/>
  <c r="F58" i="6" s="1"/>
  <c r="F171" i="2" s="1"/>
  <c r="N136" i="1"/>
  <c r="E136" i="1"/>
  <c r="G136" i="1"/>
  <c r="G139" i="1"/>
  <c r="E139" i="1"/>
  <c r="F139" i="1"/>
  <c r="G168" i="1"/>
  <c r="F168" i="1"/>
  <c r="E168" i="1"/>
  <c r="D156" i="26"/>
  <c r="F156" i="26" s="1"/>
  <c r="D155" i="26"/>
  <c r="E155" i="26" s="1"/>
  <c r="D157" i="26"/>
  <c r="F157" i="26" s="1"/>
  <c r="D158" i="26"/>
  <c r="F158" i="26" s="1"/>
  <c r="D159" i="26"/>
  <c r="G159" i="26" s="1"/>
  <c r="F134" i="26"/>
  <c r="E134" i="26"/>
  <c r="E200" i="2"/>
  <c r="D200" i="1" s="1"/>
  <c r="G12" i="11"/>
  <c r="N168" i="1"/>
  <c r="E17" i="11"/>
  <c r="E475" i="19"/>
  <c r="E58" i="6" s="1"/>
  <c r="E171" i="2" s="1"/>
  <c r="D171" i="1" s="1"/>
  <c r="G107" i="6"/>
  <c r="G203" i="2" s="1"/>
  <c r="E148" i="10"/>
  <c r="G148" i="10"/>
  <c r="F148" i="10"/>
  <c r="F151" i="10"/>
  <c r="E151" i="10"/>
  <c r="G151" i="10"/>
  <c r="N139" i="1"/>
  <c r="G147" i="10"/>
  <c r="F147" i="10"/>
  <c r="E147" i="10"/>
  <c r="C548" i="8"/>
  <c r="E149" i="10"/>
  <c r="G149" i="10"/>
  <c r="F149" i="10"/>
  <c r="H126" i="10"/>
  <c r="G127" i="10" s="1"/>
  <c r="F150" i="10"/>
  <c r="E150" i="10"/>
  <c r="G150" i="10"/>
  <c r="F12" i="11" l="1"/>
  <c r="F107" i="6"/>
  <c r="F203" i="2" s="1"/>
  <c r="J136" i="1"/>
  <c r="E156" i="26"/>
  <c r="G156" i="26"/>
  <c r="E158" i="26"/>
  <c r="F171" i="1"/>
  <c r="E171" i="1"/>
  <c r="G171" i="1"/>
  <c r="N200" i="1"/>
  <c r="F200" i="1"/>
  <c r="G200" i="1"/>
  <c r="E200" i="1"/>
  <c r="G158" i="26"/>
  <c r="H134" i="26"/>
  <c r="G135" i="26" s="1"/>
  <c r="G137" i="26" s="1"/>
  <c r="E157" i="26"/>
  <c r="G155" i="26"/>
  <c r="E159" i="26"/>
  <c r="G157" i="26"/>
  <c r="F155" i="26"/>
  <c r="F159" i="26"/>
  <c r="J168" i="1"/>
  <c r="N171" i="1"/>
  <c r="E12" i="11"/>
  <c r="E107" i="6"/>
  <c r="E203" i="2" s="1"/>
  <c r="D203" i="1" s="1"/>
  <c r="G130" i="10"/>
  <c r="G129" i="10"/>
  <c r="G153" i="10"/>
  <c r="F127" i="10"/>
  <c r="J139" i="1"/>
  <c r="F153" i="10"/>
  <c r="E127" i="10"/>
  <c r="E153" i="10"/>
  <c r="J200" i="1" l="1"/>
  <c r="J171" i="1"/>
  <c r="E161" i="26"/>
  <c r="N203" i="1"/>
  <c r="E203" i="1"/>
  <c r="F203" i="1"/>
  <c r="G203" i="1"/>
  <c r="F135" i="26"/>
  <c r="F138" i="26" s="1"/>
  <c r="F140" i="26" s="1"/>
  <c r="E135" i="26"/>
  <c r="E137" i="26" s="1"/>
  <c r="G161" i="26"/>
  <c r="F161" i="26"/>
  <c r="G138" i="26"/>
  <c r="G140" i="26" s="1"/>
  <c r="E129" i="10"/>
  <c r="E130" i="10"/>
  <c r="F129" i="10"/>
  <c r="F130" i="10"/>
  <c r="G132" i="10"/>
  <c r="E138" i="26" l="1"/>
  <c r="E140" i="26" s="1"/>
  <c r="E141" i="26" s="1"/>
  <c r="F137" i="26"/>
  <c r="J203" i="1"/>
  <c r="E132" i="10"/>
  <c r="H130" i="10"/>
  <c r="F141" i="26"/>
  <c r="F142" i="26" s="1"/>
  <c r="F132" i="10"/>
  <c r="G133" i="10"/>
  <c r="G134" i="10" s="1"/>
  <c r="G141" i="26"/>
  <c r="G142" i="26" s="1"/>
  <c r="H138" i="26" l="1"/>
  <c r="H141" i="26"/>
  <c r="E142" i="26"/>
  <c r="H140" i="26"/>
  <c r="E133" i="10"/>
  <c r="F133" i="10"/>
  <c r="F134" i="10" s="1"/>
  <c r="H132" i="10" l="1"/>
  <c r="F135" i="10" s="1"/>
  <c r="F141" i="10" s="1"/>
  <c r="G144" i="26"/>
  <c r="E144" i="26"/>
  <c r="F144" i="26"/>
  <c r="G143" i="26"/>
  <c r="E143" i="26"/>
  <c r="F143" i="26"/>
  <c r="E134" i="10"/>
  <c r="H133" i="10"/>
  <c r="F136" i="10" l="1"/>
  <c r="E135" i="10"/>
  <c r="E141" i="10" s="1"/>
  <c r="G135" i="10"/>
  <c r="G141" i="10" s="1"/>
  <c r="E136" i="10"/>
  <c r="F139" i="10"/>
  <c r="F140" i="10" s="1"/>
  <c r="G136" i="10"/>
  <c r="F149" i="26"/>
  <c r="F147" i="26"/>
  <c r="F148" i="26" s="1"/>
  <c r="H143" i="26"/>
  <c r="E149" i="26"/>
  <c r="E147" i="26"/>
  <c r="E148" i="26" s="1"/>
  <c r="G149" i="26"/>
  <c r="G147" i="26"/>
  <c r="G148" i="26" s="1"/>
  <c r="F9" i="19"/>
  <c r="E139" i="10" l="1"/>
  <c r="E140" i="10" s="1"/>
  <c r="H135" i="10"/>
  <c r="G139" i="10"/>
  <c r="G140" i="10" s="1"/>
  <c r="G28" i="19"/>
  <c r="F62" i="2"/>
  <c r="F8" i="6"/>
  <c r="F19" i="19"/>
  <c r="F15" i="19"/>
  <c r="F68" i="2"/>
  <c r="F11" i="19"/>
  <c r="F12" i="19" s="1"/>
  <c r="F228" i="47" s="1"/>
  <c r="F10" i="19"/>
  <c r="G9" i="19"/>
  <c r="H141" i="10"/>
  <c r="G142" i="10" s="1"/>
  <c r="E9" i="19"/>
  <c r="H149" i="26"/>
  <c r="H150" i="26" s="1"/>
  <c r="E28" i="19"/>
  <c r="F28" i="19"/>
  <c r="E142" i="10" l="1"/>
  <c r="E250" i="47" s="1"/>
  <c r="E90" i="2"/>
  <c r="E56" i="6"/>
  <c r="E38" i="19"/>
  <c r="E84" i="2"/>
  <c r="D84" i="1" s="1"/>
  <c r="N12" i="53"/>
  <c r="E30" i="19"/>
  <c r="E31" i="19" s="1"/>
  <c r="E269" i="47" s="1"/>
  <c r="E34" i="19"/>
  <c r="E29" i="19"/>
  <c r="F84" i="2"/>
  <c r="F90" i="2"/>
  <c r="F56" i="6"/>
  <c r="F105" i="6" s="1"/>
  <c r="F30" i="19"/>
  <c r="F31" i="19" s="1"/>
  <c r="F269" i="47" s="1"/>
  <c r="F34" i="19"/>
  <c r="F38" i="19"/>
  <c r="F37" i="2" s="1"/>
  <c r="F29" i="19"/>
  <c r="G68" i="2"/>
  <c r="G62" i="2"/>
  <c r="G19" i="19"/>
  <c r="G15" i="19"/>
  <c r="G8" i="6"/>
  <c r="G11" i="19"/>
  <c r="G12" i="19" s="1"/>
  <c r="G228" i="47" s="1"/>
  <c r="G10" i="19"/>
  <c r="F137" i="2"/>
  <c r="F221" i="47"/>
  <c r="F150" i="26"/>
  <c r="G250" i="47"/>
  <c r="G156" i="10"/>
  <c r="F294" i="19"/>
  <c r="F21" i="19"/>
  <c r="F9" i="6" s="1"/>
  <c r="G56" i="6"/>
  <c r="G84" i="2"/>
  <c r="G30" i="19"/>
  <c r="G31" i="19" s="1"/>
  <c r="G269" i="47" s="1"/>
  <c r="G34" i="19"/>
  <c r="G38" i="19"/>
  <c r="G90" i="2"/>
  <c r="G29" i="19"/>
  <c r="N12" i="48"/>
  <c r="E68" i="2"/>
  <c r="E8" i="6"/>
  <c r="E15" i="19"/>
  <c r="E11" i="19"/>
  <c r="E12" i="19" s="1"/>
  <c r="E228" i="47" s="1"/>
  <c r="E19" i="19"/>
  <c r="E62" i="2"/>
  <c r="D62" i="1" s="1"/>
  <c r="E10" i="19"/>
  <c r="E150" i="26"/>
  <c r="H142" i="10"/>
  <c r="F142" i="10"/>
  <c r="F22" i="6"/>
  <c r="F63" i="2"/>
  <c r="F250" i="19"/>
  <c r="F51" i="19"/>
  <c r="F49" i="19"/>
  <c r="F25" i="6"/>
  <c r="F67" i="2"/>
  <c r="F23" i="6"/>
  <c r="G150" i="26"/>
  <c r="E143" i="10" l="1"/>
  <c r="E156" i="10"/>
  <c r="E157" i="10" s="1"/>
  <c r="J228" i="47"/>
  <c r="G291" i="47"/>
  <c r="G164" i="26"/>
  <c r="G151" i="26"/>
  <c r="N17" i="48"/>
  <c r="D68" i="1"/>
  <c r="F222" i="47"/>
  <c r="F138" i="2"/>
  <c r="G137" i="2"/>
  <c r="G105" i="6"/>
  <c r="G221" i="47"/>
  <c r="N14" i="53"/>
  <c r="N15" i="53"/>
  <c r="E251" i="19"/>
  <c r="F11" i="53"/>
  <c r="E73" i="6"/>
  <c r="E50" i="19"/>
  <c r="E71" i="6"/>
  <c r="E178" i="2" s="1"/>
  <c r="D178" i="1" s="1"/>
  <c r="E85" i="2"/>
  <c r="D85" i="1" s="1"/>
  <c r="E89" i="2"/>
  <c r="D89" i="1" s="1"/>
  <c r="E52" i="19"/>
  <c r="E70" i="6"/>
  <c r="F22" i="19"/>
  <c r="F66" i="2" s="1"/>
  <c r="E164" i="26"/>
  <c r="E291" i="47"/>
  <c r="E151" i="26"/>
  <c r="G52" i="19"/>
  <c r="G89" i="2"/>
  <c r="G70" i="6"/>
  <c r="G251" i="19"/>
  <c r="G73" i="6"/>
  <c r="G85" i="2"/>
  <c r="G71" i="6"/>
  <c r="G178" i="2" s="1"/>
  <c r="G50" i="19"/>
  <c r="F164" i="26"/>
  <c r="F291" i="47"/>
  <c r="F151" i="26"/>
  <c r="G21" i="19"/>
  <c r="G9" i="6" s="1"/>
  <c r="G12" i="6" s="1"/>
  <c r="G294" i="19"/>
  <c r="F85" i="2"/>
  <c r="F89" i="2"/>
  <c r="F251" i="19"/>
  <c r="F256" i="19" s="1"/>
  <c r="F50" i="19"/>
  <c r="F70" i="6"/>
  <c r="F119" i="6" s="1"/>
  <c r="F73" i="6"/>
  <c r="F122" i="6" s="1"/>
  <c r="F52" i="19"/>
  <c r="F71" i="6"/>
  <c r="F178" i="2" s="1"/>
  <c r="F262" i="47"/>
  <c r="F169" i="2"/>
  <c r="E40" i="19"/>
  <c r="E41" i="19" s="1"/>
  <c r="E295" i="19"/>
  <c r="L35" i="13"/>
  <c r="E37" i="2"/>
  <c r="J35" i="13"/>
  <c r="G295" i="19"/>
  <c r="G40" i="19"/>
  <c r="G57" i="6" s="1"/>
  <c r="G60" i="6" s="1"/>
  <c r="F65" i="19"/>
  <c r="F145" i="2"/>
  <c r="N14" i="48"/>
  <c r="F11" i="48"/>
  <c r="E51" i="19"/>
  <c r="E25" i="6"/>
  <c r="N104" i="8"/>
  <c r="E23" i="6"/>
  <c r="E250" i="19"/>
  <c r="E63" i="2"/>
  <c r="D63" i="1" s="1"/>
  <c r="E49" i="19"/>
  <c r="E67" i="2"/>
  <c r="D67" i="1" s="1"/>
  <c r="E22" i="6"/>
  <c r="N15" i="48"/>
  <c r="E294" i="19"/>
  <c r="E21" i="19"/>
  <c r="E22" i="19" s="1"/>
  <c r="G160" i="10"/>
  <c r="G157" i="10"/>
  <c r="G161" i="10"/>
  <c r="G158" i="10"/>
  <c r="G159" i="10"/>
  <c r="F12" i="6"/>
  <c r="G51" i="19"/>
  <c r="G49" i="19"/>
  <c r="G67" i="2"/>
  <c r="G250" i="19"/>
  <c r="G25" i="6"/>
  <c r="G63" i="2"/>
  <c r="G22" i="6"/>
  <c r="G23" i="6"/>
  <c r="G37" i="2"/>
  <c r="J269" i="47"/>
  <c r="E262" i="47"/>
  <c r="E169" i="2"/>
  <c r="D169" i="1" s="1"/>
  <c r="L7" i="13"/>
  <c r="F108" i="19"/>
  <c r="F146" i="2"/>
  <c r="F143" i="10"/>
  <c r="F156" i="10"/>
  <c r="F250" i="47"/>
  <c r="E221" i="47"/>
  <c r="E105" i="6"/>
  <c r="E137" i="2"/>
  <c r="D137" i="1" s="1"/>
  <c r="J7" i="13"/>
  <c r="G262" i="47"/>
  <c r="G169" i="2"/>
  <c r="G143" i="10"/>
  <c r="F201" i="2"/>
  <c r="F295" i="19"/>
  <c r="F297" i="19" s="1"/>
  <c r="F40" i="19"/>
  <c r="F57" i="6" s="1"/>
  <c r="F106" i="6" s="1"/>
  <c r="F202" i="2" s="1"/>
  <c r="D90" i="1"/>
  <c r="N17" i="53"/>
  <c r="E160" i="10" l="1"/>
  <c r="E159" i="10"/>
  <c r="E161" i="10"/>
  <c r="E158" i="10"/>
  <c r="E90" i="1"/>
  <c r="G90" i="1"/>
  <c r="F90" i="1"/>
  <c r="F67" i="1"/>
  <c r="E67" i="1"/>
  <c r="G67" i="1"/>
  <c r="G89" i="1"/>
  <c r="E89" i="1"/>
  <c r="F89" i="1"/>
  <c r="F137" i="1"/>
  <c r="E137" i="1"/>
  <c r="G137" i="1"/>
  <c r="G169" i="1"/>
  <c r="F169" i="1"/>
  <c r="E169" i="1"/>
  <c r="F178" i="1"/>
  <c r="G178" i="1"/>
  <c r="E178" i="1"/>
  <c r="G68" i="1"/>
  <c r="F68" i="1"/>
  <c r="E68" i="1"/>
  <c r="G22" i="19"/>
  <c r="G66" i="2" s="1"/>
  <c r="J221" i="47"/>
  <c r="G41" i="19"/>
  <c r="G88" i="2" s="1"/>
  <c r="E122" i="6"/>
  <c r="F54" i="19"/>
  <c r="F102" i="19" s="1"/>
  <c r="N35" i="13"/>
  <c r="F41" i="19"/>
  <c r="F88" i="2" s="1"/>
  <c r="F120" i="6"/>
  <c r="F210" i="2" s="1"/>
  <c r="J262" i="47"/>
  <c r="G122" i="6"/>
  <c r="E297" i="19"/>
  <c r="E299" i="19" s="1"/>
  <c r="F316" i="19"/>
  <c r="F299" i="19"/>
  <c r="F315" i="19"/>
  <c r="F158" i="10"/>
  <c r="H158" i="10" s="1"/>
  <c r="I158" i="10" s="1"/>
  <c r="F159" i="10"/>
  <c r="F160" i="10"/>
  <c r="F157" i="10"/>
  <c r="H157" i="10" s="1"/>
  <c r="I157" i="10" s="1"/>
  <c r="G165" i="10" s="1"/>
  <c r="F161" i="10"/>
  <c r="G119" i="6"/>
  <c r="G145" i="2"/>
  <c r="E145" i="2"/>
  <c r="D145" i="1" s="1"/>
  <c r="E119" i="6"/>
  <c r="G109" i="19"/>
  <c r="G140" i="2"/>
  <c r="G10" i="11"/>
  <c r="G65" i="2"/>
  <c r="G223" i="47"/>
  <c r="G6" i="2"/>
  <c r="G472" i="2"/>
  <c r="F109" i="6"/>
  <c r="F23" i="12" s="1"/>
  <c r="F25" i="12" s="1"/>
  <c r="G7" i="2"/>
  <c r="G87" i="2"/>
  <c r="G264" i="47"/>
  <c r="G11" i="11"/>
  <c r="G172" i="2"/>
  <c r="G473" i="2"/>
  <c r="E201" i="2"/>
  <c r="D201" i="1" s="1"/>
  <c r="N7" i="13"/>
  <c r="N169" i="1"/>
  <c r="G65" i="19"/>
  <c r="G54" i="19"/>
  <c r="G55" i="19" s="1"/>
  <c r="E9" i="6"/>
  <c r="J37" i="13"/>
  <c r="N67" i="1"/>
  <c r="E146" i="2"/>
  <c r="D146" i="1" s="1"/>
  <c r="E120" i="6"/>
  <c r="E210" i="2" s="1"/>
  <c r="D210" i="1" s="1"/>
  <c r="F209" i="2"/>
  <c r="F177" i="2"/>
  <c r="G177" i="2"/>
  <c r="E177" i="2"/>
  <c r="D177" i="1" s="1"/>
  <c r="N178" i="1"/>
  <c r="E109" i="19"/>
  <c r="N137" i="1"/>
  <c r="L39" i="13"/>
  <c r="N16" i="53"/>
  <c r="E88" i="2"/>
  <c r="D88" i="1" s="1"/>
  <c r="G66" i="19"/>
  <c r="N90" i="1"/>
  <c r="E65" i="19"/>
  <c r="E54" i="19"/>
  <c r="E55" i="19" s="1"/>
  <c r="G263" i="47"/>
  <c r="G170" i="2"/>
  <c r="D37" i="1"/>
  <c r="I20" i="14"/>
  <c r="E57" i="6"/>
  <c r="L37" i="13"/>
  <c r="F66" i="19"/>
  <c r="F67" i="19" s="1"/>
  <c r="G297" i="19"/>
  <c r="F165" i="26"/>
  <c r="F169" i="26"/>
  <c r="F166" i="26"/>
  <c r="F168" i="26"/>
  <c r="F167" i="26"/>
  <c r="E167" i="26"/>
  <c r="E169" i="26"/>
  <c r="E166" i="26"/>
  <c r="E168" i="26"/>
  <c r="E165" i="26"/>
  <c r="E66" i="19"/>
  <c r="G201" i="2"/>
  <c r="G165" i="26"/>
  <c r="G167" i="26"/>
  <c r="G166" i="26"/>
  <c r="G168" i="26"/>
  <c r="G169" i="26"/>
  <c r="E108" i="19"/>
  <c r="E256" i="19"/>
  <c r="J39" i="13"/>
  <c r="E66" i="2"/>
  <c r="D66" i="1" s="1"/>
  <c r="N16" i="48"/>
  <c r="F259" i="19"/>
  <c r="F258" i="19"/>
  <c r="F170" i="2"/>
  <c r="F263" i="47"/>
  <c r="C529" i="8"/>
  <c r="G120" i="6"/>
  <c r="G210" i="2" s="1"/>
  <c r="G146" i="2"/>
  <c r="G108" i="19"/>
  <c r="G256" i="19"/>
  <c r="F223" i="47"/>
  <c r="F140" i="2"/>
  <c r="F65" i="2"/>
  <c r="F10" i="11"/>
  <c r="F6" i="2"/>
  <c r="F472" i="2"/>
  <c r="F60" i="6"/>
  <c r="F109" i="19"/>
  <c r="G106" i="6"/>
  <c r="G202" i="2" s="1"/>
  <c r="G138" i="2"/>
  <c r="G222" i="47"/>
  <c r="N89" i="1"/>
  <c r="N68" i="1"/>
  <c r="H159" i="10" l="1"/>
  <c r="I159" i="10" s="1"/>
  <c r="E167" i="10" s="1"/>
  <c r="E176" i="10" s="1"/>
  <c r="H161" i="10"/>
  <c r="I161" i="10" s="1"/>
  <c r="E169" i="10" s="1"/>
  <c r="E178" i="10" s="1"/>
  <c r="E177" i="1"/>
  <c r="G177" i="1"/>
  <c r="F177" i="1"/>
  <c r="G210" i="1"/>
  <c r="F210" i="1"/>
  <c r="E210" i="1"/>
  <c r="F223" i="6"/>
  <c r="F472" i="1"/>
  <c r="E66" i="1"/>
  <c r="G66" i="1"/>
  <c r="F66" i="1"/>
  <c r="G146" i="1"/>
  <c r="F146" i="1"/>
  <c r="E146" i="1"/>
  <c r="G201" i="1"/>
  <c r="E201" i="1"/>
  <c r="F201" i="1"/>
  <c r="G223" i="6"/>
  <c r="G472" i="1"/>
  <c r="F145" i="1"/>
  <c r="E145" i="1"/>
  <c r="G145" i="1"/>
  <c r="G88" i="1"/>
  <c r="F88" i="1"/>
  <c r="E88" i="1"/>
  <c r="G224" i="6"/>
  <c r="G473" i="1"/>
  <c r="F37" i="1"/>
  <c r="F180" i="6" s="1"/>
  <c r="E37" i="1"/>
  <c r="G37" i="1"/>
  <c r="G180" i="6" s="1"/>
  <c r="F221" i="19"/>
  <c r="F484" i="2"/>
  <c r="F74" i="11" s="1"/>
  <c r="F222" i="11" s="1"/>
  <c r="E315" i="19"/>
  <c r="F55" i="19"/>
  <c r="F228" i="19"/>
  <c r="F146" i="19" s="1"/>
  <c r="F150" i="19" s="1"/>
  <c r="F103" i="19"/>
  <c r="F105" i="19" s="1"/>
  <c r="F244" i="19"/>
  <c r="F34" i="6" s="1"/>
  <c r="F154" i="2" s="1"/>
  <c r="G103" i="19"/>
  <c r="F459" i="19"/>
  <c r="F39" i="6" s="1"/>
  <c r="F157" i="2" s="1"/>
  <c r="E316" i="19"/>
  <c r="F24" i="6"/>
  <c r="F147" i="2" s="1"/>
  <c r="E166" i="10"/>
  <c r="E175" i="10" s="1"/>
  <c r="G166" i="10"/>
  <c r="G175" i="10" s="1"/>
  <c r="N39" i="13"/>
  <c r="G109" i="6"/>
  <c r="G23" i="12" s="1"/>
  <c r="G25" i="12" s="1"/>
  <c r="C545" i="8"/>
  <c r="D545" i="8" s="1"/>
  <c r="G67" i="19"/>
  <c r="G127" i="2" s="1"/>
  <c r="J67" i="1"/>
  <c r="F470" i="19"/>
  <c r="F87" i="2"/>
  <c r="F11" i="11"/>
  <c r="F7" i="2"/>
  <c r="F8" i="2" s="1"/>
  <c r="F172" i="2"/>
  <c r="F264" i="47"/>
  <c r="F218" i="19"/>
  <c r="F222" i="19"/>
  <c r="F465" i="19"/>
  <c r="F77" i="6" s="1"/>
  <c r="F216" i="19"/>
  <c r="F72" i="6"/>
  <c r="F473" i="2"/>
  <c r="F229" i="19"/>
  <c r="F245" i="19"/>
  <c r="F82" i="6" s="1"/>
  <c r="F186" i="2" s="1"/>
  <c r="F460" i="19"/>
  <c r="F87" i="6" s="1"/>
  <c r="F189" i="2" s="1"/>
  <c r="F483" i="2"/>
  <c r="F73" i="11" s="1"/>
  <c r="E222" i="11" s="1"/>
  <c r="F26" i="47"/>
  <c r="F466" i="2"/>
  <c r="F204" i="2"/>
  <c r="F16" i="11"/>
  <c r="F471" i="2"/>
  <c r="F272" i="19"/>
  <c r="F19" i="54"/>
  <c r="E209" i="2"/>
  <c r="D209" i="1" s="1"/>
  <c r="G209" i="2"/>
  <c r="F127" i="2"/>
  <c r="F87" i="19"/>
  <c r="F88" i="19"/>
  <c r="F305" i="47"/>
  <c r="F373" i="19"/>
  <c r="F81" i="19"/>
  <c r="F81" i="6" s="1"/>
  <c r="F80" i="19"/>
  <c r="F464" i="19"/>
  <c r="F29" i="6" s="1"/>
  <c r="F469" i="19"/>
  <c r="F217" i="19"/>
  <c r="G114" i="19"/>
  <c r="G117" i="19" s="1"/>
  <c r="E165" i="10"/>
  <c r="F261" i="19"/>
  <c r="F268" i="19"/>
  <c r="N66" i="1"/>
  <c r="E103" i="19"/>
  <c r="H166" i="26"/>
  <c r="I166" i="26" s="1"/>
  <c r="E174" i="26" s="1"/>
  <c r="G316" i="19"/>
  <c r="G315" i="19"/>
  <c r="G299" i="19"/>
  <c r="L8" i="13"/>
  <c r="E170" i="2"/>
  <c r="D170" i="1" s="1"/>
  <c r="E263" i="47"/>
  <c r="J263" i="47" s="1"/>
  <c r="E60" i="6"/>
  <c r="E67" i="19"/>
  <c r="J90" i="1"/>
  <c r="P17" i="53"/>
  <c r="N177" i="1"/>
  <c r="N210" i="1"/>
  <c r="G8" i="2"/>
  <c r="N145" i="1"/>
  <c r="F167" i="10"/>
  <c r="F176" i="10" s="1"/>
  <c r="G258" i="19"/>
  <c r="G259" i="19"/>
  <c r="E114" i="19"/>
  <c r="E117" i="19" s="1"/>
  <c r="N37" i="1"/>
  <c r="J8" i="13"/>
  <c r="E222" i="47"/>
  <c r="J222" i="47" s="1"/>
  <c r="E106" i="6"/>
  <c r="E138" i="2"/>
  <c r="D138" i="1" s="1"/>
  <c r="E12" i="6"/>
  <c r="J68" i="1"/>
  <c r="P17" i="48"/>
  <c r="J89" i="1"/>
  <c r="F273" i="19"/>
  <c r="F215" i="19"/>
  <c r="D529" i="8"/>
  <c r="D532" i="8"/>
  <c r="D528" i="8"/>
  <c r="H169" i="26"/>
  <c r="I169" i="26" s="1"/>
  <c r="G177" i="26" s="1"/>
  <c r="G186" i="26" s="1"/>
  <c r="N146" i="1"/>
  <c r="F166" i="10"/>
  <c r="F175" i="10" s="1"/>
  <c r="F302" i="19"/>
  <c r="F301" i="19"/>
  <c r="H168" i="26"/>
  <c r="I168" i="26" s="1"/>
  <c r="G176" i="26" s="1"/>
  <c r="G185" i="26" s="1"/>
  <c r="E302" i="19"/>
  <c r="E301" i="19"/>
  <c r="E259" i="19"/>
  <c r="E258" i="19"/>
  <c r="F114" i="19"/>
  <c r="F117" i="19" s="1"/>
  <c r="H165" i="26"/>
  <c r="I165" i="26" s="1"/>
  <c r="E173" i="26" s="1"/>
  <c r="H167" i="26"/>
  <c r="I167" i="26" s="1"/>
  <c r="G175" i="26" s="1"/>
  <c r="G184" i="26" s="1"/>
  <c r="E102" i="19"/>
  <c r="H160" i="10"/>
  <c r="I160" i="10" s="1"/>
  <c r="F168" i="10" s="1"/>
  <c r="F177" i="10" s="1"/>
  <c r="N88" i="1"/>
  <c r="J137" i="1"/>
  <c r="J178" i="1"/>
  <c r="N37" i="13"/>
  <c r="G102" i="19"/>
  <c r="J169" i="1"/>
  <c r="N201" i="1"/>
  <c r="F165" i="10"/>
  <c r="G169" i="10" l="1"/>
  <c r="G178" i="10" s="1"/>
  <c r="D544" i="8"/>
  <c r="G167" i="10"/>
  <c r="G176" i="10" s="1"/>
  <c r="H176" i="10" s="1"/>
  <c r="F169" i="10"/>
  <c r="F178" i="10" s="1"/>
  <c r="F209" i="1"/>
  <c r="E209" i="1"/>
  <c r="G209" i="1"/>
  <c r="F471" i="1"/>
  <c r="F220" i="6" s="1"/>
  <c r="G138" i="1"/>
  <c r="F138" i="1"/>
  <c r="E138" i="1"/>
  <c r="E170" i="1"/>
  <c r="F170" i="1"/>
  <c r="G170" i="1"/>
  <c r="F224" i="6"/>
  <c r="F473" i="1"/>
  <c r="F18" i="6"/>
  <c r="F150" i="2" s="1"/>
  <c r="F223" i="19"/>
  <c r="F230" i="19" s="1"/>
  <c r="F224" i="19"/>
  <c r="F231" i="19" s="1"/>
  <c r="G105" i="19"/>
  <c r="F47" i="11"/>
  <c r="F377" i="19"/>
  <c r="G222" i="19"/>
  <c r="G484" i="2"/>
  <c r="G74" i="11" s="1"/>
  <c r="F223" i="11" s="1"/>
  <c r="F174" i="26"/>
  <c r="F183" i="26" s="1"/>
  <c r="D548" i="8"/>
  <c r="G174" i="26"/>
  <c r="G183" i="26" s="1"/>
  <c r="G81" i="19"/>
  <c r="G81" i="6" s="1"/>
  <c r="G87" i="19"/>
  <c r="F27" i="6"/>
  <c r="F149" i="2" s="1"/>
  <c r="G483" i="2"/>
  <c r="G73" i="11" s="1"/>
  <c r="E223" i="11" s="1"/>
  <c r="G80" i="19"/>
  <c r="G33" i="6" s="1"/>
  <c r="G88" i="19"/>
  <c r="G305" i="47"/>
  <c r="G373" i="19"/>
  <c r="G229" i="19"/>
  <c r="G154" i="19" s="1"/>
  <c r="G158" i="19" s="1"/>
  <c r="G160" i="19" s="1"/>
  <c r="G204" i="2"/>
  <c r="G221" i="19"/>
  <c r="G228" i="19"/>
  <c r="J145" i="1"/>
  <c r="G470" i="19"/>
  <c r="G272" i="19"/>
  <c r="F131" i="6"/>
  <c r="F218" i="2" s="1"/>
  <c r="G273" i="19"/>
  <c r="G466" i="2"/>
  <c r="J210" i="1"/>
  <c r="F176" i="26"/>
  <c r="F185" i="26" s="1"/>
  <c r="G173" i="26"/>
  <c r="G217" i="19"/>
  <c r="G459" i="19"/>
  <c r="G39" i="6" s="1"/>
  <c r="G469" i="19"/>
  <c r="G460" i="19"/>
  <c r="G87" i="6" s="1"/>
  <c r="G189" i="2" s="1"/>
  <c r="G244" i="19"/>
  <c r="G34" i="6" s="1"/>
  <c r="G154" i="2" s="1"/>
  <c r="G218" i="19"/>
  <c r="G216" i="19"/>
  <c r="E105" i="19"/>
  <c r="E176" i="26"/>
  <c r="E185" i="26" s="1"/>
  <c r="G24" i="6"/>
  <c r="G147" i="2" s="1"/>
  <c r="G16" i="11"/>
  <c r="G72" i="6"/>
  <c r="G179" i="2" s="1"/>
  <c r="H175" i="10"/>
  <c r="F173" i="26"/>
  <c r="H167" i="10"/>
  <c r="J201" i="1"/>
  <c r="G215" i="19"/>
  <c r="G465" i="19"/>
  <c r="G77" i="6" s="1"/>
  <c r="G183" i="2" s="1"/>
  <c r="F177" i="26"/>
  <c r="F186" i="26" s="1"/>
  <c r="G245" i="19"/>
  <c r="G82" i="6" s="1"/>
  <c r="G186" i="2" s="1"/>
  <c r="J146" i="1"/>
  <c r="G471" i="2"/>
  <c r="G26" i="47"/>
  <c r="G464" i="19"/>
  <c r="G29" i="6" s="1"/>
  <c r="G31" i="6" s="1"/>
  <c r="F118" i="19"/>
  <c r="F127" i="19"/>
  <c r="F128" i="19" s="1"/>
  <c r="E311" i="19"/>
  <c r="E304" i="19"/>
  <c r="H165" i="10"/>
  <c r="F179" i="2"/>
  <c r="F75" i="6"/>
  <c r="F181" i="2" s="1"/>
  <c r="J88" i="1"/>
  <c r="P16" i="53"/>
  <c r="E175" i="26"/>
  <c r="E261" i="19"/>
  <c r="E268" i="19"/>
  <c r="E177" i="26"/>
  <c r="F49" i="52"/>
  <c r="J9" i="13"/>
  <c r="F15" i="48"/>
  <c r="E10" i="11"/>
  <c r="E140" i="2"/>
  <c r="D140" i="1" s="1"/>
  <c r="E65" i="2"/>
  <c r="D65" i="1" s="1"/>
  <c r="E472" i="2"/>
  <c r="E223" i="47"/>
  <c r="J223" i="47" s="1"/>
  <c r="F28" i="48"/>
  <c r="E6" i="2"/>
  <c r="L9" i="13"/>
  <c r="F15" i="53"/>
  <c r="E11" i="11"/>
  <c r="F28" i="53"/>
  <c r="F60" i="52"/>
  <c r="E87" i="2"/>
  <c r="D87" i="1" s="1"/>
  <c r="E473" i="2"/>
  <c r="E264" i="47"/>
  <c r="J264" i="47" s="1"/>
  <c r="E7" i="2"/>
  <c r="D7" i="1" s="1"/>
  <c r="E172" i="2"/>
  <c r="D172" i="1" s="1"/>
  <c r="G302" i="19"/>
  <c r="G301" i="19"/>
  <c r="G118" i="19"/>
  <c r="G127" i="19"/>
  <c r="G128" i="19" s="1"/>
  <c r="F31" i="6"/>
  <c r="F151" i="2"/>
  <c r="F126" i="6"/>
  <c r="N209" i="1"/>
  <c r="F175" i="26"/>
  <c r="F184" i="26" s="1"/>
  <c r="F235" i="19"/>
  <c r="F239" i="19"/>
  <c r="F152" i="19"/>
  <c r="F304" i="19"/>
  <c r="F311" i="19"/>
  <c r="F238" i="19"/>
  <c r="F234" i="19"/>
  <c r="N138" i="1"/>
  <c r="F121" i="6"/>
  <c r="J177" i="1"/>
  <c r="E183" i="26"/>
  <c r="F281" i="19"/>
  <c r="F282" i="19"/>
  <c r="F33" i="6"/>
  <c r="F83" i="19"/>
  <c r="F84" i="19" s="1"/>
  <c r="F66" i="6"/>
  <c r="F182" i="2" s="1"/>
  <c r="F154" i="19"/>
  <c r="F158" i="19" s="1"/>
  <c r="F160" i="19" s="1"/>
  <c r="F183" i="2"/>
  <c r="F79" i="6"/>
  <c r="F184" i="2" s="1"/>
  <c r="L20" i="51"/>
  <c r="L19" i="51"/>
  <c r="E305" i="47"/>
  <c r="E127" i="2"/>
  <c r="D127" i="1" s="1"/>
  <c r="E87" i="19"/>
  <c r="E373" i="19"/>
  <c r="E88" i="19"/>
  <c r="C628" i="8"/>
  <c r="D631" i="8" s="1"/>
  <c r="E80" i="19"/>
  <c r="C627" i="8"/>
  <c r="C631" i="8" s="1"/>
  <c r="E81" i="19"/>
  <c r="E81" i="6" s="1"/>
  <c r="G168" i="10"/>
  <c r="G177" i="10" s="1"/>
  <c r="E168" i="10"/>
  <c r="E174" i="10" s="1"/>
  <c r="R7" i="13"/>
  <c r="F136" i="6"/>
  <c r="F221" i="2" s="1"/>
  <c r="N8" i="13"/>
  <c r="E202" i="2"/>
  <c r="D202" i="1" s="1"/>
  <c r="E109" i="6"/>
  <c r="E23" i="12" s="1"/>
  <c r="E25" i="12" s="1"/>
  <c r="J37" i="1"/>
  <c r="K20" i="14"/>
  <c r="O20" i="14" s="1"/>
  <c r="E180" i="6"/>
  <c r="I15" i="15" s="1"/>
  <c r="E118" i="19"/>
  <c r="E127" i="19"/>
  <c r="E128" i="19" s="1"/>
  <c r="G261" i="19"/>
  <c r="G268" i="19"/>
  <c r="N170" i="1"/>
  <c r="P16" i="48"/>
  <c r="J66" i="1"/>
  <c r="F310" i="47"/>
  <c r="F113" i="2"/>
  <c r="F263" i="19"/>
  <c r="F262" i="19"/>
  <c r="F185" i="2"/>
  <c r="F84" i="6"/>
  <c r="F187" i="2" s="1"/>
  <c r="F90" i="19"/>
  <c r="H166" i="10"/>
  <c r="H178" i="10" l="1"/>
  <c r="F171" i="10"/>
  <c r="H169" i="10"/>
  <c r="F174" i="10"/>
  <c r="F180" i="10" s="1"/>
  <c r="F474" i="2"/>
  <c r="F13" i="11"/>
  <c r="F467" i="2"/>
  <c r="F27" i="47" s="1"/>
  <c r="G7" i="1"/>
  <c r="F7" i="1"/>
  <c r="E7" i="1"/>
  <c r="E472" i="1"/>
  <c r="J472" i="1" s="1"/>
  <c r="G202" i="1"/>
  <c r="F202" i="1"/>
  <c r="E202" i="1"/>
  <c r="G127" i="1"/>
  <c r="F127" i="1"/>
  <c r="E127" i="1"/>
  <c r="E473" i="1"/>
  <c r="J473" i="1" s="1"/>
  <c r="E140" i="1"/>
  <c r="G140" i="1"/>
  <c r="F140" i="1"/>
  <c r="G471" i="1"/>
  <c r="G220" i="6" s="1"/>
  <c r="G172" i="1"/>
  <c r="F172" i="1"/>
  <c r="E172" i="1"/>
  <c r="H60" i="52" s="1"/>
  <c r="J27" i="6"/>
  <c r="G223" i="19"/>
  <c r="H174" i="26"/>
  <c r="E223" i="6"/>
  <c r="E217" i="19"/>
  <c r="E484" i="2"/>
  <c r="E74" i="11" s="1"/>
  <c r="F221" i="11" s="1"/>
  <c r="E224" i="6"/>
  <c r="E47" i="11"/>
  <c r="E377" i="19"/>
  <c r="E503" i="2" s="1"/>
  <c r="E97" i="11" s="1"/>
  <c r="G47" i="11"/>
  <c r="G377" i="19"/>
  <c r="G503" i="2" s="1"/>
  <c r="G97" i="11" s="1"/>
  <c r="F503" i="2"/>
  <c r="F97" i="11" s="1"/>
  <c r="F504" i="2"/>
  <c r="F98" i="11" s="1"/>
  <c r="F246" i="11" s="1"/>
  <c r="F49" i="11"/>
  <c r="F56" i="2"/>
  <c r="F23" i="47"/>
  <c r="G90" i="19"/>
  <c r="H183" i="26"/>
  <c r="G182" i="26"/>
  <c r="G188" i="26" s="1"/>
  <c r="G83" i="19"/>
  <c r="G84" i="19" s="1"/>
  <c r="G18" i="6"/>
  <c r="G150" i="2" s="1"/>
  <c r="J305" i="47"/>
  <c r="G224" i="19"/>
  <c r="G231" i="19" s="1"/>
  <c r="G75" i="6"/>
  <c r="G181" i="2" s="1"/>
  <c r="G174" i="10"/>
  <c r="G180" i="10" s="1"/>
  <c r="G239" i="19"/>
  <c r="G79" i="6"/>
  <c r="G184" i="2" s="1"/>
  <c r="H185" i="26"/>
  <c r="H176" i="26"/>
  <c r="G151" i="2"/>
  <c r="G126" i="6"/>
  <c r="G128" i="6" s="1"/>
  <c r="G131" i="6"/>
  <c r="G218" i="2" s="1"/>
  <c r="G234" i="19"/>
  <c r="G230" i="19"/>
  <c r="G146" i="19"/>
  <c r="G150" i="19" s="1"/>
  <c r="G152" i="19" s="1"/>
  <c r="G238" i="19"/>
  <c r="G66" i="6"/>
  <c r="G182" i="2" s="1"/>
  <c r="F15" i="6"/>
  <c r="F141" i="2" s="1"/>
  <c r="F63" i="6"/>
  <c r="F173" i="2" s="1"/>
  <c r="G179" i="26"/>
  <c r="H173" i="26"/>
  <c r="G157" i="2"/>
  <c r="G136" i="6"/>
  <c r="G221" i="2" s="1"/>
  <c r="F189" i="6"/>
  <c r="E216" i="19"/>
  <c r="E470" i="19"/>
  <c r="G27" i="6"/>
  <c r="K27" i="6" s="1"/>
  <c r="G235" i="19"/>
  <c r="G121" i="6"/>
  <c r="G124" i="6" s="1"/>
  <c r="E182" i="26"/>
  <c r="E245" i="19"/>
  <c r="E82" i="6" s="1"/>
  <c r="E186" i="2" s="1"/>
  <c r="D186" i="1" s="1"/>
  <c r="F182" i="26"/>
  <c r="F188" i="26" s="1"/>
  <c r="F324" i="19"/>
  <c r="F325" i="19"/>
  <c r="J31" i="6"/>
  <c r="F152" i="2"/>
  <c r="N172" i="1"/>
  <c r="E464" i="19"/>
  <c r="E29" i="6" s="1"/>
  <c r="N140" i="1"/>
  <c r="E215" i="19"/>
  <c r="E221" i="19"/>
  <c r="F313" i="47"/>
  <c r="F128" i="2"/>
  <c r="F131" i="19"/>
  <c r="F120" i="19"/>
  <c r="F121" i="19"/>
  <c r="F264" i="19"/>
  <c r="F265" i="19" s="1"/>
  <c r="J170" i="1"/>
  <c r="E164" i="19"/>
  <c r="E188" i="6"/>
  <c r="H168" i="10"/>
  <c r="E177" i="10"/>
  <c r="H177" i="10" s="1"/>
  <c r="E83" i="19"/>
  <c r="E84" i="19" s="1"/>
  <c r="E33" i="6"/>
  <c r="E90" i="19"/>
  <c r="F22" i="2"/>
  <c r="F95" i="6"/>
  <c r="F194" i="2" s="1"/>
  <c r="F311" i="47"/>
  <c r="F312" i="47" s="1"/>
  <c r="F306" i="19"/>
  <c r="F114" i="2"/>
  <c r="F305" i="19"/>
  <c r="G164" i="19"/>
  <c r="G188" i="6"/>
  <c r="N7" i="1"/>
  <c r="E465" i="19"/>
  <c r="E77" i="6" s="1"/>
  <c r="E459" i="19"/>
  <c r="F179" i="26"/>
  <c r="E306" i="19"/>
  <c r="E114" i="2"/>
  <c r="E311" i="47"/>
  <c r="E305" i="19"/>
  <c r="G185" i="2"/>
  <c r="G84" i="6"/>
  <c r="G187" i="2" s="1"/>
  <c r="E313" i="47"/>
  <c r="E128" i="2"/>
  <c r="E131" i="19"/>
  <c r="E483" i="2"/>
  <c r="E73" i="11" s="1"/>
  <c r="E221" i="11" s="1"/>
  <c r="E16" i="11"/>
  <c r="N5" i="16"/>
  <c r="L23" i="5"/>
  <c r="Q23" i="5" s="1"/>
  <c r="R23" i="5" s="1"/>
  <c r="E62" i="56"/>
  <c r="N9" i="13"/>
  <c r="E26" i="47"/>
  <c r="E471" i="2"/>
  <c r="E466" i="2"/>
  <c r="L31" i="5" s="1"/>
  <c r="E204" i="2"/>
  <c r="D204" i="1" s="1"/>
  <c r="E121" i="19"/>
  <c r="E120" i="19"/>
  <c r="C601" i="8"/>
  <c r="D604" i="8" s="1"/>
  <c r="N127" i="1"/>
  <c r="G171" i="10"/>
  <c r="F130" i="6"/>
  <c r="F153" i="2"/>
  <c r="F36" i="6"/>
  <c r="G152" i="2"/>
  <c r="K31" i="6"/>
  <c r="J138" i="1"/>
  <c r="F21" i="2"/>
  <c r="F172" i="6"/>
  <c r="F47" i="6"/>
  <c r="J209" i="1"/>
  <c r="F128" i="6"/>
  <c r="F215" i="2"/>
  <c r="G313" i="47"/>
  <c r="G128" i="2"/>
  <c r="G131" i="19"/>
  <c r="G121" i="19"/>
  <c r="G120" i="19"/>
  <c r="E273" i="19"/>
  <c r="E282" i="19" s="1"/>
  <c r="E218" i="19"/>
  <c r="E222" i="19"/>
  <c r="E272" i="19"/>
  <c r="E281" i="19" s="1"/>
  <c r="E244" i="19"/>
  <c r="E34" i="6" s="1"/>
  <c r="E24" i="6"/>
  <c r="E469" i="19"/>
  <c r="E263" i="19"/>
  <c r="E113" i="2"/>
  <c r="E310" i="47"/>
  <c r="E262" i="19"/>
  <c r="E171" i="10"/>
  <c r="E324" i="19"/>
  <c r="E325" i="19"/>
  <c r="G263" i="19"/>
  <c r="G113" i="2"/>
  <c r="G310" i="47"/>
  <c r="G262" i="19"/>
  <c r="G281" i="19"/>
  <c r="G282" i="19"/>
  <c r="N202" i="1"/>
  <c r="G22" i="2"/>
  <c r="G95" i="6"/>
  <c r="G194" i="2" s="1"/>
  <c r="E185" i="2"/>
  <c r="D185" i="1" s="1"/>
  <c r="F211" i="2"/>
  <c r="F124" i="6"/>
  <c r="G304" i="19"/>
  <c r="G311" i="19"/>
  <c r="E460" i="19"/>
  <c r="E87" i="6" s="1"/>
  <c r="E189" i="2" s="1"/>
  <c r="D189" i="1" s="1"/>
  <c r="E229" i="19"/>
  <c r="E72" i="6"/>
  <c r="E8" i="2"/>
  <c r="D6" i="1"/>
  <c r="E228" i="19"/>
  <c r="E186" i="26"/>
  <c r="H186" i="26" s="1"/>
  <c r="H177" i="26"/>
  <c r="E184" i="26"/>
  <c r="H184" i="26" s="1"/>
  <c r="H175" i="26"/>
  <c r="G36" i="6"/>
  <c r="G130" i="6"/>
  <c r="G153" i="2"/>
  <c r="F164" i="19"/>
  <c r="F188" i="6"/>
  <c r="F115" i="6"/>
  <c r="F214" i="2" s="1"/>
  <c r="E179" i="26"/>
  <c r="G13" i="11" l="1"/>
  <c r="G467" i="2"/>
  <c r="G27" i="47" s="1"/>
  <c r="G474" i="2"/>
  <c r="F204" i="1"/>
  <c r="E9" i="39" s="1"/>
  <c r="G204" i="1"/>
  <c r="E28" i="39" s="1"/>
  <c r="E204" i="1"/>
  <c r="E6" i="1"/>
  <c r="E8" i="1" s="1"/>
  <c r="E10" i="1" s="1"/>
  <c r="G6" i="1"/>
  <c r="G8" i="1" s="1"/>
  <c r="G10" i="1" s="1"/>
  <c r="F6" i="1"/>
  <c r="F8" i="1" s="1"/>
  <c r="F10" i="1" s="1"/>
  <c r="E189" i="1"/>
  <c r="G189" i="1"/>
  <c r="F189" i="1"/>
  <c r="E185" i="1"/>
  <c r="G185" i="1"/>
  <c r="F185" i="1"/>
  <c r="F186" i="1"/>
  <c r="G186" i="1"/>
  <c r="E186" i="1"/>
  <c r="E471" i="1"/>
  <c r="E220" i="6" s="1"/>
  <c r="G504" i="2"/>
  <c r="G98" i="11" s="1"/>
  <c r="F247" i="11" s="1"/>
  <c r="G49" i="11"/>
  <c r="G23" i="47"/>
  <c r="G56" i="2"/>
  <c r="E504" i="2"/>
  <c r="E98" i="11" s="1"/>
  <c r="F245" i="11" s="1"/>
  <c r="F30" i="49"/>
  <c r="E23" i="47"/>
  <c r="E49" i="11"/>
  <c r="F29" i="51"/>
  <c r="L27" i="5"/>
  <c r="Q27" i="5" s="1"/>
  <c r="R27" i="5" s="1"/>
  <c r="E56" i="2"/>
  <c r="L35" i="5" s="1"/>
  <c r="F70" i="52"/>
  <c r="H70" i="52" s="1"/>
  <c r="E84" i="6"/>
  <c r="L15" i="13" s="1"/>
  <c r="G189" i="6"/>
  <c r="G193" i="6" s="1"/>
  <c r="H174" i="10"/>
  <c r="H180" i="10" s="1"/>
  <c r="G215" i="2"/>
  <c r="F193" i="6"/>
  <c r="G15" i="6"/>
  <c r="G141" i="2" s="1"/>
  <c r="G211" i="2"/>
  <c r="N186" i="1"/>
  <c r="G115" i="6"/>
  <c r="G214" i="2" s="1"/>
  <c r="G63" i="6"/>
  <c r="F112" i="6"/>
  <c r="F205" i="2" s="1"/>
  <c r="G149" i="2"/>
  <c r="J202" i="1"/>
  <c r="E235" i="19"/>
  <c r="F122" i="19"/>
  <c r="F140" i="19" s="1"/>
  <c r="J140" i="1"/>
  <c r="J313" i="47"/>
  <c r="H182" i="26"/>
  <c r="H188" i="26" s="1"/>
  <c r="F277" i="19"/>
  <c r="F278" i="19"/>
  <c r="F269" i="19"/>
  <c r="F266" i="19"/>
  <c r="F141" i="19"/>
  <c r="F94" i="6" s="1"/>
  <c r="F171" i="6"/>
  <c r="F20" i="2"/>
  <c r="F24" i="2" s="1"/>
  <c r="J310" i="47"/>
  <c r="E312" i="47"/>
  <c r="F155" i="2"/>
  <c r="J36" i="6"/>
  <c r="M26" i="47"/>
  <c r="J26" i="47"/>
  <c r="E3" i="56"/>
  <c r="E39" i="6"/>
  <c r="F307" i="19"/>
  <c r="F308" i="19" s="1"/>
  <c r="G21" i="2"/>
  <c r="G47" i="6"/>
  <c r="G172" i="6"/>
  <c r="E180" i="10"/>
  <c r="E239" i="19"/>
  <c r="N6" i="1"/>
  <c r="N8" i="1" s="1"/>
  <c r="N10" i="1" s="1"/>
  <c r="N189" i="1"/>
  <c r="G181" i="10"/>
  <c r="G122" i="19"/>
  <c r="G135" i="19" s="1"/>
  <c r="G86" i="6" s="1"/>
  <c r="J127" i="1"/>
  <c r="E122" i="19"/>
  <c r="E134" i="19" s="1"/>
  <c r="F181" i="10"/>
  <c r="E79" i="6"/>
  <c r="E183" i="2"/>
  <c r="D183" i="1" s="1"/>
  <c r="E34" i="39"/>
  <c r="G24" i="11"/>
  <c r="G216" i="2"/>
  <c r="E224" i="19"/>
  <c r="E231" i="19" s="1"/>
  <c r="E223" i="19"/>
  <c r="E230" i="19" s="1"/>
  <c r="E189" i="26"/>
  <c r="G189" i="26"/>
  <c r="F21" i="49"/>
  <c r="E146" i="19"/>
  <c r="E150" i="19" s="1"/>
  <c r="E18" i="6"/>
  <c r="E14" i="39"/>
  <c r="F213" i="2"/>
  <c r="F23" i="11"/>
  <c r="G133" i="6"/>
  <c r="G217" i="2"/>
  <c r="D8" i="1"/>
  <c r="I8" i="14"/>
  <c r="G324" i="19"/>
  <c r="G325" i="19"/>
  <c r="G264" i="19"/>
  <c r="G265" i="19" s="1"/>
  <c r="E121" i="6"/>
  <c r="E147" i="2"/>
  <c r="D147" i="1" s="1"/>
  <c r="E27" i="6"/>
  <c r="F162" i="2"/>
  <c r="F144" i="6"/>
  <c r="F226" i="2" s="1"/>
  <c r="F133" i="6"/>
  <c r="F217" i="2"/>
  <c r="P25" i="13"/>
  <c r="P9" i="13"/>
  <c r="P26" i="13"/>
  <c r="P7" i="13"/>
  <c r="E307" i="19"/>
  <c r="E308" i="19" s="1"/>
  <c r="J7" i="1"/>
  <c r="E130" i="6"/>
  <c r="E36" i="6"/>
  <c r="E153" i="2"/>
  <c r="D153" i="1" s="1"/>
  <c r="E234" i="19"/>
  <c r="E238" i="19"/>
  <c r="P8" i="13"/>
  <c r="F189" i="26"/>
  <c r="H21" i="49"/>
  <c r="E66" i="6"/>
  <c r="E182" i="2" s="1"/>
  <c r="D182" i="1" s="1"/>
  <c r="E154" i="19"/>
  <c r="E158" i="19" s="1"/>
  <c r="E160" i="19" s="1"/>
  <c r="G155" i="2"/>
  <c r="K36" i="6"/>
  <c r="E179" i="2"/>
  <c r="D179" i="1" s="1"/>
  <c r="E75" i="6"/>
  <c r="G311" i="47"/>
  <c r="J311" i="47" s="1"/>
  <c r="G114" i="2"/>
  <c r="G306" i="19"/>
  <c r="G305" i="19"/>
  <c r="N185" i="1"/>
  <c r="E264" i="19"/>
  <c r="E265" i="19" s="1"/>
  <c r="E266" i="19" s="1"/>
  <c r="E33" i="39"/>
  <c r="G213" i="2"/>
  <c r="G23" i="11"/>
  <c r="E131" i="6"/>
  <c r="E218" i="2" s="1"/>
  <c r="D218" i="1" s="1"/>
  <c r="E154" i="2"/>
  <c r="D154" i="1" s="1"/>
  <c r="E15" i="39"/>
  <c r="F216" i="2"/>
  <c r="F24" i="11"/>
  <c r="N204" i="1"/>
  <c r="H49" i="52"/>
  <c r="G171" i="6"/>
  <c r="G20" i="2"/>
  <c r="E171" i="6"/>
  <c r="E20" i="2"/>
  <c r="E181" i="10"/>
  <c r="E151" i="2"/>
  <c r="D151" i="1" s="1"/>
  <c r="E126" i="6"/>
  <c r="E31" i="6"/>
  <c r="J172" i="1"/>
  <c r="R8" i="13"/>
  <c r="E188" i="26"/>
  <c r="E187" i="2" l="1"/>
  <c r="D187" i="1" s="1"/>
  <c r="G187" i="1" s="1"/>
  <c r="F65" i="52"/>
  <c r="J65" i="52" s="1"/>
  <c r="J84" i="6"/>
  <c r="J471" i="1"/>
  <c r="G218" i="1"/>
  <c r="F218" i="1"/>
  <c r="E218" i="1"/>
  <c r="G151" i="1"/>
  <c r="F151" i="1"/>
  <c r="E151" i="1"/>
  <c r="G31" i="1"/>
  <c r="G17" i="1"/>
  <c r="G154" i="1"/>
  <c r="F154" i="1"/>
  <c r="E154" i="1"/>
  <c r="G179" i="1"/>
  <c r="F179" i="1"/>
  <c r="E179" i="1"/>
  <c r="F182" i="1"/>
  <c r="G182" i="1"/>
  <c r="E182" i="1"/>
  <c r="G147" i="1"/>
  <c r="E147" i="1"/>
  <c r="F147" i="1"/>
  <c r="E31" i="1"/>
  <c r="E17" i="1"/>
  <c r="F153" i="1"/>
  <c r="E153" i="1"/>
  <c r="G153" i="1"/>
  <c r="G183" i="1"/>
  <c r="E183" i="1"/>
  <c r="F183" i="1"/>
  <c r="F17" i="1"/>
  <c r="F31" i="1"/>
  <c r="G312" i="47"/>
  <c r="J312" i="47" s="1"/>
  <c r="J23" i="47"/>
  <c r="J186" i="1"/>
  <c r="G112" i="6"/>
  <c r="G205" i="2" s="1"/>
  <c r="G24" i="2"/>
  <c r="F135" i="19"/>
  <c r="F86" i="6" s="1"/>
  <c r="F180" i="2" s="1"/>
  <c r="E141" i="19"/>
  <c r="E94" i="6" s="1"/>
  <c r="E140" i="19"/>
  <c r="G173" i="2"/>
  <c r="G141" i="19"/>
  <c r="G94" i="6" s="1"/>
  <c r="G97" i="6" s="1"/>
  <c r="G195" i="2" s="1"/>
  <c r="G140" i="19"/>
  <c r="G134" i="19"/>
  <c r="G137" i="19" s="1"/>
  <c r="E135" i="19"/>
  <c r="E86" i="6" s="1"/>
  <c r="E188" i="2" s="1"/>
  <c r="D188" i="1" s="1"/>
  <c r="E63" i="6"/>
  <c r="E173" i="2" s="1"/>
  <c r="D173" i="1" s="1"/>
  <c r="F134" i="19"/>
  <c r="F38" i="6" s="1"/>
  <c r="J185" i="1"/>
  <c r="E15" i="6"/>
  <c r="E320" i="19"/>
  <c r="E312" i="19"/>
  <c r="E321" i="19"/>
  <c r="E309" i="19"/>
  <c r="M31" i="5"/>
  <c r="J204" i="1"/>
  <c r="E382" i="19"/>
  <c r="E52" i="11" s="1"/>
  <c r="C600" i="8"/>
  <c r="C604" i="8" s="1"/>
  <c r="N154" i="1"/>
  <c r="G307" i="19"/>
  <c r="G308" i="19" s="1"/>
  <c r="G309" i="19" s="1"/>
  <c r="J75" i="6"/>
  <c r="F63" i="52"/>
  <c r="E181" i="2"/>
  <c r="D181" i="1" s="1"/>
  <c r="L13" i="13"/>
  <c r="E95" i="6"/>
  <c r="E194" i="2" s="1"/>
  <c r="D194" i="1" s="1"/>
  <c r="E22" i="2"/>
  <c r="F321" i="19"/>
  <c r="F320" i="19"/>
  <c r="F312" i="19"/>
  <c r="R9" i="13"/>
  <c r="E277" i="19"/>
  <c r="E269" i="19"/>
  <c r="E278" i="19"/>
  <c r="N183" i="1"/>
  <c r="E474" i="2"/>
  <c r="E467" i="2"/>
  <c r="E13" i="11"/>
  <c r="G277" i="19"/>
  <c r="G278" i="19"/>
  <c r="G269" i="19"/>
  <c r="J6" i="1"/>
  <c r="F143" i="19"/>
  <c r="F46" i="6"/>
  <c r="G46" i="6"/>
  <c r="E39" i="39"/>
  <c r="G382" i="19"/>
  <c r="G52" i="11" s="1"/>
  <c r="N218" i="1"/>
  <c r="N179" i="1"/>
  <c r="N182" i="1"/>
  <c r="E10" i="39"/>
  <c r="N153" i="1"/>
  <c r="I27" i="6"/>
  <c r="F52" i="52"/>
  <c r="J13" i="13"/>
  <c r="E149" i="2"/>
  <c r="D149" i="1" s="1"/>
  <c r="G266" i="19"/>
  <c r="E152" i="19"/>
  <c r="E189" i="6"/>
  <c r="J79" i="6"/>
  <c r="F64" i="52"/>
  <c r="L14" i="13"/>
  <c r="E184" i="2"/>
  <c r="D184" i="1" s="1"/>
  <c r="F176" i="6"/>
  <c r="F285" i="19"/>
  <c r="F16" i="6" s="1"/>
  <c r="F286" i="19"/>
  <c r="F64" i="6" s="1"/>
  <c r="N151" i="1"/>
  <c r="J14" i="13"/>
  <c r="F53" i="52"/>
  <c r="I31" i="6"/>
  <c r="E152" i="2"/>
  <c r="D152" i="1" s="1"/>
  <c r="I36" i="6"/>
  <c r="J15" i="13"/>
  <c r="F54" i="52"/>
  <c r="E155" i="2"/>
  <c r="D155" i="1" s="1"/>
  <c r="E16" i="39"/>
  <c r="F25" i="11"/>
  <c r="F219" i="2"/>
  <c r="N147" i="1"/>
  <c r="E38" i="6"/>
  <c r="N31" i="1"/>
  <c r="N17" i="1"/>
  <c r="F309" i="19"/>
  <c r="E215" i="2"/>
  <c r="D215" i="1" s="1"/>
  <c r="E128" i="6"/>
  <c r="D20" i="1"/>
  <c r="I12" i="14"/>
  <c r="E20" i="39"/>
  <c r="F382" i="19"/>
  <c r="F52" i="11" s="1"/>
  <c r="G188" i="2"/>
  <c r="G180" i="2"/>
  <c r="G89" i="6"/>
  <c r="G190" i="2" s="1"/>
  <c r="E133" i="6"/>
  <c r="E217" i="2"/>
  <c r="D217" i="1" s="1"/>
  <c r="E211" i="2"/>
  <c r="D211" i="1" s="1"/>
  <c r="E124" i="6"/>
  <c r="G219" i="2"/>
  <c r="E35" i="39"/>
  <c r="G25" i="11"/>
  <c r="E115" i="6"/>
  <c r="E214" i="2" s="1"/>
  <c r="D214" i="1" s="1"/>
  <c r="E150" i="2"/>
  <c r="D150" i="1" s="1"/>
  <c r="J189" i="1"/>
  <c r="G176" i="6"/>
  <c r="E29" i="39"/>
  <c r="G162" i="2"/>
  <c r="G144" i="6"/>
  <c r="G226" i="2" s="1"/>
  <c r="E157" i="2"/>
  <c r="D157" i="1" s="1"/>
  <c r="E136" i="6"/>
  <c r="E221" i="2" s="1"/>
  <c r="D221" i="1" s="1"/>
  <c r="F193" i="2"/>
  <c r="F97" i="6"/>
  <c r="F195" i="2" s="1"/>
  <c r="F187" i="1" l="1"/>
  <c r="E187" i="1"/>
  <c r="H65" i="52" s="1"/>
  <c r="N187" i="1"/>
  <c r="F221" i="1"/>
  <c r="E221" i="1"/>
  <c r="G221" i="1"/>
  <c r="F157" i="1"/>
  <c r="E157" i="1"/>
  <c r="G157" i="1"/>
  <c r="G211" i="1"/>
  <c r="E211" i="1"/>
  <c r="F211" i="1"/>
  <c r="G215" i="1"/>
  <c r="E215" i="1"/>
  <c r="F215" i="1"/>
  <c r="F217" i="1"/>
  <c r="E217" i="1"/>
  <c r="G217" i="1"/>
  <c r="G155" i="1"/>
  <c r="E155" i="1"/>
  <c r="F155" i="1"/>
  <c r="F149" i="1"/>
  <c r="E149" i="1"/>
  <c r="G149" i="1"/>
  <c r="E181" i="1"/>
  <c r="H63" i="52" s="1"/>
  <c r="F181" i="1"/>
  <c r="G181" i="1"/>
  <c r="G173" i="1"/>
  <c r="E173" i="1"/>
  <c r="F173" i="1"/>
  <c r="G150" i="1"/>
  <c r="F150" i="1"/>
  <c r="E150" i="1"/>
  <c r="E152" i="1"/>
  <c r="F152" i="1"/>
  <c r="G152" i="1"/>
  <c r="G184" i="1"/>
  <c r="F184" i="1"/>
  <c r="E184" i="1"/>
  <c r="H64" i="52" s="1"/>
  <c r="F188" i="1"/>
  <c r="E188" i="1"/>
  <c r="G188" i="1"/>
  <c r="G214" i="1"/>
  <c r="F214" i="1"/>
  <c r="E214" i="1"/>
  <c r="F194" i="1"/>
  <c r="E194" i="1"/>
  <c r="G194" i="1"/>
  <c r="G38" i="6"/>
  <c r="G148" i="2" s="1"/>
  <c r="G193" i="2"/>
  <c r="F188" i="2"/>
  <c r="E97" i="6"/>
  <c r="C561" i="8" s="1"/>
  <c r="D565" i="8" s="1"/>
  <c r="F137" i="19"/>
  <c r="G143" i="19"/>
  <c r="E180" i="2"/>
  <c r="D180" i="1" s="1"/>
  <c r="F89" i="6"/>
  <c r="F190" i="2" s="1"/>
  <c r="E193" i="2"/>
  <c r="D193" i="1" s="1"/>
  <c r="E143" i="19"/>
  <c r="E46" i="6"/>
  <c r="E143" i="6" s="1"/>
  <c r="E112" i="6"/>
  <c r="E89" i="6"/>
  <c r="E190" i="2" s="1"/>
  <c r="D190" i="1" s="1"/>
  <c r="E137" i="19"/>
  <c r="J218" i="1"/>
  <c r="E141" i="2"/>
  <c r="D141" i="1" s="1"/>
  <c r="J179" i="1"/>
  <c r="J154" i="1"/>
  <c r="F142" i="2"/>
  <c r="F113" i="6"/>
  <c r="N150" i="1"/>
  <c r="N211" i="1"/>
  <c r="N184" i="1"/>
  <c r="N221" i="1"/>
  <c r="N188" i="1"/>
  <c r="N214" i="1"/>
  <c r="N217" i="1"/>
  <c r="N215" i="1"/>
  <c r="E148" i="2"/>
  <c r="D148" i="1" s="1"/>
  <c r="E41" i="6"/>
  <c r="E135" i="6"/>
  <c r="E156" i="2"/>
  <c r="D156" i="1" s="1"/>
  <c r="J147" i="1"/>
  <c r="J53" i="52"/>
  <c r="J151" i="1"/>
  <c r="E172" i="6"/>
  <c r="J9" i="15" s="1"/>
  <c r="E21" i="2"/>
  <c r="E47" i="6"/>
  <c r="J52" i="52"/>
  <c r="J182" i="1"/>
  <c r="J183" i="1"/>
  <c r="N173" i="1"/>
  <c r="N181" i="1"/>
  <c r="E205" i="2"/>
  <c r="D205" i="1" s="1"/>
  <c r="H9" i="16"/>
  <c r="N14" i="13"/>
  <c r="E24" i="11"/>
  <c r="E216" i="2"/>
  <c r="D216" i="1" s="1"/>
  <c r="C636" i="8"/>
  <c r="E641" i="8" s="1"/>
  <c r="N16" i="16"/>
  <c r="E193" i="6"/>
  <c r="J23" i="15" s="1"/>
  <c r="J22" i="15"/>
  <c r="G312" i="19"/>
  <c r="G320" i="19"/>
  <c r="G321" i="19"/>
  <c r="E285" i="19"/>
  <c r="E16" i="6" s="1"/>
  <c r="E286" i="19"/>
  <c r="E64" i="6" s="1"/>
  <c r="H10" i="16"/>
  <c r="C637" i="8"/>
  <c r="F641" i="8" s="1"/>
  <c r="E219" i="2"/>
  <c r="D219" i="1" s="1"/>
  <c r="E25" i="11"/>
  <c r="N15" i="13"/>
  <c r="O12" i="14"/>
  <c r="F148" i="2"/>
  <c r="F156" i="2"/>
  <c r="F135" i="6"/>
  <c r="F41" i="6"/>
  <c r="N155" i="1"/>
  <c r="J64" i="52"/>
  <c r="K8" i="14"/>
  <c r="J8" i="1"/>
  <c r="E176" i="6"/>
  <c r="J63" i="52"/>
  <c r="F174" i="2"/>
  <c r="N157" i="1"/>
  <c r="N13" i="13"/>
  <c r="E23" i="11"/>
  <c r="H8" i="16"/>
  <c r="E213" i="2"/>
  <c r="D213" i="1" s="1"/>
  <c r="C635" i="8"/>
  <c r="D641" i="8" s="1"/>
  <c r="J54" i="52"/>
  <c r="N152" i="1"/>
  <c r="N149" i="1"/>
  <c r="J153" i="1"/>
  <c r="G161" i="2"/>
  <c r="G49" i="6"/>
  <c r="G143" i="6"/>
  <c r="F161" i="2"/>
  <c r="F49" i="6"/>
  <c r="F143" i="6"/>
  <c r="G286" i="19"/>
  <c r="G64" i="6" s="1"/>
  <c r="G285" i="19"/>
  <c r="G16" i="6" s="1"/>
  <c r="E63" i="56"/>
  <c r="E27" i="47"/>
  <c r="F328" i="19"/>
  <c r="F17" i="6" s="1"/>
  <c r="F329" i="19"/>
  <c r="F65" i="6" s="1"/>
  <c r="N194" i="1"/>
  <c r="E329" i="19"/>
  <c r="E65" i="6" s="1"/>
  <c r="E175" i="2" s="1"/>
  <c r="D175" i="1" s="1"/>
  <c r="E328" i="19"/>
  <c r="E17" i="6" s="1"/>
  <c r="J187" i="1" l="1"/>
  <c r="G135" i="6"/>
  <c r="G220" i="2" s="1"/>
  <c r="F190" i="1"/>
  <c r="E190" i="1"/>
  <c r="G190" i="1"/>
  <c r="E193" i="1"/>
  <c r="G193" i="1"/>
  <c r="F193" i="1"/>
  <c r="G175" i="1"/>
  <c r="F175" i="1"/>
  <c r="E175" i="1"/>
  <c r="G219" i="1"/>
  <c r="E219" i="1"/>
  <c r="R15" i="13" s="1"/>
  <c r="F219" i="1"/>
  <c r="E216" i="1"/>
  <c r="R14" i="13" s="1"/>
  <c r="F216" i="1"/>
  <c r="G216" i="1"/>
  <c r="F205" i="1"/>
  <c r="E205" i="1"/>
  <c r="G205" i="1"/>
  <c r="E161" i="2"/>
  <c r="D161" i="1" s="1"/>
  <c r="N161" i="1" s="1"/>
  <c r="F141" i="1"/>
  <c r="E141" i="1"/>
  <c r="G141" i="1"/>
  <c r="F213" i="1"/>
  <c r="E213" i="1"/>
  <c r="G213" i="1"/>
  <c r="E148" i="1"/>
  <c r="G148" i="1"/>
  <c r="F148" i="1"/>
  <c r="G180" i="1"/>
  <c r="E180" i="1"/>
  <c r="F180" i="1"/>
  <c r="E156" i="1"/>
  <c r="G156" i="1"/>
  <c r="F156" i="1"/>
  <c r="G156" i="2"/>
  <c r="G41" i="6"/>
  <c r="K41" i="6" s="1"/>
  <c r="L21" i="13"/>
  <c r="E195" i="2"/>
  <c r="D195" i="1" s="1"/>
  <c r="N180" i="1"/>
  <c r="F66" i="52"/>
  <c r="L16" i="13"/>
  <c r="N193" i="1"/>
  <c r="J89" i="6"/>
  <c r="N141" i="1"/>
  <c r="J215" i="1"/>
  <c r="J155" i="1"/>
  <c r="J194" i="1"/>
  <c r="J152" i="1"/>
  <c r="H54" i="52"/>
  <c r="J149" i="1"/>
  <c r="J173" i="1"/>
  <c r="J221" i="1"/>
  <c r="J150" i="1"/>
  <c r="F175" i="2"/>
  <c r="F68" i="6"/>
  <c r="G174" i="2"/>
  <c r="G142" i="2"/>
  <c r="G113" i="6"/>
  <c r="F143" i="2"/>
  <c r="F114" i="6"/>
  <c r="F207" i="2" s="1"/>
  <c r="F20" i="6"/>
  <c r="N175" i="1"/>
  <c r="E174" i="2"/>
  <c r="D174" i="1" s="1"/>
  <c r="E68" i="6"/>
  <c r="E225" i="2"/>
  <c r="D225" i="1" s="1"/>
  <c r="N190" i="1"/>
  <c r="K10" i="14"/>
  <c r="O8" i="14"/>
  <c r="F220" i="2"/>
  <c r="F138" i="6"/>
  <c r="F212" i="2"/>
  <c r="N216" i="1"/>
  <c r="H52" i="52"/>
  <c r="E212" i="2"/>
  <c r="D212" i="1" s="1"/>
  <c r="E220" i="2"/>
  <c r="D220" i="1" s="1"/>
  <c r="E138" i="6"/>
  <c r="J214" i="1"/>
  <c r="J41" i="6"/>
  <c r="F158" i="2"/>
  <c r="G328" i="19"/>
  <c r="G17" i="6" s="1"/>
  <c r="G20" i="6" s="1"/>
  <c r="G329" i="19"/>
  <c r="G65" i="6" s="1"/>
  <c r="G175" i="2" s="1"/>
  <c r="N156" i="1"/>
  <c r="E143" i="2"/>
  <c r="D143" i="1" s="1"/>
  <c r="E114" i="6"/>
  <c r="E207" i="2" s="1"/>
  <c r="D207" i="1" s="1"/>
  <c r="F225" i="2"/>
  <c r="F146" i="6"/>
  <c r="P13" i="13"/>
  <c r="J157" i="1"/>
  <c r="I12" i="15"/>
  <c r="P15" i="13"/>
  <c r="N205" i="1"/>
  <c r="J181" i="1"/>
  <c r="E144" i="6"/>
  <c r="E226" i="2" s="1"/>
  <c r="D226" i="1" s="1"/>
  <c r="E162" i="2"/>
  <c r="D162" i="1" s="1"/>
  <c r="E49" i="6"/>
  <c r="I41" i="6"/>
  <c r="J16" i="13"/>
  <c r="E158" i="2"/>
  <c r="D158" i="1" s="1"/>
  <c r="F55" i="52"/>
  <c r="J188" i="1"/>
  <c r="J211" i="1"/>
  <c r="F206" i="2"/>
  <c r="N219" i="1"/>
  <c r="E142" i="2"/>
  <c r="D142" i="1" s="1"/>
  <c r="E113" i="6"/>
  <c r="E20" i="6"/>
  <c r="G225" i="2"/>
  <c r="G146" i="6"/>
  <c r="M27" i="47"/>
  <c r="J27" i="47"/>
  <c r="K49" i="6"/>
  <c r="G163" i="2"/>
  <c r="J49" i="6"/>
  <c r="F163" i="2"/>
  <c r="N213" i="1"/>
  <c r="J17" i="1"/>
  <c r="J10" i="1"/>
  <c r="D17" i="1"/>
  <c r="D31" i="1" s="1"/>
  <c r="P14" i="13"/>
  <c r="I13" i="14"/>
  <c r="E24" i="2"/>
  <c r="H53" i="52"/>
  <c r="N148" i="1"/>
  <c r="J217" i="1"/>
  <c r="J184" i="1"/>
  <c r="G212" i="2" l="1"/>
  <c r="G138" i="6"/>
  <c r="G26" i="11" s="1"/>
  <c r="J180" i="1"/>
  <c r="G158" i="2"/>
  <c r="H66" i="52"/>
  <c r="G158" i="1"/>
  <c r="F158" i="1"/>
  <c r="E158" i="1"/>
  <c r="G162" i="1"/>
  <c r="F162" i="1"/>
  <c r="E162" i="1"/>
  <c r="E212" i="1"/>
  <c r="F212" i="1"/>
  <c r="G212" i="1"/>
  <c r="F225" i="1"/>
  <c r="E225" i="1"/>
  <c r="G225" i="1"/>
  <c r="G142" i="1"/>
  <c r="F142" i="1"/>
  <c r="E142" i="1"/>
  <c r="G226" i="1"/>
  <c r="F226" i="1"/>
  <c r="E226" i="1"/>
  <c r="F174" i="1"/>
  <c r="E174" i="1"/>
  <c r="G174" i="1"/>
  <c r="F161" i="1"/>
  <c r="E161" i="1"/>
  <c r="G161" i="1"/>
  <c r="G207" i="1"/>
  <c r="E207" i="1"/>
  <c r="F207" i="1"/>
  <c r="N195" i="1"/>
  <c r="G195" i="1"/>
  <c r="F195" i="1"/>
  <c r="E195" i="1"/>
  <c r="D561" i="8" s="1"/>
  <c r="D566" i="8" s="1"/>
  <c r="G143" i="1"/>
  <c r="F143" i="1"/>
  <c r="E143" i="1"/>
  <c r="E220" i="1"/>
  <c r="F220" i="1"/>
  <c r="G220" i="1"/>
  <c r="J141" i="1"/>
  <c r="J193" i="1"/>
  <c r="F117" i="6"/>
  <c r="F139" i="6" s="1"/>
  <c r="J148" i="1"/>
  <c r="G144" i="2"/>
  <c r="K20" i="6"/>
  <c r="G42" i="6"/>
  <c r="J21" i="13"/>
  <c r="I49" i="6"/>
  <c r="E163" i="2"/>
  <c r="D163" i="1" s="1"/>
  <c r="C552" i="8"/>
  <c r="D556" i="8" s="1"/>
  <c r="C520" i="8"/>
  <c r="D524" i="8" s="1"/>
  <c r="F227" i="2"/>
  <c r="F27" i="11"/>
  <c r="N225" i="1"/>
  <c r="L12" i="13"/>
  <c r="F62" i="52"/>
  <c r="J68" i="6"/>
  <c r="E90" i="6"/>
  <c r="E176" i="2"/>
  <c r="D176" i="1" s="1"/>
  <c r="G68" i="6"/>
  <c r="J12" i="13"/>
  <c r="F51" i="52"/>
  <c r="E42" i="6"/>
  <c r="I20" i="6"/>
  <c r="E144" i="2"/>
  <c r="D144" i="1" s="1"/>
  <c r="N158" i="1"/>
  <c r="N162" i="1"/>
  <c r="J156" i="1"/>
  <c r="E26" i="11"/>
  <c r="N16" i="13"/>
  <c r="H11" i="16"/>
  <c r="E222" i="2"/>
  <c r="D222" i="1" s="1"/>
  <c r="C638" i="8"/>
  <c r="G641" i="8" s="1"/>
  <c r="J216" i="1"/>
  <c r="D636" i="8"/>
  <c r="E642" i="8" s="1"/>
  <c r="N174" i="1"/>
  <c r="K16" i="14"/>
  <c r="J31" i="1"/>
  <c r="J213" i="1"/>
  <c r="D635" i="8"/>
  <c r="D642" i="8" s="1"/>
  <c r="E206" i="2"/>
  <c r="D206" i="1" s="1"/>
  <c r="E117" i="6"/>
  <c r="N226" i="1"/>
  <c r="N207" i="1"/>
  <c r="N220" i="1"/>
  <c r="E17" i="39"/>
  <c r="F222" i="2"/>
  <c r="F26" i="11"/>
  <c r="J190" i="1"/>
  <c r="J175" i="1"/>
  <c r="F42" i="6"/>
  <c r="J20" i="6"/>
  <c r="F144" i="2"/>
  <c r="G206" i="2"/>
  <c r="F176" i="2"/>
  <c r="F90" i="6"/>
  <c r="O13" i="14"/>
  <c r="G114" i="6"/>
  <c r="G207" i="2" s="1"/>
  <c r="G143" i="2"/>
  <c r="G27" i="11"/>
  <c r="G227" i="2"/>
  <c r="C536" i="8"/>
  <c r="D540" i="8" s="1"/>
  <c r="N142" i="1"/>
  <c r="J219" i="1"/>
  <c r="D637" i="8"/>
  <c r="F642" i="8" s="1"/>
  <c r="J205" i="1"/>
  <c r="R13" i="13"/>
  <c r="N143" i="1"/>
  <c r="N212" i="1"/>
  <c r="E146" i="6"/>
  <c r="G222" i="2"/>
  <c r="E36" i="39" l="1"/>
  <c r="J195" i="1"/>
  <c r="J161" i="1"/>
  <c r="G206" i="1"/>
  <c r="F206" i="1"/>
  <c r="E206" i="1"/>
  <c r="E144" i="1"/>
  <c r="F144" i="1"/>
  <c r="G144" i="1"/>
  <c r="G163" i="1"/>
  <c r="E163" i="1"/>
  <c r="F163" i="1"/>
  <c r="G222" i="1"/>
  <c r="F222" i="1"/>
  <c r="E222" i="1"/>
  <c r="R16" i="13" s="1"/>
  <c r="E176" i="1"/>
  <c r="H62" i="52" s="1"/>
  <c r="F176" i="1"/>
  <c r="G176" i="1"/>
  <c r="F22" i="11"/>
  <c r="E13" i="39"/>
  <c r="F208" i="2"/>
  <c r="J225" i="1"/>
  <c r="J158" i="1"/>
  <c r="J143" i="1"/>
  <c r="J142" i="1"/>
  <c r="J174" i="1"/>
  <c r="F191" i="2"/>
  <c r="F91" i="6"/>
  <c r="J17" i="13"/>
  <c r="C551" i="8"/>
  <c r="C556" i="8" s="1"/>
  <c r="E159" i="2"/>
  <c r="D159" i="1" s="1"/>
  <c r="F50" i="52"/>
  <c r="E43" i="6"/>
  <c r="N176" i="1"/>
  <c r="H55" i="52"/>
  <c r="N21" i="13"/>
  <c r="E27" i="11"/>
  <c r="E227" i="2"/>
  <c r="D227" i="1" s="1"/>
  <c r="J220" i="1"/>
  <c r="J207" i="1"/>
  <c r="H7" i="16"/>
  <c r="N12" i="13"/>
  <c r="C634" i="8"/>
  <c r="C641" i="8" s="1"/>
  <c r="E22" i="11"/>
  <c r="E208" i="2"/>
  <c r="D208" i="1" s="1"/>
  <c r="E139" i="6"/>
  <c r="N222" i="1"/>
  <c r="J51" i="52"/>
  <c r="F61" i="52"/>
  <c r="L17" i="13"/>
  <c r="C560" i="8"/>
  <c r="C565" i="8" s="1"/>
  <c r="E191" i="2"/>
  <c r="D191" i="1" s="1"/>
  <c r="E91" i="6"/>
  <c r="N163" i="1"/>
  <c r="G159" i="2"/>
  <c r="G43" i="6"/>
  <c r="J212" i="1"/>
  <c r="G117" i="6"/>
  <c r="F159" i="2"/>
  <c r="F43" i="6"/>
  <c r="N206" i="1"/>
  <c r="F223" i="2"/>
  <c r="F164" i="6"/>
  <c r="F35" i="2" s="1"/>
  <c r="C519" i="8"/>
  <c r="C524" i="8" s="1"/>
  <c r="F140" i="6"/>
  <c r="J162" i="1"/>
  <c r="N144" i="1"/>
  <c r="J226" i="1"/>
  <c r="P16" i="13"/>
  <c r="G176" i="2"/>
  <c r="G90" i="6"/>
  <c r="J62" i="52"/>
  <c r="G227" i="1" l="1"/>
  <c r="E227" i="1"/>
  <c r="F227" i="1"/>
  <c r="D520" i="8" s="1"/>
  <c r="D525" i="8" s="1"/>
  <c r="G159" i="1"/>
  <c r="F159" i="1"/>
  <c r="E159" i="1"/>
  <c r="G191" i="1"/>
  <c r="F191" i="1"/>
  <c r="E191" i="1"/>
  <c r="E208" i="1"/>
  <c r="F208" i="1"/>
  <c r="G208" i="1"/>
  <c r="J144" i="1"/>
  <c r="J206" i="1"/>
  <c r="F50" i="6"/>
  <c r="F160" i="2"/>
  <c r="F224" i="47"/>
  <c r="F44" i="6"/>
  <c r="F225" i="47" s="1"/>
  <c r="G50" i="6"/>
  <c r="G160" i="2"/>
  <c r="G224" i="47"/>
  <c r="G44" i="6"/>
  <c r="G225" i="47" s="1"/>
  <c r="J163" i="1"/>
  <c r="D552" i="8"/>
  <c r="D557" i="8" s="1"/>
  <c r="E164" i="6"/>
  <c r="E35" i="2" s="1"/>
  <c r="N12" i="16"/>
  <c r="F36" i="51"/>
  <c r="N17" i="13"/>
  <c r="E223" i="2"/>
  <c r="D223" i="1" s="1"/>
  <c r="E140" i="6"/>
  <c r="P12" i="13"/>
  <c r="N227" i="1"/>
  <c r="D536" i="8"/>
  <c r="D541" i="8" s="1"/>
  <c r="N25" i="48"/>
  <c r="J18" i="13"/>
  <c r="E224" i="47"/>
  <c r="E44" i="6"/>
  <c r="E160" i="2"/>
  <c r="D160" i="1" s="1"/>
  <c r="E50" i="6"/>
  <c r="N208" i="1"/>
  <c r="J50" i="52"/>
  <c r="F98" i="6"/>
  <c r="F265" i="47"/>
  <c r="F192" i="2"/>
  <c r="F92" i="6"/>
  <c r="F266" i="47" s="1"/>
  <c r="F141" i="6"/>
  <c r="F147" i="6"/>
  <c r="F224" i="2"/>
  <c r="F221" i="6"/>
  <c r="G191" i="2"/>
  <c r="G91" i="6"/>
  <c r="E32" i="39"/>
  <c r="G208" i="2"/>
  <c r="G22" i="11"/>
  <c r="G139" i="6"/>
  <c r="L18" i="13"/>
  <c r="E92" i="6"/>
  <c r="E265" i="47"/>
  <c r="N25" i="53"/>
  <c r="E192" i="2"/>
  <c r="D192" i="1" s="1"/>
  <c r="E98" i="6"/>
  <c r="J61" i="52"/>
  <c r="J222" i="1"/>
  <c r="D638" i="8"/>
  <c r="G642" i="8" s="1"/>
  <c r="N191" i="1"/>
  <c r="H51" i="52"/>
  <c r="P21" i="13"/>
  <c r="J176" i="1"/>
  <c r="N159" i="1"/>
  <c r="E160" i="1" l="1"/>
  <c r="F160" i="1"/>
  <c r="G160" i="1"/>
  <c r="E192" i="1"/>
  <c r="G192" i="1"/>
  <c r="F192" i="1"/>
  <c r="G223" i="1"/>
  <c r="D535" i="8" s="1"/>
  <c r="C541" i="8" s="1"/>
  <c r="E223" i="1"/>
  <c r="R17" i="13" s="1"/>
  <c r="F223" i="1"/>
  <c r="D519" i="8" s="1"/>
  <c r="C525" i="8" s="1"/>
  <c r="F478" i="2"/>
  <c r="F494" i="2"/>
  <c r="J227" i="1"/>
  <c r="J224" i="47"/>
  <c r="F228" i="2"/>
  <c r="F28" i="11"/>
  <c r="C521" i="8"/>
  <c r="E524" i="8" s="1"/>
  <c r="F28" i="47"/>
  <c r="F160" i="6"/>
  <c r="F148" i="6"/>
  <c r="F489" i="2" s="1"/>
  <c r="F80" i="11" s="1"/>
  <c r="F228" i="11" s="1"/>
  <c r="E141" i="6"/>
  <c r="N19" i="13" s="1"/>
  <c r="N18" i="13"/>
  <c r="N14" i="16"/>
  <c r="E224" i="2"/>
  <c r="D224" i="1" s="1"/>
  <c r="E221" i="6"/>
  <c r="E147" i="6"/>
  <c r="N192" i="1"/>
  <c r="F196" i="2"/>
  <c r="F267" i="47"/>
  <c r="F99" i="6"/>
  <c r="N160" i="1"/>
  <c r="N223" i="1"/>
  <c r="I19" i="14"/>
  <c r="D35" i="1"/>
  <c r="L22" i="13"/>
  <c r="C562" i="8"/>
  <c r="E565" i="8" s="1"/>
  <c r="E267" i="47"/>
  <c r="E99" i="6"/>
  <c r="E196" i="2"/>
  <c r="D196" i="1" s="1"/>
  <c r="G265" i="47"/>
  <c r="J265" i="47" s="1"/>
  <c r="G192" i="2"/>
  <c r="G98" i="6"/>
  <c r="G92" i="6"/>
  <c r="G266" i="47" s="1"/>
  <c r="J22" i="13"/>
  <c r="E51" i="6"/>
  <c r="E164" i="2"/>
  <c r="D164" i="1" s="1"/>
  <c r="E226" i="47"/>
  <c r="C553" i="8"/>
  <c r="E556" i="8" s="1"/>
  <c r="R21" i="13"/>
  <c r="G223" i="2"/>
  <c r="C535" i="8"/>
  <c r="C540" i="8" s="1"/>
  <c r="G164" i="6"/>
  <c r="G35" i="2" s="1"/>
  <c r="G140" i="6"/>
  <c r="F469" i="2"/>
  <c r="F30" i="47"/>
  <c r="F493" i="2"/>
  <c r="F32" i="11"/>
  <c r="F222" i="6"/>
  <c r="F327" i="47"/>
  <c r="J19" i="13"/>
  <c r="E225" i="47"/>
  <c r="J225" i="47" s="1"/>
  <c r="P17" i="13"/>
  <c r="J191" i="1"/>
  <c r="D560" i="8"/>
  <c r="C566" i="8" s="1"/>
  <c r="E266" i="47"/>
  <c r="L19" i="13"/>
  <c r="D634" i="8"/>
  <c r="C642" i="8" s="1"/>
  <c r="J208" i="1"/>
  <c r="J159" i="1"/>
  <c r="D551" i="8"/>
  <c r="C557" i="8" s="1"/>
  <c r="H61" i="52"/>
  <c r="H50" i="52"/>
  <c r="R12" i="13"/>
  <c r="G226" i="47"/>
  <c r="G164" i="2"/>
  <c r="G51" i="6"/>
  <c r="F226" i="47"/>
  <c r="F164" i="2"/>
  <c r="F51" i="6"/>
  <c r="G196" i="1" l="1"/>
  <c r="F196" i="1"/>
  <c r="E196" i="1"/>
  <c r="E164" i="1"/>
  <c r="G164" i="1"/>
  <c r="F164" i="1"/>
  <c r="E35" i="1"/>
  <c r="E40" i="1" s="1"/>
  <c r="E44" i="1" s="1"/>
  <c r="G35" i="1"/>
  <c r="G40" i="1" s="1"/>
  <c r="G44" i="1" s="1"/>
  <c r="F35" i="1"/>
  <c r="F40" i="1" s="1"/>
  <c r="F44" i="1" s="1"/>
  <c r="E224" i="1"/>
  <c r="F224" i="1"/>
  <c r="G224" i="1"/>
  <c r="E494" i="2"/>
  <c r="E478" i="2"/>
  <c r="F329" i="47"/>
  <c r="F86" i="11"/>
  <c r="F234" i="11" s="1"/>
  <c r="F10" i="47"/>
  <c r="F9" i="47"/>
  <c r="F5" i="11" s="1"/>
  <c r="J226" i="47"/>
  <c r="N196" i="1"/>
  <c r="E28" i="11"/>
  <c r="E28" i="47"/>
  <c r="N22" i="13"/>
  <c r="E228" i="2"/>
  <c r="D228" i="1" s="1"/>
  <c r="E160" i="6"/>
  <c r="E148" i="6"/>
  <c r="E489" i="2" s="1"/>
  <c r="E80" i="11" s="1"/>
  <c r="F227" i="11" s="1"/>
  <c r="R18" i="13"/>
  <c r="P18" i="13"/>
  <c r="G165" i="2"/>
  <c r="G227" i="47"/>
  <c r="J266" i="47"/>
  <c r="F33" i="11"/>
  <c r="F31" i="47"/>
  <c r="N164" i="1"/>
  <c r="G267" i="47"/>
  <c r="J267" i="47" s="1"/>
  <c r="G99" i="6"/>
  <c r="G196" i="2"/>
  <c r="L23" i="13"/>
  <c r="F67" i="52"/>
  <c r="N26" i="53"/>
  <c r="E197" i="2"/>
  <c r="D197" i="1" s="1"/>
  <c r="E268" i="47"/>
  <c r="J160" i="1"/>
  <c r="P25" i="48"/>
  <c r="F197" i="2"/>
  <c r="F268" i="47"/>
  <c r="E493" i="2"/>
  <c r="E30" i="47"/>
  <c r="E222" i="6"/>
  <c r="E32" i="11"/>
  <c r="L25" i="5"/>
  <c r="Q25" i="5" s="1"/>
  <c r="R25" i="5" s="1"/>
  <c r="N18" i="16"/>
  <c r="N20" i="16" s="1"/>
  <c r="E327" i="47"/>
  <c r="E469" i="2"/>
  <c r="L33" i="5" s="1"/>
  <c r="F227" i="47"/>
  <c r="F165" i="2"/>
  <c r="G224" i="2"/>
  <c r="G141" i="6"/>
  <c r="G221" i="6"/>
  <c r="G147" i="6"/>
  <c r="F56" i="52"/>
  <c r="N26" i="48"/>
  <c r="J23" i="13"/>
  <c r="E227" i="47"/>
  <c r="E165" i="2"/>
  <c r="D165" i="1" s="1"/>
  <c r="N35" i="1"/>
  <c r="N40" i="1" s="1"/>
  <c r="N44" i="1" s="1"/>
  <c r="N224" i="1"/>
  <c r="F488" i="2"/>
  <c r="F79" i="11" s="1"/>
  <c r="E228" i="11" s="1"/>
  <c r="F29" i="11"/>
  <c r="F468" i="2"/>
  <c r="F29" i="47"/>
  <c r="F229" i="2"/>
  <c r="F475" i="2"/>
  <c r="F475" i="1" s="1"/>
  <c r="F85" i="11"/>
  <c r="F328" i="47"/>
  <c r="G178" i="6"/>
  <c r="G183" i="6" s="1"/>
  <c r="J223" i="1"/>
  <c r="H36" i="51"/>
  <c r="J192" i="1"/>
  <c r="P25" i="53"/>
  <c r="F244" i="2"/>
  <c r="F243" i="2"/>
  <c r="F236" i="2"/>
  <c r="F161" i="6"/>
  <c r="F237" i="2" s="1"/>
  <c r="E228" i="1" l="1"/>
  <c r="F228" i="1"/>
  <c r="D521" i="8" s="1"/>
  <c r="E525" i="8" s="1"/>
  <c r="G228" i="1"/>
  <c r="D537" i="8" s="1"/>
  <c r="E541" i="8" s="1"/>
  <c r="F165" i="1"/>
  <c r="E165" i="1"/>
  <c r="G165" i="1"/>
  <c r="E197" i="1"/>
  <c r="H67" i="52" s="1"/>
  <c r="F197" i="1"/>
  <c r="G197" i="1"/>
  <c r="F12" i="47"/>
  <c r="G494" i="2"/>
  <c r="G478" i="2"/>
  <c r="E329" i="47"/>
  <c r="E86" i="11"/>
  <c r="F233" i="11" s="1"/>
  <c r="F162" i="6"/>
  <c r="F238" i="2" s="1"/>
  <c r="E85" i="11"/>
  <c r="E328" i="47"/>
  <c r="E12" i="47" s="1"/>
  <c r="J164" i="1"/>
  <c r="D553" i="8"/>
  <c r="E557" i="8" s="1"/>
  <c r="E488" i="2"/>
  <c r="E79" i="11" s="1"/>
  <c r="E227" i="11" s="1"/>
  <c r="E468" i="2"/>
  <c r="E29" i="47"/>
  <c r="N23" i="13"/>
  <c r="E29" i="11"/>
  <c r="E475" i="2"/>
  <c r="E475" i="1" s="1"/>
  <c r="E229" i="2"/>
  <c r="L24" i="5"/>
  <c r="Q24" i="5" s="1"/>
  <c r="R24" i="5" s="1"/>
  <c r="E20" i="5" s="1"/>
  <c r="M28" i="47"/>
  <c r="E244" i="2"/>
  <c r="E236" i="2"/>
  <c r="D236" i="1" s="1"/>
  <c r="E243" i="2"/>
  <c r="E161" i="6"/>
  <c r="E162" i="6" s="1"/>
  <c r="G493" i="2"/>
  <c r="G469" i="2"/>
  <c r="G30" i="47"/>
  <c r="J30" i="47" s="1"/>
  <c r="G32" i="11"/>
  <c r="G222" i="6"/>
  <c r="G327" i="47"/>
  <c r="J224" i="1"/>
  <c r="N165" i="1"/>
  <c r="H56" i="52"/>
  <c r="E10" i="47"/>
  <c r="E9" i="47"/>
  <c r="E5" i="11" s="1"/>
  <c r="E31" i="47"/>
  <c r="E33" i="11"/>
  <c r="N197" i="1"/>
  <c r="N228" i="1"/>
  <c r="J196" i="1"/>
  <c r="D562" i="8"/>
  <c r="E566" i="8" s="1"/>
  <c r="F178" i="6"/>
  <c r="F183" i="6" s="1"/>
  <c r="J35" i="1"/>
  <c r="K19" i="14"/>
  <c r="D40" i="1"/>
  <c r="D44" i="1" s="1"/>
  <c r="E178" i="6"/>
  <c r="J227" i="47"/>
  <c r="G28" i="11"/>
  <c r="G228" i="2"/>
  <c r="G28" i="47"/>
  <c r="J28" i="47" s="1"/>
  <c r="G160" i="6"/>
  <c r="G148" i="6"/>
  <c r="G489" i="2" s="1"/>
  <c r="G80" i="11" s="1"/>
  <c r="F229" i="11" s="1"/>
  <c r="C537" i="8"/>
  <c r="E540" i="8" s="1"/>
  <c r="M30" i="47"/>
  <c r="G268" i="47"/>
  <c r="J268" i="47" s="1"/>
  <c r="G197" i="2"/>
  <c r="P22" i="13"/>
  <c r="F6" i="11"/>
  <c r="E236" i="1" l="1"/>
  <c r="F236" i="1"/>
  <c r="G236" i="1"/>
  <c r="G86" i="11"/>
  <c r="F235" i="11" s="1"/>
  <c r="G329" i="47"/>
  <c r="F217" i="6"/>
  <c r="J228" i="1"/>
  <c r="F169" i="6"/>
  <c r="F174" i="6" s="1"/>
  <c r="F185" i="6" s="1"/>
  <c r="F55" i="2"/>
  <c r="F49" i="2" s="1"/>
  <c r="F163" i="6"/>
  <c r="N29" i="13"/>
  <c r="J8" i="15"/>
  <c r="E55" i="2"/>
  <c r="E49" i="2" s="1"/>
  <c r="D49" i="1" s="1"/>
  <c r="E163" i="6"/>
  <c r="E238" i="2"/>
  <c r="D238" i="1" s="1"/>
  <c r="E217" i="6"/>
  <c r="N30" i="13" s="1"/>
  <c r="E169" i="6"/>
  <c r="E174" i="6" s="1"/>
  <c r="G488" i="2"/>
  <c r="G79" i="11" s="1"/>
  <c r="E229" i="11" s="1"/>
  <c r="G229" i="2"/>
  <c r="G29" i="11"/>
  <c r="G29" i="47"/>
  <c r="J29" i="47" s="1"/>
  <c r="G475" i="2"/>
  <c r="G468" i="2"/>
  <c r="M31" i="47"/>
  <c r="G31" i="47"/>
  <c r="J31" i="47" s="1"/>
  <c r="G33" i="11"/>
  <c r="N236" i="1"/>
  <c r="D229" i="1"/>
  <c r="L32" i="5"/>
  <c r="M29" i="47"/>
  <c r="G236" i="2"/>
  <c r="G243" i="2"/>
  <c r="G244" i="2"/>
  <c r="G161" i="6"/>
  <c r="G237" i="2" s="1"/>
  <c r="K22" i="14"/>
  <c r="O19" i="14"/>
  <c r="G85" i="11"/>
  <c r="E235" i="11" s="1"/>
  <c r="G328" i="47"/>
  <c r="G12" i="47" s="1"/>
  <c r="R22" i="13"/>
  <c r="I14" i="15"/>
  <c r="E183" i="6"/>
  <c r="J16" i="15" s="1"/>
  <c r="J197" i="1"/>
  <c r="P26" i="53"/>
  <c r="E6" i="11"/>
  <c r="J165" i="1"/>
  <c r="P26" i="48"/>
  <c r="N27" i="13"/>
  <c r="P27" i="13" s="1"/>
  <c r="E237" i="2"/>
  <c r="D237" i="1" s="1"/>
  <c r="J40" i="1"/>
  <c r="G10" i="47"/>
  <c r="E11" i="47" s="1"/>
  <c r="G9" i="47"/>
  <c r="G5" i="11" s="1"/>
  <c r="C3" i="54"/>
  <c r="C3" i="53"/>
  <c r="C3" i="50"/>
  <c r="C3" i="17"/>
  <c r="C3" i="52"/>
  <c r="C3" i="51"/>
  <c r="C3" i="48"/>
  <c r="C3" i="49"/>
  <c r="F229" i="1" l="1"/>
  <c r="E19" i="39" s="1"/>
  <c r="E229" i="1"/>
  <c r="G229" i="1"/>
  <c r="E38" i="39" s="1"/>
  <c r="G238" i="1"/>
  <c r="F238" i="1"/>
  <c r="E238" i="1"/>
  <c r="G475" i="1"/>
  <c r="J475" i="1" s="1"/>
  <c r="F237" i="1"/>
  <c r="E237" i="1"/>
  <c r="G237" i="1"/>
  <c r="G49" i="1"/>
  <c r="G48" i="1" s="1"/>
  <c r="G51" i="1" s="1"/>
  <c r="G52" i="1" s="1"/>
  <c r="G53" i="1" s="1"/>
  <c r="F49" i="1"/>
  <c r="F48" i="1" s="1"/>
  <c r="F51" i="1" s="1"/>
  <c r="F52" i="1" s="1"/>
  <c r="F53" i="1" s="1"/>
  <c r="E49" i="1"/>
  <c r="E48" i="1" s="1"/>
  <c r="E51" i="1" s="1"/>
  <c r="E52" i="1" s="1"/>
  <c r="E53" i="1" s="1"/>
  <c r="I11" i="47"/>
  <c r="I3" i="11" s="1"/>
  <c r="H11" i="47"/>
  <c r="H3" i="11" s="1"/>
  <c r="N49" i="1"/>
  <c r="N48" i="1" s="1"/>
  <c r="N51" i="1" s="1"/>
  <c r="N52" i="1" s="1"/>
  <c r="N53" i="1" s="1"/>
  <c r="J44" i="1"/>
  <c r="K25" i="14"/>
  <c r="N238" i="1"/>
  <c r="N237" i="1"/>
  <c r="J236" i="1"/>
  <c r="E185" i="6"/>
  <c r="E3" i="11"/>
  <c r="G6" i="11"/>
  <c r="G11" i="47"/>
  <c r="G3" i="11" s="1"/>
  <c r="F11" i="47"/>
  <c r="F3" i="11" s="1"/>
  <c r="G162" i="6"/>
  <c r="N229" i="1"/>
  <c r="P29" i="13"/>
  <c r="E17" i="47" l="1"/>
  <c r="F17" i="47" s="1"/>
  <c r="J237" i="1"/>
  <c r="J49" i="1"/>
  <c r="J238" i="1"/>
  <c r="E20" i="47"/>
  <c r="G20" i="47" s="1"/>
  <c r="E19" i="47"/>
  <c r="F19" i="47" s="1"/>
  <c r="M32" i="5"/>
  <c r="J229" i="1"/>
  <c r="E18" i="47"/>
  <c r="J25" i="15"/>
  <c r="J17" i="15"/>
  <c r="G238" i="2"/>
  <c r="G217" i="6"/>
  <c r="G163" i="6"/>
  <c r="G55" i="2"/>
  <c r="G49" i="2" s="1"/>
  <c r="G169" i="6"/>
  <c r="G174" i="6" s="1"/>
  <c r="G185" i="6" s="1"/>
  <c r="G48" i="2"/>
  <c r="R29" i="13"/>
  <c r="E16" i="47"/>
  <c r="F197" i="6"/>
  <c r="F48" i="2"/>
  <c r="F51" i="2" s="1"/>
  <c r="G17" i="47" l="1"/>
  <c r="H17" i="47"/>
  <c r="I17" i="47"/>
  <c r="F20" i="47"/>
  <c r="H20" i="47"/>
  <c r="I20" i="47"/>
  <c r="G51" i="2"/>
  <c r="G197" i="6"/>
  <c r="G195" i="6" s="1"/>
  <c r="G199" i="6" s="1"/>
  <c r="G38" i="2" s="1"/>
  <c r="G40" i="2" s="1"/>
  <c r="G44" i="2" s="1"/>
  <c r="G19" i="47"/>
  <c r="H19" i="47"/>
  <c r="I19" i="47"/>
  <c r="G16" i="47"/>
  <c r="H16" i="47"/>
  <c r="I16" i="47"/>
  <c r="F16" i="47"/>
  <c r="F195" i="6"/>
  <c r="F199" i="6" s="1"/>
  <c r="F38" i="2" s="1"/>
  <c r="F40" i="2" s="1"/>
  <c r="F44" i="2" s="1"/>
  <c r="F52" i="2" s="1"/>
  <c r="F18" i="47"/>
  <c r="I18" i="47"/>
  <c r="H18" i="47"/>
  <c r="G18" i="47"/>
  <c r="J48" i="1"/>
  <c r="E197" i="6"/>
  <c r="K29" i="14"/>
  <c r="D51" i="1"/>
  <c r="D52" i="1" s="1"/>
  <c r="D53" i="1" s="1"/>
  <c r="E48" i="2"/>
  <c r="G52" i="2" l="1"/>
  <c r="F219" i="6"/>
  <c r="G201" i="6"/>
  <c r="G203" i="6" s="1"/>
  <c r="G205" i="6" s="1"/>
  <c r="G4" i="2" s="1"/>
  <c r="G10" i="2" s="1"/>
  <c r="G17" i="2" s="1"/>
  <c r="G31" i="2" s="1"/>
  <c r="J29" i="15"/>
  <c r="E195" i="6"/>
  <c r="E199" i="6" s="1"/>
  <c r="D48" i="1"/>
  <c r="E51" i="2"/>
  <c r="I29" i="14"/>
  <c r="K30" i="14"/>
  <c r="J51" i="1"/>
  <c r="K32" i="14"/>
  <c r="F201" i="6"/>
  <c r="F203" i="6" s="1"/>
  <c r="F205" i="6" s="1"/>
  <c r="F4" i="2" s="1"/>
  <c r="F10" i="2" s="1"/>
  <c r="F17" i="2" s="1"/>
  <c r="F31" i="2" s="1"/>
  <c r="G219" i="6"/>
  <c r="F54" i="2" l="1"/>
  <c r="F215" i="6"/>
  <c r="J52" i="1"/>
  <c r="J53" i="1"/>
  <c r="I30" i="14"/>
  <c r="F53" i="2"/>
  <c r="J28" i="15"/>
  <c r="E38" i="2"/>
  <c r="E219" i="6" s="1"/>
  <c r="G54" i="2"/>
  <c r="G215" i="6"/>
  <c r="O29" i="14"/>
  <c r="E201" i="6"/>
  <c r="G53" i="2"/>
  <c r="G218" i="6" l="1"/>
  <c r="G216" i="6"/>
  <c r="J30" i="15"/>
  <c r="E203" i="6"/>
  <c r="E205" i="6" s="1"/>
  <c r="I21" i="14"/>
  <c r="D38" i="1"/>
  <c r="E40" i="2"/>
  <c r="E44" i="2" s="1"/>
  <c r="O30" i="14"/>
  <c r="F218" i="6"/>
  <c r="F216" i="6"/>
  <c r="J32" i="15" l="1"/>
  <c r="E4" i="2"/>
  <c r="I32" i="14"/>
  <c r="I25" i="14"/>
  <c r="E52" i="2"/>
  <c r="I22" i="14"/>
  <c r="G93" i="3" l="1"/>
  <c r="E93" i="3"/>
  <c r="F93" i="3"/>
  <c r="O25" i="14"/>
  <c r="O32" i="14"/>
  <c r="O22" i="14"/>
  <c r="K93" i="3"/>
  <c r="E10" i="2"/>
  <c r="E17" i="2" s="1"/>
  <c r="E31" i="2" s="1"/>
  <c r="J93" i="3"/>
  <c r="I7" i="14"/>
  <c r="E54" i="2" l="1"/>
  <c r="I16" i="14"/>
  <c r="M7" i="14" s="1"/>
  <c r="E215" i="6"/>
  <c r="E53" i="2"/>
  <c r="O7" i="14"/>
  <c r="I10" i="14"/>
  <c r="E218" i="6" l="1"/>
  <c r="E216" i="6"/>
  <c r="M24" i="14"/>
  <c r="M16" i="14"/>
  <c r="M23" i="14"/>
  <c r="O16" i="14"/>
  <c r="M14" i="14"/>
  <c r="M28" i="14"/>
  <c r="M15" i="14"/>
  <c r="M9" i="14"/>
  <c r="M20" i="14"/>
  <c r="M8" i="14"/>
  <c r="M12" i="14"/>
  <c r="M13" i="14"/>
  <c r="M19" i="14"/>
  <c r="M29" i="14"/>
  <c r="M30" i="14"/>
  <c r="M21" i="14"/>
  <c r="M25" i="14"/>
  <c r="M22" i="14"/>
  <c r="M32" i="14"/>
  <c r="M10" i="14"/>
  <c r="O10" i="14"/>
</calcChain>
</file>

<file path=xl/comments1.xml><?xml version="1.0" encoding="utf-8"?>
<comments xmlns="http://schemas.openxmlformats.org/spreadsheetml/2006/main">
  <authors>
    <author>BTS USA, Inc.</author>
  </authors>
  <commentList>
    <comment ref="E5" authorId="0">
      <text>
        <r>
          <rPr>
            <b/>
            <sz val="8"/>
            <color indexed="81"/>
            <rFont val="Tahoma"/>
            <family val="2"/>
          </rPr>
          <t>PKR:</t>
        </r>
        <r>
          <rPr>
            <sz val="8"/>
            <color indexed="81"/>
            <rFont val="Tahoma"/>
            <family val="2"/>
          </rPr>
          <t xml:space="preserve">
1 = that all teams are in this single model
0 = that decisions are exchanged over the network</t>
        </r>
      </text>
    </comment>
  </commentList>
</comments>
</file>

<file path=xl/comments2.xml><?xml version="1.0" encoding="utf-8"?>
<comments xmlns="http://schemas.openxmlformats.org/spreadsheetml/2006/main">
  <authors>
    <author>edward.kellogg</author>
  </authors>
  <commentList>
    <comment ref="J5" authorId="0">
      <text>
        <r>
          <rPr>
            <b/>
            <sz val="9"/>
            <color indexed="81"/>
            <rFont val="Tahoma"/>
            <family val="2"/>
          </rPr>
          <t xml:space="preserve">Growth: 
</t>
        </r>
        <r>
          <rPr>
            <sz val="9"/>
            <color indexed="81"/>
            <rFont val="Tahoma"/>
            <family val="2"/>
          </rPr>
          <t>The Growth businesses focus on value-added solutions, which include content and a user experience that a customer is willing to pay a premium for and that is not available in the public domain. There are more implementation services in the growth business.</t>
        </r>
      </text>
    </comment>
    <comment ref="L5" authorId="0">
      <text>
        <r>
          <rPr>
            <b/>
            <sz val="9"/>
            <color indexed="81"/>
            <rFont val="Tahoma"/>
            <family val="2"/>
          </rPr>
          <t xml:space="preserve">Transform: 
</t>
        </r>
        <r>
          <rPr>
            <sz val="9"/>
            <color indexed="81"/>
            <rFont val="Tahoma"/>
            <family val="2"/>
          </rPr>
          <t>The Transform business unit achieves slower growth, and great content is expected by customers.  As a result, the technology, desktop integration, content delivery, and analytics are differentiators in this market.  These businesses need to be transformed through both delivery methods and technology improvements to remain competitive in the future.</t>
        </r>
      </text>
    </comment>
  </commentList>
</comments>
</file>

<file path=xl/comments3.xml><?xml version="1.0" encoding="utf-8"?>
<comments xmlns="http://schemas.openxmlformats.org/spreadsheetml/2006/main">
  <authors>
    <author>edward.kellogg</author>
  </authors>
  <commentList>
    <comment ref="E7" authorId="0">
      <text>
        <r>
          <rPr>
            <b/>
            <sz val="9"/>
            <color indexed="81"/>
            <rFont val="Tahoma"/>
            <family val="2"/>
          </rPr>
          <t xml:space="preserve">Growth: 
</t>
        </r>
        <r>
          <rPr>
            <sz val="9"/>
            <color indexed="81"/>
            <rFont val="Tahoma"/>
            <family val="2"/>
          </rPr>
          <t xml:space="preserve">The Growth businesses focus on value-added solutions, which include content and a user experience that a customer is willing to pay a premium for and that is not available in the public domain. There are more implementation services in the growth business.
</t>
        </r>
      </text>
    </comment>
    <comment ref="K7" authorId="0">
      <text>
        <r>
          <rPr>
            <b/>
            <sz val="9"/>
            <color indexed="81"/>
            <rFont val="Tahoma"/>
            <family val="2"/>
          </rPr>
          <t xml:space="preserve">Subscriber Growth &amp; Share: 
</t>
        </r>
        <r>
          <rPr>
            <sz val="9"/>
            <color indexed="81"/>
            <rFont val="Tahoma"/>
            <family val="2"/>
          </rPr>
          <t>A summary of the opening subscriptions, cancellations, and new subscriptions forecasted over the year, yielding the end-of-year forecasted subscriptions.  Also summarizes IIC’s forecasted market share and the net new sales.</t>
        </r>
      </text>
    </comment>
    <comment ref="C9" authorId="0">
      <text>
        <r>
          <rPr>
            <b/>
            <sz val="9"/>
            <color indexed="81"/>
            <rFont val="Tahoma"/>
            <family val="2"/>
          </rPr>
          <t xml:space="preserve">New Subscriptions: 
</t>
        </r>
        <r>
          <rPr>
            <sz val="9"/>
            <color indexed="81"/>
            <rFont val="Tahoma"/>
            <family val="2"/>
          </rPr>
          <t>The number of new subscribers IIC is forecasting to add over the course of the year.</t>
        </r>
      </text>
    </comment>
    <comment ref="C10" authorId="0">
      <text>
        <r>
          <rPr>
            <b/>
            <sz val="9"/>
            <color indexed="81"/>
            <rFont val="Tahoma"/>
            <family val="2"/>
          </rPr>
          <t xml:space="preserve">Cancellations (%): 
</t>
        </r>
        <r>
          <rPr>
            <sz val="9"/>
            <color indexed="81"/>
            <rFont val="Tahoma"/>
            <family val="2"/>
          </rPr>
          <t xml:space="preserve">The percentage of subscribers who will cancel their business with IIC over the course of the year.
</t>
        </r>
      </text>
    </comment>
    <comment ref="C11" authorId="0">
      <text>
        <r>
          <rPr>
            <b/>
            <sz val="9"/>
            <color indexed="81"/>
            <rFont val="Tahoma"/>
            <family val="2"/>
          </rPr>
          <t xml:space="preserve">Forecasted Market Share: 
</t>
        </r>
        <r>
          <rPr>
            <sz val="9"/>
            <color indexed="81"/>
            <rFont val="Tahoma"/>
            <family val="2"/>
          </rPr>
          <t xml:space="preserve">The percentage of the Transform/Growth market that IIC is forecasting based on the ending subscribers. The market is comprised of subscribers signed up with IIC, Bloomfield, or Nextus. Potential subscribers that are not signed up with IIC, Bloomfield or Nextus are not currently in the market, but could enter and grow the size of the market.
</t>
        </r>
      </text>
    </comment>
    <comment ref="K12" authorId="0">
      <text>
        <r>
          <rPr>
            <b/>
            <sz val="9"/>
            <color indexed="81"/>
            <rFont val="Tahoma"/>
            <family val="2"/>
          </rPr>
          <t xml:space="preserve">New Subscriptions: 
</t>
        </r>
        <r>
          <rPr>
            <sz val="9"/>
            <color indexed="81"/>
            <rFont val="Tahoma"/>
            <family val="2"/>
          </rPr>
          <t>The number of new subscribers IIC is forecasting to add over the course of the year.</t>
        </r>
      </text>
    </comment>
    <comment ref="C13" authorId="0">
      <text>
        <r>
          <rPr>
            <b/>
            <sz val="9"/>
            <color indexed="81"/>
            <rFont val="Tahoma"/>
            <family val="2"/>
          </rPr>
          <t xml:space="preserve">Average Price: 
</t>
        </r>
        <r>
          <rPr>
            <sz val="9"/>
            <color indexed="81"/>
            <rFont val="Tahoma"/>
            <family val="2"/>
          </rPr>
          <t xml:space="preserve">The average price IIC is charging across all Transform/Growth products.
</t>
        </r>
      </text>
    </comment>
    <comment ref="C14" authorId="0">
      <text>
        <r>
          <rPr>
            <b/>
            <sz val="9"/>
            <color indexed="81"/>
            <rFont val="Tahoma"/>
            <family val="2"/>
          </rPr>
          <t xml:space="preserve">% Change: 
</t>
        </r>
        <r>
          <rPr>
            <sz val="9"/>
            <color indexed="81"/>
            <rFont val="Tahoma"/>
            <family val="2"/>
          </rPr>
          <t xml:space="preserve">The percent increase/decrease in the average price compared to the previous year’s average price. 
</t>
        </r>
      </text>
    </comment>
    <comment ref="C15" authorId="0">
      <text>
        <r>
          <rPr>
            <b/>
            <sz val="9"/>
            <color indexed="81"/>
            <rFont val="Tahoma"/>
            <family val="2"/>
          </rPr>
          <t xml:space="preserve">Forecasted Revenue: 
</t>
        </r>
        <r>
          <rPr>
            <sz val="9"/>
            <color indexed="81"/>
            <rFont val="Tahoma"/>
            <family val="2"/>
          </rPr>
          <t xml:space="preserve">The Transform/Growth revenue IIC is forecasting based on IIC’s ending subscribers multiplied by the average price for products.  Some software business will also yield transactional revenue for services.
</t>
        </r>
      </text>
    </comment>
    <comment ref="K17" authorId="0">
      <text>
        <r>
          <rPr>
            <b/>
            <sz val="9"/>
            <color indexed="81"/>
            <rFont val="Tahoma"/>
            <family val="2"/>
          </rPr>
          <t xml:space="preserve">New Subscriber Growth: 
</t>
        </r>
        <r>
          <rPr>
            <sz val="9"/>
            <color indexed="81"/>
            <rFont val="Tahoma"/>
            <family val="2"/>
          </rPr>
          <t xml:space="preserve">The percentage growth of new subscribers IIC is forecasting to acquire this year over last year. 
</t>
        </r>
      </text>
    </comment>
    <comment ref="K18" authorId="0">
      <text>
        <r>
          <rPr>
            <b/>
            <sz val="9"/>
            <color indexed="81"/>
            <rFont val="Tahoma"/>
            <family val="2"/>
          </rPr>
          <t xml:space="preserve">Cancellations (%): 
</t>
        </r>
        <r>
          <rPr>
            <sz val="9"/>
            <color indexed="81"/>
            <rFont val="Tahoma"/>
            <family val="2"/>
          </rPr>
          <t xml:space="preserve">The percentage of subscribers who will cancel their business with IIC over the course of the year.
</t>
        </r>
      </text>
    </comment>
    <comment ref="C23" authorId="0">
      <text>
        <r>
          <rPr>
            <b/>
            <sz val="9"/>
            <color indexed="81"/>
            <rFont val="Tahoma"/>
            <family val="2"/>
          </rPr>
          <t xml:space="preserve">Value Proposition: 
</t>
        </r>
        <r>
          <rPr>
            <sz val="9"/>
            <color indexed="81"/>
            <rFont val="Tahoma"/>
            <family val="2"/>
          </rPr>
          <t xml:space="preserve">A summary of our solutions’ characteristics, including the content, product technology, time to market, and total forecasted revenue.  Benchmarks this year’s offering versus the previous year’s industry average.
</t>
        </r>
      </text>
    </comment>
    <comment ref="K23" authorId="0">
      <text>
        <r>
          <rPr>
            <b/>
            <sz val="9"/>
            <color indexed="81"/>
            <rFont val="Tahoma"/>
            <family val="2"/>
          </rPr>
          <t xml:space="preserve">Income Statement Summary: 
</t>
        </r>
        <r>
          <rPr>
            <sz val="9"/>
            <color indexed="81"/>
            <rFont val="Tahoma"/>
            <family val="2"/>
          </rPr>
          <t xml:space="preserve">Taking into account our forecasted revenues and costs within Growth/Transform, our forecasted EBITDA (earnings before interest, taxes, depreciation, and amortization) and operating margin percentages.  Shows our forecasted margins for this year and compares them to our actual margins from the previous year.
</t>
        </r>
      </text>
    </comment>
    <comment ref="C29" authorId="0">
      <text>
        <r>
          <rPr>
            <b/>
            <sz val="9"/>
            <color indexed="81"/>
            <rFont val="Tahoma"/>
            <family val="2"/>
          </rPr>
          <t xml:space="preserve">Resource Allocation: 
</t>
        </r>
        <r>
          <rPr>
            <sz val="9"/>
            <color indexed="81"/>
            <rFont val="Tahoma"/>
            <family val="2"/>
          </rPr>
          <t xml:space="preserve">The amount of FTEs we are allocating towards Growth/Transform.
</t>
        </r>
      </text>
    </comment>
  </commentList>
</comments>
</file>

<file path=xl/comments4.xml><?xml version="1.0" encoding="utf-8"?>
<comments xmlns="http://schemas.openxmlformats.org/spreadsheetml/2006/main">
  <authors>
    <author>edward.kellogg</author>
  </authors>
  <commentList>
    <comment ref="E7" authorId="0">
      <text>
        <r>
          <rPr>
            <b/>
            <sz val="9"/>
            <color indexed="81"/>
            <rFont val="Tahoma"/>
            <family val="2"/>
          </rPr>
          <t xml:space="preserve">Transform: 
</t>
        </r>
        <r>
          <rPr>
            <sz val="9"/>
            <color indexed="81"/>
            <rFont val="Tahoma"/>
            <family val="2"/>
          </rPr>
          <t xml:space="preserve">The Transform business unit achieves slower growth, and great content is expected by customers.  As a result, the technology, desktop integration, content delivery, and analytics are differentiators in this market.  These businesses need to be transformed through both delivery methods and technology improvements to remain competitive in the future.
</t>
        </r>
      </text>
    </comment>
    <comment ref="K7" authorId="0">
      <text>
        <r>
          <rPr>
            <b/>
            <sz val="9"/>
            <color indexed="81"/>
            <rFont val="Tahoma"/>
            <family val="2"/>
          </rPr>
          <t xml:space="preserve">Subscriber Growth &amp; Share: 
</t>
        </r>
        <r>
          <rPr>
            <sz val="9"/>
            <color indexed="81"/>
            <rFont val="Tahoma"/>
            <family val="2"/>
          </rPr>
          <t xml:space="preserve">A summary of the opening subscriptions, cancellations, and new subscriptions forecasted over the year, yielding the end-of-year forecasted subscriptions.  Also summarizes IIC’s forecasted market share and the net new sales.
</t>
        </r>
      </text>
    </comment>
    <comment ref="C9" authorId="0">
      <text>
        <r>
          <rPr>
            <b/>
            <sz val="9"/>
            <color indexed="81"/>
            <rFont val="Tahoma"/>
            <family val="2"/>
          </rPr>
          <t xml:space="preserve">New Subscriptions: 
</t>
        </r>
        <r>
          <rPr>
            <sz val="9"/>
            <color indexed="81"/>
            <rFont val="Tahoma"/>
            <family val="2"/>
          </rPr>
          <t xml:space="preserve">The number of new subscribers IIC is forecasting to add over the course of the year.
</t>
        </r>
      </text>
    </comment>
    <comment ref="C10" authorId="0">
      <text>
        <r>
          <rPr>
            <b/>
            <sz val="9"/>
            <color indexed="81"/>
            <rFont val="Tahoma"/>
            <family val="2"/>
          </rPr>
          <t xml:space="preserve">Cancellations (%): 
</t>
        </r>
        <r>
          <rPr>
            <sz val="9"/>
            <color indexed="81"/>
            <rFont val="Tahoma"/>
            <family val="2"/>
          </rPr>
          <t xml:space="preserve">The percentage of subscribers who will cancel their business with IIC over the course of the year.
</t>
        </r>
      </text>
    </comment>
    <comment ref="C11" authorId="0">
      <text>
        <r>
          <rPr>
            <b/>
            <sz val="9"/>
            <color indexed="81"/>
            <rFont val="Tahoma"/>
            <family val="2"/>
          </rPr>
          <t xml:space="preserve">Forecasted Market Share: 
</t>
        </r>
        <r>
          <rPr>
            <sz val="9"/>
            <color indexed="81"/>
            <rFont val="Tahoma"/>
            <family val="2"/>
          </rPr>
          <t xml:space="preserve">The percentage of the Transform/Growth market that IIC is forecasting based on the ending subscribers. The market is comprised of subscribers signed up with IIC, Bloomfield, or Nextus. Potential subscribers that are not signed up with IIC, Bloomfield or Nextus are not currently in the market, but could enter and grow the size of the market.
</t>
        </r>
      </text>
    </comment>
    <comment ref="K12" authorId="0">
      <text>
        <r>
          <rPr>
            <b/>
            <sz val="9"/>
            <color indexed="81"/>
            <rFont val="Tahoma"/>
            <family val="2"/>
          </rPr>
          <t xml:space="preserve">New Subscriptions: 
</t>
        </r>
        <r>
          <rPr>
            <sz val="9"/>
            <color indexed="81"/>
            <rFont val="Tahoma"/>
            <family val="2"/>
          </rPr>
          <t>The number of new subscribers IIC is forecasting to add over the course of the year.</t>
        </r>
      </text>
    </comment>
    <comment ref="C13" authorId="0">
      <text>
        <r>
          <rPr>
            <b/>
            <sz val="9"/>
            <color indexed="81"/>
            <rFont val="Tahoma"/>
            <family val="2"/>
          </rPr>
          <t xml:space="preserve">Average Price: 
</t>
        </r>
        <r>
          <rPr>
            <sz val="9"/>
            <color indexed="81"/>
            <rFont val="Tahoma"/>
            <family val="2"/>
          </rPr>
          <t xml:space="preserve">The average price IIC is charging across all Transform/Growth products.
</t>
        </r>
      </text>
    </comment>
    <comment ref="C14" authorId="0">
      <text>
        <r>
          <rPr>
            <b/>
            <sz val="9"/>
            <color indexed="81"/>
            <rFont val="Tahoma"/>
            <family val="2"/>
          </rPr>
          <t xml:space="preserve">% Change: 
</t>
        </r>
        <r>
          <rPr>
            <sz val="9"/>
            <color indexed="81"/>
            <rFont val="Tahoma"/>
            <family val="2"/>
          </rPr>
          <t xml:space="preserve">The percent increase/decrease in the average price compared to the previous year’s average price. 
</t>
        </r>
      </text>
    </comment>
    <comment ref="C15" authorId="0">
      <text>
        <r>
          <rPr>
            <b/>
            <sz val="9"/>
            <color indexed="81"/>
            <rFont val="Tahoma"/>
            <family val="2"/>
          </rPr>
          <t xml:space="preserve">Forecasted Revenue: 
</t>
        </r>
        <r>
          <rPr>
            <sz val="9"/>
            <color indexed="81"/>
            <rFont val="Tahoma"/>
            <family val="2"/>
          </rPr>
          <t>The Transform/Growth revenue IIC is forecasting based on IIC’s ending subscribers multiplied by the average price for products.  Some software business will also yield transactional revenue for services.</t>
        </r>
      </text>
    </comment>
    <comment ref="K17" authorId="0">
      <text>
        <r>
          <rPr>
            <b/>
            <sz val="9"/>
            <color indexed="81"/>
            <rFont val="Tahoma"/>
            <family val="2"/>
          </rPr>
          <t xml:space="preserve">New Subscriber Growth: 
</t>
        </r>
        <r>
          <rPr>
            <sz val="9"/>
            <color indexed="81"/>
            <rFont val="Tahoma"/>
            <family val="2"/>
          </rPr>
          <t xml:space="preserve">The percentage growth of new subscribers IIC is forecasting to acquire this year over last year. 
</t>
        </r>
      </text>
    </comment>
    <comment ref="K18" authorId="0">
      <text>
        <r>
          <rPr>
            <b/>
            <sz val="9"/>
            <color indexed="81"/>
            <rFont val="Tahoma"/>
            <family val="2"/>
          </rPr>
          <t xml:space="preserve">Cancellations (%): 
</t>
        </r>
        <r>
          <rPr>
            <sz val="9"/>
            <color indexed="81"/>
            <rFont val="Tahoma"/>
            <family val="2"/>
          </rPr>
          <t>The percentage of subscribers who will cancel their business with IIC over the course of the year.</t>
        </r>
      </text>
    </comment>
    <comment ref="C23" authorId="0">
      <text>
        <r>
          <rPr>
            <b/>
            <sz val="9"/>
            <color indexed="81"/>
            <rFont val="Tahoma"/>
            <family val="2"/>
          </rPr>
          <t xml:space="preserve">Value Proposition: 
</t>
        </r>
        <r>
          <rPr>
            <sz val="9"/>
            <color indexed="81"/>
            <rFont val="Tahoma"/>
            <family val="2"/>
          </rPr>
          <t>A summary of our solutions’ characteristics, including the content, product technology, time to market, and total forecasted revenue.  Benchmarks this year’s offering versus the previous year’s industry average.</t>
        </r>
      </text>
    </comment>
    <comment ref="K23" authorId="0">
      <text>
        <r>
          <rPr>
            <b/>
            <sz val="9"/>
            <color indexed="81"/>
            <rFont val="Tahoma"/>
            <family val="2"/>
          </rPr>
          <t xml:space="preserve">Income Statement Summary: 
</t>
        </r>
        <r>
          <rPr>
            <sz val="9"/>
            <color indexed="81"/>
            <rFont val="Tahoma"/>
            <family val="2"/>
          </rPr>
          <t xml:space="preserve">Taking into account our forecasted revenues and costs within Growth/Transform, our forecasted EBITDA (earnings before interest, taxes, depreciation, and amortization) and operating margin percentages.  Shows our forecasted margins for this year and compares them to our actual margins from the previous year.
</t>
        </r>
      </text>
    </comment>
    <comment ref="C29" authorId="0">
      <text>
        <r>
          <rPr>
            <b/>
            <sz val="9"/>
            <color indexed="81"/>
            <rFont val="Tahoma"/>
            <family val="2"/>
          </rPr>
          <t xml:space="preserve">Resource Allocation: 
</t>
        </r>
        <r>
          <rPr>
            <sz val="9"/>
            <color indexed="81"/>
            <rFont val="Tahoma"/>
            <family val="2"/>
          </rPr>
          <t xml:space="preserve">The amount of FTEs we are allocating towards Growth/Transform.
</t>
        </r>
      </text>
    </comment>
  </commentList>
</comments>
</file>

<file path=xl/comments5.xml><?xml version="1.0" encoding="utf-8"?>
<comments xmlns="http://schemas.openxmlformats.org/spreadsheetml/2006/main">
  <authors>
    <author>edward.kellogg</author>
  </authors>
  <commentList>
    <comment ref="E7" authorId="0">
      <text>
        <r>
          <rPr>
            <b/>
            <sz val="9"/>
            <color indexed="81"/>
            <rFont val="Tahoma"/>
            <family val="2"/>
          </rPr>
          <t xml:space="preserve">Growth: 
</t>
        </r>
        <r>
          <rPr>
            <sz val="9"/>
            <color indexed="81"/>
            <rFont val="Tahoma"/>
            <family val="2"/>
          </rPr>
          <t xml:space="preserve">The Growth businesses focus on value-added solutions, which include content and a user experience that a customer is willing to pay a premium for and that is not available in the public domain. There are more implementation services in the growth business.
</t>
        </r>
      </text>
    </comment>
    <comment ref="G7" authorId="0">
      <text>
        <r>
          <rPr>
            <b/>
            <sz val="9"/>
            <color indexed="81"/>
            <rFont val="Tahoma"/>
            <family val="2"/>
          </rPr>
          <t xml:space="preserve">Transform: 
</t>
        </r>
        <r>
          <rPr>
            <sz val="9"/>
            <color indexed="81"/>
            <rFont val="Tahoma"/>
            <family val="2"/>
          </rPr>
          <t xml:space="preserve">The Transform business unit achieves slower growth, and great content is expected by customers.  As a result, the technology, desktop integration, content delivery, and analytics are differentiators in this market.  These businesses need to be transformed through both delivery methods and technology improvements to remain competitive in the future.
</t>
        </r>
      </text>
    </comment>
    <comment ref="J7" authorId="0">
      <text>
        <r>
          <rPr>
            <b/>
            <sz val="9"/>
            <color indexed="81"/>
            <rFont val="Tahoma"/>
            <family val="2"/>
          </rPr>
          <t xml:space="preserve">Resources Required for Product Technology: 
</t>
        </r>
        <r>
          <rPr>
            <sz val="9"/>
            <color indexed="81"/>
            <rFont val="Tahoma"/>
            <family val="2"/>
          </rPr>
          <t xml:space="preserve">The amount of FTEs we are allocating towards our products to enhance the product technology.  Benchmarks this year’s allocation against last year’s allocation.
</t>
        </r>
      </text>
    </comment>
    <comment ref="C9" authorId="0">
      <text>
        <r>
          <rPr>
            <b/>
            <sz val="9"/>
            <color indexed="81"/>
            <rFont val="Tahoma"/>
            <family val="2"/>
          </rPr>
          <t xml:space="preserve">Product Technology: 
</t>
        </r>
        <r>
          <rPr>
            <sz val="9"/>
            <color indexed="81"/>
            <rFont val="Tahoma"/>
            <family val="2"/>
          </rPr>
          <t xml:space="preserve">The incremental build we want to make to our product’s technology.  Product technology improvements incorporate any technological enhancements (such as to the software and user interface) as well as workflow improvements (yielding greater resilience and robustness). 
</t>
        </r>
      </text>
    </comment>
    <comment ref="C11" authorId="0">
      <text>
        <r>
          <rPr>
            <b/>
            <sz val="9"/>
            <color indexed="81"/>
            <rFont val="Tahoma"/>
            <family val="2"/>
          </rPr>
          <t xml:space="preserve">Ending Product Technology Level: 
</t>
        </r>
        <r>
          <rPr>
            <sz val="9"/>
            <color indexed="81"/>
            <rFont val="Tahoma"/>
            <family val="2"/>
          </rPr>
          <t xml:space="preserve">The ending product technology level.  This value is cumulative; we will start our next year with this product technology level and will continue to build upon it as we continue to invest.
</t>
        </r>
      </text>
    </comment>
    <comment ref="C13" authorId="0">
      <text>
        <r>
          <rPr>
            <b/>
            <sz val="9"/>
            <color indexed="81"/>
            <rFont val="Tahoma"/>
            <family val="2"/>
          </rPr>
          <t xml:space="preserve">FTEs Required: 
</t>
        </r>
        <r>
          <rPr>
            <sz val="9"/>
            <color indexed="81"/>
            <rFont val="Tahoma"/>
            <family val="2"/>
          </rPr>
          <t xml:space="preserve">The required amount of FTEs IIC will allocate towards enhancing the product’s technology level.
</t>
        </r>
      </text>
    </comment>
    <comment ref="C15" authorId="0">
      <text>
        <r>
          <rPr>
            <b/>
            <sz val="9"/>
            <color indexed="81"/>
            <rFont val="Tahoma"/>
            <family val="2"/>
          </rPr>
          <t xml:space="preserve">TTM Internal FTEs: 
</t>
        </r>
        <r>
          <rPr>
            <sz val="9"/>
            <color indexed="81"/>
            <rFont val="Tahoma"/>
            <family val="2"/>
          </rPr>
          <t xml:space="preserve">The amount of additional internal full time equivalents IIC will allocate towards speeding up our products’ time to market. 
</t>
        </r>
      </text>
    </comment>
    <comment ref="C17" authorId="0">
      <text>
        <r>
          <rPr>
            <b/>
            <sz val="9"/>
            <color indexed="81"/>
            <rFont val="Tahoma"/>
            <family val="2"/>
          </rPr>
          <t xml:space="preserve">TTM Contractor FTEs: 
</t>
        </r>
        <r>
          <rPr>
            <sz val="9"/>
            <color indexed="81"/>
            <rFont val="Tahoma"/>
            <family val="2"/>
          </rPr>
          <t xml:space="preserve">The amount of external full time equivalents we want to allocate towards speeding up our products’ time to market. The contractor FTEs we hire are unlimited, but carry costs.
</t>
        </r>
      </text>
    </comment>
    <comment ref="C19" authorId="0">
      <text>
        <r>
          <rPr>
            <b/>
            <sz val="9"/>
            <color indexed="81"/>
            <rFont val="Tahoma"/>
            <family val="2"/>
          </rPr>
          <t xml:space="preserve">Time to Market: </t>
        </r>
        <r>
          <rPr>
            <sz val="9"/>
            <color indexed="81"/>
            <rFont val="Tahoma"/>
            <family val="2"/>
          </rPr>
          <t xml:space="preserve">The date we will release our product into the marketplace.  The time to market is influenced by the investments we make in enhancing our product’s technology and the FTEs we allocate towards expediting the release date.
</t>
        </r>
      </text>
    </comment>
    <comment ref="C21" authorId="0">
      <text>
        <r>
          <rPr>
            <b/>
            <sz val="9"/>
            <color indexed="81"/>
            <rFont val="Tahoma"/>
            <family val="2"/>
          </rPr>
          <t xml:space="preserve">Development Cost: 
</t>
        </r>
        <r>
          <rPr>
            <sz val="9"/>
            <color indexed="81"/>
            <rFont val="Tahoma"/>
            <family val="2"/>
          </rPr>
          <t xml:space="preserve">The costs incurred to develop the product’s technology.  The cost is influenced by the enhancements to the product technology and the FTEs hired.
</t>
        </r>
      </text>
    </comment>
    <comment ref="C26" authorId="0">
      <text>
        <r>
          <rPr>
            <b/>
            <sz val="9"/>
            <color indexed="81"/>
            <rFont val="Tahoma"/>
            <family val="2"/>
          </rPr>
          <t xml:space="preserve">Value Proposition: 
</t>
        </r>
        <r>
          <rPr>
            <sz val="9"/>
            <color indexed="81"/>
            <rFont val="Tahoma"/>
            <family val="2"/>
          </rPr>
          <t xml:space="preserve">A summary of our products’ technologies comparing this year to the previous year.  Also highlights our customer’s forecasted satisfaction. 
</t>
        </r>
      </text>
    </comment>
    <comment ref="J26" authorId="0">
      <text>
        <r>
          <rPr>
            <b/>
            <sz val="9"/>
            <color indexed="81"/>
            <rFont val="Tahoma"/>
            <family val="2"/>
          </rPr>
          <t xml:space="preserve">Expected Launch Date: 
</t>
        </r>
        <r>
          <rPr>
            <sz val="9"/>
            <color indexed="81"/>
            <rFont val="Tahoma"/>
            <family val="2"/>
          </rPr>
          <t xml:space="preserve">The date we will release our Growth and Transform products.
</t>
        </r>
      </text>
    </comment>
  </commentList>
</comments>
</file>

<file path=xl/comments6.xml><?xml version="1.0" encoding="utf-8"?>
<comments xmlns="http://schemas.openxmlformats.org/spreadsheetml/2006/main">
  <authors>
    <author>edward.kellogg</author>
  </authors>
  <commentList>
    <comment ref="C7" authorId="0">
      <text>
        <r>
          <rPr>
            <b/>
            <sz val="9"/>
            <color indexed="81"/>
            <rFont val="Tahoma"/>
            <family val="2"/>
          </rPr>
          <t xml:space="preserve">Content Development: 
</t>
        </r>
        <r>
          <rPr>
            <sz val="9"/>
            <color indexed="81"/>
            <rFont val="Tahoma"/>
            <family val="2"/>
          </rPr>
          <t xml:space="preserve">Content is the information, news, and value-added insights that IIC provides its customers. 
</t>
        </r>
      </text>
    </comment>
    <comment ref="C8" authorId="0">
      <text>
        <r>
          <rPr>
            <b/>
            <sz val="9"/>
            <color indexed="81"/>
            <rFont val="Tahoma"/>
            <family val="2"/>
          </rPr>
          <t xml:space="preserve">Content Level: 
</t>
        </r>
        <r>
          <rPr>
            <sz val="9"/>
            <color indexed="81"/>
            <rFont val="Tahoma"/>
            <family val="2"/>
          </rPr>
          <t xml:space="preserve">The incremental build we want to make to our content offering.  The improvements to our content will focus on expanding the breadth and depth of the content that IIC provides. Improvements will also strengthen IIC’s editorial content. 
</t>
        </r>
      </text>
    </comment>
    <comment ref="C10" authorId="0">
      <text>
        <r>
          <rPr>
            <b/>
            <sz val="9"/>
            <color indexed="81"/>
            <rFont val="Tahoma"/>
            <family val="2"/>
          </rPr>
          <t>Ending Content Level:</t>
        </r>
        <r>
          <rPr>
            <sz val="9"/>
            <color indexed="81"/>
            <rFont val="Tahoma"/>
            <family val="2"/>
          </rPr>
          <t xml:space="preserve"> 
The ending content level.  This value is cumulative; we will start our next year with this content level and will continue to build upon it.</t>
        </r>
      </text>
    </comment>
    <comment ref="C12" authorId="0">
      <text>
        <r>
          <rPr>
            <b/>
            <sz val="9"/>
            <color indexed="81"/>
            <rFont val="Tahoma"/>
            <family val="2"/>
          </rPr>
          <t>Development Method:</t>
        </r>
        <r>
          <rPr>
            <sz val="9"/>
            <color indexed="81"/>
            <rFont val="Tahoma"/>
            <family val="2"/>
          </rPr>
          <t xml:space="preserve"> 
Whether IIC will develop its content by using internal editors or outsourcing the content to third party editors.  
</t>
        </r>
      </text>
    </comment>
    <comment ref="C15" authorId="0">
      <text>
        <r>
          <rPr>
            <b/>
            <sz val="9"/>
            <color indexed="81"/>
            <rFont val="Tahoma"/>
            <family val="2"/>
          </rPr>
          <t xml:space="preserve">FTEs Required: 
</t>
        </r>
        <r>
          <rPr>
            <sz val="9"/>
            <color indexed="81"/>
            <rFont val="Tahoma"/>
            <family val="2"/>
          </rPr>
          <t xml:space="preserve">The required amount of FTEs IIC will allocate towards enhancing the content level.
</t>
        </r>
      </text>
    </comment>
    <comment ref="C17" authorId="0">
      <text>
        <r>
          <rPr>
            <b/>
            <sz val="9"/>
            <color indexed="81"/>
            <rFont val="Tahoma"/>
            <family val="2"/>
          </rPr>
          <t xml:space="preserve">Internal Cost: 
</t>
        </r>
        <r>
          <rPr>
            <sz val="9"/>
            <color indexed="81"/>
            <rFont val="Tahoma"/>
            <family val="2"/>
          </rPr>
          <t xml:space="preserve">The cost to develop the content internally based upon the development method and the content enhancement over the year. 
</t>
        </r>
      </text>
    </comment>
    <comment ref="C19" authorId="0">
      <text>
        <r>
          <rPr>
            <b/>
            <sz val="9"/>
            <color indexed="81"/>
            <rFont val="Tahoma"/>
            <family val="2"/>
          </rPr>
          <t>Royalties:</t>
        </r>
        <r>
          <rPr>
            <sz val="9"/>
            <color indexed="81"/>
            <rFont val="Tahoma"/>
            <family val="2"/>
          </rPr>
          <t xml:space="preserve"> 
The cost to outsource the content development based upon the third party focus and the content enhancement over the year.
</t>
        </r>
      </text>
    </comment>
  </commentList>
</comments>
</file>

<file path=xl/comments7.xml><?xml version="1.0" encoding="utf-8"?>
<comments xmlns="http://schemas.openxmlformats.org/spreadsheetml/2006/main">
  <authors>
    <author>edward.kellogg</author>
  </authors>
  <commentList>
    <comment ref="C9" authorId="0">
      <text>
        <r>
          <rPr>
            <b/>
            <sz val="9"/>
            <color indexed="81"/>
            <rFont val="Tahoma"/>
            <family val="2"/>
          </rPr>
          <t xml:space="preserve">Labor Resources (Recruit/Dismiss): 
</t>
        </r>
        <r>
          <rPr>
            <sz val="9"/>
            <color indexed="81"/>
            <rFont val="Tahoma"/>
            <family val="2"/>
          </rPr>
          <t xml:space="preserve">FTEs are a measurement of the productivity of the Labor you recruit or dismiss.  Each Labor resource has less than 100% productivity.  For example, if you wish to hire 100 FTEs, you will have to recruit more than 100 Labor resources.
</t>
        </r>
      </text>
    </comment>
    <comment ref="C11" authorId="0">
      <text>
        <r>
          <rPr>
            <b/>
            <sz val="9"/>
            <color indexed="81"/>
            <rFont val="Tahoma"/>
            <family val="2"/>
          </rPr>
          <t xml:space="preserve">Labor Resources Remaining: 
</t>
        </r>
        <r>
          <rPr>
            <sz val="9"/>
            <color indexed="81"/>
            <rFont val="Tahoma"/>
            <family val="2"/>
          </rPr>
          <t xml:space="preserve">The amount of Labor Resources remaining.  This number will be higher than your FTEs remaining, because FTEs are a measurement of your Labor Resources’ productivity. For example, if you wish to dismiss 100 FTEs, you will have to dismiss more than 100 Labor resources. 
</t>
        </r>
      </text>
    </comment>
    <comment ref="C12" authorId="0">
      <text>
        <r>
          <rPr>
            <b/>
            <sz val="9"/>
            <color indexed="81"/>
            <rFont val="Tahoma"/>
            <family val="2"/>
          </rPr>
          <t xml:space="preserve">FTE Utilization: 
</t>
        </r>
        <r>
          <rPr>
            <sz val="9"/>
            <color indexed="81"/>
            <rFont val="Tahoma"/>
            <family val="2"/>
          </rPr>
          <t xml:space="preserve">A percentage revealing how utilized our FTEs will be during the year given our forecasts.  If we are over- or under-utilized, there are various measures that we can take to have a more appropriately utilized workforce.  If you have no FTEs remaining, FTE utilization will be 100%.
</t>
        </r>
      </text>
    </comment>
    <comment ref="C14" authorId="0">
      <text>
        <r>
          <rPr>
            <b/>
            <sz val="9"/>
            <color indexed="81"/>
            <rFont val="Tahoma"/>
            <family val="2"/>
          </rPr>
          <t>Employee Training:</t>
        </r>
        <r>
          <rPr>
            <sz val="9"/>
            <color indexed="81"/>
            <rFont val="Tahoma"/>
            <family val="2"/>
          </rPr>
          <t xml:space="preserve"> 
The amount of training that IIC is providing to its workforce.  A greater emphasis on training will yield better customer service and a more dedicated staff. 
</t>
        </r>
      </text>
    </comment>
    <comment ref="C16" authorId="0">
      <text>
        <r>
          <rPr>
            <b/>
            <sz val="9"/>
            <color indexed="81"/>
            <rFont val="Tahoma"/>
            <family val="2"/>
          </rPr>
          <t xml:space="preserve">FTE Productivity: 
</t>
        </r>
        <r>
          <rPr>
            <sz val="9"/>
            <color indexed="81"/>
            <rFont val="Tahoma"/>
            <family val="2"/>
          </rPr>
          <t xml:space="preserve">How productive our FTEs are, a figure influenced by our employee training and various strategic initiatives.  If FTEs are more productive, IIC may require less headcount because we can do more with less.
</t>
        </r>
      </text>
    </comment>
    <comment ref="C18" authorId="0">
      <text>
        <r>
          <rPr>
            <b/>
            <sz val="9"/>
            <color indexed="81"/>
            <rFont val="Tahoma"/>
            <family val="2"/>
          </rPr>
          <t xml:space="preserve">FTEs Required for Training: 
</t>
        </r>
        <r>
          <rPr>
            <sz val="9"/>
            <color indexed="81"/>
            <rFont val="Tahoma"/>
            <family val="2"/>
          </rPr>
          <t xml:space="preserve">The amount of FTEs required to develop employees based on the training IIC is offering for the year.
</t>
        </r>
      </text>
    </comment>
    <comment ref="C20" authorId="0">
      <text>
        <r>
          <rPr>
            <b/>
            <sz val="9"/>
            <color indexed="81"/>
            <rFont val="Tahoma"/>
            <family val="2"/>
          </rPr>
          <t xml:space="preserve">Sales Force Time Allocation: 
</t>
        </r>
        <r>
          <rPr>
            <sz val="9"/>
            <color indexed="81"/>
            <rFont val="Tahoma"/>
            <family val="2"/>
          </rPr>
          <t xml:space="preserve">How IIC will decide to allocate its sales force time: whether the team will focus on acquiring new accounts or maintaining existing accounts. </t>
        </r>
      </text>
    </comment>
    <comment ref="C22" authorId="0">
      <text>
        <r>
          <rPr>
            <b/>
            <sz val="9"/>
            <color indexed="81"/>
            <rFont val="Tahoma"/>
            <family val="2"/>
          </rPr>
          <t xml:space="preserve">New Accounts: 
</t>
        </r>
        <r>
          <rPr>
            <sz val="9"/>
            <color indexed="81"/>
            <rFont val="Tahoma"/>
            <family val="2"/>
          </rPr>
          <t xml:space="preserve">The percent of time spent on growing new accounts.  A greater focus on new accounts will yield higher service revenue as new customers need implementation services.
</t>
        </r>
      </text>
    </comment>
    <comment ref="C24" authorId="0">
      <text>
        <r>
          <rPr>
            <b/>
            <sz val="9"/>
            <color indexed="81"/>
            <rFont val="Tahoma"/>
            <family val="2"/>
          </rPr>
          <t xml:space="preserve">Existing Accounts: 
</t>
        </r>
        <r>
          <rPr>
            <sz val="9"/>
            <color indexed="81"/>
            <rFont val="Tahoma"/>
            <family val="2"/>
          </rPr>
          <t xml:space="preserve">The percent of time spent on maintaining existing accounts. A greater focus on existing accounts will lower the customer cancellation rate.
</t>
        </r>
      </text>
    </comment>
    <comment ref="C30" authorId="0">
      <text>
        <r>
          <rPr>
            <b/>
            <sz val="9"/>
            <color indexed="81"/>
            <rFont val="Tahoma"/>
            <family val="2"/>
          </rPr>
          <t xml:space="preserve">FTE Resources: 
</t>
        </r>
        <r>
          <rPr>
            <sz val="9"/>
            <color indexed="81"/>
            <rFont val="Tahoma"/>
            <family val="2"/>
          </rPr>
          <t xml:space="preserve">A summary of IIC’s resources and FTEs over the year. 
</t>
        </r>
      </text>
    </comment>
    <comment ref="I30" authorId="0">
      <text>
        <r>
          <rPr>
            <b/>
            <sz val="9"/>
            <color indexed="81"/>
            <rFont val="Tahoma"/>
            <family val="2"/>
          </rPr>
          <t xml:space="preserve">Sales Force Time Allocation: 
</t>
        </r>
        <r>
          <rPr>
            <sz val="9"/>
            <color indexed="81"/>
            <rFont val="Tahoma"/>
            <family val="2"/>
          </rPr>
          <t xml:space="preserve">A chart measuring how IIC’s sales force will allocate its time over the year.  
</t>
        </r>
      </text>
    </comment>
    <comment ref="C38" authorId="0">
      <text>
        <r>
          <rPr>
            <b/>
            <sz val="9"/>
            <color indexed="81"/>
            <rFont val="Tahoma"/>
            <family val="2"/>
          </rPr>
          <t xml:space="preserve">Resource Allocation: 
</t>
        </r>
        <r>
          <rPr>
            <sz val="9"/>
            <color indexed="81"/>
            <rFont val="Tahoma"/>
            <family val="2"/>
          </rPr>
          <t>A summary of how IIC is allocating its resources across its different products, initiatives, and operations</t>
        </r>
        <r>
          <rPr>
            <b/>
            <sz val="9"/>
            <color indexed="81"/>
            <rFont val="Tahoma"/>
            <family val="2"/>
          </rPr>
          <t xml:space="preserve">. </t>
        </r>
      </text>
    </comment>
  </commentList>
</comments>
</file>

<file path=xl/comments8.xml><?xml version="1.0" encoding="utf-8"?>
<comments xmlns="http://schemas.openxmlformats.org/spreadsheetml/2006/main">
  <authors>
    <author>edward.kellogg</author>
  </authors>
  <commentList>
    <comment ref="C7" authorId="0">
      <text>
        <r>
          <rPr>
            <b/>
            <sz val="9"/>
            <color indexed="81"/>
            <rFont val="Tahoma"/>
            <family val="2"/>
          </rPr>
          <t xml:space="preserve">Global Growth &amp; Operations: 
</t>
        </r>
        <r>
          <rPr>
            <sz val="9"/>
            <color indexed="81"/>
            <rFont val="Tahoma"/>
            <family val="2"/>
          </rPr>
          <t xml:space="preserve">The GGO business works across our Growth and Transform markets, looking to expand our presence in emerging markets.  While selling Growth and Transform products and services, GGO revenue is recognized in the line item “Service and Other” on the income statement.
</t>
        </r>
      </text>
    </comment>
    <comment ref="C9" authorId="0">
      <text>
        <r>
          <rPr>
            <b/>
            <sz val="9"/>
            <color indexed="81"/>
            <rFont val="Tahoma"/>
            <family val="2"/>
          </rPr>
          <t xml:space="preserve">Global Access: 
</t>
        </r>
        <r>
          <rPr>
            <sz val="9"/>
            <color indexed="81"/>
            <rFont val="Tahoma"/>
            <family val="2"/>
          </rPr>
          <t xml:space="preserve">The incremental increase in global access will expand the number of regions that we cover and our presence within them, going deeper and more local in order to build out our coverage.
</t>
        </r>
      </text>
    </comment>
    <comment ref="I9" authorId="0">
      <text>
        <r>
          <rPr>
            <b/>
            <sz val="9"/>
            <color indexed="81"/>
            <rFont val="Tahoma"/>
            <family val="2"/>
          </rPr>
          <t xml:space="preserve">Sales Coverage: 
</t>
        </r>
        <r>
          <rPr>
            <sz val="9"/>
            <color indexed="81"/>
            <rFont val="Tahoma"/>
            <family val="2"/>
          </rPr>
          <t xml:space="preserve">The in-year sales coverage we want to provide in the global growth markets that IIC operates in.  The greater the sales coverage, the deeper and more local our presence will be in the markets that we cover.
</t>
        </r>
      </text>
    </comment>
    <comment ref="C11" authorId="0">
      <text>
        <r>
          <rPr>
            <b/>
            <sz val="9"/>
            <color indexed="81"/>
            <rFont val="Tahoma"/>
            <family val="2"/>
          </rPr>
          <t xml:space="preserve">Total Regions Covered: 
</t>
        </r>
        <r>
          <rPr>
            <sz val="9"/>
            <color indexed="81"/>
            <rFont val="Tahoma"/>
            <family val="2"/>
          </rPr>
          <t>The number of regions covered based upon our starting year’s global access and the incremental build towards it.</t>
        </r>
      </text>
    </comment>
    <comment ref="I11" authorId="0">
      <text>
        <r>
          <rPr>
            <b/>
            <sz val="9"/>
            <color indexed="81"/>
            <rFont val="Tahoma"/>
            <family val="2"/>
          </rPr>
          <t xml:space="preserve">GGO Sales &amp; Marketing: 
</t>
        </r>
        <r>
          <rPr>
            <sz val="9"/>
            <color indexed="81"/>
            <rFont val="Tahoma"/>
            <family val="2"/>
          </rPr>
          <t xml:space="preserve">The amount of spend IIC will allocate towards improving its presence in the growth economies.
</t>
        </r>
      </text>
    </comment>
    <comment ref="C13" authorId="0">
      <text>
        <r>
          <rPr>
            <b/>
            <sz val="9"/>
            <color indexed="81"/>
            <rFont val="Tahoma"/>
            <family val="2"/>
          </rPr>
          <t xml:space="preserve">FTEs Required: 
</t>
        </r>
        <r>
          <rPr>
            <sz val="9"/>
            <color indexed="81"/>
            <rFont val="Tahoma"/>
            <family val="2"/>
          </rPr>
          <t xml:space="preserve">The required amount of FTEs IIC will allocate towards enhancing its global access coverage.
</t>
        </r>
      </text>
    </comment>
    <comment ref="I13" authorId="0">
      <text>
        <r>
          <rPr>
            <b/>
            <sz val="9"/>
            <color indexed="81"/>
            <rFont val="Tahoma"/>
            <family val="2"/>
          </rPr>
          <t xml:space="preserve">FTEs Required: 
</t>
        </r>
        <r>
          <rPr>
            <sz val="9"/>
            <color indexed="81"/>
            <rFont val="Tahoma"/>
            <family val="2"/>
          </rPr>
          <t xml:space="preserve">The required amount of FTEs IIC will allocate towards enhancing our sales presence within the emerging markets.
</t>
        </r>
      </text>
    </comment>
    <comment ref="C15" authorId="0">
      <text>
        <r>
          <rPr>
            <b/>
            <sz val="9"/>
            <color indexed="81"/>
            <rFont val="Tahoma"/>
            <family val="2"/>
          </rPr>
          <t xml:space="preserve">Capital Expenditures: 
</t>
        </r>
        <r>
          <rPr>
            <sz val="9"/>
            <color indexed="81"/>
            <rFont val="Tahoma"/>
            <family val="2"/>
          </rPr>
          <t xml:space="preserve">The amount of capital expenditure that IIC will spend to expand to other regions.
</t>
        </r>
      </text>
    </comment>
    <comment ref="C18" authorId="0">
      <text>
        <r>
          <rPr>
            <b/>
            <sz val="9"/>
            <color indexed="81"/>
            <rFont val="Tahoma"/>
            <family val="2"/>
          </rPr>
          <t xml:space="preserve">Data Center: 
</t>
        </r>
        <r>
          <rPr>
            <sz val="9"/>
            <color indexed="81"/>
            <rFont val="Tahoma"/>
            <family val="2"/>
          </rPr>
          <t xml:space="preserve">How we choose to utilize our data centers and simplify our platforms. 
</t>
        </r>
      </text>
    </comment>
    <comment ref="I18" authorId="0">
      <text>
        <r>
          <rPr>
            <b/>
            <sz val="9"/>
            <color indexed="81"/>
            <rFont val="Tahoma"/>
            <family val="2"/>
          </rPr>
          <t xml:space="preserve">Data Center Utilization: 
</t>
        </r>
        <r>
          <rPr>
            <sz val="9"/>
            <color indexed="81"/>
            <rFont val="Tahoma"/>
            <family val="2"/>
          </rPr>
          <t xml:space="preserve">How utilized our data centers are on average.  A utilization of above 90% could lead to reliability issues during peak hours.
</t>
        </r>
      </text>
    </comment>
    <comment ref="C20" authorId="0">
      <text>
        <r>
          <rPr>
            <b/>
            <sz val="9"/>
            <color indexed="81"/>
            <rFont val="Tahoma"/>
            <family val="2"/>
          </rPr>
          <t>Beginning Data Centers:</t>
        </r>
        <r>
          <rPr>
            <sz val="9"/>
            <color indexed="81"/>
            <rFont val="Tahoma"/>
            <family val="2"/>
          </rPr>
          <t xml:space="preserve"> 
The number of data centers that IIC begins its year with based upon how much consolidation was achieved in the previous year.</t>
        </r>
      </text>
    </comment>
    <comment ref="C22" authorId="0">
      <text>
        <r>
          <rPr>
            <b/>
            <sz val="9"/>
            <color indexed="81"/>
            <rFont val="Tahoma"/>
            <family val="2"/>
          </rPr>
          <t xml:space="preserve">Consolidation: 
</t>
        </r>
        <r>
          <rPr>
            <sz val="9"/>
            <color indexed="81"/>
            <rFont val="Tahoma"/>
            <family val="2"/>
          </rPr>
          <t>The rate at which IIC will close its data centers.  If IIC closes data centers too quickly, it may risk having minor issues that affect the customer experience.</t>
        </r>
      </text>
    </comment>
    <comment ref="C25" authorId="0">
      <text>
        <r>
          <rPr>
            <b/>
            <sz val="9"/>
            <color indexed="81"/>
            <rFont val="Tahoma"/>
            <family val="2"/>
          </rPr>
          <t xml:space="preserve">Ending Data Centers: 
</t>
        </r>
        <r>
          <rPr>
            <sz val="9"/>
            <color indexed="81"/>
            <rFont val="Tahoma"/>
            <family val="2"/>
          </rPr>
          <t>The number of data centers that IIC will end the year with based upon its data centers at the beginning of the year and the pace at which it consolidates.</t>
        </r>
      </text>
    </comment>
    <comment ref="C27" authorId="0">
      <text>
        <r>
          <rPr>
            <b/>
            <sz val="9"/>
            <color indexed="81"/>
            <rFont val="Tahoma"/>
            <family val="2"/>
          </rPr>
          <t xml:space="preserve">FTEs Required: 
</t>
        </r>
        <r>
          <rPr>
            <sz val="9"/>
            <color indexed="81"/>
            <rFont val="Tahoma"/>
            <family val="2"/>
          </rPr>
          <t>The required amount of FTEs IIC will allocate towards enhancing the content level.</t>
        </r>
      </text>
    </comment>
    <comment ref="C29" authorId="0">
      <text>
        <r>
          <rPr>
            <b/>
            <sz val="9"/>
            <color indexed="81"/>
            <rFont val="Tahoma"/>
            <family val="2"/>
          </rPr>
          <t xml:space="preserve">Customer Satisfaction: 
</t>
        </r>
        <r>
          <rPr>
            <sz val="9"/>
            <color indexed="81"/>
            <rFont val="Tahoma"/>
            <family val="2"/>
          </rPr>
          <t>How satisfied IIC’s customers are with the service it provides.  Customer satisfaction will be driven by the experience we offer our customers, our prices, our products, and whether issues arise when customers use our products.</t>
        </r>
      </text>
    </comment>
    <comment ref="C35" authorId="0">
      <text>
        <r>
          <rPr>
            <b/>
            <sz val="9"/>
            <color indexed="81"/>
            <rFont val="Tahoma"/>
            <family val="2"/>
          </rPr>
          <t xml:space="preserve">Cost Drivers: 
</t>
        </r>
        <r>
          <rPr>
            <sz val="9"/>
            <color indexed="81"/>
            <rFont val="Tahoma"/>
            <family val="2"/>
          </rPr>
          <t>The various costs that IIC expects to incur over the year.</t>
        </r>
      </text>
    </comment>
  </commentList>
</comments>
</file>

<file path=xl/comments9.xml><?xml version="1.0" encoding="utf-8"?>
<comments xmlns="http://schemas.openxmlformats.org/spreadsheetml/2006/main">
  <authors>
    <author>edward.kellogg</author>
    <author>BTS Inc.</author>
  </authors>
  <commentList>
    <comment ref="D7" authorId="0">
      <text>
        <r>
          <rPr>
            <b/>
            <sz val="9"/>
            <color indexed="81"/>
            <rFont val="Tahoma"/>
            <family val="2"/>
          </rPr>
          <t xml:space="preserve">Marketing: 
</t>
        </r>
        <r>
          <rPr>
            <sz val="9"/>
            <color indexed="81"/>
            <rFont val="Tahoma"/>
            <family val="2"/>
          </rPr>
          <t xml:space="preserve">The amount of marketing spend that IIC will allocate in the year. 
</t>
        </r>
      </text>
    </comment>
    <comment ref="D9" authorId="0">
      <text>
        <r>
          <rPr>
            <b/>
            <sz val="9"/>
            <color indexed="81"/>
            <rFont val="Tahoma"/>
            <family val="2"/>
          </rPr>
          <t xml:space="preserve">% Change: 
</t>
        </r>
        <r>
          <rPr>
            <sz val="9"/>
            <color indexed="81"/>
            <rFont val="Tahoma"/>
            <family val="2"/>
          </rPr>
          <t xml:space="preserve">The year over year change in marketing spend.
</t>
        </r>
      </text>
    </comment>
    <comment ref="K10" authorId="1">
      <text>
        <r>
          <rPr>
            <b/>
            <sz val="8"/>
            <color indexed="81"/>
            <rFont val="Tahoma"/>
            <family val="2"/>
          </rPr>
          <t>TJO.: Checks to see if the program is Valid</t>
        </r>
      </text>
    </comment>
    <comment ref="L10" authorId="1">
      <text>
        <r>
          <rPr>
            <b/>
            <sz val="8"/>
            <color indexed="81"/>
            <rFont val="Tahoma"/>
            <family val="2"/>
          </rPr>
          <t xml:space="preserve">TJO: Checks to Make sure that program wasn't used in a previous Year
</t>
        </r>
        <r>
          <rPr>
            <sz val="8"/>
            <color indexed="81"/>
            <rFont val="Tahoma"/>
            <family val="2"/>
          </rPr>
          <t xml:space="preserve">
</t>
        </r>
      </text>
    </comment>
    <comment ref="M10" authorId="1">
      <text>
        <r>
          <rPr>
            <b/>
            <sz val="8"/>
            <color indexed="81"/>
            <rFont val="Tahoma"/>
            <family val="2"/>
          </rPr>
          <t>TJO: Checks To make sure that program wasn't Selected this year</t>
        </r>
        <r>
          <rPr>
            <sz val="8"/>
            <color indexed="81"/>
            <rFont val="Tahoma"/>
            <family val="2"/>
          </rPr>
          <t xml:space="preserve">
</t>
        </r>
      </text>
    </comment>
  </commentList>
</comments>
</file>

<file path=xl/comments10.xml><?xml version="1.0" encoding="utf-8"?>
<comments xmlns="http://schemas.openxmlformats.org/spreadsheetml/2006/main">
  <authors>
    <author>Daniel Bauman</author>
  </authors>
  <commentList>
    <comment ref="L100" authorId="0">
      <text>
        <r>
          <rPr>
            <b/>
            <sz val="9"/>
            <color indexed="81"/>
            <rFont val="Tahoma"/>
            <family val="2"/>
          </rPr>
          <t>Daniel Bauman:</t>
        </r>
        <r>
          <rPr>
            <sz val="9"/>
            <color indexed="81"/>
            <rFont val="Tahoma"/>
            <family val="2"/>
          </rPr>
          <t xml:space="preserve">
</t>
        </r>
      </text>
    </comment>
  </commentList>
</comments>
</file>

<file path=xl/comments11.xml><?xml version="1.0" encoding="utf-8"?>
<comments xmlns="http://schemas.openxmlformats.org/spreadsheetml/2006/main">
  <authors>
    <author>edward.kellogg</author>
  </authors>
  <commentList>
    <comment ref="E180" authorId="0">
      <text>
        <r>
          <rPr>
            <sz val="9"/>
            <color indexed="81"/>
            <rFont val="Tahoma"/>
            <family val="2"/>
          </rPr>
          <t>=ROUND(decContentLvl*paramContentFTEsPLvl*IF(decContentMethod=2,paramContentFTEsMethodAdj,1),0)</t>
        </r>
      </text>
    </comment>
    <comment ref="E362" authorId="0">
      <text>
        <r>
          <rPr>
            <b/>
            <sz val="9"/>
            <color indexed="81"/>
            <rFont val="Tahoma"/>
            <family val="2"/>
          </rPr>
          <t>=CHOOSE(xxYear+1,0.6,0.712,0.81,0.95)</t>
        </r>
        <r>
          <rPr>
            <sz val="9"/>
            <color indexed="81"/>
            <rFont val="Tahoma"/>
            <family val="2"/>
          </rPr>
          <t xml:space="preserve">
</t>
        </r>
      </text>
    </comment>
    <comment ref="E379" authorId="0">
      <text>
        <r>
          <rPr>
            <b/>
            <sz val="9"/>
            <color indexed="81"/>
            <rFont val="Tahoma"/>
            <family val="2"/>
          </rPr>
          <t>=CHOOSE(xxYear+1,0.6,0.712,0.81,0.95)</t>
        </r>
        <r>
          <rPr>
            <sz val="9"/>
            <color indexed="81"/>
            <rFont val="Tahoma"/>
            <family val="2"/>
          </rPr>
          <t xml:space="preserve">
</t>
        </r>
      </text>
    </comment>
    <comment ref="E396" authorId="0">
      <text>
        <r>
          <rPr>
            <sz val="9"/>
            <color indexed="81"/>
            <rFont val="Tahoma"/>
            <family val="2"/>
          </rPr>
          <t xml:space="preserve">
=IF(decContentMethod=1,0,decContentLvl/$D$357)</t>
        </r>
      </text>
    </comment>
    <comment ref="E403" authorId="0">
      <text>
        <r>
          <rPr>
            <sz val="9"/>
            <color indexed="81"/>
            <rFont val="Tahoma"/>
            <family val="2"/>
          </rPr>
          <t xml:space="preserve">
=IF(decContentMethod=1,0,decContentLvl/$D$357)</t>
        </r>
      </text>
    </comment>
  </commentList>
</comments>
</file>

<file path=xl/comments12.xml><?xml version="1.0" encoding="utf-8"?>
<comments xmlns="http://schemas.openxmlformats.org/spreadsheetml/2006/main">
  <authors>
    <author>edward.kellogg</author>
  </authors>
  <commentList>
    <comment ref="M14" authorId="0">
      <text>
        <r>
          <rPr>
            <sz val="9"/>
            <color indexed="81"/>
            <rFont val="Tahoma"/>
            <family val="2"/>
          </rPr>
          <t>=(NORMDIST(M14,$I15,$J15,TRUE))/$K15</t>
        </r>
      </text>
    </comment>
    <comment ref="M15" authorId="0">
      <text>
        <r>
          <rPr>
            <sz val="9"/>
            <color indexed="81"/>
            <rFont val="Tahoma"/>
            <family val="2"/>
          </rPr>
          <t xml:space="preserve">=(NORMDIST(M14,$I15,$J15,TRUE))/$K15
</t>
        </r>
      </text>
    </comment>
    <comment ref="M16" authorId="0">
      <text>
        <r>
          <rPr>
            <sz val="9"/>
            <color indexed="81"/>
            <rFont val="Tahoma"/>
            <family val="2"/>
          </rPr>
          <t>=(NORMDIST(M14,$I16,$J16,TRUE))/$K16</t>
        </r>
      </text>
    </comment>
    <comment ref="N16" authorId="0">
      <text>
        <r>
          <rPr>
            <sz val="9"/>
            <color indexed="81"/>
            <rFont val="Tahoma"/>
            <family val="2"/>
          </rPr>
          <t>=(NORMDIST(M14,$I16,$J16,TRUE))/$K16</t>
        </r>
      </text>
    </comment>
  </commentList>
</comments>
</file>

<file path=xl/comments13.xml><?xml version="1.0" encoding="utf-8"?>
<comments xmlns="http://schemas.openxmlformats.org/spreadsheetml/2006/main">
  <authors>
    <author>edward.kellogg</author>
  </authors>
  <commentList>
    <comment ref="D11" authorId="0">
      <text>
        <r>
          <rPr>
            <sz val="9"/>
            <color indexed="81"/>
            <rFont val="Tahoma"/>
            <family val="2"/>
          </rPr>
          <t>22</t>
        </r>
      </text>
    </comment>
    <comment ref="D31" authorId="0">
      <text>
        <r>
          <rPr>
            <sz val="9"/>
            <color indexed="81"/>
            <rFont val="Tahoma"/>
            <family val="2"/>
          </rPr>
          <t>18</t>
        </r>
      </text>
    </comment>
  </commentList>
</comments>
</file>

<file path=xl/comments14.xml><?xml version="1.0" encoding="utf-8"?>
<comments xmlns="http://schemas.openxmlformats.org/spreadsheetml/2006/main">
  <authors>
    <author>tjo</author>
  </authors>
  <commentList>
    <comment ref="D35" authorId="0">
      <text>
        <r>
          <rPr>
            <b/>
            <sz val="8"/>
            <color indexed="81"/>
            <rFont val="Tahoma"/>
            <family val="2"/>
          </rPr>
          <t>tjo:</t>
        </r>
        <r>
          <rPr>
            <sz val="8"/>
            <color indexed="81"/>
            <rFont val="Tahoma"/>
            <family val="2"/>
          </rPr>
          <t xml:space="preserve">
Increase to Lower Differences, Decrease to Increase Differences based on Driver
</t>
        </r>
      </text>
    </comment>
    <comment ref="H35" authorId="0">
      <text>
        <r>
          <rPr>
            <b/>
            <sz val="8"/>
            <color indexed="81"/>
            <rFont val="Tahoma"/>
            <family val="2"/>
          </rPr>
          <t>tjo:</t>
        </r>
        <r>
          <rPr>
            <sz val="8"/>
            <color indexed="81"/>
            <rFont val="Tahoma"/>
            <family val="2"/>
          </rPr>
          <t xml:space="preserve">
Mean Value for Normal Distribution. </t>
        </r>
      </text>
    </comment>
    <comment ref="D36" authorId="0">
      <text>
        <r>
          <rPr>
            <b/>
            <sz val="8"/>
            <color indexed="81"/>
            <rFont val="Tahoma"/>
            <family val="2"/>
          </rPr>
          <t>tjo:</t>
        </r>
        <r>
          <rPr>
            <sz val="8"/>
            <color indexed="81"/>
            <rFont val="Tahoma"/>
            <family val="2"/>
          </rPr>
          <t xml:space="preserve">
Standard Deviation Value for Normal Distribution. Calculated as a Percent of Mean
</t>
        </r>
      </text>
    </comment>
    <comment ref="D39" authorId="0">
      <text>
        <r>
          <rPr>
            <b/>
            <sz val="8"/>
            <color indexed="81"/>
            <rFont val="Tahoma"/>
            <family val="2"/>
          </rPr>
          <t>tjo:</t>
        </r>
        <r>
          <rPr>
            <sz val="8"/>
            <color indexed="81"/>
            <rFont val="Tahoma"/>
            <family val="2"/>
          </rPr>
          <t xml:space="preserve">
Increase to Lower Differences, Decrease to Increase Differences based on Driver
</t>
        </r>
      </text>
    </comment>
    <comment ref="D40" authorId="0">
      <text>
        <r>
          <rPr>
            <b/>
            <sz val="8"/>
            <color indexed="81"/>
            <rFont val="Tahoma"/>
            <family val="2"/>
          </rPr>
          <t>tjo:</t>
        </r>
        <r>
          <rPr>
            <sz val="8"/>
            <color indexed="81"/>
            <rFont val="Tahoma"/>
            <family val="2"/>
          </rPr>
          <t xml:space="preserve">
Standard Deviation Value for Normal Distribution. Calculated as a Percent of Mean
</t>
        </r>
      </text>
    </comment>
    <comment ref="D43" authorId="0">
      <text>
        <r>
          <rPr>
            <b/>
            <sz val="8"/>
            <color indexed="81"/>
            <rFont val="Tahoma"/>
            <family val="2"/>
          </rPr>
          <t>tjo:</t>
        </r>
        <r>
          <rPr>
            <sz val="8"/>
            <color indexed="81"/>
            <rFont val="Tahoma"/>
            <family val="2"/>
          </rPr>
          <t xml:space="preserve">
Increase to Lower Differences, Decrease to Increase Differences based on Driver
</t>
        </r>
      </text>
    </comment>
    <comment ref="D44" authorId="0">
      <text>
        <r>
          <rPr>
            <b/>
            <sz val="8"/>
            <color indexed="81"/>
            <rFont val="Tahoma"/>
            <family val="2"/>
          </rPr>
          <t>tjo:</t>
        </r>
        <r>
          <rPr>
            <sz val="8"/>
            <color indexed="81"/>
            <rFont val="Tahoma"/>
            <family val="2"/>
          </rPr>
          <t xml:space="preserve">
Standard Deviation Value for Normal Distribution. Calculated as a Percent of Mean
</t>
        </r>
      </text>
    </comment>
    <comment ref="D47" authorId="0">
      <text>
        <r>
          <rPr>
            <b/>
            <sz val="8"/>
            <color indexed="81"/>
            <rFont val="Tahoma"/>
            <family val="2"/>
          </rPr>
          <t>tjo:</t>
        </r>
        <r>
          <rPr>
            <sz val="8"/>
            <color indexed="81"/>
            <rFont val="Tahoma"/>
            <family val="2"/>
          </rPr>
          <t xml:space="preserve">
Increase to Lower Differences, Decrease to Increase Differences based on Driver
</t>
        </r>
      </text>
    </comment>
    <comment ref="D48" authorId="0">
      <text>
        <r>
          <rPr>
            <b/>
            <sz val="8"/>
            <color indexed="81"/>
            <rFont val="Tahoma"/>
            <family val="2"/>
          </rPr>
          <t>tjo:</t>
        </r>
        <r>
          <rPr>
            <sz val="8"/>
            <color indexed="81"/>
            <rFont val="Tahoma"/>
            <family val="2"/>
          </rPr>
          <t xml:space="preserve">
Standard Deviation Value for Normal Distribution. Calculated as a Percent of Mean
</t>
        </r>
      </text>
    </comment>
    <comment ref="D51" authorId="0">
      <text>
        <r>
          <rPr>
            <b/>
            <sz val="8"/>
            <color indexed="81"/>
            <rFont val="Tahoma"/>
            <family val="2"/>
          </rPr>
          <t>tjo:</t>
        </r>
        <r>
          <rPr>
            <sz val="8"/>
            <color indexed="81"/>
            <rFont val="Tahoma"/>
            <family val="2"/>
          </rPr>
          <t xml:space="preserve">
Increase to Lower Differences, Decrease to Increase Differences based on Driver
</t>
        </r>
      </text>
    </comment>
    <comment ref="D52" authorId="0">
      <text>
        <r>
          <rPr>
            <b/>
            <sz val="8"/>
            <color indexed="81"/>
            <rFont val="Tahoma"/>
            <family val="2"/>
          </rPr>
          <t>tjo:</t>
        </r>
        <r>
          <rPr>
            <sz val="8"/>
            <color indexed="81"/>
            <rFont val="Tahoma"/>
            <family val="2"/>
          </rPr>
          <t xml:space="preserve">
Standard Deviation Value for Normal Distribution. Calculated as a Percent of Mean
</t>
        </r>
      </text>
    </comment>
    <comment ref="D55" authorId="0">
      <text>
        <r>
          <rPr>
            <b/>
            <sz val="8"/>
            <color indexed="81"/>
            <rFont val="Tahoma"/>
            <family val="2"/>
          </rPr>
          <t>tjo:</t>
        </r>
        <r>
          <rPr>
            <sz val="8"/>
            <color indexed="81"/>
            <rFont val="Tahoma"/>
            <family val="2"/>
          </rPr>
          <t xml:space="preserve">
Increase to Lower Differences, Decrease to Increase Differences based on Driver
</t>
        </r>
      </text>
    </comment>
    <comment ref="D56" authorId="0">
      <text>
        <r>
          <rPr>
            <b/>
            <sz val="8"/>
            <color indexed="81"/>
            <rFont val="Tahoma"/>
            <family val="2"/>
          </rPr>
          <t>tjo:</t>
        </r>
        <r>
          <rPr>
            <sz val="8"/>
            <color indexed="81"/>
            <rFont val="Tahoma"/>
            <family val="2"/>
          </rPr>
          <t xml:space="preserve">
Standard Deviation Value for Normal Distribution. Calculated as a Percent of Mean
</t>
        </r>
      </text>
    </comment>
    <comment ref="D59" authorId="0">
      <text>
        <r>
          <rPr>
            <b/>
            <sz val="8"/>
            <color indexed="81"/>
            <rFont val="Tahoma"/>
            <family val="2"/>
          </rPr>
          <t>tjo:</t>
        </r>
        <r>
          <rPr>
            <sz val="8"/>
            <color indexed="81"/>
            <rFont val="Tahoma"/>
            <family val="2"/>
          </rPr>
          <t xml:space="preserve">
Increase to Lower Differences, Decrease to Increase Differences based on Driver
</t>
        </r>
      </text>
    </comment>
    <comment ref="D60" authorId="0">
      <text>
        <r>
          <rPr>
            <b/>
            <sz val="8"/>
            <color indexed="81"/>
            <rFont val="Tahoma"/>
            <family val="2"/>
          </rPr>
          <t>tjo:</t>
        </r>
        <r>
          <rPr>
            <sz val="8"/>
            <color indexed="81"/>
            <rFont val="Tahoma"/>
            <family val="2"/>
          </rPr>
          <t xml:space="preserve">
Standard Deviation Value for Normal Distribution. Calculated as a Percent of Mean
</t>
        </r>
      </text>
    </comment>
    <comment ref="D63" authorId="0">
      <text>
        <r>
          <rPr>
            <b/>
            <sz val="8"/>
            <color indexed="81"/>
            <rFont val="Tahoma"/>
            <family val="2"/>
          </rPr>
          <t>tjo:</t>
        </r>
        <r>
          <rPr>
            <sz val="8"/>
            <color indexed="81"/>
            <rFont val="Tahoma"/>
            <family val="2"/>
          </rPr>
          <t xml:space="preserve">
Increase to Lower Differences, Decrease to Increase Differences based on Driver
</t>
        </r>
      </text>
    </comment>
    <comment ref="D64" authorId="0">
      <text>
        <r>
          <rPr>
            <b/>
            <sz val="8"/>
            <color indexed="81"/>
            <rFont val="Tahoma"/>
            <family val="2"/>
          </rPr>
          <t>tjo:</t>
        </r>
        <r>
          <rPr>
            <sz val="8"/>
            <color indexed="81"/>
            <rFont val="Tahoma"/>
            <family val="2"/>
          </rPr>
          <t xml:space="preserve">
Standard Deviation Value for Normal Distribution. Calculated as a Percent of Mean
</t>
        </r>
      </text>
    </comment>
    <comment ref="D68" authorId="0">
      <text>
        <r>
          <rPr>
            <b/>
            <sz val="8"/>
            <color indexed="81"/>
            <rFont val="Tahoma"/>
            <family val="2"/>
          </rPr>
          <t>tjo:</t>
        </r>
        <r>
          <rPr>
            <sz val="8"/>
            <color indexed="81"/>
            <rFont val="Tahoma"/>
            <family val="2"/>
          </rPr>
          <t xml:space="preserve">
Standard Deviation Value for Normal Distribution. Calculated as a Percent of Mean
</t>
        </r>
      </text>
    </comment>
    <comment ref="D72" authorId="0">
      <text>
        <r>
          <rPr>
            <b/>
            <sz val="8"/>
            <color indexed="81"/>
            <rFont val="Tahoma"/>
            <family val="2"/>
          </rPr>
          <t>tjo:</t>
        </r>
        <r>
          <rPr>
            <sz val="8"/>
            <color indexed="81"/>
            <rFont val="Tahoma"/>
            <family val="2"/>
          </rPr>
          <t xml:space="preserve">
Standard Deviation Value for Normal Distribution. Calculated as a Percent of Mean
</t>
        </r>
      </text>
    </comment>
  </commentList>
</comments>
</file>

<file path=xl/sharedStrings.xml><?xml version="1.0" encoding="utf-8"?>
<sst xmlns="http://schemas.openxmlformats.org/spreadsheetml/2006/main" count="10285" uniqueCount="5580">
  <si>
    <t>Special Programs Expense Splits</t>
  </si>
  <si>
    <t>Prod6</t>
  </si>
  <si>
    <t>Employee 9</t>
  </si>
  <si>
    <t>Employee 10</t>
  </si>
  <si>
    <t>capPlant1Prod1Utilization</t>
  </si>
  <si>
    <t>capPlant1Prod2Utilization</t>
  </si>
  <si>
    <t>Fixed Expense Per Product</t>
  </si>
  <si>
    <t>capPlant1Prod1FixedExp</t>
  </si>
  <si>
    <t>capPlant1Prod2FixedExp</t>
  </si>
  <si>
    <t>paramSpecProgProd1Exp</t>
  </si>
  <si>
    <t>Earnings Before Tax</t>
  </si>
  <si>
    <t>Program Owner</t>
  </si>
  <si>
    <t>Simulation Developer</t>
  </si>
  <si>
    <t>Enter Name of Program Owner</t>
  </si>
  <si>
    <t>&amp;Print Analysis</t>
  </si>
  <si>
    <t>xxMMProd2Driver5</t>
  </si>
  <si>
    <t>xxMMProd2Driver6</t>
  </si>
  <si>
    <t>xxMMProd2Driver7</t>
  </si>
  <si>
    <t>xxMMProd2Driver8</t>
  </si>
  <si>
    <t>Brand</t>
  </si>
  <si>
    <t>Infra Sales</t>
  </si>
  <si>
    <t>Market Drivers</t>
  </si>
  <si>
    <t>Manual Adjustment (%)</t>
  </si>
  <si>
    <t>MMSegCurrent</t>
  </si>
  <si>
    <t>MMSegCount</t>
  </si>
  <si>
    <t>MMShareCopy</t>
  </si>
  <si>
    <t>MMSegSummary</t>
  </si>
  <si>
    <t>MMSharePaste</t>
  </si>
  <si>
    <t>MMTotalUnits</t>
  </si>
  <si>
    <t>MMInMarket</t>
  </si>
  <si>
    <t>MMExplainPasteSeg1</t>
  </si>
  <si>
    <t>tlOutputmmVOCProd1Driver1Rank</t>
  </si>
  <si>
    <t>tlOutputProd1Driver1Name</t>
  </si>
  <si>
    <t>Link these to top</t>
  </si>
  <si>
    <t>tlOutputProd2Driver1Name</t>
  </si>
  <si>
    <t>tlOutputProd3Driver1Name</t>
  </si>
  <si>
    <t>tlOutputProd4Driver1Name</t>
  </si>
  <si>
    <t>tlOutputProd5Driver1Name</t>
  </si>
  <si>
    <t>tlOutputProd1Driver2Name</t>
  </si>
  <si>
    <t>tlOutputProd1Driver3Name</t>
  </si>
  <si>
    <t>tlOutputProd6Driver3Name</t>
  </si>
  <si>
    <t>paramCSATAdj</t>
  </si>
  <si>
    <t>cbalEmp1</t>
  </si>
  <si>
    <t>cbalEmp2</t>
  </si>
  <si>
    <t>ESAT Adjustment</t>
  </si>
  <si>
    <t>paramESATAdj</t>
  </si>
  <si>
    <t>obalESAT</t>
  </si>
  <si>
    <t>cbalESAT</t>
  </si>
  <si>
    <t>Score Driver 10</t>
  </si>
  <si>
    <t>Driver Effect</t>
  </si>
  <si>
    <t>Total Effect</t>
  </si>
  <si>
    <t>Calculated Value</t>
  </si>
  <si>
    <t>Score Driver 1</t>
  </si>
  <si>
    <t>Score Driver 2</t>
  </si>
  <si>
    <t>Score Driver 3</t>
  </si>
  <si>
    <t>Score Driver 4</t>
  </si>
  <si>
    <t>Score Driver 5</t>
  </si>
  <si>
    <t>Score Driver 6</t>
  </si>
  <si>
    <t>Score Driver 7</t>
  </si>
  <si>
    <t>Segment Size</t>
  </si>
  <si>
    <t>Rank</t>
  </si>
  <si>
    <t>Placement of Units</t>
  </si>
  <si>
    <t>Units In Demand</t>
  </si>
  <si>
    <t>Units Available</t>
  </si>
  <si>
    <t>Inventory (- missed sales)</t>
  </si>
  <si>
    <t>Flag for missed sales</t>
  </si>
  <si>
    <t>Share for Missed Sales</t>
  </si>
  <si>
    <t>Placed due to missed sales</t>
  </si>
  <si>
    <t>Manual Adjustment (Units)</t>
  </si>
  <si>
    <t>To Inventory (Missed Sales)</t>
  </si>
  <si>
    <t>Ending Share</t>
  </si>
  <si>
    <t>Compared to Actual Market Share</t>
  </si>
  <si>
    <t xml:space="preserve">Adjust to </t>
  </si>
  <si>
    <t>Difference</t>
  </si>
  <si>
    <t>Units Placed Per Segment</t>
  </si>
  <si>
    <t>Total Units</t>
  </si>
  <si>
    <t>Ending Market Share Actual</t>
  </si>
  <si>
    <t>Check</t>
  </si>
  <si>
    <t>Satisfaction Calculations</t>
  </si>
  <si>
    <t>Revenue Performance</t>
  </si>
  <si>
    <t>Profit Performance</t>
  </si>
  <si>
    <t>Revenue CAGR</t>
  </si>
  <si>
    <t>finCAGR</t>
  </si>
  <si>
    <t>Year 0 CAGR</t>
  </si>
  <si>
    <t>Year 0 Profitability</t>
  </si>
  <si>
    <t>cbalCAGRY0</t>
  </si>
  <si>
    <t>cbalProfitMarginY0</t>
  </si>
  <si>
    <t>obalCAGRY0</t>
  </si>
  <si>
    <t>obalProfitMarginY0</t>
  </si>
  <si>
    <t>4A</t>
  </si>
  <si>
    <t>4B</t>
  </si>
  <si>
    <t>5A</t>
  </si>
  <si>
    <t>5B</t>
  </si>
  <si>
    <t>6A</t>
  </si>
  <si>
    <t>6B</t>
  </si>
  <si>
    <t>7A</t>
  </si>
  <si>
    <t>7B</t>
  </si>
  <si>
    <t>8A</t>
  </si>
  <si>
    <t>9A</t>
  </si>
  <si>
    <t>9B</t>
  </si>
  <si>
    <t>Employee Satisfaction</t>
  </si>
  <si>
    <t>Year 1</t>
  </si>
  <si>
    <t>Year 2</t>
  </si>
  <si>
    <t>Year 3</t>
  </si>
  <si>
    <t>Validation</t>
  </si>
  <si>
    <t>Inc(+)/dec(-) in Equity</t>
  </si>
  <si>
    <t>tlOutputxxMMProd5Driver4</t>
  </si>
  <si>
    <t>tlOutputxxMMProd5Driver5</t>
  </si>
  <si>
    <t>tlInputmmProd1PctAdjust1-10</t>
  </si>
  <si>
    <t>tlInputmmProd1UnitAdjust1</t>
  </si>
  <si>
    <t>tlInputmmProd1UnitAdjust1-10</t>
  </si>
  <si>
    <t>tlInputmmProd2UnitAdjust1-10</t>
  </si>
  <si>
    <t>tlInputmmProd2PctAdjust1-10</t>
  </si>
  <si>
    <t>Time to Market</t>
  </si>
  <si>
    <t>paramAPDays</t>
  </si>
  <si>
    <t>tlOutputxxMMProd3Driver8</t>
  </si>
  <si>
    <t>tlOutputxxMMProd3Driver9</t>
  </si>
  <si>
    <t>tlOutputxxMMProd3Driver10</t>
  </si>
  <si>
    <t>tlOutputxxMMProd5Driver1</t>
  </si>
  <si>
    <t>tlOutputxxMMProd5Driver2</t>
  </si>
  <si>
    <t>xxMMProd6Seg1Units</t>
  </si>
  <si>
    <t>xxMMProd6Seg2Units</t>
  </si>
  <si>
    <t>xxMMProd6Seg3Units</t>
  </si>
  <si>
    <t>xxMMProd6Seg4Units</t>
  </si>
  <si>
    <t>xxMMProd6Seg5Units</t>
  </si>
  <si>
    <t>Market Model Prod6 Drivers</t>
  </si>
  <si>
    <t>finCashFlowARChange</t>
  </si>
  <si>
    <t>Loss on Sale of Units</t>
  </si>
  <si>
    <t>Invest Cost New Units</t>
  </si>
  <si>
    <t>Total Investment cost</t>
  </si>
  <si>
    <t>obalPlant1Units</t>
  </si>
  <si>
    <t>paramPlant1DivRevenue</t>
  </si>
  <si>
    <t>Accounts Payable Days</t>
  </si>
  <si>
    <t>Max</t>
  </si>
  <si>
    <t>MMExplainPasteSeg5</t>
  </si>
  <si>
    <t>Gross Margin Prod 1</t>
  </si>
  <si>
    <t>Operating Margin Prod 1</t>
  </si>
  <si>
    <t>fb0034OMProd1</t>
  </si>
  <si>
    <t>fb0034Revenues</t>
  </si>
  <si>
    <t>fb0034ROA</t>
  </si>
  <si>
    <t>fb0034Rank</t>
  </si>
  <si>
    <t>Forecasted Growth Rates</t>
  </si>
  <si>
    <t>Resource Allocation</t>
  </si>
  <si>
    <t>Services Personnel</t>
  </si>
  <si>
    <t>capProd2Emp1RecDismExp</t>
  </si>
  <si>
    <t>capProd2Emp1AdminExp</t>
  </si>
  <si>
    <t>paramEmp1FTECoefficient</t>
  </si>
  <si>
    <t>Engineers</t>
  </si>
  <si>
    <t>PEOPLE</t>
  </si>
  <si>
    <t>capEmp1Req</t>
  </si>
  <si>
    <t>capEmp1AdminExp</t>
  </si>
  <si>
    <t>if adjusted here</t>
  </si>
  <si>
    <t>Opening Balance of cash</t>
  </si>
  <si>
    <t>Cash from Operations</t>
  </si>
  <si>
    <t>Inc(-)/dec(+) in AR</t>
  </si>
  <si>
    <t>Consumer</t>
  </si>
  <si>
    <t>Consumer Consumables</t>
  </si>
  <si>
    <t>mmProd2AddMissed</t>
  </si>
  <si>
    <t>Market Share Booster</t>
  </si>
  <si>
    <t>datapageCompProd1ShareBoost</t>
  </si>
  <si>
    <t>datapageCompProd2ShareBoost</t>
  </si>
  <si>
    <t>TTM Calculations</t>
  </si>
  <si>
    <t>Closing TTM</t>
  </si>
  <si>
    <t>Base TTM</t>
  </si>
  <si>
    <t>paramProd1BaseTTM</t>
  </si>
  <si>
    <t>paramProd2BaseTTM</t>
  </si>
  <si>
    <t>capProd1TTM</t>
  </si>
  <si>
    <t>capProd2TTM</t>
  </si>
  <si>
    <t>tlOutputmmProd1ShareCopyUnits</t>
  </si>
  <si>
    <t>tlInputmmProd1SharePaste1</t>
  </si>
  <si>
    <t>tlInputmmProd1SharePaste2</t>
  </si>
  <si>
    <t>tlInputmmProd1SegPaste</t>
  </si>
  <si>
    <t>tlOutputmmProd1VolumeActual1</t>
  </si>
  <si>
    <t>tlOutputmmProd1ShareActual1</t>
  </si>
  <si>
    <t>HideColToolIntro</t>
  </si>
  <si>
    <t>HideRowtoolCashFlow</t>
  </si>
  <si>
    <t>HideColToolCashFlow</t>
  </si>
  <si>
    <t>datalistDiscountProd3</t>
  </si>
  <si>
    <t>datalistDiscountProd5</t>
  </si>
  <si>
    <t>datalistPriceProd4</t>
  </si>
  <si>
    <t>High</t>
  </si>
  <si>
    <t>Medium</t>
  </si>
  <si>
    <t>Low</t>
  </si>
  <si>
    <t>FTEs Required</t>
  </si>
  <si>
    <t>finPNLProd1SpecProgExp</t>
  </si>
  <si>
    <t>finPNLProd2SpecProgExp</t>
  </si>
  <si>
    <t>Total Operating Expenses</t>
  </si>
  <si>
    <t>tlOutputProd6Driver4Name</t>
  </si>
  <si>
    <t>tlOutputProd6Driver5Name</t>
  </si>
  <si>
    <t>tlOutputProd6Driver6Name</t>
  </si>
  <si>
    <t>tlOutputProd6Driver7Name</t>
  </si>
  <si>
    <t>tlOutputProd6Driver8Name</t>
  </si>
  <si>
    <t>tlOutputProd6Driver9Name</t>
  </si>
  <si>
    <t>tlOutputProd6Driver10Name</t>
  </si>
  <si>
    <t>tlOutputmmVOCProd1Driver2Rank</t>
  </si>
  <si>
    <t>Driver 10</t>
  </si>
  <si>
    <t>Design</t>
  </si>
  <si>
    <t>Alpha Segment 3</t>
  </si>
  <si>
    <t>Alpha Segment 4</t>
  </si>
  <si>
    <t>Alpha Segment 5</t>
  </si>
  <si>
    <t>finPNLProd2Rev</t>
  </si>
  <si>
    <t>tlOutputmmVOCProd2Driver4Rank</t>
  </si>
  <si>
    <t>tlOutputmmVOCProd2Driver5Rank</t>
  </si>
  <si>
    <t>tlOutputmmVOCProd2Driver6Rank</t>
  </si>
  <si>
    <t>tlOutputmmVOCProd2Driver7Rank</t>
  </si>
  <si>
    <t>tlOutputmmVOCProd2Driver8Rank</t>
  </si>
  <si>
    <t>tlOutputmmVOCProd2Driver9Rank</t>
  </si>
  <si>
    <t>tlOutputmmVOCProd2Driver10Rank</t>
  </si>
  <si>
    <t>tlOutputProd2Driver4Name</t>
  </si>
  <si>
    <t>tlOutputProd2Driver5Name</t>
  </si>
  <si>
    <t>Marketing Averages</t>
  </si>
  <si>
    <t>Max Teams</t>
  </si>
  <si>
    <t>capPlant1CapitalLoss</t>
  </si>
  <si>
    <t>tlOutputxxMMProd1Driver1</t>
  </si>
  <si>
    <t>tlOutputxxMMProd1Driver2</t>
  </si>
  <si>
    <t>tlOutputxxMMProd1Driver3</t>
  </si>
  <si>
    <t>finFinancingNotSpecLoan</t>
  </si>
  <si>
    <t>tlOutputxxMMProd1Driver4</t>
  </si>
  <si>
    <t>Utilization</t>
  </si>
  <si>
    <t>Segment Count</t>
  </si>
  <si>
    <t>&amp;Developer Tools</t>
  </si>
  <si>
    <t>Name Lister</t>
  </si>
  <si>
    <t>NameLister</t>
  </si>
  <si>
    <t>Interactive Zoom</t>
  </si>
  <si>
    <t>Closing Value Team 1</t>
  </si>
  <si>
    <t>tlOutputxxMMProd2Driver5</t>
  </si>
  <si>
    <t>tlOutputxxMMProd2Driver6</t>
  </si>
  <si>
    <t>tlOutputxxMMProd2Driver7</t>
  </si>
  <si>
    <t>tlOutputxxMMProd2Driver8</t>
  </si>
  <si>
    <t>tlOutputxxMMProd2Driver9</t>
  </si>
  <si>
    <t>tlOutputxxMMProd2Driver10</t>
  </si>
  <si>
    <t>tlOutputxxMMProd3Driver1</t>
  </si>
  <si>
    <t>tlOutputxxMMProd3Driver2</t>
  </si>
  <si>
    <t>tlInputmmProd1PctAdjust1</t>
  </si>
  <si>
    <t>fb0034GMProd1</t>
  </si>
  <si>
    <t>paramPlant1InvCost</t>
  </si>
  <si>
    <t>paramPlant1MachHrsPUnit</t>
  </si>
  <si>
    <t>Total Hours Required</t>
  </si>
  <si>
    <t>paramPlant1MachCostPHr</t>
  </si>
  <si>
    <t>paramPlant1DepRate</t>
  </si>
  <si>
    <t>ToolErrorTest</t>
  </si>
  <si>
    <t>GoToToolBalSheet</t>
  </si>
  <si>
    <t>GoToToolCashFlow</t>
  </si>
  <si>
    <t>Total Revenues</t>
  </si>
  <si>
    <t>tlOutputxxMMProd3Driver3</t>
  </si>
  <si>
    <t>tlOutputxxMMProd3Driver4</t>
  </si>
  <si>
    <t>tlOutputxxMMProd3Driver5</t>
  </si>
  <si>
    <t>tlOutputxxMMProd3Driver6</t>
  </si>
  <si>
    <t>tlOutputxxMMProd3Driver7</t>
  </si>
  <si>
    <t>tlOutputxxMMProd5Driver6</t>
  </si>
  <si>
    <t>tlOutputxxMMProd5Driver7</t>
  </si>
  <si>
    <t>Business Challenges</t>
  </si>
  <si>
    <t>2A</t>
  </si>
  <si>
    <t>2B</t>
  </si>
  <si>
    <t>3A</t>
  </si>
  <si>
    <t>3B</t>
  </si>
  <si>
    <t>tlOutputProd3Driver10Name</t>
  </si>
  <si>
    <t>Decision Area Color Header</t>
  </si>
  <si>
    <t>FMATDAreaColorHeader</t>
  </si>
  <si>
    <t>FMATDAreaBorderHeader</t>
  </si>
  <si>
    <t>cbalARValue</t>
  </si>
  <si>
    <t>cbalPlant1Value</t>
  </si>
  <si>
    <t>cbalAPValue</t>
  </si>
  <si>
    <t>cbalOtherCurrLiabValue</t>
  </si>
  <si>
    <t>cbalSpecLoansValue</t>
  </si>
  <si>
    <t>Days per Year</t>
  </si>
  <si>
    <t>paramDaysPerYear</t>
  </si>
  <si>
    <t>cbalRevenueY0</t>
  </si>
  <si>
    <t>mmProd1Demand</t>
  </si>
  <si>
    <t>mmProd1Supply</t>
  </si>
  <si>
    <t>mmProd2Demand</t>
  </si>
  <si>
    <t>mmProd2Supply</t>
  </si>
  <si>
    <t>capPlant1MachCost</t>
  </si>
  <si>
    <t>Gamma Sales</t>
  </si>
  <si>
    <t>SimReset</t>
  </si>
  <si>
    <t>SetPaperSizeA4</t>
  </si>
  <si>
    <t>SetPaperSizeLetter</t>
  </si>
  <si>
    <t>Used for Drop Downs throughout the tool.  These are just some common ones that are used.  Add additioinal lists as needed.</t>
  </si>
  <si>
    <t>finPNLSpecLoansExp</t>
  </si>
  <si>
    <t>finPNLIntInc</t>
  </si>
  <si>
    <t>finPNLIntExp</t>
  </si>
  <si>
    <t>ROA Avg Assets</t>
  </si>
  <si>
    <t>Asset Turnover (Avg Assets)</t>
  </si>
  <si>
    <t>capPlant1UnitsAvail</t>
  </si>
  <si>
    <t>capPlant1Utiliz</t>
  </si>
  <si>
    <t>Intro</t>
  </si>
  <si>
    <t>Team Number</t>
  </si>
  <si>
    <t>Team Name</t>
  </si>
  <si>
    <t>Price</t>
  </si>
  <si>
    <t>Volume</t>
  </si>
  <si>
    <t>Advertising</t>
  </si>
  <si>
    <t>Administrative</t>
  </si>
  <si>
    <t>obalPNLOMPerc</t>
  </si>
  <si>
    <t>cbalProd1RevY0</t>
  </si>
  <si>
    <t>cbalProd2RevY0</t>
  </si>
  <si>
    <t>People</t>
  </si>
  <si>
    <t>paramEmp1HoursPYear</t>
  </si>
  <si>
    <t>Cash &gt;0</t>
  </si>
  <si>
    <t>Financials</t>
  </si>
  <si>
    <t>Glossary</t>
  </si>
  <si>
    <t>English</t>
  </si>
  <si>
    <t>capESATMax</t>
  </si>
  <si>
    <t>datalistTrueFalse</t>
  </si>
  <si>
    <t>datalist1to10</t>
  </si>
  <si>
    <t>datalist0to10</t>
  </si>
  <si>
    <t>datalist1to5</t>
  </si>
  <si>
    <t>datalist0to5</t>
  </si>
  <si>
    <t>datalist1-3</t>
  </si>
  <si>
    <t>datalist0-3</t>
  </si>
  <si>
    <t>DATA LISTS</t>
  </si>
  <si>
    <t>International Labor</t>
  </si>
  <si>
    <t>Bid Labor</t>
  </si>
  <si>
    <t>paramSpecProgProd2Exp</t>
  </si>
  <si>
    <t>Initiatives</t>
  </si>
  <si>
    <t>Profit Margin</t>
  </si>
  <si>
    <t>ffbCopyProd1OpsMargin</t>
  </si>
  <si>
    <t>ffbCopyProd1GrossMargin</t>
  </si>
  <si>
    <t>Big Company 5</t>
  </si>
  <si>
    <t>Product 4 Segment 1</t>
  </si>
  <si>
    <t>Product 4 Segment 2</t>
  </si>
  <si>
    <t>Product 4 Segment 3</t>
  </si>
  <si>
    <t>Services Contractors</t>
  </si>
  <si>
    <t>Customer Satisfaction</t>
  </si>
  <si>
    <t>obalCSAT</t>
  </si>
  <si>
    <t>cbalCSAT</t>
  </si>
  <si>
    <t>finCashFlowAPChange</t>
  </si>
  <si>
    <t>finCashFlowOtherCurrLiabChange</t>
  </si>
  <si>
    <t>Total Allocated Depreciation Expense</t>
  </si>
  <si>
    <t>capPlant1Prod1DepExp</t>
  </si>
  <si>
    <t>capPlant1Prod2DepExp</t>
  </si>
  <si>
    <t>capPlant1AllocDepExp</t>
  </si>
  <si>
    <t>finCashExpense</t>
  </si>
  <si>
    <t>finCashFlowDep</t>
  </si>
  <si>
    <t>finCashFlowWorkCap</t>
  </si>
  <si>
    <t>finCashFlowInvest</t>
  </si>
  <si>
    <t>finCashFlowFinance</t>
  </si>
  <si>
    <t>finCashClosingValue</t>
  </si>
  <si>
    <t>finROA</t>
  </si>
  <si>
    <t>finProfitMargin</t>
  </si>
  <si>
    <t>capPlant1AllocFixedExp</t>
  </si>
  <si>
    <t>capPlant1UnAllocFixedExp</t>
  </si>
  <si>
    <t>Depreciation Expense Per Product</t>
  </si>
  <si>
    <t>Total Allocated Fixed Expense</t>
  </si>
  <si>
    <t>Unallocated Fixed Expense</t>
  </si>
  <si>
    <t>dec(-) in Dividend</t>
  </si>
  <si>
    <t>Inc(-)/dec(+) in long-term debt</t>
  </si>
  <si>
    <t>Inc(-)/dec(+) in special loans</t>
  </si>
  <si>
    <t>Net Cash from Financing</t>
  </si>
  <si>
    <t>Net Cash Flow</t>
  </si>
  <si>
    <t>Closing balance of cash</t>
  </si>
  <si>
    <t>Extraordianary Loss On Sale of Plants</t>
  </si>
  <si>
    <t>cbalCStockShares</t>
  </si>
  <si>
    <t>Internal Credit Days</t>
  </si>
  <si>
    <t>paramInternalCreditDays</t>
  </si>
  <si>
    <t>paramSpecProgExp</t>
  </si>
  <si>
    <t>Client Name</t>
  </si>
  <si>
    <t>Language Code</t>
  </si>
  <si>
    <t>Spanish</t>
  </si>
  <si>
    <t>Product Alpha Spanish</t>
  </si>
  <si>
    <t>Per Team</t>
  </si>
  <si>
    <t>Total Plant Units Required</t>
  </si>
  <si>
    <t>capPlan1UnitsReq</t>
  </si>
  <si>
    <t>xxMMProd6Driver10</t>
  </si>
  <si>
    <t>EncapIndex</t>
  </si>
  <si>
    <t>EncapError</t>
  </si>
  <si>
    <t>capEmp1Att</t>
  </si>
  <si>
    <t>Total Current Assets</t>
  </si>
  <si>
    <t>Current Assets</t>
  </si>
  <si>
    <t>Plant</t>
  </si>
  <si>
    <t>Total Plant</t>
  </si>
  <si>
    <t>Total Assets</t>
  </si>
  <si>
    <t>Equity and Liabilities</t>
  </si>
  <si>
    <t>Current Liabilities</t>
  </si>
  <si>
    <t>Accounts Payable</t>
  </si>
  <si>
    <t>Other Current Liabilities</t>
  </si>
  <si>
    <t>Special Loans</t>
  </si>
  <si>
    <t>Total Current Liabilities</t>
  </si>
  <si>
    <t>Long-term debt</t>
  </si>
  <si>
    <t>Total Liabilities</t>
  </si>
  <si>
    <t>Equity</t>
  </si>
  <si>
    <t>Common stock</t>
  </si>
  <si>
    <t>Retained Earnings</t>
  </si>
  <si>
    <t>Tax Deductable Loss</t>
  </si>
  <si>
    <t xml:space="preserve">finEBIT </t>
  </si>
  <si>
    <t>Decision Area Font Type Header</t>
  </si>
  <si>
    <t>FMATDAreaFontHeader</t>
  </si>
  <si>
    <t>Font</t>
  </si>
  <si>
    <t>Thousands</t>
  </si>
  <si>
    <t>cbalCumulativeTaxLoss</t>
  </si>
  <si>
    <t>obalCumulativeTaxLoss</t>
  </si>
  <si>
    <t>FMATDBoardFont</t>
  </si>
  <si>
    <t>Dashboard Border</t>
  </si>
  <si>
    <t>FMATDBoardColor</t>
  </si>
  <si>
    <t>Segment Name</t>
  </si>
  <si>
    <t>Market Model Calculation Segment 1 Beta Consumers</t>
  </si>
  <si>
    <t>xxMMProd3Units</t>
  </si>
  <si>
    <t>obalAssetsValue</t>
  </si>
  <si>
    <t>cbalAssetsValue</t>
  </si>
  <si>
    <t>xxRankYear0</t>
  </si>
  <si>
    <t>xxRankYear1</t>
  </si>
  <si>
    <t>xxRankYear2</t>
  </si>
  <si>
    <t>xxRankYear3</t>
  </si>
  <si>
    <t>xxRankYear4</t>
  </si>
  <si>
    <t>Operating Margin</t>
  </si>
  <si>
    <t>Common Stock Price Per Share</t>
  </si>
  <si>
    <t>obalCStockPricePShare</t>
  </si>
  <si>
    <t>Special Programs Expense</t>
  </si>
  <si>
    <t>2nd Year</t>
  </si>
  <si>
    <t>3rd Year</t>
  </si>
  <si>
    <t>4th Year</t>
  </si>
  <si>
    <t>1A</t>
  </si>
  <si>
    <t>1B</t>
  </si>
  <si>
    <t>capEmp3HoursReq</t>
  </si>
  <si>
    <t>capEmp3Att</t>
  </si>
  <si>
    <t>capEmp3End</t>
  </si>
  <si>
    <t>capEmp3Utiliz</t>
  </si>
  <si>
    <t>capEmp3OTCost</t>
  </si>
  <si>
    <t>capEmp3Exp</t>
  </si>
  <si>
    <t>capEmp3ExCapCost</t>
  </si>
  <si>
    <t>capEmp3RecDismExp</t>
  </si>
  <si>
    <t>capEmp3AdminExp</t>
  </si>
  <si>
    <t>obalEmp3</t>
  </si>
  <si>
    <t>cbalEmp3</t>
  </si>
  <si>
    <t>Sales Coverage</t>
  </si>
  <si>
    <t>Min</t>
  </si>
  <si>
    <t>Example of Swedish Type Extrapolation Table</t>
  </si>
  <si>
    <t>Calculation</t>
  </si>
  <si>
    <t>Calucation</t>
  </si>
  <si>
    <t>Program Name</t>
  </si>
  <si>
    <t>Combined</t>
  </si>
  <si>
    <t>List of Available Programs</t>
  </si>
  <si>
    <t>Special Programs Drop Downs</t>
  </si>
  <si>
    <t>listDataSpecProgsCode</t>
  </si>
  <si>
    <t>Program Used Last year</t>
  </si>
  <si>
    <t>listDataSpecProgs</t>
  </si>
  <si>
    <t>listDataSpecProgsTempRows</t>
  </si>
  <si>
    <t>ToolDataExportRunBid</t>
  </si>
  <si>
    <t>ToolDataImportBidResults</t>
  </si>
  <si>
    <t>ToolDataExportRunFinal</t>
  </si>
  <si>
    <t>ToolDataImportBalances</t>
  </si>
  <si>
    <t>Menu 1</t>
  </si>
  <si>
    <t>Menu2</t>
  </si>
  <si>
    <t>&amp;Sim Tools</t>
  </si>
  <si>
    <t>Net Earnings</t>
  </si>
  <si>
    <t>Total Equity</t>
  </si>
  <si>
    <t>Total Equity and Liabilities</t>
  </si>
  <si>
    <t>Product 1</t>
  </si>
  <si>
    <t>ESAT</t>
  </si>
  <si>
    <t>Finance</t>
  </si>
  <si>
    <t>Common Stock</t>
  </si>
  <si>
    <t>CSAT</t>
  </si>
  <si>
    <t>Special Programs</t>
  </si>
  <si>
    <t>Year Selected</t>
  </si>
  <si>
    <t>Program Number</t>
  </si>
  <si>
    <t>Previous Years Income Statement</t>
  </si>
  <si>
    <t>Decisions</t>
  </si>
  <si>
    <t>obalEBITMulti</t>
  </si>
  <si>
    <t>cbalEBITMulti</t>
  </si>
  <si>
    <t>SupplyDemand Effect</t>
  </si>
  <si>
    <t>capPlant1DivestmentRevenue</t>
  </si>
  <si>
    <t>Number of</t>
  </si>
  <si>
    <t>Sum of</t>
  </si>
  <si>
    <t>Effects</t>
  </si>
  <si>
    <t>Emp2</t>
  </si>
  <si>
    <t>Emp3</t>
  </si>
  <si>
    <t>Emp4</t>
  </si>
  <si>
    <t>Emp5</t>
  </si>
  <si>
    <t>Emp6</t>
  </si>
  <si>
    <t>Emp7</t>
  </si>
  <si>
    <t>Emp8</t>
  </si>
  <si>
    <t>Emp9</t>
  </si>
  <si>
    <t>Emp10</t>
  </si>
  <si>
    <t>datalistBundle</t>
  </si>
  <si>
    <t>Operating Margin %</t>
  </si>
  <si>
    <t>Accounts Receivable Total</t>
  </si>
  <si>
    <t>MMExplainPasteSeg2</t>
  </si>
  <si>
    <t>capPlant1DivestmentValue</t>
  </si>
  <si>
    <t>finPNLAdminExp</t>
  </si>
  <si>
    <t>finPNLProd1OtherExp</t>
  </si>
  <si>
    <t>finPNLOtherExp</t>
  </si>
  <si>
    <t>finPNLCapLossExp</t>
  </si>
  <si>
    <t>finPNLExtraOrdExp</t>
  </si>
  <si>
    <t>finPNLNetIntExp</t>
  </si>
  <si>
    <t>finPNLTaxExp</t>
  </si>
  <si>
    <t>finPNLNetEarn</t>
  </si>
  <si>
    <t>xxMMProd3Driver4</t>
  </si>
  <si>
    <t>xxMMProd3Driver5</t>
  </si>
  <si>
    <t>xxMMProd3Driver6</t>
  </si>
  <si>
    <t>xxMMProd3Driver7</t>
  </si>
  <si>
    <t>xxMMProd3Driver8</t>
  </si>
  <si>
    <t>xxMMProd3Driver9</t>
  </si>
  <si>
    <t>xxMMProd3Driver10</t>
  </si>
  <si>
    <t>Actual no Placed</t>
  </si>
  <si>
    <t>Act. mkt share</t>
  </si>
  <si>
    <t>Volume This Year</t>
  </si>
  <si>
    <t>Data Page</t>
  </si>
  <si>
    <t>Market Growth</t>
  </si>
  <si>
    <t>Economy</t>
  </si>
  <si>
    <t>SP1</t>
  </si>
  <si>
    <t>SP2</t>
  </si>
  <si>
    <t>SP3</t>
  </si>
  <si>
    <t>SP4</t>
  </si>
  <si>
    <t>SP5</t>
  </si>
  <si>
    <t>cbalCashValue</t>
  </si>
  <si>
    <t>cbalRetEarnValue</t>
  </si>
  <si>
    <t>cbalNetEarnValue</t>
  </si>
  <si>
    <t>cbalCStockValue</t>
  </si>
  <si>
    <t>PROFIT AND LOSS</t>
  </si>
  <si>
    <t>CASH FLOW</t>
  </si>
  <si>
    <t>capEmp1HoursReq</t>
  </si>
  <si>
    <t>Encap Index</t>
  </si>
  <si>
    <t>Encap Error</t>
  </si>
  <si>
    <t>Encap Round</t>
  </si>
  <si>
    <t>Encap Max</t>
  </si>
  <si>
    <t>Autofill Products</t>
  </si>
  <si>
    <t>Autofill Segments</t>
  </si>
  <si>
    <t>Autofill Products &amp;&amp; Segments</t>
  </si>
  <si>
    <t>Market Model Prod2 Drivers</t>
  </si>
  <si>
    <t>xxMMProd2Driver1</t>
  </si>
  <si>
    <t>xxMMProd2Driver2</t>
  </si>
  <si>
    <t>xxMMProd2Driver3</t>
  </si>
  <si>
    <t>xxMMProd2Driver4</t>
  </si>
  <si>
    <t>Here you can add adjustments that can affect like special programs</t>
  </si>
  <si>
    <t>Here is where you input special programs</t>
  </si>
  <si>
    <t>Program Effects</t>
  </si>
  <si>
    <t>Parameter</t>
  </si>
  <si>
    <t>Parameter Look-Up</t>
  </si>
  <si>
    <t>Not Selected</t>
  </si>
  <si>
    <t>1st Year</t>
  </si>
  <si>
    <t>Services</t>
  </si>
  <si>
    <t>datalist0to6</t>
  </si>
  <si>
    <t xml:space="preserve"> </t>
  </si>
  <si>
    <t>R&amp;D General</t>
  </si>
  <si>
    <t>R&amp;D Design</t>
  </si>
  <si>
    <t>Business Development</t>
  </si>
  <si>
    <t>Here to ensure that all teams values are captured for display in the tool</t>
  </si>
  <si>
    <t>capEmp2Exp</t>
  </si>
  <si>
    <t>capEmp2AdminExp</t>
  </si>
  <si>
    <t>capEmp2RecDismExp</t>
  </si>
  <si>
    <t>finAssetTurnover</t>
  </si>
  <si>
    <t>Parameters</t>
  </si>
  <si>
    <t>obalRevenueY0</t>
  </si>
  <si>
    <t>finPNLProd2OtherExp</t>
  </si>
  <si>
    <t>finPNLProd2OtherOpExp</t>
  </si>
  <si>
    <t>paramEmp1Recruitment</t>
  </si>
  <si>
    <t>capProd1Ftr1Emp1Req</t>
  </si>
  <si>
    <t>capProd2Ftr1Emp1Req</t>
  </si>
  <si>
    <t>xxteamnumber</t>
  </si>
  <si>
    <t>Competitor Decisions</t>
  </si>
  <si>
    <t>paramSpecProgProd3Sales</t>
  </si>
  <si>
    <t>xxMMProd4Seg1Units</t>
  </si>
  <si>
    <t>xxMMProd4Seg2Units</t>
  </si>
  <si>
    <t>xxMMProd4Seg3Units</t>
  </si>
  <si>
    <t>xxMMProd4Seg4Units</t>
  </si>
  <si>
    <t>xxMMProd4Seg5Units</t>
  </si>
  <si>
    <t>Market Model Prod4 Drivers</t>
  </si>
  <si>
    <t>xxMMProd4Driver1</t>
  </si>
  <si>
    <t>xxMMProd4Driver2</t>
  </si>
  <si>
    <t>xxMMProd4Driver3</t>
  </si>
  <si>
    <t>xxMMProd4Driver4</t>
  </si>
  <si>
    <t>xxMMProd4Driver5</t>
  </si>
  <si>
    <t>xxMMProd4Driver6</t>
  </si>
  <si>
    <t>xxMMProd4Driver7</t>
  </si>
  <si>
    <t>xxMMProd4Driver8</t>
  </si>
  <si>
    <t>xxMMProd4Driver9</t>
  </si>
  <si>
    <t>xxMMProd4Driver10</t>
  </si>
  <si>
    <t>xxMMProd5Units</t>
  </si>
  <si>
    <t>xxMMProd5Seg1Units</t>
  </si>
  <si>
    <t>xxMMProd5Seg2Units</t>
  </si>
  <si>
    <t>R&amp;emove Page Breaks</t>
  </si>
  <si>
    <t>&amp;Zoom 100%</t>
  </si>
  <si>
    <t>Format &amp;Closed Hood</t>
  </si>
  <si>
    <t>Format &amp;Opened Hood</t>
  </si>
  <si>
    <t>paramProd1OtherCost</t>
  </si>
  <si>
    <t>Loss on Sale of Plant</t>
  </si>
  <si>
    <t>capPlant1UnitsEnd</t>
  </si>
  <si>
    <t>capPlant1Investment</t>
  </si>
  <si>
    <t>capPlant1Depreciation</t>
  </si>
  <si>
    <t>finPNLProd1Rev</t>
  </si>
  <si>
    <t>finPNLRev</t>
  </si>
  <si>
    <t>&amp;Decision Summary</t>
  </si>
  <si>
    <t>&amp;Profit and Loss</t>
  </si>
  <si>
    <t>&amp;Balance Sheet</t>
  </si>
  <si>
    <t>&amp;Cash Flow</t>
  </si>
  <si>
    <t>S&amp;ave Scenario 1</t>
  </si>
  <si>
    <t>S&amp;ave Scenario 2</t>
  </si>
  <si>
    <t>S&amp;ave Scenario 3</t>
  </si>
  <si>
    <t>S&amp;how Scenario 1</t>
  </si>
  <si>
    <t>S&amp;how Scenario 2</t>
  </si>
  <si>
    <t>S&amp;how Scenario 3</t>
  </si>
  <si>
    <t>&amp;Save Tool</t>
  </si>
  <si>
    <t>Export &amp;Bids</t>
  </si>
  <si>
    <t>Opening Balances year 0 (closing for year -1)</t>
  </si>
  <si>
    <t>Balanced?</t>
  </si>
  <si>
    <t>In Market</t>
  </si>
  <si>
    <t>Credit Days</t>
  </si>
  <si>
    <t>xxProd2Growth</t>
  </si>
  <si>
    <t>xxProd3Growth</t>
  </si>
  <si>
    <t>xxProd4Growth</t>
  </si>
  <si>
    <t>xxProd5Growth</t>
  </si>
  <si>
    <t>xxProd6Growth</t>
  </si>
  <si>
    <t>dataTableProd1Growth</t>
  </si>
  <si>
    <t>mmProd1MarketShare</t>
  </si>
  <si>
    <t>tlInputmmProd1UnitsAvail_2</t>
  </si>
  <si>
    <t>tlOutputmmProd1UnitsAvail</t>
  </si>
  <si>
    <t>Change Color for team 5 to light purple/pink</t>
  </si>
  <si>
    <t>paramOtherCurrLiabGrowth</t>
  </si>
  <si>
    <t>Equity Calculation</t>
  </si>
  <si>
    <t>Par Value Year 0 Common Stock</t>
  </si>
  <si>
    <t>Decision for Stock Buy Back</t>
  </si>
  <si>
    <t># Common Stock Issued (Bought B ack)</t>
  </si>
  <si>
    <t>$ Change in Common Stock (+/-)</t>
  </si>
  <si>
    <t>$ Change in Retained Earnings (+/-)</t>
  </si>
  <si>
    <t>finStockchange</t>
  </si>
  <si>
    <t>finCommonStockChange</t>
  </si>
  <si>
    <t>finRetEarnChange</t>
  </si>
  <si>
    <t>capProd1Emp2RecDismExp</t>
  </si>
  <si>
    <t>capProd1Emp2AdminExp</t>
  </si>
  <si>
    <t>capProd1Emp1AdminExp</t>
  </si>
  <si>
    <t>capProd1Emp2Exp</t>
  </si>
  <si>
    <t>cbalOtherValue</t>
  </si>
  <si>
    <t>obalOtherValue</t>
  </si>
  <si>
    <t>ASSETS</t>
  </si>
  <si>
    <t>LIABILITIES &amp; EQUITY</t>
  </si>
  <si>
    <t>Accounts Receivable</t>
  </si>
  <si>
    <t>Closing Balances</t>
  </si>
  <si>
    <t>Error Checking (non decision)</t>
  </si>
  <si>
    <t>Common Stock Par Value</t>
  </si>
  <si>
    <t>paramCStockParValue</t>
  </si>
  <si>
    <t>Prod1</t>
  </si>
  <si>
    <t>Prod2</t>
  </si>
  <si>
    <t>Prod3</t>
  </si>
  <si>
    <t>Prod4</t>
  </si>
  <si>
    <t>Prod5</t>
  </si>
  <si>
    <t>Bid Plant</t>
  </si>
  <si>
    <t>Total Cash/Cash Like</t>
  </si>
  <si>
    <t>Plant1</t>
  </si>
  <si>
    <t>Plant2</t>
  </si>
  <si>
    <t>Plant3</t>
  </si>
  <si>
    <t>Domestiberg</t>
  </si>
  <si>
    <t>Importiberb</t>
  </si>
  <si>
    <t>obalCashValue</t>
  </si>
  <si>
    <t>obalARValue</t>
  </si>
  <si>
    <t>Fixed Market Share</t>
  </si>
  <si>
    <t>datapageCompProd1MktShare</t>
  </si>
  <si>
    <t>datapageCompProd2MktShare</t>
  </si>
  <si>
    <t>obalPNLProd1Rev</t>
  </si>
  <si>
    <t>obalPNLProd2Rev</t>
  </si>
  <si>
    <t>Total Revenue</t>
  </si>
  <si>
    <t>obalPNLRev</t>
  </si>
  <si>
    <t>cbalPNLRev</t>
  </si>
  <si>
    <t>Sources of Revenue Pie Chart (Previous Year Data)</t>
  </si>
  <si>
    <t>P&amp;L Graph (The Legend for the Graph is in order) - (Previous Year Data)</t>
  </si>
  <si>
    <t>obalPNLOtherExp</t>
  </si>
  <si>
    <t>&amp;Open Feedback File</t>
  </si>
  <si>
    <t>&amp;Reset Year 0</t>
  </si>
  <si>
    <t>Change to Paper &amp;A4</t>
  </si>
  <si>
    <t>Change to Paper &amp;Letter</t>
  </si>
  <si>
    <t>paramPlant1SalesPercBook</t>
  </si>
  <si>
    <t>xxMMProd6Driver3</t>
  </si>
  <si>
    <t>xxMMProd6Driver4</t>
  </si>
  <si>
    <t>xxMMProd6Driver5</t>
  </si>
  <si>
    <t>xxMMProd6Driver6</t>
  </si>
  <si>
    <t>xxMMProd6Driver7</t>
  </si>
  <si>
    <t>Discounted Price</t>
  </si>
  <si>
    <t>Channel Enablement</t>
  </si>
  <si>
    <t>Consumables Pricing</t>
  </si>
  <si>
    <t>capProd1SpecProgExp</t>
  </si>
  <si>
    <t>capProd2SpecProgExp</t>
  </si>
  <si>
    <t>obalPlant1Value</t>
  </si>
  <si>
    <t>obalAPValue</t>
  </si>
  <si>
    <t>obalOtherCurrLiabValue</t>
  </si>
  <si>
    <t>obalSpecLoansValue</t>
  </si>
  <si>
    <t>obalLTDebtValue</t>
  </si>
  <si>
    <t>obalCStockValue</t>
  </si>
  <si>
    <t>obalRetEarnValue</t>
  </si>
  <si>
    <t>obalNetEarnValue</t>
  </si>
  <si>
    <t>R</t>
  </si>
  <si>
    <t>#</t>
  </si>
  <si>
    <t>Name</t>
  </si>
  <si>
    <t>AdjType</t>
  </si>
  <si>
    <t>Adjustments</t>
  </si>
  <si>
    <t>MARKET SALES</t>
  </si>
  <si>
    <t>Theoretical Overall Market Share - Based on Segment Break Down Pre Stockout</t>
  </si>
  <si>
    <t>Units for F.G.</t>
  </si>
  <si>
    <t>Prod2Seg4</t>
  </si>
  <si>
    <t>Other Expense</t>
  </si>
  <si>
    <t>finPNLSpecProgExp</t>
  </si>
  <si>
    <t>Extraordinary Items</t>
  </si>
  <si>
    <t>Financial Items</t>
  </si>
  <si>
    <t>FTEs Remaining</t>
  </si>
  <si>
    <t>capEmp1FTERemaining</t>
  </si>
  <si>
    <t>capProd1Emp1Req</t>
  </si>
  <si>
    <t>capProd2Emp1Req</t>
  </si>
  <si>
    <t>Unallocated FTEs</t>
  </si>
  <si>
    <t># of Products</t>
  </si>
  <si>
    <t>Sales Force Coverage</t>
  </si>
  <si>
    <t>Popup Wobbler Time</t>
  </si>
  <si>
    <t>HideRowtoolIntro</t>
  </si>
  <si>
    <t>Delta Sales</t>
  </si>
  <si>
    <t>Protect File?</t>
  </si>
  <si>
    <t>Segment 2</t>
  </si>
  <si>
    <t>Segment 3</t>
  </si>
  <si>
    <t>Volume Per Segment</t>
  </si>
  <si>
    <t>Segment 4</t>
  </si>
  <si>
    <t>Segment 5</t>
  </si>
  <si>
    <t>Total Volume</t>
  </si>
  <si>
    <t>Summary</t>
  </si>
  <si>
    <t>Discounted Advertisng</t>
  </si>
  <si>
    <t>Discounted Features</t>
  </si>
  <si>
    <t>Driver 7</t>
  </si>
  <si>
    <t>Current Segment</t>
  </si>
  <si>
    <t>Total Other Assets</t>
  </si>
  <si>
    <t>Total  Volume</t>
  </si>
  <si>
    <t>Market Share</t>
  </si>
  <si>
    <t>Segment Adjustments</t>
  </si>
  <si>
    <t>tlOutputProd1Driver4Name</t>
  </si>
  <si>
    <t>tlOutputProd1Driver5Name</t>
  </si>
  <si>
    <t>tlOutputProd1Driver6Name</t>
  </si>
  <si>
    <t>tlOutputProd1Driver7Name</t>
  </si>
  <si>
    <t>paramPlant1RampUpPct</t>
  </si>
  <si>
    <t>Net Interest Expense</t>
  </si>
  <si>
    <t>Other</t>
  </si>
  <si>
    <t>Expenses</t>
  </si>
  <si>
    <t>Average Assets</t>
  </si>
  <si>
    <t>obalPlantValue</t>
  </si>
  <si>
    <t>cbalPlantValue</t>
  </si>
  <si>
    <t>Code</t>
  </si>
  <si>
    <t>Valid</t>
  </si>
  <si>
    <t>Not used Previously</t>
  </si>
  <si>
    <t>Not used This Year</t>
  </si>
  <si>
    <t>tlOutputProd4Driver5Name</t>
  </si>
  <si>
    <t>tlOutputProd4Driver6Name</t>
  </si>
  <si>
    <t>tlOutputProd4Driver7Name</t>
  </si>
  <si>
    <t>tlOutputProd4Driver8Name</t>
  </si>
  <si>
    <t>tlOutputProd4Driver9Name</t>
  </si>
  <si>
    <t>tlOutputProd4Driver10Name</t>
  </si>
  <si>
    <t>tlOutputProd5Driver2Name</t>
  </si>
  <si>
    <t>tlOutputProd5Driver3Name</t>
  </si>
  <si>
    <t>tlOutputProd5Driver4Name</t>
  </si>
  <si>
    <t>tlOutputProd5Driver5Name</t>
  </si>
  <si>
    <t>tlOutputProd5Driver6Name</t>
  </si>
  <si>
    <t>tlOutputProd5Driver7Name</t>
  </si>
  <si>
    <t>tlOutputProd5Driver8Name</t>
  </si>
  <si>
    <t>tlOutputProd5Driver9Name</t>
  </si>
  <si>
    <t>tlOutputProd5Driver10Name</t>
  </si>
  <si>
    <t>tlOutputProd6Driver1Name</t>
  </si>
  <si>
    <t>tlOutputProd6Driver2Name</t>
  </si>
  <si>
    <t>SF Coverage</t>
  </si>
  <si>
    <t>xxobalYear0Copy</t>
  </si>
  <si>
    <t>paramProd2OtherCost</t>
  </si>
  <si>
    <t>xxMMProd1Seg5Units</t>
  </si>
  <si>
    <t>xxMMProd1Units</t>
  </si>
  <si>
    <t>Prod1Seg1</t>
  </si>
  <si>
    <t>Prod1Seg2</t>
  </si>
  <si>
    <t>Prod1Seg3</t>
  </si>
  <si>
    <t>Prod1Seg4</t>
  </si>
  <si>
    <t>Prod1Seg5</t>
  </si>
  <si>
    <t>Prod2Seg2</t>
  </si>
  <si>
    <t>Prod2Seg3</t>
  </si>
  <si>
    <t>&amp;Import Bid Results</t>
  </si>
  <si>
    <t>&amp;New Year</t>
  </si>
  <si>
    <t>Special Program FTEs Required</t>
  </si>
  <si>
    <t>paramSpecProgEmp1Req</t>
  </si>
  <si>
    <t>capInitsEmp1Req</t>
  </si>
  <si>
    <t>Brand Increase</t>
  </si>
  <si>
    <t>paramBrand</t>
  </si>
  <si>
    <t>paramSpecProgProd2Sales</t>
  </si>
  <si>
    <t>MMExplainPasteSeg4</t>
  </si>
  <si>
    <t>MMExplainPasteSeg3</t>
  </si>
  <si>
    <t>toolScenSave1</t>
  </si>
  <si>
    <t>toolScenShow1</t>
  </si>
  <si>
    <t>toolScenSave2</t>
  </si>
  <si>
    <t>capPlant1HoursAvl</t>
  </si>
  <si>
    <t>Marketing Decay</t>
  </si>
  <si>
    <t>paramMarketingDecay</t>
  </si>
  <si>
    <t>paramEmp3HoursPYear</t>
  </si>
  <si>
    <t>Scoring</t>
  </si>
  <si>
    <t>cbalScoreY1</t>
  </si>
  <si>
    <t>cbalScoreY2</t>
  </si>
  <si>
    <t>cbalScoreY3</t>
  </si>
  <si>
    <t>obalScoreY1</t>
  </si>
  <si>
    <t>obalScoreY2</t>
  </si>
  <si>
    <t>obalScoreY3</t>
  </si>
  <si>
    <t>Year 1 Score</t>
  </si>
  <si>
    <t>Year 2 Score</t>
  </si>
  <si>
    <t>Year 3 Score</t>
  </si>
  <si>
    <t>tlOutputComp2Prod1RevPerc</t>
  </si>
  <si>
    <t>tlOutputComp2Prod2RevPerc</t>
  </si>
  <si>
    <t>tlOutputComp3Prod1RevPerc</t>
  </si>
  <si>
    <t>tlOutputComp3Prod2RevPerc</t>
  </si>
  <si>
    <t>capEmp2AllocProd2</t>
  </si>
  <si>
    <t>capProd2Emp2Exp</t>
  </si>
  <si>
    <t>capProd2Emp2RecDismExp</t>
  </si>
  <si>
    <t>capProd2Emp2AdminExp</t>
  </si>
  <si>
    <t>capEmp1AllocProd2</t>
  </si>
  <si>
    <t>capProd2Emp1Exp</t>
  </si>
  <si>
    <t>Inc(-)/dec(+) in AP</t>
  </si>
  <si>
    <t>Inc(-)/dec(+) in Other Curr Liab</t>
  </si>
  <si>
    <t>Total</t>
  </si>
  <si>
    <t>Net Cash from Operations</t>
  </si>
  <si>
    <t>Net Cash Used in Investing</t>
  </si>
  <si>
    <t>ROUND(E139*$O142,0))*E143</t>
  </si>
  <si>
    <t>mmProd1AddPlaced</t>
  </si>
  <si>
    <t>mmProd1AddMissed</t>
  </si>
  <si>
    <t>mmProd2AddPlaced</t>
  </si>
  <si>
    <t>Individual vs. Team</t>
  </si>
  <si>
    <t>Revenues</t>
  </si>
  <si>
    <t>Discounted Value</t>
  </si>
  <si>
    <t>Driver 8</t>
  </si>
  <si>
    <t>Score Driver 8</t>
  </si>
  <si>
    <t>Driver 9</t>
  </si>
  <si>
    <t>Score Driver 9</t>
  </si>
  <si>
    <t>tlInputmmProd1Driver1_2</t>
  </si>
  <si>
    <t>tlOutputmmProd1ShareCopy1</t>
  </si>
  <si>
    <t>Breadth</t>
  </si>
  <si>
    <t>xxProd1Growth</t>
  </si>
  <si>
    <t>Enter Name Of Developer</t>
  </si>
  <si>
    <t>Comments</t>
  </si>
  <si>
    <t>Controls for Autofill Macros</t>
  </si>
  <si>
    <t>See Comments in Code for Instructions.</t>
  </si>
  <si>
    <t>AutoFillProducts</t>
  </si>
  <si>
    <t>AutoFillSegments</t>
  </si>
  <si>
    <t>AutoFillProductsAndSegments</t>
  </si>
  <si>
    <t>Year 0 Revenues</t>
  </si>
  <si>
    <t>datalistDiscountProd1</t>
  </si>
  <si>
    <t>datalistDiscountProd2</t>
  </si>
  <si>
    <t>tlOutputmmVOCProd1Driver3Rank</t>
  </si>
  <si>
    <t>tlOutputmmVOCProd1Driver4Rank</t>
  </si>
  <si>
    <t>tlOutputmmVOCProd1Driver5Rank</t>
  </si>
  <si>
    <t>tlOutputmmVOCProd1Driver6Rank</t>
  </si>
  <si>
    <t>tlOutputmmVOCProd1Driver7Rank</t>
  </si>
  <si>
    <t>tlOutputmmVOCProd1Driver8Rank</t>
  </si>
  <si>
    <t>tlOutputmmVOCProd1Driver9Rank</t>
  </si>
  <si>
    <t>tlOutputmmVOCProd1Driver10Rank</t>
  </si>
  <si>
    <t>capEmp2Req</t>
  </si>
  <si>
    <t>tlOutputmmVOCProd2Driver1Rank</t>
  </si>
  <si>
    <t>tlOutputmmVOCProd2Driver2Rank</t>
  </si>
  <si>
    <t>tlOutputmmVOCProd2Driver3Rank</t>
  </si>
  <si>
    <t>Competency</t>
  </si>
  <si>
    <t>datalistPlannedUtiliz</t>
  </si>
  <si>
    <t>Corporate</t>
  </si>
  <si>
    <t>xxMMProd2Seg3Units</t>
  </si>
  <si>
    <t>xxMMProd2Seg4Units</t>
  </si>
  <si>
    <t>xxMMProd2Seg5Units</t>
  </si>
  <si>
    <t>Depreciation</t>
  </si>
  <si>
    <t>Market Model Calculation Segment 2 Alpha Segment 2</t>
  </si>
  <si>
    <t>Market Model Calculation Segment 3 Alpha Segment 3</t>
  </si>
  <si>
    <t>Market Model Calculation Segment 4 Alpha Segment 4</t>
  </si>
  <si>
    <t>tlOutputProd1Driver8Name</t>
  </si>
  <si>
    <t>tlOutputProd1Driver9Name</t>
  </si>
  <si>
    <t>tlOutputProd1Driver10Name</t>
  </si>
  <si>
    <t>tlOutputProd2Driver2Name</t>
  </si>
  <si>
    <t>tlOutputProd2Driver3Name</t>
  </si>
  <si>
    <t>mmProd1TotalUnits</t>
  </si>
  <si>
    <t>mmProd2TotalUnits</t>
  </si>
  <si>
    <t>tlOutputxxMMProd1Driver5</t>
  </si>
  <si>
    <t>tlOutputxxMMProd1Driver6</t>
  </si>
  <si>
    <t>tlOutputxxMMProd1Driver7</t>
  </si>
  <si>
    <t>tlOutputxxMMProd1Driver8</t>
  </si>
  <si>
    <t>tlOutputxxMMProd1Driver9</t>
  </si>
  <si>
    <t>tlOutputxxMMProd1Driver10</t>
  </si>
  <si>
    <t>tlOutputxxMMProd2Driver1</t>
  </si>
  <si>
    <t>tlOutputxxMMProd2Driver2</t>
  </si>
  <si>
    <t>tlOutputxxMMProd2Driver3</t>
  </si>
  <si>
    <t>tlOutputxxMMProd2Driver4</t>
  </si>
  <si>
    <t>xxMMProd3Seg1Units</t>
  </si>
  <si>
    <t>xxMMProd3Seg2Units</t>
  </si>
  <si>
    <t>xxMMProd3Seg3Units</t>
  </si>
  <si>
    <t>xxMMProd3Seg4Units</t>
  </si>
  <si>
    <t>xxMMProd3Seg5Units</t>
  </si>
  <si>
    <t>Total FTEs</t>
  </si>
  <si>
    <t>Cost Drivers</t>
  </si>
  <si>
    <t>obalPNLEmp2Exp</t>
  </si>
  <si>
    <t>obalPNLPlant1Exp</t>
  </si>
  <si>
    <t>Market Model Prod3 Drivers</t>
  </si>
  <si>
    <t>xxMMProd3Driver1</t>
  </si>
  <si>
    <t>xxMMProd3Driver2</t>
  </si>
  <si>
    <t>xxMMProd3Driver3</t>
  </si>
  <si>
    <t>obalProd1ARValue</t>
  </si>
  <si>
    <t>obalProd2ARValue</t>
  </si>
  <si>
    <t>Functions to Flag</t>
  </si>
  <si>
    <t>IgnoreValues</t>
  </si>
  <si>
    <t>Check Sheets:</t>
  </si>
  <si>
    <t>RESULTS REPORT</t>
  </si>
  <si>
    <t>Total Extraordinary Items</t>
  </si>
  <si>
    <t>Interest Income</t>
  </si>
  <si>
    <t>Interest Expense</t>
  </si>
  <si>
    <t>Cash Interest Rate</t>
  </si>
  <si>
    <t>paramCashIntRate</t>
  </si>
  <si>
    <t>Long Term Debt Interest Rate</t>
  </si>
  <si>
    <t>paramLTDebtIntRate</t>
  </si>
  <si>
    <t>paramSpecLoansIntRate</t>
  </si>
  <si>
    <t>cbalLTDebtValue</t>
  </si>
  <si>
    <t>This Year</t>
  </si>
  <si>
    <t>Last Year</t>
  </si>
  <si>
    <t>HideRowtoolPrograms</t>
  </si>
  <si>
    <t>HideColToolPrograms</t>
  </si>
  <si>
    <t>listDataSpecProgsTemp</t>
  </si>
  <si>
    <t>listDataSpecProgsNames</t>
  </si>
  <si>
    <t>Actual Growth Rates</t>
  </si>
  <si>
    <t>Year</t>
  </si>
  <si>
    <t>Market Growth Year 0</t>
  </si>
  <si>
    <t>Market Growth Year 1</t>
  </si>
  <si>
    <t>Market Growth Year 2</t>
  </si>
  <si>
    <t>Market Growth Year 3</t>
  </si>
  <si>
    <t>Market Growth Year 4</t>
  </si>
  <si>
    <t>Graph Data</t>
  </si>
  <si>
    <t>Market 1</t>
  </si>
  <si>
    <t>Features</t>
  </si>
  <si>
    <t>Driver 4</t>
  </si>
  <si>
    <t>Driver 5</t>
  </si>
  <si>
    <t>Driver 6</t>
  </si>
  <si>
    <t>Segment %</t>
  </si>
  <si>
    <t>Segment 1</t>
  </si>
  <si>
    <t>&amp;Sim Menu</t>
  </si>
  <si>
    <t>SP6</t>
  </si>
  <si>
    <t>SP7</t>
  </si>
  <si>
    <t>SP8</t>
  </si>
  <si>
    <t>Value Maps will not work</t>
  </si>
  <si>
    <t>Issue/ Retire Debt</t>
  </si>
  <si>
    <t>Dividends</t>
  </si>
  <si>
    <t>Program 1</t>
  </si>
  <si>
    <t>Program 2</t>
  </si>
  <si>
    <t>Program 3</t>
  </si>
  <si>
    <t>Program 4</t>
  </si>
  <si>
    <t>Program 5</t>
  </si>
  <si>
    <t>Controls</t>
  </si>
  <si>
    <t>Sim0Tool1</t>
  </si>
  <si>
    <t># of Teams</t>
  </si>
  <si>
    <t>Current Year</t>
  </si>
  <si>
    <t>Index Team</t>
  </si>
  <si>
    <t>Team Names</t>
  </si>
  <si>
    <t>StandAloneModel</t>
  </si>
  <si>
    <t>obalProd1RevY0</t>
  </si>
  <si>
    <t>obalProd2RevY0</t>
  </si>
  <si>
    <t>CAGR</t>
  </si>
  <si>
    <t>obalPNLRevCAGR</t>
  </si>
  <si>
    <t>cbalPNLRevCAGR</t>
  </si>
  <si>
    <t>cbalPNLOMPerc</t>
  </si>
  <si>
    <t>Swedish</t>
  </si>
  <si>
    <t>Internal Name</t>
  </si>
  <si>
    <t>capEmp1Utiliz</t>
  </si>
  <si>
    <t>capEmp2Att</t>
  </si>
  <si>
    <t>capEmp2Utiliz</t>
  </si>
  <si>
    <t>capEmp2ExCapCost</t>
  </si>
  <si>
    <t>capEmp2OTCost</t>
  </si>
  <si>
    <t>Base Admin Expense</t>
  </si>
  <si>
    <t>paramBaseAdminExp</t>
  </si>
  <si>
    <t>Expense</t>
  </si>
  <si>
    <t>CSAT Max</t>
  </si>
  <si>
    <t>ESAT Max</t>
  </si>
  <si>
    <t>capCSATMax</t>
  </si>
  <si>
    <t>Solution Discount</t>
  </si>
  <si>
    <t>TTM FTEs</t>
  </si>
  <si>
    <t>Global Presence FTEs Required</t>
  </si>
  <si>
    <t>Solution Index</t>
  </si>
  <si>
    <t>Other Op Expense</t>
  </si>
  <si>
    <t>finPNLProd1OtherOpExp</t>
  </si>
  <si>
    <t>finPNLOtherOpExp</t>
  </si>
  <si>
    <t>Value</t>
  </si>
  <si>
    <t>Emp1</t>
  </si>
  <si>
    <t>Effect</t>
  </si>
  <si>
    <t>cbalEquity</t>
  </si>
  <si>
    <t>WACC</t>
  </si>
  <si>
    <t>paramWACC</t>
  </si>
  <si>
    <t>Common Stock Shares</t>
  </si>
  <si>
    <t>obalCStockShares</t>
  </si>
  <si>
    <t>xxProd6BaseUnits</t>
  </si>
  <si>
    <t>xxProd1BaseUnits</t>
  </si>
  <si>
    <t>Base Volume Data</t>
  </si>
  <si>
    <t>xxMMProd1Driver1</t>
  </si>
  <si>
    <t>xxMMProd1Driver2</t>
  </si>
  <si>
    <t>xxMMProd1Driver3</t>
  </si>
  <si>
    <t>xxMMProd1Driver4</t>
  </si>
  <si>
    <t>xxMMProd1Driver5</t>
  </si>
  <si>
    <t>xxMMProd1Driver6</t>
  </si>
  <si>
    <t>xxMMProd1Driver7</t>
  </si>
  <si>
    <t>xxMMProd1Driver8</t>
  </si>
  <si>
    <t>xxMMProd1Driver9</t>
  </si>
  <si>
    <t>xxMMProd1Driver10</t>
  </si>
  <si>
    <t>xxMMProd1Seg1Units</t>
  </si>
  <si>
    <t>xxMMProd1Seg2Units</t>
  </si>
  <si>
    <t>xxMMProd1Seg3Units</t>
  </si>
  <si>
    <t>xxMMProd1Seg4Units</t>
  </si>
  <si>
    <t>Feedback Time Series</t>
  </si>
  <si>
    <t xml:space="preserve">Feedback </t>
  </si>
  <si>
    <t>ffbCopyROA</t>
  </si>
  <si>
    <t>tlOutputProd4Driver2Name</t>
  </si>
  <si>
    <t>tlOutputProd4Driver3Name</t>
  </si>
  <si>
    <t>tlOutputProd4Driver4Name</t>
  </si>
  <si>
    <t>Scenario &amp;3</t>
  </si>
  <si>
    <t>On Action</t>
  </si>
  <si>
    <t>GoToToolPNL</t>
  </si>
  <si>
    <t>Command Bar Name</t>
  </si>
  <si>
    <t>Enabled</t>
  </si>
  <si>
    <t>tlOutputMMVOCProd1Driver1</t>
  </si>
  <si>
    <t>Link to Original Output</t>
  </si>
  <si>
    <t>tlOutputmmVOCProd2Driver2</t>
  </si>
  <si>
    <t>Title</t>
  </si>
  <si>
    <t>Special Program Expense</t>
  </si>
  <si>
    <t>A</t>
  </si>
  <si>
    <t>xxDecXDataImport</t>
  </si>
  <si>
    <t>xxcbalNewYearCopy</t>
  </si>
  <si>
    <t>EncapRound</t>
  </si>
  <si>
    <t>EncapMax</t>
  </si>
  <si>
    <t>Toolbar</t>
  </si>
  <si>
    <t>BTS Tools</t>
  </si>
  <si>
    <t>icon</t>
  </si>
  <si>
    <t>type</t>
  </si>
  <si>
    <t>id</t>
  </si>
  <si>
    <t>caption</t>
  </si>
  <si>
    <t>onaction</t>
  </si>
  <si>
    <t>save</t>
  </si>
  <si>
    <t>Save</t>
  </si>
  <si>
    <t>toolSave</t>
  </si>
  <si>
    <t>calculator</t>
  </si>
  <si>
    <t>Calculator</t>
  </si>
  <si>
    <t>ToolLaunchCalculator</t>
  </si>
  <si>
    <t>home</t>
  </si>
  <si>
    <t>Home</t>
  </si>
  <si>
    <t>gototoolintro</t>
  </si>
  <si>
    <t>&amp;Comments</t>
  </si>
  <si>
    <t>&amp;View Comments</t>
  </si>
  <si>
    <t>toolCommentsViewAll</t>
  </si>
  <si>
    <t>&amp;Hide Comments</t>
  </si>
  <si>
    <t>paramEmp3OTRate</t>
  </si>
  <si>
    <t>paramEmp1OTRate</t>
  </si>
  <si>
    <t>capEmp1ExCapCost</t>
  </si>
  <si>
    <t>paramSpecProgProd1Sales</t>
  </si>
  <si>
    <t>Winning Metric (ROA)</t>
  </si>
  <si>
    <t>xxWinMetricYear0</t>
  </si>
  <si>
    <t>xxWinMetricYear1</t>
  </si>
  <si>
    <t>xxWinMetricYear2</t>
  </si>
  <si>
    <t>xxWinMetricYear3</t>
  </si>
  <si>
    <t>xxWinMetricYear4</t>
  </si>
  <si>
    <t>mmHideInfo</t>
  </si>
  <si>
    <t>Opening CSAT</t>
  </si>
  <si>
    <t>Pricing</t>
  </si>
  <si>
    <t>Annual Adjustment</t>
  </si>
  <si>
    <t>Strategic Initiatives</t>
  </si>
  <si>
    <t>capCSAT</t>
  </si>
  <si>
    <t>Opening ESAT</t>
  </si>
  <si>
    <t>capESAT</t>
  </si>
  <si>
    <t>CSAT Adjustment</t>
  </si>
  <si>
    <t>obalEmp1</t>
  </si>
  <si>
    <t>obalEmp2</t>
  </si>
  <si>
    <t>paramEmp1AdminCostPct</t>
  </si>
  <si>
    <t>capEmp1AllocProd1</t>
  </si>
  <si>
    <t>capEmp1End</t>
  </si>
  <si>
    <t>capEmp2AllocProd1</t>
  </si>
  <si>
    <t>capEmp2End</t>
  </si>
  <si>
    <t>Customer Relations</t>
  </si>
  <si>
    <t>tlOutputxxMMProd5Driver8</t>
  </si>
  <si>
    <t>tlOutputxxMMProd5Driver9</t>
  </si>
  <si>
    <t>tlOutputxxMMProd5Driver10</t>
  </si>
  <si>
    <t>tlOutputxxMMProd5Driver3</t>
  </si>
  <si>
    <t>On RESET Macro - Are latest changes reflected in Reset Column (developers Macro)/ and New year macro if Year = 0</t>
  </si>
  <si>
    <t>Value of Units Sold</t>
  </si>
  <si>
    <t>Revenue From Sold Units</t>
  </si>
  <si>
    <t>Cash Expense</t>
  </si>
  <si>
    <t>xxMMProd5Driver4</t>
  </si>
  <si>
    <t>xxMMProd5Driver5</t>
  </si>
  <si>
    <t>xxMMProd5Driver6</t>
  </si>
  <si>
    <t>xxMMProd5Driver7</t>
  </si>
  <si>
    <t>xxMMProd5Driver8</t>
  </si>
  <si>
    <t>xxMMProd5Driver9</t>
  </si>
  <si>
    <t>xxMMProd5Driver10</t>
  </si>
  <si>
    <t>xxMMProd6Units</t>
  </si>
  <si>
    <t>Increase (-)/ Decrease (+) in Accounts Receivable</t>
  </si>
  <si>
    <t>capEmp1HoursDelivered</t>
  </si>
  <si>
    <t>Simulation</t>
  </si>
  <si>
    <t>capEmp1Exp</t>
  </si>
  <si>
    <t>capEmp1RecDismExp</t>
  </si>
  <si>
    <t>xxMMProd6Driver1</t>
  </si>
  <si>
    <t>xxMMProd6Driver2</t>
  </si>
  <si>
    <t>Capacity Calculations</t>
  </si>
  <si>
    <t>Base Value</t>
  </si>
  <si>
    <t>HideRowtoolBalSheet</t>
  </si>
  <si>
    <t>HideColToolBalSheet</t>
  </si>
  <si>
    <t>Parameter Range Name</t>
  </si>
  <si>
    <t>Total Market Size</t>
  </si>
  <si>
    <t>Product 4 Segment 4</t>
  </si>
  <si>
    <t>Product 4 Segment 5</t>
  </si>
  <si>
    <t>Product 5 Segment 1</t>
  </si>
  <si>
    <t>Product 5 Segment 2</t>
  </si>
  <si>
    <t>Product 5 Segment 3</t>
  </si>
  <si>
    <t>Product 5 Segment 4</t>
  </si>
  <si>
    <t>Product 5 Segment 5</t>
  </si>
  <si>
    <t>Product 6 Segment 1</t>
  </si>
  <si>
    <t>Product 6 Segment 2</t>
  </si>
  <si>
    <t>Product 6 Segment 3</t>
  </si>
  <si>
    <t>Product 6 Segment 4</t>
  </si>
  <si>
    <t>Product 6 Segment 5</t>
  </si>
  <si>
    <t>xxMMProd2Units</t>
  </si>
  <si>
    <t>xxMMProd2Seg1Units</t>
  </si>
  <si>
    <t>xxMMProd2Seg2Units</t>
  </si>
  <si>
    <t>cbalProd1ARValue</t>
  </si>
  <si>
    <t>cbalProd2ARValue</t>
  </si>
  <si>
    <t>paramPlant1FixedExp</t>
  </si>
  <si>
    <t>SimFBOpenFile</t>
  </si>
  <si>
    <t>Decision Area Border</t>
  </si>
  <si>
    <t>Report Area Border</t>
  </si>
  <si>
    <t>Decision Cell Font</t>
  </si>
  <si>
    <t>Decision Cell Border</t>
  </si>
  <si>
    <t>Dashboard</t>
  </si>
  <si>
    <t>Dashboard Font</t>
  </si>
  <si>
    <t>Color Scheme</t>
  </si>
  <si>
    <t>Time Series</t>
  </si>
  <si>
    <t>Type</t>
  </si>
  <si>
    <t>Y Label</t>
  </si>
  <si>
    <t>X Label</t>
  </si>
  <si>
    <t>SheetName</t>
  </si>
  <si>
    <t>mmobalProd2Marketing</t>
  </si>
  <si>
    <t>mmobalProd2RDGenral</t>
  </si>
  <si>
    <t>mmobalProd2RDDesign</t>
  </si>
  <si>
    <t>mmobalProd2BusDev</t>
  </si>
  <si>
    <t>Try to Correct</t>
  </si>
  <si>
    <t>SUM</t>
  </si>
  <si>
    <t>cap</t>
  </si>
  <si>
    <t>AVERAGE</t>
  </si>
  <si>
    <t>MIN</t>
  </si>
  <si>
    <t>MAX</t>
  </si>
  <si>
    <t>Mark Changes:</t>
  </si>
  <si>
    <t>finCashFlowSpecLoansChange</t>
  </si>
  <si>
    <t>finCashFlowDividendPayOut</t>
  </si>
  <si>
    <t>Discounted</t>
  </si>
  <si>
    <t>Special Loan Expense</t>
  </si>
  <si>
    <t>Misc</t>
  </si>
  <si>
    <t>Special Loans Expense</t>
  </si>
  <si>
    <t>Market Model Calculation Segment 5 Alpha Segment 5</t>
  </si>
  <si>
    <t>paramCreditDays</t>
  </si>
  <si>
    <t>% Insourced</t>
  </si>
  <si>
    <t>Utilization Rate</t>
  </si>
  <si>
    <t>tlOutputmmProd1Volume</t>
  </si>
  <si>
    <t>tlOutputmmProd1Driver1</t>
  </si>
  <si>
    <t>Taxes</t>
  </si>
  <si>
    <t>Tax Rate</t>
  </si>
  <si>
    <t>paramTaxRate</t>
  </si>
  <si>
    <t>Begin Group</t>
  </si>
  <si>
    <t>SubMenuItems</t>
  </si>
  <si>
    <t>GoTotoolProfitTree</t>
  </si>
  <si>
    <t>Sub Menu Item</t>
  </si>
  <si>
    <t>&amp;Intro</t>
  </si>
  <si>
    <t>GoToToolIntro</t>
  </si>
  <si>
    <t>GoToToolDecSummary</t>
  </si>
  <si>
    <t>Background Color</t>
  </si>
  <si>
    <t>Decision Area Color</t>
  </si>
  <si>
    <t>Decision Area Font Type</t>
  </si>
  <si>
    <t>Report Area Color</t>
  </si>
  <si>
    <t>Report Area Font Type</t>
  </si>
  <si>
    <t>Decision Cell Color</t>
  </si>
  <si>
    <t>FMATDAreaColor</t>
  </si>
  <si>
    <t>FMATDAreaFont</t>
  </si>
  <si>
    <t>FMATDAReaBorder</t>
  </si>
  <si>
    <t>FMATRAreaColor</t>
  </si>
  <si>
    <t>FMATRAreaFont</t>
  </si>
  <si>
    <t>FMATRAreaBorder</t>
  </si>
  <si>
    <t>FMATDCellColor</t>
  </si>
  <si>
    <t>FMATDCellFont</t>
  </si>
  <si>
    <t>FMATDCellBorder</t>
  </si>
  <si>
    <t>datalist1to6</t>
  </si>
  <si>
    <t>xxMMProd5Seg3Units</t>
  </si>
  <si>
    <t>xxMMProd5Seg4Units</t>
  </si>
  <si>
    <t>xxMMProd5Seg5Units</t>
  </si>
  <si>
    <t>Market Model Prod5 Drivers</t>
  </si>
  <si>
    <t>xxMMProd5Driver1</t>
  </si>
  <si>
    <t>xxMMProd5Driver2</t>
  </si>
  <si>
    <t>xxMMProd5Driver3</t>
  </si>
  <si>
    <t>cbalPlant1Units</t>
  </si>
  <si>
    <t>Prod4Seg4</t>
  </si>
  <si>
    <t>Prod4Seg5</t>
  </si>
  <si>
    <t>Prod4Seg1</t>
  </si>
  <si>
    <t>Prod4Seg2</t>
  </si>
  <si>
    <t>Prod5Seg2</t>
  </si>
  <si>
    <t>Prod5Seg3</t>
  </si>
  <si>
    <t>Prod5Seg4</t>
  </si>
  <si>
    <t>Prod5Seg5</t>
  </si>
  <si>
    <t>Prod5Seg1</t>
  </si>
  <si>
    <t>Prod6Seg2</t>
  </si>
  <si>
    <t>Prod6Seg3</t>
  </si>
  <si>
    <t>Prod6Seg4</t>
  </si>
  <si>
    <t>Report Area Color Header</t>
  </si>
  <si>
    <t>Report Area Font Type Header</t>
  </si>
  <si>
    <t>Decision Area Border Header</t>
  </si>
  <si>
    <t>Report Area Border Header</t>
  </si>
  <si>
    <t>FMATRAreaBorderHeader</t>
  </si>
  <si>
    <t>FMATRAreaFontHeader</t>
  </si>
  <si>
    <t>FMATRAreaColorHeader</t>
  </si>
  <si>
    <t>Prod6Seg5</t>
  </si>
  <si>
    <t>Prod6Seg1</t>
  </si>
  <si>
    <t>Cool Cats</t>
  </si>
  <si>
    <t>Less Cool Cats</t>
  </si>
  <si>
    <t>Wankers</t>
  </si>
  <si>
    <t>Faithfull Followers</t>
  </si>
  <si>
    <t>Early Adopters</t>
  </si>
  <si>
    <t>NA()</t>
  </si>
  <si>
    <t>Big Company 1</t>
  </si>
  <si>
    <t>Big Company 2</t>
  </si>
  <si>
    <t>Big Company 3</t>
  </si>
  <si>
    <t>Big Company 4</t>
  </si>
  <si>
    <t>SimToolsNoDisplayPageBreaks</t>
  </si>
  <si>
    <t>SimZoom100</t>
  </si>
  <si>
    <t>ToolHoodCloseFormat</t>
  </si>
  <si>
    <t>ToolHoodOpenFormat</t>
  </si>
  <si>
    <t>toolCommentsViewIndicator</t>
  </si>
  <si>
    <t>Bidberg</t>
  </si>
  <si>
    <t>Growth</t>
  </si>
  <si>
    <t>Export &amp;Final Decisions</t>
  </si>
  <si>
    <t>xxMMProd4Units</t>
  </si>
  <si>
    <t>xxMMProd2Driver9</t>
  </si>
  <si>
    <t>xxMMProd2Driver10</t>
  </si>
  <si>
    <t>Driver 3</t>
  </si>
  <si>
    <t>xxProd2BaseUnits</t>
  </si>
  <si>
    <t>xxProd3BaseUnits</t>
  </si>
  <si>
    <t>xxProd4BaseUnits</t>
  </si>
  <si>
    <t>xxProd5BaseUnits</t>
  </si>
  <si>
    <t>FMATDBoardBorder</t>
  </si>
  <si>
    <t>SimFormat</t>
  </si>
  <si>
    <t>&amp;Format Sim</t>
  </si>
  <si>
    <t>paramSpecProgProd4Sales</t>
  </si>
  <si>
    <t>paramSpecProgProd5Sales</t>
  </si>
  <si>
    <t>paramSpecProgProd6Sales</t>
  </si>
  <si>
    <t>MMSegName</t>
  </si>
  <si>
    <t>FMATBGround</t>
  </si>
  <si>
    <t># of Segments</t>
  </si>
  <si>
    <t>Marketing</t>
  </si>
  <si>
    <t>Tool Utilities</t>
  </si>
  <si>
    <t>Other Liability Growth</t>
  </si>
  <si>
    <t>Totals</t>
  </si>
  <si>
    <t>Opening Balances</t>
  </si>
  <si>
    <t>Team 1</t>
  </si>
  <si>
    <t>Team 2</t>
  </si>
  <si>
    <t>Team 3</t>
  </si>
  <si>
    <t>Assets</t>
  </si>
  <si>
    <t>Cash</t>
  </si>
  <si>
    <t>tlOutputProd2Driver6Name</t>
  </si>
  <si>
    <t>tlOutputProd2Driver7Name</t>
  </si>
  <si>
    <t>tlOutputProd2Driver8Name</t>
  </si>
  <si>
    <t>xxMMProd6Driver8</t>
  </si>
  <si>
    <t>xxMMProd6Driver9</t>
  </si>
  <si>
    <t>mmProd2MarketShare</t>
  </si>
  <si>
    <t>PrintAnalysisReport</t>
  </si>
  <si>
    <t>InteractiveZoomer</t>
  </si>
  <si>
    <t>Engineers Dismissed</t>
  </si>
  <si>
    <t>paramEmp1Dismissal</t>
  </si>
  <si>
    <t>toolScenShow2</t>
  </si>
  <si>
    <t>toolScenSave3</t>
  </si>
  <si>
    <t>toolScenShow3</t>
  </si>
  <si>
    <t>S&amp;how Starting Scenario</t>
  </si>
  <si>
    <t>toolScenShow0</t>
  </si>
  <si>
    <t>EBIT</t>
  </si>
  <si>
    <t>Menus</t>
  </si>
  <si>
    <t>Menu Name</t>
  </si>
  <si>
    <t>MenuItems</t>
  </si>
  <si>
    <t>Menu Number</t>
  </si>
  <si>
    <t>Menu Item</t>
  </si>
  <si>
    <t>Command Bar Menu Name</t>
  </si>
  <si>
    <t>Tool</t>
  </si>
  <si>
    <t>&amp;Decisions</t>
  </si>
  <si>
    <t>&amp;Reports</t>
  </si>
  <si>
    <t>&amp;Trees</t>
  </si>
  <si>
    <t>&amp;Scenarios</t>
  </si>
  <si>
    <t>&amp;Actions</t>
  </si>
  <si>
    <t>Scenario &amp;1</t>
  </si>
  <si>
    <t>Scenario &amp;2</t>
  </si>
  <si>
    <t>Programs</t>
  </si>
  <si>
    <t>Number</t>
  </si>
  <si>
    <t>Program 6</t>
  </si>
  <si>
    <t>Program 7</t>
  </si>
  <si>
    <t>Program 8</t>
  </si>
  <si>
    <t>Years in Effect</t>
  </si>
  <si>
    <t>Hide These Columns!</t>
  </si>
  <si>
    <t>Branding</t>
  </si>
  <si>
    <t>Product Technology</t>
  </si>
  <si>
    <t>Hood Closed?</t>
  </si>
  <si>
    <t>Revenue</t>
  </si>
  <si>
    <t>ROIC</t>
  </si>
  <si>
    <t>finROIC</t>
  </si>
  <si>
    <t>Global Presence</t>
  </si>
  <si>
    <t>Impact</t>
  </si>
  <si>
    <t>Total FTEs Required</t>
  </si>
  <si>
    <t>paramEmp1AttRate</t>
  </si>
  <si>
    <t>paramEmp1Exp</t>
  </si>
  <si>
    <t>paramEmp1RecDismCost</t>
  </si>
  <si>
    <t>paramEmp2AdminCostPct</t>
  </si>
  <si>
    <t>paramEmp2AttRate</t>
  </si>
  <si>
    <t>paramEmp2Exp</t>
  </si>
  <si>
    <t>paramEmp2HoursPYear</t>
  </si>
  <si>
    <t>paramEmp2OTRate</t>
  </si>
  <si>
    <t>paramEmp2RecDismCost</t>
  </si>
  <si>
    <t>paramEmp3AdminCostPct</t>
  </si>
  <si>
    <t>paramEmp3AttRate</t>
  </si>
  <si>
    <t>paramEmp3Exp</t>
  </si>
  <si>
    <t>paramEmp3RecDismCost</t>
  </si>
  <si>
    <t>xxffbResetCopy</t>
  </si>
  <si>
    <t>Decision Type</t>
  </si>
  <si>
    <t>Locked Color</t>
  </si>
  <si>
    <t>UnLocked Color</t>
  </si>
  <si>
    <t>xxffbResetPaste</t>
  </si>
  <si>
    <t>ffbCopyRev</t>
  </si>
  <si>
    <t>xxobalTeam1</t>
  </si>
  <si>
    <t>&amp;Error Check</t>
  </si>
  <si>
    <t>ToolSave</t>
  </si>
  <si>
    <t>capProd1Emp1Exp</t>
  </si>
  <si>
    <t>capProd1Emp1RecDismExp</t>
  </si>
  <si>
    <t>League</t>
  </si>
  <si>
    <t>ROA</t>
  </si>
  <si>
    <t>Key Metrics</t>
  </si>
  <si>
    <t>Prod2Seg5</t>
  </si>
  <si>
    <t>Prod2Seg1</t>
  </si>
  <si>
    <t>Prod3Seg2</t>
  </si>
  <si>
    <t>Prod3Seg3</t>
  </si>
  <si>
    <t>Prod3Seg4</t>
  </si>
  <si>
    <t>Prod3Seg5</t>
  </si>
  <si>
    <t>Prod3Seg1</t>
  </si>
  <si>
    <t>Prod4Seg3</t>
  </si>
  <si>
    <t>Bid Co 1</t>
  </si>
  <si>
    <t>Bid Co 2</t>
  </si>
  <si>
    <t>Bid Co 3</t>
  </si>
  <si>
    <t>Bid Co 4</t>
  </si>
  <si>
    <t>Bid Co 5</t>
  </si>
  <si>
    <t>tlOutputProd2Driver9Name</t>
  </si>
  <si>
    <t>tlOutputProd2Driver10Name</t>
  </si>
  <si>
    <t>tlOutputProd3Driver2Name</t>
  </si>
  <si>
    <t>tlOutputProd3Driver3Name</t>
  </si>
  <si>
    <t>tlOutputProd3Driver4Name</t>
  </si>
  <si>
    <t>tlOutputProd3Driver5Name</t>
  </si>
  <si>
    <t>tlOutputProd3Driver6Name</t>
  </si>
  <si>
    <t>tlOutputProd3Driver7Name</t>
  </si>
  <si>
    <t>tlOutputProd3Driver8Name</t>
  </si>
  <si>
    <t>tlOutputProd3Driver9Name</t>
  </si>
  <si>
    <t>Quick Access Menu</t>
  </si>
  <si>
    <t>Excel Version</t>
  </si>
  <si>
    <t>Floating Bar</t>
  </si>
  <si>
    <t>Home Menu</t>
  </si>
  <si>
    <t>xxDecResetValues</t>
  </si>
  <si>
    <t>xxResetDecXFormulasCopy</t>
  </si>
  <si>
    <t>xxDecValuesPaste</t>
  </si>
  <si>
    <t>IIC</t>
  </si>
  <si>
    <t>Nextus</t>
  </si>
  <si>
    <t>Transform</t>
  </si>
  <si>
    <t>Growth Product</t>
  </si>
  <si>
    <t>Growth Service</t>
  </si>
  <si>
    <t>Transform Product</t>
  </si>
  <si>
    <t>Transform Service</t>
  </si>
  <si>
    <t>New Subscriptions</t>
  </si>
  <si>
    <t>Average Price</t>
  </si>
  <si>
    <t>Research and Development</t>
  </si>
  <si>
    <t>TTM - Contractor FTEs</t>
  </si>
  <si>
    <t>TTM - Internal FTES</t>
  </si>
  <si>
    <t>Content Level</t>
  </si>
  <si>
    <t>Development Methodolgy</t>
  </si>
  <si>
    <t>Recruit/Dismiss FTEs</t>
  </si>
  <si>
    <t>Training Focus</t>
  </si>
  <si>
    <t>Sales Force Time Allocation</t>
  </si>
  <si>
    <t>New Accounts</t>
  </si>
  <si>
    <t>Existing Accounts</t>
  </si>
  <si>
    <t>Operations</t>
  </si>
  <si>
    <t xml:space="preserve">Global Growth &amp; Operations
</t>
  </si>
  <si>
    <t>Global Access</t>
  </si>
  <si>
    <t xml:space="preserve">Data Centers
</t>
  </si>
  <si>
    <t>HideRowtoolRD</t>
  </si>
  <si>
    <t>HideColToolRD</t>
  </si>
  <si>
    <t>HideRowtoolPeople</t>
  </si>
  <si>
    <t>HideColToolPeople</t>
  </si>
  <si>
    <t>HideRowtoolOperations</t>
  </si>
  <si>
    <t>HideColToolOperations</t>
  </si>
  <si>
    <t>GoToToolRD</t>
  </si>
  <si>
    <t>&amp;People</t>
  </si>
  <si>
    <t>GoToToolPeople</t>
  </si>
  <si>
    <t>&amp;Operations</t>
  </si>
  <si>
    <t>GoToToolOperations</t>
  </si>
  <si>
    <t>&amp;Corporate</t>
  </si>
  <si>
    <t>GoToToolPrograms</t>
  </si>
  <si>
    <t>&amp;Forecast and Pricing</t>
  </si>
  <si>
    <t>Forecast and Pricing</t>
  </si>
  <si>
    <t>Content Methodology</t>
  </si>
  <si>
    <t>Sales Force New Accounts</t>
  </si>
  <si>
    <t>Sales Force Existing Accounts</t>
  </si>
  <si>
    <t>Data Center Consolidation</t>
  </si>
  <si>
    <t>Opening Subscripitions</t>
  </si>
  <si>
    <t>Total Subscriptions</t>
  </si>
  <si>
    <t>Net New Subscriptions</t>
  </si>
  <si>
    <t>Growth Rate</t>
  </si>
  <si>
    <t>Total Subscribers</t>
  </si>
  <si>
    <t>obalProd1Subscribers</t>
  </si>
  <si>
    <t>capProd1OpenSubs</t>
  </si>
  <si>
    <t>Cancellations</t>
  </si>
  <si>
    <t>Grw-1</t>
  </si>
  <si>
    <t>paramProd1CancellationRate</t>
  </si>
  <si>
    <t>Market Model Calculation Segment 1 Growth</t>
  </si>
  <si>
    <t>Market Model Calculation Segment 1 Transform</t>
  </si>
  <si>
    <t>capProd1Cancellations</t>
  </si>
  <si>
    <t>capProd1NewSubs</t>
  </si>
  <si>
    <t>capProd1EndSubs</t>
  </si>
  <si>
    <t>capProd1NetNewSubs</t>
  </si>
  <si>
    <t>capProd1SubGrowth</t>
  </si>
  <si>
    <t>capProd2OpenSubs</t>
  </si>
  <si>
    <t>capProd2Cancellations</t>
  </si>
  <si>
    <t>capProd2NewSubs</t>
  </si>
  <si>
    <t>capProd2EndSubs</t>
  </si>
  <si>
    <t>capProd2NetNewSubs</t>
  </si>
  <si>
    <t>capProd2SubGrowth</t>
  </si>
  <si>
    <t>obalProd2Subscribers</t>
  </si>
  <si>
    <t>Trns-1</t>
  </si>
  <si>
    <t>paramProd2CancellationRate</t>
  </si>
  <si>
    <t>New Subscripitions/Upsells</t>
  </si>
  <si>
    <t>Service/Transactions</t>
  </si>
  <si>
    <t>Net New Sales</t>
  </si>
  <si>
    <t>obalProd1Revenue</t>
  </si>
  <si>
    <t>obalProd2Revenue</t>
  </si>
  <si>
    <t>obalProd1Price</t>
  </si>
  <si>
    <t>obalProd2Price</t>
  </si>
  <si>
    <t>capProd1NewSales</t>
  </si>
  <si>
    <t>capProd1CancelledSales</t>
  </si>
  <si>
    <t>capProd1ServiceSales</t>
  </si>
  <si>
    <t>capProd1NetNewSales</t>
  </si>
  <si>
    <t>&lt;---Include Service in Net New Sales?</t>
  </si>
  <si>
    <t>capProd2NewSales</t>
  </si>
  <si>
    <t>capProd2CancelledSales</t>
  </si>
  <si>
    <t>capProd2ServiceSales</t>
  </si>
  <si>
    <t>capProd2NetNewSales</t>
  </si>
  <si>
    <t>Existing Subscription</t>
  </si>
  <si>
    <t>New Subscription</t>
  </si>
  <si>
    <t>Service</t>
  </si>
  <si>
    <t>&lt;--- Subs renewed 1/2 through the year</t>
  </si>
  <si>
    <t>People Related</t>
  </si>
  <si>
    <t>Data Center</t>
  </si>
  <si>
    <t>DC-1</t>
  </si>
  <si>
    <t>Grw-2</t>
  </si>
  <si>
    <t>Grw-3</t>
  </si>
  <si>
    <t>paramProd1DCCapacityPSub</t>
  </si>
  <si>
    <t>paramProd2DCCapacityPSub</t>
  </si>
  <si>
    <t>Trns-2</t>
  </si>
  <si>
    <t>Trns-3</t>
  </si>
  <si>
    <t>paramPlant1CapacityPUnit</t>
  </si>
  <si>
    <t>capPlant1Prod1CapacityReq</t>
  </si>
  <si>
    <t>capPlant1Prod2CapacityReq</t>
  </si>
  <si>
    <t>capPlant1CapacityReq</t>
  </si>
  <si>
    <t>paramProd1FTEsPCapLvl</t>
  </si>
  <si>
    <t>Grw-4</t>
  </si>
  <si>
    <t>paramProd2FTEsPCapLvl</t>
  </si>
  <si>
    <t>Trns-4</t>
  </si>
  <si>
    <t>decProd1TTMIntFTEs</t>
  </si>
  <si>
    <t>decProd1TTMConFTEs</t>
  </si>
  <si>
    <t>decProd2TTMIntFTEs</t>
  </si>
  <si>
    <t>decProd2TTMConFTEs</t>
  </si>
  <si>
    <t>decContentLvl</t>
  </si>
  <si>
    <t>decContentMethod</t>
  </si>
  <si>
    <t>decEmp1Change</t>
  </si>
  <si>
    <t>decEmp1TrainingLvl</t>
  </si>
  <si>
    <t>decSalesNewPerc</t>
  </si>
  <si>
    <t>decGlobalExpansion</t>
  </si>
  <si>
    <t>decSFCoverage</t>
  </si>
  <si>
    <t>decDCConsolidation</t>
  </si>
  <si>
    <t>capProd1Ftr1TTMEmp1Req</t>
  </si>
  <si>
    <t>capProd2Ftr1TTMEmp1Req</t>
  </si>
  <si>
    <t>Content Parameters</t>
  </si>
  <si>
    <t>Content FTEs Per Capability Lvl</t>
  </si>
  <si>
    <t>paramContentFTEsPLvl</t>
  </si>
  <si>
    <t>paramContentDCCapacityPLvl</t>
  </si>
  <si>
    <t>Content FTEs Development Method Adj</t>
  </si>
  <si>
    <t>paramContentFTEsMethodAdj</t>
  </si>
  <si>
    <t>Misc-1</t>
  </si>
  <si>
    <t>Misc-2</t>
  </si>
  <si>
    <t>Sales Coverage FTEs Required</t>
  </si>
  <si>
    <t>paramSalesCoverageEmp1Req</t>
  </si>
  <si>
    <t>paramGlobalExpansionEmp1Req</t>
  </si>
  <si>
    <t>Misc-3</t>
  </si>
  <si>
    <t>paramDCConsolidationEmp1Req</t>
  </si>
  <si>
    <t>capGlobalExpansionEmp1Req</t>
  </si>
  <si>
    <t>capSalesCoverageEmp1Req</t>
  </si>
  <si>
    <t>capPlant1ConsolidationEmp1Req</t>
  </si>
  <si>
    <t>Events</t>
  </si>
  <si>
    <t>Misc-4</t>
  </si>
  <si>
    <t>Event FTEs Required</t>
  </si>
  <si>
    <t>paramEventEmp1Req</t>
  </si>
  <si>
    <t>capEventsEmp1Req</t>
  </si>
  <si>
    <t>Corporate FTEs Required</t>
  </si>
  <si>
    <t>capCorporateEmp1Req</t>
  </si>
  <si>
    <t>capUnallocatedEmp1Req</t>
  </si>
  <si>
    <t>obalEmp1Recruit</t>
  </si>
  <si>
    <t>Grw-5</t>
  </si>
  <si>
    <t>Trns-5</t>
  </si>
  <si>
    <t>paramProd2LabHrsReqPSub</t>
  </si>
  <si>
    <t>paramProd1LabHrsReqPSub</t>
  </si>
  <si>
    <t>paramPlant1LaborPUnit</t>
  </si>
  <si>
    <t>Global Locations</t>
  </si>
  <si>
    <t>Global Growth &amp; Operations</t>
  </si>
  <si>
    <t>Global Expansion Level</t>
  </si>
  <si>
    <t>obalGlobalExpansionLvl</t>
  </si>
  <si>
    <t>Data Center Consolidation FTEs Required</t>
  </si>
  <si>
    <t>Global Expansion Labor Per Level</t>
  </si>
  <si>
    <t>paramGlobalExpansionLaborPLvl</t>
  </si>
  <si>
    <t>Misc-5</t>
  </si>
  <si>
    <t>Corporate &amp; Other Labor</t>
  </si>
  <si>
    <t>paramCorporateLabor</t>
  </si>
  <si>
    <t>decMarketing</t>
  </si>
  <si>
    <t>Marketing (000's)</t>
  </si>
  <si>
    <t>Product Platform &amp;Development</t>
  </si>
  <si>
    <t>capProd1Emp2Req</t>
  </si>
  <si>
    <t>capProd2Emp2Req</t>
  </si>
  <si>
    <t>capDCEmp2Req</t>
  </si>
  <si>
    <t>capGlobalEmp2Req</t>
  </si>
  <si>
    <t>capCorporateEmp2Req</t>
  </si>
  <si>
    <t>paramProd1ServicePrice</t>
  </si>
  <si>
    <t>paramProd2ServicePrice</t>
  </si>
  <si>
    <t>paramProd1ServiceAttachRate</t>
  </si>
  <si>
    <t>Grw-6</t>
  </si>
  <si>
    <t>Trns-6</t>
  </si>
  <si>
    <t>paramProd2ServiceAttachRate</t>
  </si>
  <si>
    <t>capProd1Emp3HoursReq</t>
  </si>
  <si>
    <t>capProd2Emp3HoursReq</t>
  </si>
  <si>
    <t>Service Contracts</t>
  </si>
  <si>
    <t>capProd1ServiceContracts</t>
  </si>
  <si>
    <t>capProd2ServiceContracts</t>
  </si>
  <si>
    <t>Grw-7</t>
  </si>
  <si>
    <t>paramProd1ServiceHoursPContract</t>
  </si>
  <si>
    <t>Trns-7</t>
  </si>
  <si>
    <t>paramProd2ServiceHoursPContract</t>
  </si>
  <si>
    <t>capEmp3AllocProd1</t>
  </si>
  <si>
    <t>capEmp3AllocProd2</t>
  </si>
  <si>
    <t>capProd1Emp3Exp</t>
  </si>
  <si>
    <t>capProd2Emp3Exp</t>
  </si>
  <si>
    <t>capProd1Emp3RecDismExp</t>
  </si>
  <si>
    <t>capProd2Emp3RecDismExp</t>
  </si>
  <si>
    <t>capProd1Emp3AdminExp</t>
  </si>
  <si>
    <t>capProd2Emp3AdminExp</t>
  </si>
  <si>
    <t>capEmp2Recruit</t>
  </si>
  <si>
    <t>capEmp2Dismiss</t>
  </si>
  <si>
    <t>capEmp3Recruit</t>
  </si>
  <si>
    <t>capEmp3Dismiss</t>
  </si>
  <si>
    <t>Revenue Related</t>
  </si>
  <si>
    <t>paramProd1ThirdPartyPerc</t>
  </si>
  <si>
    <t>Grw-8</t>
  </si>
  <si>
    <t>Grw-9</t>
  </si>
  <si>
    <t>paramProd1RoyaltyPSub</t>
  </si>
  <si>
    <t>paramProd2ThirdPartyPerc</t>
  </si>
  <si>
    <t>paramProd2RoyaltyPSub</t>
  </si>
  <si>
    <t>Trns-8</t>
  </si>
  <si>
    <t>Trns-9</t>
  </si>
  <si>
    <t>Royalties</t>
  </si>
  <si>
    <t>Grw-10</t>
  </si>
  <si>
    <t>Grw-11</t>
  </si>
  <si>
    <t>paramProd1PrintPerc</t>
  </si>
  <si>
    <t>paramProd1PrintCostPSub</t>
  </si>
  <si>
    <t>paramProd2PrintPerc</t>
  </si>
  <si>
    <t>paramProd2PrintCostPSub</t>
  </si>
  <si>
    <t>Trns-10</t>
  </si>
  <si>
    <t>Trns-11</t>
  </si>
  <si>
    <t>Printing</t>
  </si>
  <si>
    <t>Grw-12</t>
  </si>
  <si>
    <t>paramProd1OtherRevCostPSub</t>
  </si>
  <si>
    <t>Trns-12</t>
  </si>
  <si>
    <t>paramProd2OtherRevCostPSub</t>
  </si>
  <si>
    <t>Net Outside Services</t>
  </si>
  <si>
    <t>Admin &amp; Infrastructure</t>
  </si>
  <si>
    <t>capEmp1AllocDevProd1</t>
  </si>
  <si>
    <t>capEmp1AllocDevProd2</t>
  </si>
  <si>
    <t>capProd1Emp1DevExp</t>
  </si>
  <si>
    <t>capProd2Emp1DevExp</t>
  </si>
  <si>
    <t>Internal FTEs</t>
  </si>
  <si>
    <t>Misc-6</t>
  </si>
  <si>
    <t>paramCapitalizedPerc</t>
  </si>
  <si>
    <t>External FTEs</t>
  </si>
  <si>
    <t>Cost per External FTE</t>
  </si>
  <si>
    <t>paramCostPExternalFTE</t>
  </si>
  <si>
    <t>Other Current Assets</t>
  </si>
  <si>
    <t>Total Other Current Assets</t>
  </si>
  <si>
    <t>obalOtherCurrentAssets</t>
  </si>
  <si>
    <t>finPNLProd1NewSubRev</t>
  </si>
  <si>
    <t>finPNLProd1ExistSubRev</t>
  </si>
  <si>
    <t>finPNLProd1ServiceRev</t>
  </si>
  <si>
    <t>finPNLProd1Emp1Exp</t>
  </si>
  <si>
    <t>finPNLProd1Emp2Exp</t>
  </si>
  <si>
    <t>finPNLProd1Emp3Exp</t>
  </si>
  <si>
    <t>finPNLProd1EmpExp</t>
  </si>
  <si>
    <t>finPNLProd1RoyalityExp</t>
  </si>
  <si>
    <t>finPNLProd1PrintExp</t>
  </si>
  <si>
    <t>finPNLProd1MktExp</t>
  </si>
  <si>
    <t>finPNLProd1Emp1ProdDevExp</t>
  </si>
  <si>
    <t>finPNLProd1ExtFTEProdDevExp</t>
  </si>
  <si>
    <t>finPNLProd1ProdDevExp</t>
  </si>
  <si>
    <t>finPNLProd1Plant1Exp</t>
  </si>
  <si>
    <t>finPNLProd1AdminExp</t>
  </si>
  <si>
    <t>finPNLProd2ExistSubRev</t>
  </si>
  <si>
    <t>finPNLProd2NewSubRev</t>
  </si>
  <si>
    <t>finPNLProd2ServiceRev</t>
  </si>
  <si>
    <t>finPNLProd2Emp1Exp</t>
  </si>
  <si>
    <t>finPNLProd2Emp2Exp</t>
  </si>
  <si>
    <t>finPNLProd2Emp3Exp</t>
  </si>
  <si>
    <t>finPNLProd2EmpExp</t>
  </si>
  <si>
    <t>finPNLProd2RoyalityExp</t>
  </si>
  <si>
    <t>finPNLProd2PrintExp</t>
  </si>
  <si>
    <t>finPNLProd2MktExp</t>
  </si>
  <si>
    <t>finPNLProd2Emp1ProdDevExp</t>
  </si>
  <si>
    <t>finPNLProd2ExtFTEProdDevExp</t>
  </si>
  <si>
    <t>finPNLProd2ProdDevExp</t>
  </si>
  <si>
    <t>finPNLProd2Plant1Exp</t>
  </si>
  <si>
    <t>finPNLProd2AdminExp</t>
  </si>
  <si>
    <t>finPNLExistSubRev</t>
  </si>
  <si>
    <t>finPNLNewSubRev</t>
  </si>
  <si>
    <t>finPNLServiceRev</t>
  </si>
  <si>
    <t>finPNLEmp1Exp</t>
  </si>
  <si>
    <t>finPNLEmp2Exp</t>
  </si>
  <si>
    <t>finPNLEmp3Exp</t>
  </si>
  <si>
    <t>finPNLEmpExp</t>
  </si>
  <si>
    <t>finPNLRoyalityExp</t>
  </si>
  <si>
    <t>finPNLPrintExp</t>
  </si>
  <si>
    <t>finPNLMktExp</t>
  </si>
  <si>
    <t>finPNLEmp1ProdDevExp</t>
  </si>
  <si>
    <t>finPNLExtFTEProdDevExp</t>
  </si>
  <si>
    <t>finPNLProdDevExp</t>
  </si>
  <si>
    <t>finPNLPlant1Exp</t>
  </si>
  <si>
    <t>EBITDA</t>
  </si>
  <si>
    <t>finPNLProd1RevExp</t>
  </si>
  <si>
    <t>finPNLProd1AdminInfraExp</t>
  </si>
  <si>
    <t>finPNLProd1OperatingExp</t>
  </si>
  <si>
    <t>finPNLEBITDA</t>
  </si>
  <si>
    <t>finPNLProd1EBITDA</t>
  </si>
  <si>
    <t>EBITDA Margin</t>
  </si>
  <si>
    <t>Deprecation</t>
  </si>
  <si>
    <t>Deprecation and Amortization</t>
  </si>
  <si>
    <t>Amortization</t>
  </si>
  <si>
    <t>Operating Income</t>
  </si>
  <si>
    <t>finPNLProd1OperatingIncome</t>
  </si>
  <si>
    <t>finPNLProd1OperatingMargin</t>
  </si>
  <si>
    <t>finPNLProd2RevExp</t>
  </si>
  <si>
    <t>finPNLProd2AdminInfraExp</t>
  </si>
  <si>
    <t>finPNLProd2OperatingExp</t>
  </si>
  <si>
    <t>finPNLProd2EBITDA</t>
  </si>
  <si>
    <t>finPNLProd2OperatingIncome</t>
  </si>
  <si>
    <t>finPNLProd2OperatingMargin</t>
  </si>
  <si>
    <t>finPNLOperatingExp</t>
  </si>
  <si>
    <t>finPNLOperatingIncome</t>
  </si>
  <si>
    <t>finPNLOperatingMargin</t>
  </si>
  <si>
    <t>finPNLRevExp</t>
  </si>
  <si>
    <t>finPNLAdminInfraExp</t>
  </si>
  <si>
    <t>Other Intangible Assets</t>
  </si>
  <si>
    <t>Goodwill</t>
  </si>
  <si>
    <t>Other Property</t>
  </si>
  <si>
    <t>Year 0 Balancing Helper</t>
  </si>
  <si>
    <t>NOTE:  Use this column to help keep your OBALs in sync with your balancing of the rest of the sim.</t>
  </si>
  <si>
    <t>Year 0 Equations</t>
  </si>
  <si>
    <t>paramPlant2LaborPUnit</t>
  </si>
  <si>
    <t>paramPlant2InvCost</t>
  </si>
  <si>
    <t>paramPlant2FixedExp</t>
  </si>
  <si>
    <t>paramPlant2SalesPercBook</t>
  </si>
  <si>
    <t>Property</t>
  </si>
  <si>
    <t>Prop-1</t>
  </si>
  <si>
    <t>Prop-2</t>
  </si>
  <si>
    <t>Prop-3</t>
  </si>
  <si>
    <t>Prop-4</t>
  </si>
  <si>
    <t>PROPERTY, PLANT and EQUIPMENT</t>
  </si>
  <si>
    <t>capPlant2Prod1CapacityReq</t>
  </si>
  <si>
    <t>capPlant2Prod2CapacityReq</t>
  </si>
  <si>
    <t>capPlant2UnitsEnd</t>
  </si>
  <si>
    <t>capPlant2Prod1Utilization</t>
  </si>
  <si>
    <t>capPlant2Prod2Utilization</t>
  </si>
  <si>
    <t>capPlant2Utiliz</t>
  </si>
  <si>
    <t>capPlant2DivestmentValue</t>
  </si>
  <si>
    <t>capPlant2DivestmentRevenue</t>
  </si>
  <si>
    <t>capPlant2CapitalLoss</t>
  </si>
  <si>
    <t>capPlant2Investment</t>
  </si>
  <si>
    <t>capPlant2MachCost</t>
  </si>
  <si>
    <t>capPlant2Depreciation</t>
  </si>
  <si>
    <t>capPlant2Prod1FixedExp</t>
  </si>
  <si>
    <t>capPlant2Prod2FixedExp</t>
  </si>
  <si>
    <t>capPlant2AllocFixedExp</t>
  </si>
  <si>
    <t>capPlant2Prod1DepExp</t>
  </si>
  <si>
    <t>capPlant2Prod2DepExp</t>
  </si>
  <si>
    <t>capPlant2AllocDepExp</t>
  </si>
  <si>
    <t>capPlant2GlobalCapacityReq</t>
  </si>
  <si>
    <t>capPlant2CorpCapacityReq</t>
  </si>
  <si>
    <t>capPlant2FTECapacityReq</t>
  </si>
  <si>
    <t>capPlant2UnitsReq</t>
  </si>
  <si>
    <t>obalPlant2Units</t>
  </si>
  <si>
    <t>capPlant2UnitsSold</t>
  </si>
  <si>
    <t>capPlant2UnitsBought</t>
  </si>
  <si>
    <t>obalPlant2Value</t>
  </si>
  <si>
    <t>Prop-5</t>
  </si>
  <si>
    <t>paramPlant2DepRate</t>
  </si>
  <si>
    <t>cbalPlant2Value</t>
  </si>
  <si>
    <t>Software Parameters</t>
  </si>
  <si>
    <t>Capitalized % of Software Development</t>
  </si>
  <si>
    <t>Soft-1</t>
  </si>
  <si>
    <t>Soft-2</t>
  </si>
  <si>
    <t>Soft-3</t>
  </si>
  <si>
    <t>Software</t>
  </si>
  <si>
    <t>Total Software Investment</t>
  </si>
  <si>
    <t>Soft-4</t>
  </si>
  <si>
    <t>paramProd1BaseSoftwareValue</t>
  </si>
  <si>
    <t>paramProd2BaseSoftwareValue</t>
  </si>
  <si>
    <t>obalProd2SoftwareValue</t>
  </si>
  <si>
    <t>obalProd1SoftwareValue</t>
  </si>
  <si>
    <t>capProd1SoftwareInvestment</t>
  </si>
  <si>
    <t>capProd1Emp1SoftwareInvestment</t>
  </si>
  <si>
    <t>capProd1ExtFTESoftwareInvestment</t>
  </si>
  <si>
    <t>capProd2Emp1SoftwareInvestment</t>
  </si>
  <si>
    <t>capProd2ExtFTESoftwareInvestment</t>
  </si>
  <si>
    <t>capProd2SoftwareInvestment</t>
  </si>
  <si>
    <t>Software Amortization Rate</t>
  </si>
  <si>
    <t>paramSoftwareAmortRate</t>
  </si>
  <si>
    <t>capProd1SoftwareAmortization</t>
  </si>
  <si>
    <t>capProd2SoftwareAmortization</t>
  </si>
  <si>
    <t>cbalProd1SoftwareValue</t>
  </si>
  <si>
    <t>cbalProd2SoftwareValue</t>
  </si>
  <si>
    <t>obalGoodwillValue</t>
  </si>
  <si>
    <t>finPNLProd1DeprExp</t>
  </si>
  <si>
    <t>finPNLProd1AmortExp</t>
  </si>
  <si>
    <t>finPNLProd1DeprAmortExp</t>
  </si>
  <si>
    <t>finPNLProd2DeprExp</t>
  </si>
  <si>
    <t>finPNLProd2AmortExp</t>
  </si>
  <si>
    <t>finPNLProd2DeprAmortExp</t>
  </si>
  <si>
    <t>finPNLDeprExp</t>
  </si>
  <si>
    <t>finPNLAmortExp</t>
  </si>
  <si>
    <t>finPNLDeprAmortExp</t>
  </si>
  <si>
    <t>obalOtherFixedAssets</t>
  </si>
  <si>
    <t>cbalGoodwillValue</t>
  </si>
  <si>
    <t>cbalOtherFixedAssets</t>
  </si>
  <si>
    <t>Deferred Revenue</t>
  </si>
  <si>
    <t>obalDeferredRevValue</t>
  </si>
  <si>
    <t>Other Long Term Liabilities</t>
  </si>
  <si>
    <t>obalOtherLTLiabValue</t>
  </si>
  <si>
    <t>Misc-7</t>
  </si>
  <si>
    <t>Other TL Liability Growth</t>
  </si>
  <si>
    <t>paramOtherTLLiabGrowth</t>
  </si>
  <si>
    <t>finCashFlowAmort</t>
  </si>
  <si>
    <t>Software invest(-)/divest(+)</t>
  </si>
  <si>
    <t>cbalOtherCurrentAssets</t>
  </si>
  <si>
    <t>Inc(-)/dec(+) in Other Curr Assets</t>
  </si>
  <si>
    <t>finCashFlowOtherCurrAssetsChange</t>
  </si>
  <si>
    <t>Inc(-)/dec(+) in Deferred Revenue</t>
  </si>
  <si>
    <t>cbalDeferredRevValue</t>
  </si>
  <si>
    <t>Inc(-)/dec(+) in Other LT Liabilites</t>
  </si>
  <si>
    <t>cbalOtherLTLiabValue</t>
  </si>
  <si>
    <t>Cash OI</t>
  </si>
  <si>
    <t>finCashOI</t>
  </si>
  <si>
    <t>Cancellations (%)</t>
  </si>
  <si>
    <t>Forecasted Market Share</t>
  </si>
  <si>
    <t>% Change</t>
  </si>
  <si>
    <t>Forecasted Revenue ($M)</t>
  </si>
  <si>
    <t>Opening Subscribers</t>
  </si>
  <si>
    <t>- Cancellations</t>
  </si>
  <si>
    <t>+ New Subscribers</t>
  </si>
  <si>
    <t>Ending Subscribers</t>
  </si>
  <si>
    <t>New Subscribers</t>
  </si>
  <si>
    <t>obalProd1OpenSubs</t>
  </si>
  <si>
    <t>obalProd1Cancellations</t>
  </si>
  <si>
    <t>obalProd1NewSubs</t>
  </si>
  <si>
    <t>obalProd2OpenSubs</t>
  </si>
  <si>
    <t>obalProd2Cancellations</t>
  </si>
  <si>
    <t>obalProd2NewSubs</t>
  </si>
  <si>
    <t>Net New Sales ($M)</t>
  </si>
  <si>
    <t>obalProd1NetNewSales</t>
  </si>
  <si>
    <t>obalProd2NetNewSales</t>
  </si>
  <si>
    <t>New Sales Growth</t>
  </si>
  <si>
    <t>Ind. Avg.</t>
  </si>
  <si>
    <t>Content</t>
  </si>
  <si>
    <t>Product Technlogy</t>
  </si>
  <si>
    <t>Total Revenue ($M)</t>
  </si>
  <si>
    <t>decProd1ProdTechLvl</t>
  </si>
  <si>
    <t>decProd2ProdTechLvl</t>
  </si>
  <si>
    <t>obalProd1ProdTechLvl</t>
  </si>
  <si>
    <t>obalProd2ProdTechLvl</t>
  </si>
  <si>
    <t>cbalProd1ProdTechLvl</t>
  </si>
  <si>
    <t>cbalProd2ProdTechLvl</t>
  </si>
  <si>
    <t>Product Technology Ind Avg</t>
  </si>
  <si>
    <t>Time to Market Ind Avg</t>
  </si>
  <si>
    <t>cbalProd1ProdTechIndAvg</t>
  </si>
  <si>
    <t>cbalProd2ProdTechIndAvg</t>
  </si>
  <si>
    <t>Product Technology Level</t>
  </si>
  <si>
    <t>TTM External FTEs</t>
  </si>
  <si>
    <t>cbalProd1TTM</t>
  </si>
  <si>
    <t>cbalProd2TTM</t>
  </si>
  <si>
    <t>cbalProd1TTMIndAvg</t>
  </si>
  <si>
    <t>cbalProd2TTMIndAvg</t>
  </si>
  <si>
    <t>Content Level Industry Average</t>
  </si>
  <si>
    <t>Content Development Methodology</t>
  </si>
  <si>
    <t>obalContentLvl</t>
  </si>
  <si>
    <t>cbalContentLvl</t>
  </si>
  <si>
    <t>cbalContentLvlIndAvg</t>
  </si>
  <si>
    <t>obalContentLvlIndAvg</t>
  </si>
  <si>
    <t>obalContentMethod</t>
  </si>
  <si>
    <t>obalProd2ProdTechIndAvg</t>
  </si>
  <si>
    <t>obalProd2TTM</t>
  </si>
  <si>
    <t>obalProd2TTMIndAvg</t>
  </si>
  <si>
    <t>obalProd1ProdTechIndAvg</t>
  </si>
  <si>
    <t>obalProd1TTM</t>
  </si>
  <si>
    <t>obalProd1TTMIndAvg</t>
  </si>
  <si>
    <t>Resource Allocation (FTEs)</t>
  </si>
  <si>
    <t>EBITDA %</t>
  </si>
  <si>
    <t xml:space="preserve">Last Year </t>
  </si>
  <si>
    <t>obalPNLProd1ExistSubRev</t>
  </si>
  <si>
    <t>obalPNLProd1NewSubRev</t>
  </si>
  <si>
    <t>obalPNLProd1ServiceRev</t>
  </si>
  <si>
    <t>obalPNLProd1Emp1Exp</t>
  </si>
  <si>
    <t>obalPNLProd1Emp2Exp</t>
  </si>
  <si>
    <t>obalPNLProd1Emp3Exp</t>
  </si>
  <si>
    <t>obalPNLProd1EmpExp</t>
  </si>
  <si>
    <t>obalPNLProd1RoyalityExp</t>
  </si>
  <si>
    <t>obalPNLProd1PrintExp</t>
  </si>
  <si>
    <t>obalPNLProd1MktExp</t>
  </si>
  <si>
    <t>obalPNLProd1OtherExp</t>
  </si>
  <si>
    <t>obalPNLProd1RevExp</t>
  </si>
  <si>
    <t>obalPNLProd1Emp1ProdDevExp</t>
  </si>
  <si>
    <t>obalPNLProd1ExtFTEProdDevExp</t>
  </si>
  <si>
    <t>obalPNLProd1ProdDevExp</t>
  </si>
  <si>
    <t>obalPNLProd1Plant1Exp</t>
  </si>
  <si>
    <t>obalPNLProd1AdminExp</t>
  </si>
  <si>
    <t>obalPNLProd1AdminInfraExp</t>
  </si>
  <si>
    <t>obalPNLProd1SpecProgExp</t>
  </si>
  <si>
    <t>obalPNLProd1OtherOpExp</t>
  </si>
  <si>
    <t>obalPNLProd1OperatingExp</t>
  </si>
  <si>
    <t>obalPNLProd1EBITDA</t>
  </si>
  <si>
    <t>obalPNLProd1DeprExp</t>
  </si>
  <si>
    <t>obalPNLProd1AmortExp</t>
  </si>
  <si>
    <t>obalPNLProd1DeprAmortExp</t>
  </si>
  <si>
    <t>obalPNLProd1OperatingIncome</t>
  </si>
  <si>
    <t>obalPNLProd1OperatingMargin</t>
  </si>
  <si>
    <t>obalPNLProd2ExistSubRev</t>
  </si>
  <si>
    <t>obalPNLProd2NewSubRev</t>
  </si>
  <si>
    <t>obalPNLProd2ServiceRev</t>
  </si>
  <si>
    <t>obalPNLProd2Emp1Exp</t>
  </si>
  <si>
    <t>obalPNLProd2Emp2Exp</t>
  </si>
  <si>
    <t>obalPNLProd2Emp3Exp</t>
  </si>
  <si>
    <t>obalPNLProd2EmpExp</t>
  </si>
  <si>
    <t>obalPNLProd2RoyalityExp</t>
  </si>
  <si>
    <t>obalPNLProd2PrintExp</t>
  </si>
  <si>
    <t>obalPNLProd2MktExp</t>
  </si>
  <si>
    <t>obalPNLProd2OtherExp</t>
  </si>
  <si>
    <t>obalPNLProd2RevExp</t>
  </si>
  <si>
    <t>obalPNLProd2Emp1ProdDevExp</t>
  </si>
  <si>
    <t>obalPNLProd2ExtFTEProdDevExp</t>
  </si>
  <si>
    <t>obalPNLProd2ProdDevExp</t>
  </si>
  <si>
    <t>obalPNLProd2Plant1Exp</t>
  </si>
  <si>
    <t>obalPNLProd2AdminExp</t>
  </si>
  <si>
    <t>obalPNLProd2AdminInfraExp</t>
  </si>
  <si>
    <t>obalPNLProd2SpecProgExp</t>
  </si>
  <si>
    <t>obalPNLProd2OtherOpExp</t>
  </si>
  <si>
    <t>obalPNLProd2OperatingExp</t>
  </si>
  <si>
    <t>obalPNLProd2EBITDA</t>
  </si>
  <si>
    <t>obalPNLProd2DeprExp</t>
  </si>
  <si>
    <t>obalPNLProd2AmortExp</t>
  </si>
  <si>
    <t>obalPNLProd2DeprAmortExp</t>
  </si>
  <si>
    <t>obalPNLProd2OperatingIncome</t>
  </si>
  <si>
    <t>obalPNLProd2OperatingMargin</t>
  </si>
  <si>
    <t>obalPNLExistSubRev</t>
  </si>
  <si>
    <t>obalPNLNewSubRev</t>
  </si>
  <si>
    <t>obalPNLServiceRev</t>
  </si>
  <si>
    <t>obalPNLEmp1Exp</t>
  </si>
  <si>
    <t>obalPNLEmp3Exp</t>
  </si>
  <si>
    <t>obalPNLEmpExp</t>
  </si>
  <si>
    <t>obalPNLRoyalityExp</t>
  </si>
  <si>
    <t>obalPNLPrintExp</t>
  </si>
  <si>
    <t>obalPNLMktExp</t>
  </si>
  <si>
    <t>obalPNLRevExp</t>
  </si>
  <si>
    <t>obalPNLEmp1ProdDevExp</t>
  </si>
  <si>
    <t>obalPNLExtFTEProdDevExp</t>
  </si>
  <si>
    <t>obalPNLProdDevExp</t>
  </si>
  <si>
    <t>obalPNLAdminExp</t>
  </si>
  <si>
    <t>obalPNLAdminInfraExp</t>
  </si>
  <si>
    <t>obalPNLSpecProgExp</t>
  </si>
  <si>
    <t>obalPNLOtherOpExp</t>
  </si>
  <si>
    <t>obalPNLOperatingExp</t>
  </si>
  <si>
    <t>obalPNLEBITDA</t>
  </si>
  <si>
    <t>obalPNLDeprExp</t>
  </si>
  <si>
    <t>obalPNLAmortExp</t>
  </si>
  <si>
    <t>obalPNLDeprAmortExp</t>
  </si>
  <si>
    <t>obalPNLOperatingIncome</t>
  </si>
  <si>
    <t>obalPNLOperatingMargin</t>
  </si>
  <si>
    <t>Company Income Statement</t>
  </si>
  <si>
    <t>obalPNLCapLossExp</t>
  </si>
  <si>
    <t>obalPNLSpecLoansExp</t>
  </si>
  <si>
    <t>obalPNLExtraOrdExp</t>
  </si>
  <si>
    <t>obalPNLIntInc</t>
  </si>
  <si>
    <t>obalPNLIntExp</t>
  </si>
  <si>
    <t>obalPNLNetIntExp</t>
  </si>
  <si>
    <t>obalEBIT</t>
  </si>
  <si>
    <t>obalPNLTaxExp</t>
  </si>
  <si>
    <t>obalPNLNetEarn</t>
  </si>
  <si>
    <t>Graphs</t>
  </si>
  <si>
    <t>Depreciation &amp; Amortization</t>
  </si>
  <si>
    <t>Operating Profit</t>
  </si>
  <si>
    <t>Ending Technology Level</t>
  </si>
  <si>
    <t>Time To Market</t>
  </si>
  <si>
    <t>Development Cost</t>
  </si>
  <si>
    <t>Expected Launch Date</t>
  </si>
  <si>
    <t>?</t>
  </si>
  <si>
    <t>Accounts</t>
  </si>
  <si>
    <t>New Subscriptions/Upsells</t>
  </si>
  <si>
    <t>Subscriptions</t>
  </si>
  <si>
    <t>Other Operating</t>
  </si>
  <si>
    <t>Total Expenses</t>
  </si>
  <si>
    <t>EBITDA Margin %</t>
  </si>
  <si>
    <t>Net Interest</t>
  </si>
  <si>
    <t>Tax</t>
  </si>
  <si>
    <t>Net Income</t>
  </si>
  <si>
    <t>Net Income %</t>
  </si>
  <si>
    <t>Common Size</t>
  </si>
  <si>
    <t>finPNLProd1EBITDAMargin</t>
  </si>
  <si>
    <t>finPNLProd2EBITDAMargin</t>
  </si>
  <si>
    <t>finPNLEBITDAMargin</t>
  </si>
  <si>
    <t>Hardware and other Property, net</t>
  </si>
  <si>
    <t>Payables and Accruals</t>
  </si>
  <si>
    <t>Short-Term Debt</t>
  </si>
  <si>
    <t>Other Long-Term Liabilities</t>
  </si>
  <si>
    <t>Long-Term Debt</t>
  </si>
  <si>
    <t>Capital</t>
  </si>
  <si>
    <t>Total Liabilities and Equity</t>
  </si>
  <si>
    <t>cbalTotalLiabilities</t>
  </si>
  <si>
    <t>obalTotalLiabilities</t>
  </si>
  <si>
    <t>obalEquity</t>
  </si>
  <si>
    <t>Opening Cash Balance</t>
  </si>
  <si>
    <t>Operating Activities</t>
  </si>
  <si>
    <t>Depreciation and Amortization</t>
  </si>
  <si>
    <t>Changes in Working Capital</t>
  </si>
  <si>
    <t>Increase (-)/ Decrease (+) in Current Assets</t>
  </si>
  <si>
    <t>Increase (-)/ Decrease (+) in Payables and Accruals</t>
  </si>
  <si>
    <t>Increase (-)/ Decrease (+) in Other Liabilities</t>
  </si>
  <si>
    <t>Net Cash From Operating Activities</t>
  </si>
  <si>
    <t>Investing Activities</t>
  </si>
  <si>
    <t>Acquisitions</t>
  </si>
  <si>
    <t>Capital Investments</t>
  </si>
  <si>
    <t>Net Cash From Investing Activities</t>
  </si>
  <si>
    <t>Free Cash Flow</t>
  </si>
  <si>
    <t>Financing Activities</t>
  </si>
  <si>
    <t>Issue (+)/ Repayment (-) of Debt</t>
  </si>
  <si>
    <t>Net Cash From Financing Activities</t>
  </si>
  <si>
    <t>Closing Cash Balance</t>
  </si>
  <si>
    <t>Loss On Sale of Assets</t>
  </si>
  <si>
    <t>finCashFlowAssetLoss</t>
  </si>
  <si>
    <t>finCashFlowDeferredRevLiabChange</t>
  </si>
  <si>
    <t>finCashFlowOtherLTLiabChange</t>
  </si>
  <si>
    <t>finCashFlowOperating</t>
  </si>
  <si>
    <t>Acquistions(-)</t>
  </si>
  <si>
    <t>finCashFlowDCInvest</t>
  </si>
  <si>
    <t>finCashFlowPropertyInvest</t>
  </si>
  <si>
    <t>finCashFlowSoftwareInvest</t>
  </si>
  <si>
    <t>finCashFlowAcquireInvest</t>
  </si>
  <si>
    <t>finCashFlowLTDebtChange</t>
  </si>
  <si>
    <t>Dividend</t>
  </si>
  <si>
    <t>Dividend Payout Ratio</t>
  </si>
  <si>
    <t>paramDividendRatio</t>
  </si>
  <si>
    <t>obalDividend</t>
  </si>
  <si>
    <t>cbalDividend</t>
  </si>
  <si>
    <t>Value Proposition</t>
  </si>
  <si>
    <t>Resources Reqired For Product Technology</t>
  </si>
  <si>
    <t>TTM Contractors</t>
  </si>
  <si>
    <t>obalProd1Ftr1Emp1Req</t>
  </si>
  <si>
    <t>obalProd1Ftr1TTMEmp1Req</t>
  </si>
  <si>
    <t>obalProd1TTMConFTEs</t>
  </si>
  <si>
    <t>obalProd2Ftr1Emp1Req</t>
  </si>
  <si>
    <t>obalProd2Ftr1TTMEmp1Req</t>
  </si>
  <si>
    <t>obalProd2TTMConFTEs</t>
  </si>
  <si>
    <t>Product Technology TTM</t>
  </si>
  <si>
    <t>Product Technology Resources</t>
  </si>
  <si>
    <t>Ending Content Level</t>
  </si>
  <si>
    <t>Internal Cost</t>
  </si>
  <si>
    <t>Content Cost</t>
  </si>
  <si>
    <t>capInternalContentDevExp</t>
  </si>
  <si>
    <t>Content Development Position</t>
  </si>
  <si>
    <t>Ind Avg Last Year</t>
  </si>
  <si>
    <t>Content Development</t>
  </si>
  <si>
    <t>Content Focus</t>
  </si>
  <si>
    <t>Content Resources</t>
  </si>
  <si>
    <t>Resources Reqired For Content</t>
  </si>
  <si>
    <t>Royalties % of Revenue</t>
  </si>
  <si>
    <t>FTE Utilzation</t>
  </si>
  <si>
    <t>obalEmp1TrainingLvl</t>
  </si>
  <si>
    <t>cbalEmp1TrainingLvl</t>
  </si>
  <si>
    <t>Engineers FTE Coefficient</t>
  </si>
  <si>
    <t>ADJUSTMENTS</t>
  </si>
  <si>
    <t>Training</t>
  </si>
  <si>
    <t>Misc-8</t>
  </si>
  <si>
    <t>Misc-9</t>
  </si>
  <si>
    <t>Training FTEs Required</t>
  </si>
  <si>
    <t>paramTrainingFTEs</t>
  </si>
  <si>
    <t>capTrainingEmp1Req</t>
  </si>
  <si>
    <t>capEmp1TrainingExp</t>
  </si>
  <si>
    <t>FTE Productivity</t>
  </si>
  <si>
    <t>Misc-10</t>
  </si>
  <si>
    <t>Training Expense Per Level</t>
  </si>
  <si>
    <t>paramTrainingExpPLvl</t>
  </si>
  <si>
    <t>Training FTE Cost</t>
  </si>
  <si>
    <t>capProd1TrainingExp</t>
  </si>
  <si>
    <t>capProd2TrainingExp</t>
  </si>
  <si>
    <t>Previous Year</t>
  </si>
  <si>
    <t>&lt;--- one year lag on benefits.</t>
  </si>
  <si>
    <t>FTEs Required For Training</t>
  </si>
  <si>
    <t>FTE Resources</t>
  </si>
  <si>
    <t>Beginning FTEs</t>
  </si>
  <si>
    <t>Attrition (Lost Resources)</t>
  </si>
  <si>
    <t>capEmp1Recruited</t>
  </si>
  <si>
    <t>capEmp1Dismissed</t>
  </si>
  <si>
    <r>
      <t xml:space="preserve">Recruited/Dismiss </t>
    </r>
    <r>
      <rPr>
        <i/>
        <sz val="8"/>
        <rFont val="Arial"/>
        <family val="2"/>
      </rPr>
      <t>(1/2 Yr to onboard)</t>
    </r>
  </si>
  <si>
    <t>Ending FTEs (Head Count)</t>
  </si>
  <si>
    <t>Initiatives and Events</t>
  </si>
  <si>
    <t>Over/Under Allocated</t>
  </si>
  <si>
    <t>Sales Force - New Accounts</t>
  </si>
  <si>
    <t>Sales Force - Existing Accounts</t>
  </si>
  <si>
    <t>obalSalesNewPerc</t>
  </si>
  <si>
    <t>obalSalesExistingPerc</t>
  </si>
  <si>
    <t>Global Expansion CapEx</t>
  </si>
  <si>
    <t>capGlobalExpansionCapEx</t>
  </si>
  <si>
    <t>Misc-11</t>
  </si>
  <si>
    <t>Global Expansion CapEx Per level</t>
  </si>
  <si>
    <t>paramGlobalExpCapExPLvl</t>
  </si>
  <si>
    <t>Total Regions Covered</t>
  </si>
  <si>
    <t>cbalGlobalExpansionLvl</t>
  </si>
  <si>
    <t>Capital Expenditures</t>
  </si>
  <si>
    <t>GG&amp;O Sales and Marketing</t>
  </si>
  <si>
    <t>Misc-12</t>
  </si>
  <si>
    <t>Global Expansion SalesMKT Per level</t>
  </si>
  <si>
    <t>paramGlobalSalesMktPLvl</t>
  </si>
  <si>
    <t>Global Sales and Marketing</t>
  </si>
  <si>
    <t>obalGlobalSalesMktLvl</t>
  </si>
  <si>
    <t>cbalGlobalSalesMktLvl</t>
  </si>
  <si>
    <t>obalGlobalSalesCoverage</t>
  </si>
  <si>
    <t>cbalGlobalSalesCoverage</t>
  </si>
  <si>
    <t>Beginning Data Centers</t>
  </si>
  <si>
    <t>Ending Data Centers</t>
  </si>
  <si>
    <t>Divestitures</t>
  </si>
  <si>
    <t>finCashFlowPropertyDivest</t>
  </si>
  <si>
    <t>Non-Utilized</t>
  </si>
  <si>
    <t>Utilized</t>
  </si>
  <si>
    <t>Data Center Utilizaiton</t>
  </si>
  <si>
    <t>Data Center Utilization</t>
  </si>
  <si>
    <t>Earnings Before Interest, Taxes, Depreciation &amp; Amortization</t>
  </si>
  <si>
    <t>Cash Operating Income</t>
  </si>
  <si>
    <t>- Capital Expenditures</t>
  </si>
  <si>
    <t>- Total Expenses</t>
  </si>
  <si>
    <t>&amp;Cash OI</t>
  </si>
  <si>
    <t>Tool Page Graph Data</t>
  </si>
  <si>
    <t>Year1</t>
  </si>
  <si>
    <t>Year 0</t>
  </si>
  <si>
    <t>decProd1Units</t>
  </si>
  <si>
    <t>decProd1Price</t>
  </si>
  <si>
    <t>decProd2Units</t>
  </si>
  <si>
    <t>decProd2Price</t>
  </si>
  <si>
    <t>datapageCompdecProd1Units</t>
  </si>
  <si>
    <t>datapageCompdecProd1Price</t>
  </si>
  <si>
    <t>datapageCompdecProd2Units</t>
  </si>
  <si>
    <t>datapageCompdecProd2Price</t>
  </si>
  <si>
    <t>datapageCompdecProd1ProdTechLvl</t>
  </si>
  <si>
    <t>datapageCompdecProd1TTMIntFTEs</t>
  </si>
  <si>
    <t>datapageCompdecProd1TTMConFTEs</t>
  </si>
  <si>
    <t>datapageCompdecProd2ProdTechLvl</t>
  </si>
  <si>
    <t>datapageCompdecProd2TTMIntFTEs</t>
  </si>
  <si>
    <t>datapageCompdecProd2TTMConFTEs</t>
  </si>
  <si>
    <t>datapageCompdecContentLvl</t>
  </si>
  <si>
    <t>datapageCompdecContentMethod</t>
  </si>
  <si>
    <t>datapageCompdecEmp1Change</t>
  </si>
  <si>
    <t>datapageCompdecEmp1TrainingLvl</t>
  </si>
  <si>
    <t>datapageCompdecSalesNewPerc</t>
  </si>
  <si>
    <t>datapageCompdecSalesExistingPerc</t>
  </si>
  <si>
    <t>datapageCompdecGlobalExpansion</t>
  </si>
  <si>
    <t>datapageCompdecSFCoverage</t>
  </si>
  <si>
    <t>datapageCompdecDCConsolidation</t>
  </si>
  <si>
    <t>datapageCompdecMarketing</t>
  </si>
  <si>
    <t>datapageCompdecTeamNumber</t>
  </si>
  <si>
    <t>datapageCompdecTeamName</t>
  </si>
  <si>
    <t>datapageCompdecTeamYear</t>
  </si>
  <si>
    <t>obalMkt</t>
  </si>
  <si>
    <t>Grw-13</t>
  </si>
  <si>
    <t>Grw-14</t>
  </si>
  <si>
    <t>Trns-13</t>
  </si>
  <si>
    <t>Trns-14</t>
  </si>
  <si>
    <t>FTE-1</t>
  </si>
  <si>
    <t>FTE-2</t>
  </si>
  <si>
    <t>FTE-3</t>
  </si>
  <si>
    <t>FTE-4</t>
  </si>
  <si>
    <t>FTE-5</t>
  </si>
  <si>
    <t>FTE-6</t>
  </si>
  <si>
    <t>FTE-7</t>
  </si>
  <si>
    <t>FTE-8</t>
  </si>
  <si>
    <t>FTE-9</t>
  </si>
  <si>
    <t>FTE-10</t>
  </si>
  <si>
    <t>Staff-1</t>
  </si>
  <si>
    <t>Staff-2</t>
  </si>
  <si>
    <t>Staff-3</t>
  </si>
  <si>
    <t>Staff-4</t>
  </si>
  <si>
    <t>Staff-5</t>
  </si>
  <si>
    <t>Staff-6</t>
  </si>
  <si>
    <t>Staff-7</t>
  </si>
  <si>
    <t>Service-1</t>
  </si>
  <si>
    <t>Service-2</t>
  </si>
  <si>
    <t>Service-3</t>
  </si>
  <si>
    <t>Service-4</t>
  </si>
  <si>
    <t>Service-5</t>
  </si>
  <si>
    <t>Service-6</t>
  </si>
  <si>
    <t>Service-7</t>
  </si>
  <si>
    <t>Staff</t>
  </si>
  <si>
    <t>DC-2</t>
  </si>
  <si>
    <t>DC-3</t>
  </si>
  <si>
    <t>DC-4</t>
  </si>
  <si>
    <t>DC-5</t>
  </si>
  <si>
    <t>DC-6</t>
  </si>
  <si>
    <t>DC-7</t>
  </si>
  <si>
    <t>DC-8</t>
  </si>
  <si>
    <t>DC-9</t>
  </si>
  <si>
    <t>DC-10</t>
  </si>
  <si>
    <t>Misc-13</t>
  </si>
  <si>
    <t>Misc-14</t>
  </si>
  <si>
    <t>Misc-15</t>
  </si>
  <si>
    <t>Misc-16</t>
  </si>
  <si>
    <t>Misc-17</t>
  </si>
  <si>
    <t>Misc-18</t>
  </si>
  <si>
    <t>Misc-19</t>
  </si>
  <si>
    <t>Misc-20</t>
  </si>
  <si>
    <t>Misc-21</t>
  </si>
  <si>
    <t>Misc-22</t>
  </si>
  <si>
    <t>Misc-23</t>
  </si>
  <si>
    <t>Misc-24</t>
  </si>
  <si>
    <t>Misc-25</t>
  </si>
  <si>
    <t>SP-1</t>
  </si>
  <si>
    <t>SP-2</t>
  </si>
  <si>
    <t>SP-3</t>
  </si>
  <si>
    <t>SP-4</t>
  </si>
  <si>
    <t>SP-5</t>
  </si>
  <si>
    <t>SP-6</t>
  </si>
  <si>
    <t>SP-7</t>
  </si>
  <si>
    <t>SP-8</t>
  </si>
  <si>
    <t>SP-9</t>
  </si>
  <si>
    <t>SP-10</t>
  </si>
  <si>
    <t>SP-11</t>
  </si>
  <si>
    <t>SP-12</t>
  </si>
  <si>
    <t>SP-13</t>
  </si>
  <si>
    <t>SP-14</t>
  </si>
  <si>
    <t>SP-15</t>
  </si>
  <si>
    <t>Other-1</t>
  </si>
  <si>
    <t>Other-2</t>
  </si>
  <si>
    <t>Other-3</t>
  </si>
  <si>
    <t>Sales Force</t>
  </si>
  <si>
    <t>Customer Service</t>
  </si>
  <si>
    <t>OPEN</t>
  </si>
  <si>
    <t>cbalProd1SubGrowth</t>
  </si>
  <si>
    <t>cbalProd2SubGrowth</t>
  </si>
  <si>
    <t>obalProd1SubGrowth</t>
  </si>
  <si>
    <t>obalProd2SubGrowth</t>
  </si>
  <si>
    <t>Content DC Capacity Per Lvl</t>
  </si>
  <si>
    <t>3rd Party Percentage</t>
  </si>
  <si>
    <t>obalProd2ThirdPartyPerc</t>
  </si>
  <si>
    <t>obalProd1ThirdPartyPerc</t>
  </si>
  <si>
    <t>3rd Party Usage</t>
  </si>
  <si>
    <t>Last Year 3rd Party Percent</t>
  </si>
  <si>
    <t>Increase in 3rd Party Usage</t>
  </si>
  <si>
    <t>Ending 3rd Party Percent</t>
  </si>
  <si>
    <t>capProd1ThirdPartyPerc</t>
  </si>
  <si>
    <t>capProd2ThirdPartyPerc</t>
  </si>
  <si>
    <t>Cancellation Rate</t>
  </si>
  <si>
    <t>Last Year Cancellation Rate</t>
  </si>
  <si>
    <t>Change in Price</t>
  </si>
  <si>
    <t>Sales Force Focus</t>
  </si>
  <si>
    <t>obalProd1CancellationRate</t>
  </si>
  <si>
    <t>obalProd2CancellationRate</t>
  </si>
  <si>
    <t>Total Impact</t>
  </si>
  <si>
    <t>Ending Cancellation Rate</t>
  </si>
  <si>
    <t>capProd1CancellationRate</t>
  </si>
  <si>
    <t>capProd2CancellationRate</t>
  </si>
  <si>
    <t>Select Initiative</t>
  </si>
  <si>
    <r>
      <t xml:space="preserve">Net Sales </t>
    </r>
    <r>
      <rPr>
        <i/>
        <sz val="8"/>
        <color theme="1"/>
        <rFont val="Arial"/>
        <family val="2"/>
      </rPr>
      <t>(New sales less cancellations)</t>
    </r>
  </si>
  <si>
    <t>Bloomfield</t>
  </si>
  <si>
    <t>Percent Change</t>
  </si>
  <si>
    <t>tlOutputCurrentYearScore</t>
  </si>
  <si>
    <t>tlOutputCumulativeScore</t>
  </si>
  <si>
    <t>Overall Revenues</t>
  </si>
  <si>
    <t>Score</t>
  </si>
  <si>
    <t>finCashOIMargin</t>
  </si>
  <si>
    <t>Employee Engagement</t>
  </si>
  <si>
    <t>New Sales vs. Recurring Revenue</t>
  </si>
  <si>
    <t>New Sales</t>
  </si>
  <si>
    <t>Recurring Revenue</t>
  </si>
  <si>
    <t>Customer Retention Rate</t>
  </si>
  <si>
    <t>Total Cancellation Rate</t>
  </si>
  <si>
    <t>capTotalCancellationRate</t>
  </si>
  <si>
    <t>Technology</t>
  </si>
  <si>
    <t>capCSATTechnology</t>
  </si>
  <si>
    <t>Other Operating Expenses</t>
  </si>
  <si>
    <t>&lt;--- initiatives and training decision</t>
  </si>
  <si>
    <t>Employee Training</t>
  </si>
  <si>
    <t>Trends</t>
  </si>
  <si>
    <t>Year 0 Revenue</t>
  </si>
  <si>
    <t>Year 1 Revenue</t>
  </si>
  <si>
    <t>Year 2 Revenue</t>
  </si>
  <si>
    <t>obalTotalRevY0</t>
  </si>
  <si>
    <t>obalTotalRevY1</t>
  </si>
  <si>
    <t>obalTotalRevY2</t>
  </si>
  <si>
    <t>obalTotalRevY3</t>
  </si>
  <si>
    <t>cbalTotalRevY0</t>
  </si>
  <si>
    <t>cbalTotalRevY1</t>
  </si>
  <si>
    <t>cbalTotalRevY2</t>
  </si>
  <si>
    <t>cbalTotalRevY3</t>
  </si>
  <si>
    <t>Year 0 Operating Margin</t>
  </si>
  <si>
    <t>Year 1 Operating Margin</t>
  </si>
  <si>
    <t>Year 2 Operating Margin</t>
  </si>
  <si>
    <t>obalCashOIY0</t>
  </si>
  <si>
    <t>obalCashOIY1</t>
  </si>
  <si>
    <t>obalCashOIY2</t>
  </si>
  <si>
    <t>obalCashOIY3</t>
  </si>
  <si>
    <t>obalOperatingMarginY0</t>
  </si>
  <si>
    <t>obalOperatingMarginY1</t>
  </si>
  <si>
    <t>obalOperatingMarginY2</t>
  </si>
  <si>
    <t>obalOperatingMarginY3</t>
  </si>
  <si>
    <t>cbalOperatingMarginY0</t>
  </si>
  <si>
    <t>cbalOperatingMarginY1</t>
  </si>
  <si>
    <t>cbalOperatingMarginY2</t>
  </si>
  <si>
    <t>cbalOperatingMarginY3</t>
  </si>
  <si>
    <t>cbalCashOIY0</t>
  </si>
  <si>
    <t>cbalCashOIY1</t>
  </si>
  <si>
    <t>cbalCashOIY2</t>
  </si>
  <si>
    <t>cbalCashOIY3</t>
  </si>
  <si>
    <t>Year 0 Cash OI</t>
  </si>
  <si>
    <t>Year 1 Cash OI</t>
  </si>
  <si>
    <t>Year 2 Cash OI</t>
  </si>
  <si>
    <t>Year 0 ESAT</t>
  </si>
  <si>
    <t>Year 1 ESAT</t>
  </si>
  <si>
    <t>Year 2 ESAT</t>
  </si>
  <si>
    <t>obalESATY0</t>
  </si>
  <si>
    <t>obalESATY1</t>
  </si>
  <si>
    <t>obalESATY2</t>
  </si>
  <si>
    <t>obalESATY3</t>
  </si>
  <si>
    <t>cbalESATY0</t>
  </si>
  <si>
    <t>cbalESATY1</t>
  </si>
  <si>
    <t>cbalESATY2</t>
  </si>
  <si>
    <t>cbalESATY3</t>
  </si>
  <si>
    <t>Year 0 CSAT</t>
  </si>
  <si>
    <t>cbalCSATY0</t>
  </si>
  <si>
    <t>Year 1 CSAT</t>
  </si>
  <si>
    <t>cbalCSATY1</t>
  </si>
  <si>
    <t>Year 2 CSAT</t>
  </si>
  <si>
    <t>cbalCSATY2</t>
  </si>
  <si>
    <t>cbalCSATY3</t>
  </si>
  <si>
    <t>obalCSATY0</t>
  </si>
  <si>
    <t>obalCSATY1</t>
  </si>
  <si>
    <t>obalCSATY2</t>
  </si>
  <si>
    <t>obalCSATY3</t>
  </si>
  <si>
    <t>Revenue Trend</t>
  </si>
  <si>
    <t>Operating Margin Trend</t>
  </si>
  <si>
    <t>Cash OI Trend</t>
  </si>
  <si>
    <t>ESAT Trend</t>
  </si>
  <si>
    <t>CSAT Trend</t>
  </si>
  <si>
    <t>Wobbler 1</t>
  </si>
  <si>
    <t>Wobbler 2</t>
  </si>
  <si>
    <t>Wobbler 3</t>
  </si>
  <si>
    <t>Wobbler 4</t>
  </si>
  <si>
    <t>EVT1</t>
  </si>
  <si>
    <t>EVT2</t>
  </si>
  <si>
    <t>EVT3</t>
  </si>
  <si>
    <t>EVT4</t>
  </si>
  <si>
    <t>1C</t>
  </si>
  <si>
    <t>2C</t>
  </si>
  <si>
    <t>4C</t>
  </si>
  <si>
    <t>5C</t>
  </si>
  <si>
    <t>6C</t>
  </si>
  <si>
    <t>7C</t>
  </si>
  <si>
    <t>8B</t>
  </si>
  <si>
    <t>8C</t>
  </si>
  <si>
    <t>Acquire</t>
  </si>
  <si>
    <t>Invest</t>
  </si>
  <si>
    <t>Due Diligence</t>
  </si>
  <si>
    <t>cbalEVT1Y1</t>
  </si>
  <si>
    <t>cbalEVT1Y2</t>
  </si>
  <si>
    <t>cbalEVT1Y3</t>
  </si>
  <si>
    <t>cbalEVT2Y1</t>
  </si>
  <si>
    <t>cbalEVT3Y1</t>
  </si>
  <si>
    <t>cbalEVT4Y1</t>
  </si>
  <si>
    <t>cbalEVT2Y2</t>
  </si>
  <si>
    <t>cbalEVT3Y2</t>
  </si>
  <si>
    <t>cbalEVT4Y2</t>
  </si>
  <si>
    <t>cbalEVT2Y3</t>
  </si>
  <si>
    <t>cbalEVT3Y3</t>
  </si>
  <si>
    <t>cbalEVT4Y3</t>
  </si>
  <si>
    <t>No Service</t>
  </si>
  <si>
    <t>Build</t>
  </si>
  <si>
    <t>Innovation Process</t>
  </si>
  <si>
    <t>No Build</t>
  </si>
  <si>
    <t>Leverage 3rd Party</t>
  </si>
  <si>
    <t>Build and Charge</t>
  </si>
  <si>
    <t>Build and no Charge</t>
  </si>
  <si>
    <t>Buy</t>
  </si>
  <si>
    <t>Create</t>
  </si>
  <si>
    <t>Partner</t>
  </si>
  <si>
    <t>Hire More</t>
  </si>
  <si>
    <t>Leverage Tech</t>
  </si>
  <si>
    <t>Status Quo</t>
  </si>
  <si>
    <t>Full Integrate</t>
  </si>
  <si>
    <t>Partial Integrate</t>
  </si>
  <si>
    <t>Not Open Platform</t>
  </si>
  <si>
    <t>Open Platform</t>
  </si>
  <si>
    <t>Cash OI Margin</t>
  </si>
  <si>
    <t>Leading in Business</t>
  </si>
  <si>
    <t>CaseConnect Opportunity</t>
  </si>
  <si>
    <t>Service Team Development</t>
  </si>
  <si>
    <t>Leveraging Third Parties</t>
  </si>
  <si>
    <t>Innovating for Zipfer</t>
  </si>
  <si>
    <t>Workforce Management</t>
  </si>
  <si>
    <t>Acquisition Integration</t>
  </si>
  <si>
    <t>Open Platforms</t>
  </si>
  <si>
    <t>cbalPNLCashOI</t>
  </si>
  <si>
    <t>obalPNLCashOI</t>
  </si>
  <si>
    <t>Buy, Create, or Partner</t>
  </si>
  <si>
    <t>tlOutputProd1NewSales</t>
  </si>
  <si>
    <t>tlOutputProd2NewSales</t>
  </si>
  <si>
    <t>tlOutputNewSales</t>
  </si>
  <si>
    <t>tlOutputProd1CancelledSales</t>
  </si>
  <si>
    <t>tlOutputProd2CancelledSales</t>
  </si>
  <si>
    <t>tlOutputCancelledSales</t>
  </si>
  <si>
    <t>tlOutputProd1ServiceSales</t>
  </si>
  <si>
    <t>tlOutputProd2ServiceSales</t>
  </si>
  <si>
    <t>tlOutputServiceSales</t>
  </si>
  <si>
    <t>tlOutputProd1NetNewSales</t>
  </si>
  <si>
    <t>tlOutputProd2NetNewSales</t>
  </si>
  <si>
    <t>tlOutputNetNewSales</t>
  </si>
  <si>
    <t>tlOutputProd1SubRev</t>
  </si>
  <si>
    <t>tlOutputProd2SubRev</t>
  </si>
  <si>
    <t>tlOutputSubRev</t>
  </si>
  <si>
    <t>tlOutputCSSubRev</t>
  </si>
  <si>
    <t>tlOutputProd1ServiceRev</t>
  </si>
  <si>
    <t>tlOutputProd2ServiceRev</t>
  </si>
  <si>
    <t>tlOutputServiceRev</t>
  </si>
  <si>
    <t>tlOutputCSServiceRev</t>
  </si>
  <si>
    <t>tlOutputProd1Rev</t>
  </si>
  <si>
    <t>tlOutputProd2Rev</t>
  </si>
  <si>
    <t>tlOutputRev</t>
  </si>
  <si>
    <t>tlOutputCSRev</t>
  </si>
  <si>
    <t>tlOutputProd1EmpExp</t>
  </si>
  <si>
    <t>tlOutputProd2EmpExp</t>
  </si>
  <si>
    <t>tlOutputEmpExp</t>
  </si>
  <si>
    <t>tlOutputCSEmpExp</t>
  </si>
  <si>
    <t>tlOutputProd1RevExp</t>
  </si>
  <si>
    <t>tlOutputProd2RevExp</t>
  </si>
  <si>
    <t>tlOutputRevExp</t>
  </si>
  <si>
    <t>tlOutputCSRevExp</t>
  </si>
  <si>
    <t>tlOutputProd1ProdDevExp</t>
  </si>
  <si>
    <t>tlOutputProd2ProdDevExp</t>
  </si>
  <si>
    <t>tlOutputProdDevExp</t>
  </si>
  <si>
    <t>tlOutputCSProdDevExp</t>
  </si>
  <si>
    <t>tlOutputProd1AdminInfraExp</t>
  </si>
  <si>
    <t>tlOutputProd2AdminInfraExp</t>
  </si>
  <si>
    <t>tlOutputAdminInfraExp</t>
  </si>
  <si>
    <t>tlOutputCSAdminInfraExp</t>
  </si>
  <si>
    <t>tlOutputProd1OtherOpExp</t>
  </si>
  <si>
    <t>tlOutputProd2OtherOpExp</t>
  </si>
  <si>
    <t>tlOutputOtherOpExp</t>
  </si>
  <si>
    <t>tlOutputCSOtherOpExp</t>
  </si>
  <si>
    <t>tlOutputProd1OperatingExp</t>
  </si>
  <si>
    <t>tlOutputProd2OperatingExp</t>
  </si>
  <si>
    <t>tlOutputOperatingExp</t>
  </si>
  <si>
    <t>tlOutputCSOperatingExp</t>
  </si>
  <si>
    <t>tlOutputProd1EBITDA</t>
  </si>
  <si>
    <t>tlOutputProd2EBITDA</t>
  </si>
  <si>
    <t>tlOutputEBITDA</t>
  </si>
  <si>
    <t>tlOutputCSEBITDA</t>
  </si>
  <si>
    <t>tlOutputProd1EBITDAMargin</t>
  </si>
  <si>
    <t>tlOutputProd2EBITDAMargin</t>
  </si>
  <si>
    <t>tlOutputEBITDAMargin</t>
  </si>
  <si>
    <t>tlOutputProd1DeprAmortExp</t>
  </si>
  <si>
    <t>tlOutputProd2DeprAmortExp</t>
  </si>
  <si>
    <t>tlOutputDeprAmortExp</t>
  </si>
  <si>
    <t>tlOutputCSDeprAmortExp</t>
  </si>
  <si>
    <t>tlOutputProd1OperatingIncome</t>
  </si>
  <si>
    <t>tlOutputProd2OperatingIncome</t>
  </si>
  <si>
    <t>tlOutputOperatingIncome</t>
  </si>
  <si>
    <t>tlOutputCSOperatingIncome</t>
  </si>
  <si>
    <t>tlOutputProd1OperatingMargin</t>
  </si>
  <si>
    <t>tlOutputProd2OperatingMargin</t>
  </si>
  <si>
    <t>tlOutputOperatingMargin</t>
  </si>
  <si>
    <t>tlOutputExtraOrdExp</t>
  </si>
  <si>
    <t>tlOutputCSExtraOrdExp</t>
  </si>
  <si>
    <t>tlOutputNetIntExp</t>
  </si>
  <si>
    <t>tlOutputCSNetIntExp</t>
  </si>
  <si>
    <t>tlOutputTaxExp</t>
  </si>
  <si>
    <t>tlOutputCSTaxExp</t>
  </si>
  <si>
    <t>tlOutputNetEarn</t>
  </si>
  <si>
    <t>tlOutputCSNetEarn</t>
  </si>
  <si>
    <t>tlOutputProfitMargin</t>
  </si>
  <si>
    <t>tlOutputPCSubRev</t>
  </si>
  <si>
    <t>tlOutputPCServiceRev</t>
  </si>
  <si>
    <t>tlOutputPCRev</t>
  </si>
  <si>
    <t>tlOutputPCEmpExp</t>
  </si>
  <si>
    <t>tlOutputPCRevExp</t>
  </si>
  <si>
    <t>tlOutputPCProdDevExp</t>
  </si>
  <si>
    <t>tlOutputPCAdminInfraExp</t>
  </si>
  <si>
    <t>tlOutputPCOtherOpExp</t>
  </si>
  <si>
    <t>tlOutputPCOperatingExp</t>
  </si>
  <si>
    <t>tlOutputPCEBITDA</t>
  </si>
  <si>
    <t>tlOutputPCDeprAmortExp</t>
  </si>
  <si>
    <t>tlOutputPCOperatingIncome</t>
  </si>
  <si>
    <t>tlOutputPCExtraOrdExp</t>
  </si>
  <si>
    <t>tlOutputPCNetIntExp</t>
  </si>
  <si>
    <t>tlOutputPCNetEarn</t>
  </si>
  <si>
    <t>tlOutputcbalCashValue</t>
  </si>
  <si>
    <t>tlOutputobalCashValue</t>
  </si>
  <si>
    <t>tlOutputCSCashValue</t>
  </si>
  <si>
    <t>tlOutputPCCashValue</t>
  </si>
  <si>
    <t>tlOutputcbalARValue</t>
  </si>
  <si>
    <t>tlOutputobalARValue</t>
  </si>
  <si>
    <t>tlOutputCSARValue</t>
  </si>
  <si>
    <t>tlOutputPCARValue</t>
  </si>
  <si>
    <t>tlOutputcbalOtherCurrentAssets</t>
  </si>
  <si>
    <t>tlOutputobalOtherCurrentAssets</t>
  </si>
  <si>
    <t>tlOutputCSOtherCurrentAssets</t>
  </si>
  <si>
    <t>tlOutputPCOtherCurrentAssets</t>
  </si>
  <si>
    <t>tlOutputcbalCurrentAssets</t>
  </si>
  <si>
    <t>tlOutputobalCurrentAssets</t>
  </si>
  <si>
    <t>tlOutputCSCurrentAssets</t>
  </si>
  <si>
    <t>tlOutputPCCurrentAssets</t>
  </si>
  <si>
    <t>tlOutputcbalPropertyValue</t>
  </si>
  <si>
    <t>tlOutputobalPropertyValue</t>
  </si>
  <si>
    <t>tlOutputCSPropertyValue</t>
  </si>
  <si>
    <t>tlOutputPCPropertyValue</t>
  </si>
  <si>
    <t>tlOutputcbalSoftwareValue</t>
  </si>
  <si>
    <t>tlOutputobalSoftwareValue</t>
  </si>
  <si>
    <t>tlOutputCSSoftwareValue</t>
  </si>
  <si>
    <t>tlOutputPCSoftwareValue</t>
  </si>
  <si>
    <t>tlOutputcbalOtherValue</t>
  </si>
  <si>
    <t>tlOutputobalOtherValue</t>
  </si>
  <si>
    <t>tlOutputCSOtherValue</t>
  </si>
  <si>
    <t>tlOutputPCOtherValue</t>
  </si>
  <si>
    <t>tlOutputcbalGoodwillValue</t>
  </si>
  <si>
    <t>tlOutputobalGoodwillValue</t>
  </si>
  <si>
    <t>tlOutputCSGoodwillValue</t>
  </si>
  <si>
    <t>tlOutputPCGoodwillValue</t>
  </si>
  <si>
    <t>tlOutputcbalAssetsValue</t>
  </si>
  <si>
    <t>tlOutputobalAssetsValue</t>
  </si>
  <si>
    <t>tlOutputCSAssetsValue</t>
  </si>
  <si>
    <t>tlOutputPCAssetsValue</t>
  </si>
  <si>
    <t>tlOutputcbalAPValue</t>
  </si>
  <si>
    <t>tlOutputobalAPValue</t>
  </si>
  <si>
    <t>tlOutputCSAPValue</t>
  </si>
  <si>
    <t>tlOutputPCAPValue</t>
  </si>
  <si>
    <t>tlOutputcbalOtherCurrLiabValue</t>
  </si>
  <si>
    <t>tlOutputobalOtherCurrLiabValue</t>
  </si>
  <si>
    <t>tlOutputCSOtherCurrLiabValue</t>
  </si>
  <si>
    <t>tlOutputPCOtherCurrLiabValue</t>
  </si>
  <si>
    <t>tlOutputcbalSpecLoansValue</t>
  </si>
  <si>
    <t>tlOutputobalSpecLoansValue</t>
  </si>
  <si>
    <t>tlOutputCSSpecLoansValue</t>
  </si>
  <si>
    <t>tlOutputPCSpecLoansValue</t>
  </si>
  <si>
    <t>tlOutputcbalCurrentLiabValue</t>
  </si>
  <si>
    <t>tlOutputobalCurrentLiabValue</t>
  </si>
  <si>
    <t>tlOutputCSCurrentLiabValue</t>
  </si>
  <si>
    <t>tlOutputPCCurrentLiabValue</t>
  </si>
  <si>
    <t>tlOutputcbalOtherLTLiabValue</t>
  </si>
  <si>
    <t>tlOutputobalOtherLTLiabValue</t>
  </si>
  <si>
    <t>tlOutputCSOtherLTLiabValue</t>
  </si>
  <si>
    <t>tlOutputPCOtherLTLiabValue</t>
  </si>
  <si>
    <t>tlOutputcbalLTDebtValue</t>
  </si>
  <si>
    <t>tlOutputobalLTDebtValue</t>
  </si>
  <si>
    <t>tlOutputCSLTDebtValue</t>
  </si>
  <si>
    <t>tlOutputPCLTDebtValue</t>
  </si>
  <si>
    <t>tlOutputcbalTotalLiabilities</t>
  </si>
  <si>
    <t>tlOutputobalTotalLiabilities</t>
  </si>
  <si>
    <t>tlOutputCSTotalLiabilities</t>
  </si>
  <si>
    <t>tlOutputPCTotalLiabilities</t>
  </si>
  <si>
    <t>tlOutputcbalCStockValue</t>
  </si>
  <si>
    <t>tlOutputobalCStockValue</t>
  </si>
  <si>
    <t>tlOutputCSCStockValue</t>
  </si>
  <si>
    <t>tlOutputPCCStockValue</t>
  </si>
  <si>
    <t>tlOutputcbalRetEarnValue</t>
  </si>
  <si>
    <t>tlOutputobalRetEarnValue</t>
  </si>
  <si>
    <t>tlOutputCSRetEarnValue</t>
  </si>
  <si>
    <t>tlOutputPCRetEarnValue</t>
  </si>
  <si>
    <t>tlOutputcbalEquity</t>
  </si>
  <si>
    <t>tlOutputobalEquity</t>
  </si>
  <si>
    <t>tlOutputCSEquity</t>
  </si>
  <si>
    <t>tlOutputPCEquity</t>
  </si>
  <si>
    <t>tlOutputcbalTotalLiabilitiesEquity</t>
  </si>
  <si>
    <t>tlOutputobalTotalLiabilitiesEquity</t>
  </si>
  <si>
    <t>tlOutputCSTotalLiabilitiesEquity</t>
  </si>
  <si>
    <t>tlOutputPCTotalLiabilitiesEquity</t>
  </si>
  <si>
    <t>Year -1</t>
  </si>
  <si>
    <t>tlOutputCFCashValue</t>
  </si>
  <si>
    <t>tlOutputCFPNLNetEarn</t>
  </si>
  <si>
    <t>tlOutputCashFlowDep+tlOutputCashFlowAmort</t>
  </si>
  <si>
    <t>tlOutputCashFlowAssetLoss</t>
  </si>
  <si>
    <t>tlOutputCashFlowARChange</t>
  </si>
  <si>
    <t>tlOutputCashFlowOtherCurrAssetsChange</t>
  </si>
  <si>
    <t>tlOutputCashFlowAPChange</t>
  </si>
  <si>
    <t>tlOutputCashFlowOtherCurrLiabChange</t>
  </si>
  <si>
    <t>tlOutputCashFlowWorkCap</t>
  </si>
  <si>
    <t>tlOutputCashFlowOperating</t>
  </si>
  <si>
    <t>tlOutputCashFlowPropertyDivest</t>
  </si>
  <si>
    <t>tlOutputCashFlowAcquireInvest</t>
  </si>
  <si>
    <t>tlOutputCashFlowPropertyInvest</t>
  </si>
  <si>
    <t>tlOutputCashFlowInvest</t>
  </si>
  <si>
    <t>tlOutputFreeCashFlow</t>
  </si>
  <si>
    <t>tlOutputCashFlowLTDebtChange</t>
  </si>
  <si>
    <t>tlOutputCashFlowDividendPayOut</t>
  </si>
  <si>
    <t>tlOutputCashFlowtlOutputance</t>
  </si>
  <si>
    <t>tlOutputCashClosingValue</t>
  </si>
  <si>
    <t>tlOutputCOIRev</t>
  </si>
  <si>
    <t>tlOutputCOIOperatingExp</t>
  </si>
  <si>
    <t>tlOutputCOIEBITDA</t>
  </si>
  <si>
    <t>tlOutputCOICashOI</t>
  </si>
  <si>
    <t>tlOutputCOICapEx</t>
  </si>
  <si>
    <t>tlOutputFPDAxxMMProd1Units</t>
  </si>
  <si>
    <t>tlOutputFPDAxxMMProd2Units</t>
  </si>
  <si>
    <t>tlOutputRDDAcbalProd1ProdTechLvl</t>
  </si>
  <si>
    <t>tlOutputRDDAcbalProd2ProdTechLvl</t>
  </si>
  <si>
    <t>tlOutputRDDAcapProd1Ftr1Emp1Req</t>
  </si>
  <si>
    <t>tlOutputRDDAcapProd2Ftr1Emp1Req</t>
  </si>
  <si>
    <t>tlOutputRDDAcapProd1TTM</t>
  </si>
  <si>
    <t>tlOutputRDDAcapProd2TTM</t>
  </si>
  <si>
    <t>tlOutputRDDAcapProd1DevExp</t>
  </si>
  <si>
    <t>tlOutputRDDAcapProd2DevExp</t>
  </si>
  <si>
    <t>tlOutputRDcapProd1EmpReq</t>
  </si>
  <si>
    <t>tlOutputRDcapProd2EmpReq</t>
  </si>
  <si>
    <t>tlOutputRDobalProd1EmpReq</t>
  </si>
  <si>
    <t>tlOutputRDobalProd2EmpReq</t>
  </si>
  <si>
    <t>tlOutputRDcbalProd1ProdTechLvl</t>
  </si>
  <si>
    <t>tlOutputRDobalProd1ProdTechLvl</t>
  </si>
  <si>
    <t>tlOutputRDcbalProd2ProdTechLvl</t>
  </si>
  <si>
    <t>tlOutputRDobalProd2ProdTechLvl</t>
  </si>
  <si>
    <t>tlOutputRDcapCSAT</t>
  </si>
  <si>
    <t>tlOutputRDobalCSAT</t>
  </si>
  <si>
    <t>tlOutputRDcapProd5Ftr1Emp1Req</t>
  </si>
  <si>
    <t>tlOutputRDContentMethod</t>
  </si>
  <si>
    <t>tlOutputRDobalProd5Ftr1Emp1Req</t>
  </si>
  <si>
    <t>tlOutputRDobalContentMethod</t>
  </si>
  <si>
    <t>tlOutputPeopleDAcapEmp1Utiliz</t>
  </si>
  <si>
    <t>tlOutputPeopleDAparamEmp1FTECoefficient</t>
  </si>
  <si>
    <t>tlOutputPeopleDAcapTrainingEmp1Req</t>
  </si>
  <si>
    <t>tlOutputPeopleobalEmp1</t>
  </si>
  <si>
    <t>tlOutputPeoplecapEmp1Att</t>
  </si>
  <si>
    <t>tlOutputPeoplecapEmp1Recruited+-tlOutputPeoplecapEmp1Dismissed</t>
  </si>
  <si>
    <t>tlOutputPeoplecapEmp1End</t>
  </si>
  <si>
    <t>tlOutputPeopleparamEmp1FTECoefficient</t>
  </si>
  <si>
    <t>tlOutputPeoplecapEmp1Total</t>
  </si>
  <si>
    <t>tlOutputPeoplecapProd1Ftr1Emp1Req</t>
  </si>
  <si>
    <t>tlOutputPeoplecapProd2Ftr1Emp1Req</t>
  </si>
  <si>
    <t>tlOutputPeoplecapProd5Ftr1Emp1Req</t>
  </si>
  <si>
    <t>tlOutputPeoplecapOpsEmp1Req</t>
  </si>
  <si>
    <t>tlOutputPeoplecapInitsEmp1Req</t>
  </si>
  <si>
    <t>tlOutputPeoplecapEmp1FTERemaining</t>
  </si>
  <si>
    <t>tlOutputOpsDAcbalGlobalExpansionLvl</t>
  </si>
  <si>
    <t>tlOutputOpsDAcapGlobalExpansionEmp1Req</t>
  </si>
  <si>
    <t>tlOutputOpsDAcapGlobalExpansionCapEx</t>
  </si>
  <si>
    <t>tlOutputOpsDAcbalGlobalSalesMktLvl</t>
  </si>
  <si>
    <t>tlOutputOpsDAcapSalesCoverageEmp1Req</t>
  </si>
  <si>
    <t>tlOutputOpscapPlant1Utiliz</t>
  </si>
  <si>
    <t>tlOutputOpsDAobalPlant1Units</t>
  </si>
  <si>
    <t>tlOutputOpscapPlant1NonUtiliz</t>
  </si>
  <si>
    <t>tlOutputOpsDAcapPlant1UnitsEnd</t>
  </si>
  <si>
    <t>tlOutputOpsDAcapPlant1ConsolidationEmp1Req</t>
  </si>
  <si>
    <t>tlOutputOpsDAcapCSAT</t>
  </si>
  <si>
    <t>tlOutputOpsobalPNLOperatingExp</t>
  </si>
  <si>
    <t>tlOutputOpsfinPNLOperatingExp</t>
  </si>
  <si>
    <t>tlOutputProgramsDAMktChange</t>
  </si>
  <si>
    <t>tlOutputDBfinPNLRev</t>
  </si>
  <si>
    <t>tlOutputDBfinPNLOperatingMargin</t>
  </si>
  <si>
    <t>tlOutputDBfinCashOI</t>
  </si>
  <si>
    <t>tlOutputDBcapESAT</t>
  </si>
  <si>
    <t>tlOutputDBcapCSAT</t>
  </si>
  <si>
    <t>tlOutputDBcapEmp1FTERemaining</t>
  </si>
  <si>
    <t>Selling Value in Transform</t>
  </si>
  <si>
    <t>Coordination and Cross-Selling Efforts</t>
  </si>
  <si>
    <t>Deploy Single Billing System</t>
  </si>
  <si>
    <t>Product Development - Hiring our Customers</t>
  </si>
  <si>
    <t>Demarcated Tiers</t>
  </si>
  <si>
    <t>Strategy Execution Meetings and Breaking Down Siloes</t>
  </si>
  <si>
    <t>Thoughtful Workforce Management</t>
  </si>
  <si>
    <t>Leverage Third Party for Data Centers</t>
  </si>
  <si>
    <t>One PnL for Growth and Transform</t>
  </si>
  <si>
    <t>Design and Manage Value Proposition Marketing</t>
  </si>
  <si>
    <t>Platform Development</t>
  </si>
  <si>
    <t>tlOutputGraphComp1finPNLOperatingExp</t>
  </si>
  <si>
    <t>tlOutputGraphComp1finPNLDeprAmortExp</t>
  </si>
  <si>
    <t>tlOutputGraphComp1finPNLOperatingIncome</t>
  </si>
  <si>
    <t>tlOutputGraphComp1finPNLExistSubRev</t>
  </si>
  <si>
    <t>tlOutputGraphComp1finPNLNewSubRev+finPNLServiceRev</t>
  </si>
  <si>
    <t>tlOutputGraphComp2finPNLOperatingExp</t>
  </si>
  <si>
    <t>tlOutputGraphComp2finPNLDeprAmortExp</t>
  </si>
  <si>
    <t>tlOutputGraphComp2finPNLOperatingIncome</t>
  </si>
  <si>
    <t>tlOutputGraphComp2finPNLExistSubRev</t>
  </si>
  <si>
    <t>tlOutputGraphComp2finPNLNewSubRev+finPNLServiceRev</t>
  </si>
  <si>
    <t>tlOutputGraphFPfinPNLProd1OperatingExp</t>
  </si>
  <si>
    <t>tlOutputGraphFPfinPNLProd1DeprAmortExp</t>
  </si>
  <si>
    <t>tlOutputGraphFPfinPNLProd1OperatingIncome</t>
  </si>
  <si>
    <t>tlOutputGraphFPfinPNLProd2OperatingExp</t>
  </si>
  <si>
    <t>tlOutputGraphFPfinPNLProd2DeprAmortExp</t>
  </si>
  <si>
    <t>tlOutputGraphFPfinPNLProd2OperatingIncome</t>
  </si>
  <si>
    <t>tlOutputGraphRDcapProd2TTM</t>
  </si>
  <si>
    <t>tlOutputGraphRDcapProd1TTM</t>
  </si>
  <si>
    <t>tlOutputGraphRDcapProd1Emp1Req</t>
  </si>
  <si>
    <t>tlOutputGraphRDdecProd1TTMConFTEs</t>
  </si>
  <si>
    <t>tlOutputGraphRDcapProd2Emp1Req</t>
  </si>
  <si>
    <t>tlOutputGraphRDdecProd2TTMConFTEs</t>
  </si>
  <si>
    <t>tlOutputGraphRDobalContentLvlIndAvg</t>
  </si>
  <si>
    <t>tlOutputGraphRDcbalContentLvl</t>
  </si>
  <si>
    <t>tlOutputGraphRDobalProd5Ftr1Emp1Req</t>
  </si>
  <si>
    <t>tlOutputGraphRDobalPNLRoyality</t>
  </si>
  <si>
    <t>tlOutputGraphRDfinPNLRoyalityExp</t>
  </si>
  <si>
    <t>tlOutputGraphPeoplecapProd1Emp1Req</t>
  </si>
  <si>
    <t>tlOutputGraphPeoplecapProd2Emp1Req</t>
  </si>
  <si>
    <t>capContentEmp1Req</t>
  </si>
  <si>
    <t>tlOutputGraphRDcapContentEmp1Req</t>
  </si>
  <si>
    <t>tlOutputGraphPeoplecapContentEmp1Req</t>
  </si>
  <si>
    <t>tlOutputGraphPeopleOperationsEmp1Req</t>
  </si>
  <si>
    <t>tlOutputGraphPeoplecapInitsEmp1Req</t>
  </si>
  <si>
    <t>tlOutputGraphPeopledecSalesNewPerc</t>
  </si>
  <si>
    <t>tlOutputGraphPeopledecSalesExistingPerc</t>
  </si>
  <si>
    <t>tlOutputGraphPeopledecSalesAdminPerc</t>
  </si>
  <si>
    <t>tlOutputGraphOpscapPlant1Utiliz</t>
  </si>
  <si>
    <t>tlOutputGraphOpscapPlant1NonUtiliz</t>
  </si>
  <si>
    <t>tlOutputGraphPeoplecapUnderAllocateEmp1Req</t>
  </si>
  <si>
    <t>tlOutputGraphOpsfinPNLEmpExp</t>
  </si>
  <si>
    <t>tlOutputGraphOpsfinPNLRevExp</t>
  </si>
  <si>
    <t>tlOutputGraphOpsfinPNLProdDevExp</t>
  </si>
  <si>
    <t>tlOutputGraphOpsfinPNLAdminInfraExp</t>
  </si>
  <si>
    <t>tlOutputGraphOpsfinPNLOtherOpExp</t>
  </si>
  <si>
    <t>Column C</t>
  </si>
  <si>
    <t>tlOutputGraphComp1obalPNLOperatingExp</t>
  </si>
  <si>
    <t>tlOutputGraphComp1obalPNLDeprAmortExp</t>
  </si>
  <si>
    <t>tlOutputGraphComp1obalPNLOperatingIncome</t>
  </si>
  <si>
    <t>tlOutputGraphComp2obalPNLOperatingExp</t>
  </si>
  <si>
    <t>tlOutputGraphComp2obalPNLDeprAmortExp</t>
  </si>
  <si>
    <t>tlOutputGraphComp2obalPNLOperatingIncome</t>
  </si>
  <si>
    <t>tlOutputGraphFPobalPNLProd1OperatingExp</t>
  </si>
  <si>
    <t>tlOutputGraphFPobalPNLProd1DeprAmortExp</t>
  </si>
  <si>
    <t>tlOutputGraphFPobalPNLProd1OperatingIncome</t>
  </si>
  <si>
    <t>tlOutputGraphFPobalPNLProd2OperatingExp</t>
  </si>
  <si>
    <t>tlOutputGraphFPobalPNLProd2DeprAmortExp</t>
  </si>
  <si>
    <t>tlOutputGraphFPobalPNLProd2OperatingIncome</t>
  </si>
  <si>
    <t>tlOutputGraphFPobalProd1Emp1Req</t>
  </si>
  <si>
    <t>tlOutputGraphFPobalProd1TTMConFTEs</t>
  </si>
  <si>
    <t>tlOutputGraphFPobalProd2Emp1Req</t>
  </si>
  <si>
    <t>tlOutputGraphFPobalProd2TTMConFTEs</t>
  </si>
  <si>
    <t>tlOutputGraphFPobalSalesNewPerc</t>
  </si>
  <si>
    <t>tlOutputGraphFPobalSalesExistingPerc</t>
  </si>
  <si>
    <t>tlOutputGraphFPSalesAdminPerc</t>
  </si>
  <si>
    <t>tlOutputGraphOpsobalPNLEmpExp</t>
  </si>
  <si>
    <t>tlOutputGraphOpsobalPNLRevExp</t>
  </si>
  <si>
    <t>tlOutputGraphOpsobalPNLProdDevExp</t>
  </si>
  <si>
    <t>tlOutputGraphOpsobalPNLAdminInfraExp</t>
  </si>
  <si>
    <t>tlOutputGraphOpsobalPNLOtherOpExp</t>
  </si>
  <si>
    <t>Column D</t>
  </si>
  <si>
    <t>Column H</t>
  </si>
  <si>
    <t>tlOutputGraphMktRepProd1Yr1</t>
  </si>
  <si>
    <t>tlOutputGraphMktRepProd2Yr1</t>
  </si>
  <si>
    <t>tlOutputGraphMktRepProd1Yr2</t>
  </si>
  <si>
    <t>tlOutputGraphMktRepProd2Yr2</t>
  </si>
  <si>
    <t>tlOutputGraphMktRepProd1Yr3</t>
  </si>
  <si>
    <t>tlOutputGraphMktRepProd2Yr3</t>
  </si>
  <si>
    <t>tlOutputFBdecTeamName</t>
  </si>
  <si>
    <t>tlOutputFBfinPNLProd1Rev</t>
  </si>
  <si>
    <t>tlOutputFBfinPNLProd2Rev</t>
  </si>
  <si>
    <t>tlOutputFBfinCAGR</t>
  </si>
  <si>
    <t>tlOutputFBfinPNLRevNew</t>
  </si>
  <si>
    <t>tlOutputFBfinPNLExistSubRev</t>
  </si>
  <si>
    <t>tlOutputFBcapTotalCancellationRate</t>
  </si>
  <si>
    <t>tlOutputFBfinPNLEmpExp</t>
  </si>
  <si>
    <t>tlOutputFBfinPNLRevExp</t>
  </si>
  <si>
    <t>tlOutputFBfinPNLProdDevExp</t>
  </si>
  <si>
    <t>tlOutputFBfinPNLAdminInfraExp</t>
  </si>
  <si>
    <t>tlOutputFBfinPNLOtherOpExp</t>
  </si>
  <si>
    <t>tlOutputFBfinPNLDeprAmortExp</t>
  </si>
  <si>
    <t>tlOutputFBfinPNLOperatingIncome</t>
  </si>
  <si>
    <t>tlOutputFBfinPNLOperatingMargin</t>
  </si>
  <si>
    <t>tlOutputFBfinCashOI</t>
  </si>
  <si>
    <t>tlOutputFBfinCashOIMargin</t>
  </si>
  <si>
    <t>tlOutputFBProd2VOCDriver1</t>
  </si>
  <si>
    <t>tlOutputFBProd2VOCDriver2</t>
  </si>
  <si>
    <t>tlOutputFBProd2VOCDriver3</t>
  </si>
  <si>
    <t>tlOutputFBProd2VOCDriver4</t>
  </si>
  <si>
    <t>tlOutputFBProd2VOCDriver5</t>
  </si>
  <si>
    <t>tlOutputFBProd2VOCDriver6</t>
  </si>
  <si>
    <t>tlOutputFBcapCSAT</t>
  </si>
  <si>
    <t>tlOutputFBESATDriver1</t>
  </si>
  <si>
    <t>tlOutputFBCSATDriver1</t>
  </si>
  <si>
    <t>tlOutputFBCSATDriver2</t>
  </si>
  <si>
    <t>tlOutputFBCSATDriver3</t>
  </si>
  <si>
    <t>tlOutputFBCSATDriver4</t>
  </si>
  <si>
    <t>tlOutputFBCSATDriver5</t>
  </si>
  <si>
    <t>tlOutputFBCSATDriver6</t>
  </si>
  <si>
    <t>tlOutputFBCSATDriver7</t>
  </si>
  <si>
    <t>tlOutputFBCSATDriver8</t>
  </si>
  <si>
    <t>tlOutputFBCSATDriver9</t>
  </si>
  <si>
    <t>tlOutputFBESATDriver2</t>
  </si>
  <si>
    <t>tlOutputFBESATDriver3</t>
  </si>
  <si>
    <t>tlOutputFBESATDriver4</t>
  </si>
  <si>
    <t>tlOutputFBESATDriver5</t>
  </si>
  <si>
    <t>tlOutputFBESATDriver6</t>
  </si>
  <si>
    <t>tlOutputFBcapESAT</t>
  </si>
  <si>
    <t>tlOutputFBcbalTotalRevY0</t>
  </si>
  <si>
    <t>tlOutputFBcbalTotalRevY1</t>
  </si>
  <si>
    <t>tlOutputFBcbalTotalRevY2</t>
  </si>
  <si>
    <t>tlOutputFBcbalTotalRevY3</t>
  </si>
  <si>
    <t>tlOutputFBcbalOperatingMarginY0</t>
  </si>
  <si>
    <t>tlOutputFBcbalOperatingMarginY1</t>
  </si>
  <si>
    <t>tlOutputFBcbalOperatingMarginY2</t>
  </si>
  <si>
    <t>tlOutputFBcbalOperatingMarginY3</t>
  </si>
  <si>
    <t>tlOutputFBcbalCashOIY0</t>
  </si>
  <si>
    <t>tlOutputFBcbalCashOIY1</t>
  </si>
  <si>
    <t>tlOutputFBcbalCashOIY2</t>
  </si>
  <si>
    <t>tlOutputFBcbalCashOIY3</t>
  </si>
  <si>
    <t>tlOutputFBcbalESATY0</t>
  </si>
  <si>
    <t>tlOutputFBcbalESATY1</t>
  </si>
  <si>
    <t>tlOutputFBcbalESATY2</t>
  </si>
  <si>
    <t>tlOutputFBcbalESATY3</t>
  </si>
  <si>
    <t>tlOutputFBcbalCSATY0</t>
  </si>
  <si>
    <t>tlOutputFBcbalCSATY1</t>
  </si>
  <si>
    <t>tlOutputFBcbalCSATY2</t>
  </si>
  <si>
    <t>tlOutputFBcbalCSATY3</t>
  </si>
  <si>
    <t>tlOutputFBcbalEVT1Y1Choice1</t>
  </si>
  <si>
    <t>tlOutputFBcbalEVT1Y1Choice2</t>
  </si>
  <si>
    <t>tlOutputFBcbalEVT1Y1Choice3</t>
  </si>
  <si>
    <t>tlOutputFBcbalEVT2Y1Choice1</t>
  </si>
  <si>
    <t>tlOutputFBcbalEVT2Y1Choice2</t>
  </si>
  <si>
    <t>tlOutputFBcbalEVT2Y1Choice3</t>
  </si>
  <si>
    <t>tlOutputFBcbalEVT3Y1Choice1</t>
  </si>
  <si>
    <t>tlOutputFBcbalEVT3Y1Choice2</t>
  </si>
  <si>
    <t>tlOutputFBcbalEVT3Y1Choice3</t>
  </si>
  <si>
    <t>tlOutputFBcbalEVT1Y2Choice1</t>
  </si>
  <si>
    <t>tlOutputFBcbalEVT1Y2Choice2</t>
  </si>
  <si>
    <t>tlOutputFBcbalEVT1Y2Choice3</t>
  </si>
  <si>
    <t>tlOutputFBcbalEVT2Y2Choice1</t>
  </si>
  <si>
    <t>tlOutputFBcbalEVT2Y2Choice2</t>
  </si>
  <si>
    <t>tlOutputFBcbalEVT2Y2Choice3</t>
  </si>
  <si>
    <t>tlOutputFBcbalEVT3Y2Choice1</t>
  </si>
  <si>
    <t>tlOutputFBcbalEVT3Y2Choice2</t>
  </si>
  <si>
    <t>tlOutputFBcbalEVT3Y2Choice3</t>
  </si>
  <si>
    <t>tlOutputFBcbalEVT1Y3Choice1</t>
  </si>
  <si>
    <t>tlOutputFBcbalEVT1Y3Choice2</t>
  </si>
  <si>
    <t>tlOutputFBcbalEVT1Y3Choice3</t>
  </si>
  <si>
    <t>tlOutputFBcbalEVT2Y3Choice1</t>
  </si>
  <si>
    <t>tlOutputFBcbalEVT2Y3Choice2</t>
  </si>
  <si>
    <t>tlOutputFBcbalEVT2Y3Choice3</t>
  </si>
  <si>
    <t>tlOutputFBcbalEVT3Y3Choice1</t>
  </si>
  <si>
    <t>tlOutputFBcbalEVT3Y3Choice2</t>
  </si>
  <si>
    <t>tlOutputFBcbalEVT3Y3Choice3</t>
  </si>
  <si>
    <t>Med</t>
  </si>
  <si>
    <t>Category</t>
  </si>
  <si>
    <t>Param #</t>
  </si>
  <si>
    <t>Param Name</t>
  </si>
  <si>
    <t>Cost ($)</t>
  </si>
  <si>
    <t>Cost (FTEs)</t>
  </si>
  <si>
    <t>Base Revenue</t>
  </si>
  <si>
    <t>Client Retention</t>
  </si>
  <si>
    <t>Transaction Sales</t>
  </si>
  <si>
    <t>Simplify Business (Cost Savings)</t>
  </si>
  <si>
    <t>Misc-26</t>
  </si>
  <si>
    <t>Sales Force Productivity</t>
  </si>
  <si>
    <t>paramSalesForceProductivity</t>
  </si>
  <si>
    <t>Cost</t>
  </si>
  <si>
    <t>Simplify The Business</t>
  </si>
  <si>
    <r>
      <t xml:space="preserve">Cost </t>
    </r>
    <r>
      <rPr>
        <sz val="8"/>
        <color rgb="FFFF0000"/>
        <rFont val="Arial"/>
        <family val="2"/>
      </rPr>
      <t>(Med for FTEs)</t>
    </r>
  </si>
  <si>
    <t>Grw-15</t>
  </si>
  <si>
    <t>paramProd1AddProdTechLvl</t>
  </si>
  <si>
    <t>Trns-15</t>
  </si>
  <si>
    <t>paramProd2AddProdTechLvl</t>
  </si>
  <si>
    <t>Initiative Table</t>
  </si>
  <si>
    <t>Product/Content</t>
  </si>
  <si>
    <t>Cont-1</t>
  </si>
  <si>
    <t>Cont-2</t>
  </si>
  <si>
    <t>Cont-3</t>
  </si>
  <si>
    <t>Cont-4</t>
  </si>
  <si>
    <t>paramContentAddLvl</t>
  </si>
  <si>
    <t>obalContentEmp1Req</t>
  </si>
  <si>
    <t>Grw-16</t>
  </si>
  <si>
    <t>paramProd1AddSubs</t>
  </si>
  <si>
    <t>Trns-16</t>
  </si>
  <si>
    <t>paramProd2AddSubs</t>
  </si>
  <si>
    <t>Grw-17</t>
  </si>
  <si>
    <t>paramProd1SubtractSubs</t>
  </si>
  <si>
    <t>Trns-17</t>
  </si>
  <si>
    <t>paramProd2SubtractSubs</t>
  </si>
  <si>
    <t>capProd1SubCancellationRate</t>
  </si>
  <si>
    <t>capProd2SubCancellationRate</t>
  </si>
  <si>
    <t>Sub Cancellation Rate</t>
  </si>
  <si>
    <t>obalProd1SubCancellationRate</t>
  </si>
  <si>
    <t>obalProd2SubCancellationRate</t>
  </si>
  <si>
    <t>Client Retention (delayed)</t>
  </si>
  <si>
    <t>Market Share (delayed)</t>
  </si>
  <si>
    <r>
      <t xml:space="preserve">ESAT - </t>
    </r>
    <r>
      <rPr>
        <sz val="8"/>
        <color rgb="FFFF0000"/>
        <rFont val="Arial"/>
        <family val="2"/>
      </rPr>
      <t>EKE  - combined (Low)</t>
    </r>
  </si>
  <si>
    <r>
      <t xml:space="preserve">Simplify The Business </t>
    </r>
    <r>
      <rPr>
        <sz val="8"/>
        <color rgb="FFFF0000"/>
        <rFont val="Arial"/>
        <family val="2"/>
      </rPr>
      <t>EKE - See changes</t>
    </r>
  </si>
  <si>
    <t>Product (delayed)</t>
  </si>
  <si>
    <t>Sales Productivity</t>
  </si>
  <si>
    <r>
      <t xml:space="preserve">Cost  - </t>
    </r>
    <r>
      <rPr>
        <sz val="8"/>
        <color rgb="FFFF0000"/>
        <rFont val="Arial"/>
        <family val="2"/>
      </rPr>
      <t>EKE  - Increased Impact</t>
    </r>
  </si>
  <si>
    <t xml:space="preserve">Cost </t>
  </si>
  <si>
    <t>Simplify The Business (delayed)</t>
  </si>
  <si>
    <r>
      <t xml:space="preserve">Base Revenue </t>
    </r>
    <r>
      <rPr>
        <sz val="8"/>
        <color rgb="FFFF0000"/>
        <rFont val="Arial"/>
        <family val="2"/>
      </rPr>
      <t>(Service Price)</t>
    </r>
  </si>
  <si>
    <t>Event Multiplier</t>
  </si>
  <si>
    <t>Table Column</t>
  </si>
  <si>
    <t>Product</t>
  </si>
  <si>
    <t>Additional Content Level</t>
  </si>
  <si>
    <t>Event Title</t>
  </si>
  <si>
    <t>Choice A</t>
  </si>
  <si>
    <t>Choice B</t>
  </si>
  <si>
    <t>Choice C</t>
  </si>
  <si>
    <t>FTEs</t>
  </si>
  <si>
    <t>Event</t>
  </si>
  <si>
    <t>Options</t>
  </si>
  <si>
    <t>Key Metric</t>
  </si>
  <si>
    <t>HideRowtoolEvents</t>
  </si>
  <si>
    <t>HideColToolEvents</t>
  </si>
  <si>
    <t>Cash OI ($M)</t>
  </si>
  <si>
    <t>Revenues ($M)</t>
  </si>
  <si>
    <t>Balance for Year 0</t>
  </si>
  <si>
    <t>DC-11</t>
  </si>
  <si>
    <t>paramPlant1ShutDownTrigger</t>
  </si>
  <si>
    <t>ANALYSIS REPORT</t>
  </si>
  <si>
    <t>Simulation Analysis</t>
  </si>
  <si>
    <t>Winning Metric</t>
  </si>
  <si>
    <t>Winning Metric Last Year</t>
  </si>
  <si>
    <t>Winning Metric (Cash OI)</t>
  </si>
  <si>
    <t>Average Winning Metric (Cash OI)</t>
  </si>
  <si>
    <t>analyWinMetric</t>
  </si>
  <si>
    <t>analyWinMetricAvg</t>
  </si>
  <si>
    <t>analyRank</t>
  </si>
  <si>
    <t>analyWinMetricLastYear</t>
  </si>
  <si>
    <t>Key Information</t>
  </si>
  <si>
    <t>THE LEAGUE</t>
  </si>
  <si>
    <t>Team No.</t>
  </si>
  <si>
    <t>Average</t>
  </si>
  <si>
    <t>This year</t>
  </si>
  <si>
    <t>IIC Yr 0</t>
  </si>
  <si>
    <t>HURDLES</t>
  </si>
  <si>
    <t>EVENTS</t>
  </si>
  <si>
    <t>Response</t>
  </si>
  <si>
    <t>cbalSpecProg1Yr1</t>
  </si>
  <si>
    <t>cbalSpecProg2Yr1</t>
  </si>
  <si>
    <t>cbalSpecProg3Yr1</t>
  </si>
  <si>
    <t>cbalSpecProg4Yr1</t>
  </si>
  <si>
    <t>cbalSpecProg5Yr1</t>
  </si>
  <si>
    <t>cbalSpecProg6Yr1</t>
  </si>
  <si>
    <t>cbalSpecProg7Yr1</t>
  </si>
  <si>
    <t>cbalSpecProg8Yr1</t>
  </si>
  <si>
    <t>cbalSpecProg1Yr2</t>
  </si>
  <si>
    <t>cbalSpecProg2Yr2</t>
  </si>
  <si>
    <t>cbalSpecProg3Yr2</t>
  </si>
  <si>
    <t>cbalSpecProg4Yr2</t>
  </si>
  <si>
    <t>cbalSpecProg5Yr2</t>
  </si>
  <si>
    <t>cbalSpecProg6Yr2</t>
  </si>
  <si>
    <t>cbalSpecProg7Yr2</t>
  </si>
  <si>
    <t>cbalSpecProg8Yr2</t>
  </si>
  <si>
    <t>cbalSpecProg1Yr3</t>
  </si>
  <si>
    <t>cbalSpecProg2Yr3</t>
  </si>
  <si>
    <t>cbalSpecProg3Yr3</t>
  </si>
  <si>
    <t>cbalSpecProg4Yr3</t>
  </si>
  <si>
    <t>cbalSpecProg5Yr3</t>
  </si>
  <si>
    <t>cbalSpecProg6Yr3</t>
  </si>
  <si>
    <t>cbalSpecProg7Yr3</t>
  </si>
  <si>
    <t>cbalSpecProg8Yr3</t>
  </si>
  <si>
    <t>Subscriber Growth Rate</t>
  </si>
  <si>
    <t>Service Attach Rate on New Bus.</t>
  </si>
  <si>
    <t>New Revenue</t>
  </si>
  <si>
    <t>Transaction Revenue</t>
  </si>
  <si>
    <t>Key Financial Information</t>
  </si>
  <si>
    <t>Value Propostion</t>
  </si>
  <si>
    <t>Spread (with auto competitor only)</t>
  </si>
  <si>
    <t>PASTE TEAM 2</t>
  </si>
  <si>
    <t>PASTE TEAM 3</t>
  </si>
  <si>
    <t>PASTE TEAM 4</t>
  </si>
  <si>
    <t>PASTE TEAM 5</t>
  </si>
  <si>
    <t>DO NOT PASTE</t>
  </si>
  <si>
    <t xml:space="preserve">       </t>
  </si>
  <si>
    <t>Number of DCs</t>
  </si>
  <si>
    <t>DC Consolidation</t>
  </si>
  <si>
    <t>Other Internal</t>
  </si>
  <si>
    <t>Total Head Count</t>
  </si>
  <si>
    <t>Buildings</t>
  </si>
  <si>
    <t xml:space="preserve">     Time to Market</t>
  </si>
  <si>
    <t xml:space="preserve">     Internal FTEs</t>
  </si>
  <si>
    <t xml:space="preserve">     External FTEs</t>
  </si>
  <si>
    <t xml:space="preserve">     % Internal</t>
  </si>
  <si>
    <t>FTE Allocation</t>
  </si>
  <si>
    <t>CAGR %</t>
  </si>
  <si>
    <t>Revenue Growth</t>
  </si>
  <si>
    <t>Year 1 -1</t>
  </si>
  <si>
    <t>Year 1 -2</t>
  </si>
  <si>
    <t>Year 1 -3</t>
  </si>
  <si>
    <t>Year 2 -1</t>
  </si>
  <si>
    <t>Year 2 -2</t>
  </si>
  <si>
    <t>Year 2 -3</t>
  </si>
  <si>
    <t>Year 3 -2</t>
  </si>
  <si>
    <t>Year 3 -3</t>
  </si>
  <si>
    <t>Year 3 -1</t>
  </si>
  <si>
    <t>Cash OI Yr0</t>
  </si>
  <si>
    <t>Cash OI Yr1</t>
  </si>
  <si>
    <t>Cash OI Yr2</t>
  </si>
  <si>
    <t>Cash OI Yr3</t>
  </si>
  <si>
    <t>analyWinMetricYr0</t>
  </si>
  <si>
    <t>analyWinMetricYr1</t>
  </si>
  <si>
    <t>analyWinMetricYr2</t>
  </si>
  <si>
    <t>analyWinMetricYr3</t>
  </si>
  <si>
    <t>analyCashOI</t>
  </si>
  <si>
    <t>Grw-18</t>
  </si>
  <si>
    <t>paramProd1CancelSubsReenter</t>
  </si>
  <si>
    <t>tlOutputF1DAcapProd1CancellationRate</t>
  </si>
  <si>
    <t>tlOutputF1DAcapProd1MS</t>
  </si>
  <si>
    <t>tlOutputF1DAdecProd1PriceChange</t>
  </si>
  <si>
    <t>tlOutputF1DAfinPNLProd1Rev</t>
  </si>
  <si>
    <t>tlOutputF1capProd1OpenSubs</t>
  </si>
  <si>
    <t>tlOutputF1capProd1Cancellations</t>
  </si>
  <si>
    <t>tlOutputF1capProd1NewSubs</t>
  </si>
  <si>
    <t>tlOutputF1capProd1EndSubs</t>
  </si>
  <si>
    <t>tlOutputF1capProd1MS</t>
  </si>
  <si>
    <t>tlOutputF1capProd1NetNewSales</t>
  </si>
  <si>
    <t>tlOutputF1cbalProd1SubGrowth</t>
  </si>
  <si>
    <t>tlOutputF1capProd1CancellationRate</t>
  </si>
  <si>
    <t>tlOutputF1obalProd1OpenSubs</t>
  </si>
  <si>
    <t>tlOutputF1obalProd1Cancellations</t>
  </si>
  <si>
    <t>tlOutputF1obalProd1NewSubs</t>
  </si>
  <si>
    <t>tlOutputF1obalProd1EndSubs</t>
  </si>
  <si>
    <t>tlOutputF1obalProd1MS</t>
  </si>
  <si>
    <t>tlOutputF1obalProd1NetNewSales</t>
  </si>
  <si>
    <t>tlOutputF1obalProd1SubGrowth</t>
  </si>
  <si>
    <t>tlOutputF1obalProd1CancellationRate</t>
  </si>
  <si>
    <t>tlOutputF1cbalProd1EBITDAPerc</t>
  </si>
  <si>
    <t>tlOutputF1cbalProd1OM</t>
  </si>
  <si>
    <t>tlOutputF1obalProd1EBITDAPerc</t>
  </si>
  <si>
    <t>tlOutputF1obalProd1OM</t>
  </si>
  <si>
    <t>tlOutputF1cbalContentLvl</t>
  </si>
  <si>
    <t>tlOutputF1cbalProd1ProdTechLvl</t>
  </si>
  <si>
    <t>tlOutputF1cbalProd1TTM</t>
  </si>
  <si>
    <t>tlOutputF1finPNLProd1Rev</t>
  </si>
  <si>
    <t>tlOutputF1capProd1Emp1Req</t>
  </si>
  <si>
    <t>tlOutputF1obalContentLvl</t>
  </si>
  <si>
    <t>tlOutputF1obalProd1ProdTechLvl</t>
  </si>
  <si>
    <t>tlOutputF1obalProd1TTM</t>
  </si>
  <si>
    <t>tlOutputF1obalProd1Rev</t>
  </si>
  <si>
    <t>tlOutputF2DAcapProd2CancellationRate</t>
  </si>
  <si>
    <t>tlOutputF2DAcapProd2MS</t>
  </si>
  <si>
    <t>tlOutputF2DAdecProd2PriceChange</t>
  </si>
  <si>
    <t>tlOutputF2DAfinPNLProd2Rev</t>
  </si>
  <si>
    <t>tlOutputF2capProd2OpenSubs</t>
  </si>
  <si>
    <t>tlOutputF2obalProd2OpenSubs</t>
  </si>
  <si>
    <t>tlOutputF2capProd2Cancellations</t>
  </si>
  <si>
    <t>tlOutputF2obalProd2Cancellations</t>
  </si>
  <si>
    <t>tlOutputF2capProd2NewSubs</t>
  </si>
  <si>
    <t>tlOutputF2obalProd2NewSubs</t>
  </si>
  <si>
    <t>tlOutputF2capProd2EndSubs</t>
  </si>
  <si>
    <t>tlOutputF2obalProd2EndSubs</t>
  </si>
  <si>
    <t>tlOutputF2capProd2MS</t>
  </si>
  <si>
    <t>tlOutputF2obalProd2MS</t>
  </si>
  <si>
    <t>tlOutputF2capProd2NetNewSales</t>
  </si>
  <si>
    <t>tlOutputF2obalProd2NetNewSales</t>
  </si>
  <si>
    <t>tlOutputF2cbalProd2SubGrowth</t>
  </si>
  <si>
    <t>tlOutputF2obalProd2SubGrowth</t>
  </si>
  <si>
    <t>tlOutputF2capProd2CancellationRate</t>
  </si>
  <si>
    <t>tlOutputF2obalProd2CancellationRate</t>
  </si>
  <si>
    <t>tlOutputF2cbalProd2ContentLvl</t>
  </si>
  <si>
    <t>tlOutputF2obalProd2ContentLvl</t>
  </si>
  <si>
    <t>tlOutputF2cbalProd2EBITDAPerc</t>
  </si>
  <si>
    <t>tlOutputF2obalProd2EBITDAPerc</t>
  </si>
  <si>
    <t>tlOutputF2cbalProd2ProdTechLvl</t>
  </si>
  <si>
    <t>tlOutputF2obalProd2ProdTechLvl</t>
  </si>
  <si>
    <t>tlOutputF2cbalProd2OM</t>
  </si>
  <si>
    <t>tlOutputF2obalProd2OM</t>
  </si>
  <si>
    <t>tlOutputF2cbalProd2TTM</t>
  </si>
  <si>
    <t>tlOutputF2obalProd2TTM</t>
  </si>
  <si>
    <t>tlOutputF2finPNLProd2Rev</t>
  </si>
  <si>
    <t>tlOutputF2obalProd2Rev</t>
  </si>
  <si>
    <t>tlOutputF2capProd2Emp1Req</t>
  </si>
  <si>
    <t>HideRowtoolProd1Forecast</t>
  </si>
  <si>
    <t>HideColToolProd1Forecast</t>
  </si>
  <si>
    <t>tlOutputCTDAcbalContentLvl</t>
  </si>
  <si>
    <t>tlOutputCTDAcapContentEmp1Req</t>
  </si>
  <si>
    <t>tlOutputCTDAcapInternalContentDevExp</t>
  </si>
  <si>
    <t>tlOutputCTDAfinPNLRoyalityExp</t>
  </si>
  <si>
    <t>tlOutputCTcapContentEmp1Req</t>
  </si>
  <si>
    <t>tlOutputCTobalContentEmp1Req</t>
  </si>
  <si>
    <t>tlOutputCTContentMethod</t>
  </si>
  <si>
    <t>tlOutputCTobalContentMethod</t>
  </si>
  <si>
    <t>HideRowtoolContent</t>
  </si>
  <si>
    <t>HideColToolContent</t>
  </si>
  <si>
    <t>&amp;Growth</t>
  </si>
  <si>
    <t>&amp;Transform</t>
  </si>
  <si>
    <t>GoToToolProd1Forecast</t>
  </si>
  <si>
    <t>GoToToolProd2Forecast</t>
  </si>
  <si>
    <t>&amp;Content</t>
  </si>
  <si>
    <t>&amp;Product Technology</t>
  </si>
  <si>
    <t>GoToToolContent</t>
  </si>
  <si>
    <t>Data Access</t>
  </si>
  <si>
    <t>tlOutputFBCSATDriver10</t>
  </si>
  <si>
    <t>INITIATIVES</t>
  </si>
  <si>
    <t>PARAMETERS</t>
  </si>
  <si>
    <t>Satifactions</t>
  </si>
  <si>
    <t>Productivity</t>
  </si>
  <si>
    <t>PARAMETERS Continued</t>
  </si>
  <si>
    <t>Team 4</t>
  </si>
  <si>
    <t>Team 5</t>
  </si>
  <si>
    <t>Diff</t>
  </si>
  <si>
    <t xml:space="preserve">    +  Inititaives</t>
  </si>
  <si>
    <t xml:space="preserve">     % New Accounts</t>
  </si>
  <si>
    <t xml:space="preserve">    +  Training Focus</t>
  </si>
  <si>
    <t>Sales Force Effectiveness</t>
  </si>
  <si>
    <t>% New Accounts</t>
  </si>
  <si>
    <t>New Accounts Effectiveness</t>
  </si>
  <si>
    <t>capSalesForceNewAccounts</t>
  </si>
  <si>
    <t>capSalesForceExistingAccounts</t>
  </si>
  <si>
    <t>Sales Force - New Accounts Effectiveness</t>
  </si>
  <si>
    <t>Sales Force - Existing Accounts Effectiveness</t>
  </si>
  <si>
    <t>obalSalesForceNewAccounts</t>
  </si>
  <si>
    <t>obalSalesForceExistingAccounts</t>
  </si>
  <si>
    <t>CSAT (Last Year)</t>
  </si>
  <si>
    <t>ESAT (Last Year)</t>
  </si>
  <si>
    <t>capCustomerService</t>
  </si>
  <si>
    <t xml:space="preserve">   + Training Focus* Last Yr ESAT</t>
  </si>
  <si>
    <t>SP-16</t>
  </si>
  <si>
    <t>SP-17</t>
  </si>
  <si>
    <t>paramSpecProgProd1Emp1Req</t>
  </si>
  <si>
    <t xml:space="preserve">paramSpecProgProd2Emp1Req </t>
  </si>
  <si>
    <t>capInitsProd1Emp1Req</t>
  </si>
  <si>
    <t>capInitsProd2Emp1Req</t>
  </si>
  <si>
    <t>New Subscriber Growth</t>
  </si>
  <si>
    <t>cbalProd1NewSubGrowth</t>
  </si>
  <si>
    <t>obalProd2NewSubGrowth</t>
  </si>
  <si>
    <t>cbalProd2NewSubGrowth</t>
  </si>
  <si>
    <t>obalProd1NewSubGrowth</t>
  </si>
  <si>
    <t>Create range name for competitor price and P&amp;L items.</t>
  </si>
  <si>
    <t xml:space="preserve">Adjust Nextus’s price – too low. </t>
  </si>
  <si>
    <t>On Forecast &amp; Pricing – Change Subscriber Growth to New Subscriber Growth.  Change text of output sales – STORYBOARD CHANGE</t>
  </si>
  <si>
    <t>Forecasting decision will be start as the value from last year</t>
  </si>
  <si>
    <t xml:space="preserve">Pricing should impact CSAT in the dash board.  Install base  . . </t>
  </si>
  <si>
    <t>Check New subscribers for Growth and Transform – compare to mock up.</t>
  </si>
  <si>
    <t>FTEs for product technology is the same for growth and transform.</t>
  </si>
  <si>
    <t>Add expense to Leverage 3rd party, hit CSAT in year, but return to normal in next.  Improve margin by a few points.</t>
  </si>
  <si>
    <t>Remove ½ year to onboard FTEs</t>
  </si>
  <si>
    <t>Add Unutilized FTEs below decision – so there is a one to one on that decision. – STORYBOARD CHANGE</t>
  </si>
  <si>
    <t xml:space="preserve">Remove Administrative decision. – STORYBOARD CHANGE </t>
  </si>
  <si>
    <t>Lower FTEs on Global Access and Sales force Coverage.</t>
  </si>
  <si>
    <t>Add revenue based on Global Access (add parameter) and add sliver to revenue bar chart. Call it GGO. Start GGo at 300 million 50/50 growth and transform keep it around 1/14 of business. – STORYBOARD CHANGE</t>
  </si>
  <si>
    <t>Balance Utilization consolidation.  Not closing but consolidating.  Utilization impact but not so much.</t>
  </si>
  <si>
    <t xml:space="preserve">Consolidate DC – Start utilization really low (like 50%), have the ability to consolidate all (leaving 1) in one year.  At 10, Drops CSAT by 5 to 10 Points, Hurts ESAT but cost benefit.   At 10 DCs left, they get to 90% utilization. </t>
  </si>
  <si>
    <t>DC 3rd party initiative invalidates the DC Consolidation decision. – STORYBOARD CHANGE</t>
  </si>
  <si>
    <t xml:space="preserve">&lt;--- Add impact to DC Capacity. . . . </t>
  </si>
  <si>
    <t>Number of Data Centers Consolidated</t>
  </si>
  <si>
    <t>capPlant1UnitsSold</t>
  </si>
  <si>
    <t>cbalPlant1UnitsSold</t>
  </si>
  <si>
    <t>obalPlant1UnitsSold</t>
  </si>
  <si>
    <t>DC-12</t>
  </si>
  <si>
    <t>paramPlant1CapacityPUnitConsolidate</t>
  </si>
  <si>
    <t>DC-13</t>
  </si>
  <si>
    <t>paramPlant1MachHrsPUnitConsolidate</t>
  </si>
  <si>
    <t>DC-14</t>
  </si>
  <si>
    <t>paramPlant1LaborPUnitConsolidate</t>
  </si>
  <si>
    <t>Consolidated Capacity</t>
  </si>
  <si>
    <t>Consolidated Machine Hours</t>
  </si>
  <si>
    <t>Consolidated Labor</t>
  </si>
  <si>
    <t>capPlant1ConsolidateCapacity</t>
  </si>
  <si>
    <t>capPlant1ConsolidateMachHrs</t>
  </si>
  <si>
    <t>capPlant1ConsolidateLabor</t>
  </si>
  <si>
    <t>Headcount</t>
  </si>
  <si>
    <t>obalPlant1Utiliz</t>
  </si>
  <si>
    <t>DC-15</t>
  </si>
  <si>
    <t>paramPlant13rdPartyExp</t>
  </si>
  <si>
    <t>Inflation</t>
  </si>
  <si>
    <t>Cost to Outsource</t>
  </si>
  <si>
    <t>capPlant1Prod1FixedExp3rdParty</t>
  </si>
  <si>
    <t>capPlant1Prod2FixedExp3rdParty</t>
  </si>
  <si>
    <t>cbalPlant1UnitsConsolidate</t>
  </si>
  <si>
    <t>capPlant1Prod1TechCapacityReq</t>
  </si>
  <si>
    <t>capPlant1Prod2TechCapacityReq</t>
  </si>
  <si>
    <t>Misc-27</t>
  </si>
  <si>
    <t>GGO Revenue</t>
  </si>
  <si>
    <t>paramGGORevenue</t>
  </si>
  <si>
    <t>Curve Shape</t>
  </si>
  <si>
    <t>Scale</t>
  </si>
  <si>
    <t>GGO Revenue Splits</t>
  </si>
  <si>
    <t>capProd1GGORevenue</t>
  </si>
  <si>
    <t>capProd2GGORevenue</t>
  </si>
  <si>
    <t>GGO</t>
  </si>
  <si>
    <t>finPNLProd1GGORev</t>
  </si>
  <si>
    <t>finPNLProd2GGORev</t>
  </si>
  <si>
    <t>finPNLGGORev</t>
  </si>
  <si>
    <t>Misc-28</t>
  </si>
  <si>
    <t>Net Outside Services Base Expense</t>
  </si>
  <si>
    <t>paramNetOutsideServiceBaseExp</t>
  </si>
  <si>
    <t>Net Outside Service Base Expense Split</t>
  </si>
  <si>
    <t>capProd1OutsideServiceBaseExp</t>
  </si>
  <si>
    <t>capProd2OutsideServiceBaseExp</t>
  </si>
  <si>
    <t>Internal Expense</t>
  </si>
  <si>
    <t>tlOutputFBfinGGORev</t>
  </si>
  <si>
    <t>xxResetDecXAutoCompFormulasCopy</t>
  </si>
  <si>
    <t>Services and Other</t>
  </si>
  <si>
    <t>Total consolidation about 3% points margin improvement</t>
  </si>
  <si>
    <t>Revenue Growth 3%, 3%, 5% - yr 1,2,3</t>
  </si>
  <si>
    <t>CSAT impact for 3rd party initiative – make this med.</t>
  </si>
  <si>
    <t>Lessen headcount impact on ESAT</t>
  </si>
  <si>
    <t>Make profit performance in ESAT Cash OI growth year over year</t>
  </si>
  <si>
    <t>Fix Data center impact on CSAT graph</t>
  </si>
  <si>
    <t>Fix GGO revenue on Revenue Graph</t>
  </si>
  <si>
    <t>Service and other to Services and other on Storyboard</t>
  </si>
  <si>
    <t>Anything more than 90% hurts CSAT because of peak hours</t>
  </si>
  <si>
    <t>obalCustomerService</t>
  </si>
  <si>
    <t>obalPNLProd1GGORev</t>
  </si>
  <si>
    <t>obalPNLProd2GGORev</t>
  </si>
  <si>
    <t>obalPNLGGORev</t>
  </si>
  <si>
    <t>DC Utilization</t>
  </si>
  <si>
    <t>Service Personnel</t>
  </si>
  <si>
    <t>tlOutputComp2Prod1Price</t>
  </si>
  <si>
    <t>tlOutputComp2Prod2Price</t>
  </si>
  <si>
    <t>tlOutputComp3Prod1Price</t>
  </si>
  <si>
    <t>tlOutputComp3Prod2Price</t>
  </si>
  <si>
    <t>One-on-one Coaching</t>
  </si>
  <si>
    <t>Ideation</t>
  </si>
  <si>
    <t>Innovation Workshop</t>
  </si>
  <si>
    <t>Divesting BUs</t>
  </si>
  <si>
    <r>
      <t xml:space="preserve">Cost </t>
    </r>
    <r>
      <rPr>
        <sz val="8"/>
        <color rgb="FFFF0000"/>
        <rFont val="Arial"/>
        <family val="2"/>
      </rPr>
      <t>NEED TO CAPTIALIZE</t>
    </r>
  </si>
  <si>
    <r>
      <t xml:space="preserve">Cost </t>
    </r>
    <r>
      <rPr>
        <sz val="8"/>
        <color rgb="FFFF0000"/>
        <rFont val="Arial"/>
        <family val="2"/>
      </rPr>
      <t>CAPITALIZE</t>
    </r>
  </si>
  <si>
    <t>obalDCConsolidation</t>
  </si>
  <si>
    <t>capPlant1Consolidate</t>
  </si>
  <si>
    <t>capDC3rdPartyTrigger</t>
  </si>
  <si>
    <t>Increase Marketing to 200M.</t>
  </si>
  <si>
    <t xml:space="preserve">Fix sales force decision </t>
  </si>
  <si>
    <t>Add impact of firing DC employees to Head count in ESAT for Initiative 12.</t>
  </si>
  <si>
    <t>Customer service – change to cumulative training level*Last Year CSAT + cumulative training level*Last Year ESAT</t>
  </si>
  <si>
    <t>Have data center slider bar increase if going the other way.  CHANGE STORY BOARD to More vs. Fewer and slider bar stays in same position as last year.  EMAIL TOM to check change.</t>
  </si>
  <si>
    <t>Event 1, Choice 1 – make it 45 million and come out of CapEx.</t>
  </si>
  <si>
    <t>Event 3, Choice 1 – Capitalize expense</t>
  </si>
  <si>
    <t>Event 5, Choice 1 – add Royalty (Add percentage of 3rd party usage, increasing royalty fees)</t>
  </si>
  <si>
    <t>Event 6, Choice 1 – 20 million to CapEx.</t>
  </si>
  <si>
    <t>Event 9 Choice 1 – Capitalize expense</t>
  </si>
  <si>
    <t xml:space="preserve">   Training Focus*Last Yr CSAT</t>
  </si>
  <si>
    <t>paramSpecProgProd1AcqCapEx</t>
  </si>
  <si>
    <t>paramSpecProgProd2AcqCapEx</t>
  </si>
  <si>
    <t>paramSpecProgProd1TechCapEx</t>
  </si>
  <si>
    <t>paramSpecProgProd2TechCapEx</t>
  </si>
  <si>
    <t>Other-4</t>
  </si>
  <si>
    <t>Goodwill Percentage</t>
  </si>
  <si>
    <t>paramGoodwillPerc</t>
  </si>
  <si>
    <t>Acquired Assets</t>
  </si>
  <si>
    <t>capAcquistionCapEx</t>
  </si>
  <si>
    <t>Royalty</t>
  </si>
  <si>
    <t>Description</t>
  </si>
  <si>
    <t>Testing Date</t>
  </si>
  <si>
    <t>xxobalYear0FormulaCopy</t>
  </si>
  <si>
    <t xml:space="preserve">   Revenue</t>
  </si>
  <si>
    <t xml:space="preserve">   Expense (less Events &amp; Inits)</t>
  </si>
  <si>
    <t xml:space="preserve">   Operating Margin</t>
  </si>
  <si>
    <t>CapEx</t>
  </si>
  <si>
    <t>% of Revenue</t>
  </si>
  <si>
    <t xml:space="preserve">          People Related</t>
  </si>
  <si>
    <t xml:space="preserve">          Revenue Related</t>
  </si>
  <si>
    <t xml:space="preserve">          Net Outside Services</t>
  </si>
  <si>
    <t xml:space="preserve">          Admin &amp; Infrastructure</t>
  </si>
  <si>
    <t xml:space="preserve">          Other Operating</t>
  </si>
  <si>
    <t xml:space="preserve">   Cancellation Rate</t>
  </si>
  <si>
    <t>In Growth, the market report forecasts 8.5% growth in year 1.  If you do that, you forecast losing market share.  I had to forecast 12.5% new sub growth to get my mkt share to go up a little. Let’s discuss</t>
  </si>
  <si>
    <t>In Transform, the mkt report forecasts 2.5% growth in year 1.  With the new subs # in the decision cell that they start with, it’s forecasting 3.8%.  So, they’ll have to revise their forecasts downward.  I wonder if anyone will do that. Let’s discuss.</t>
  </si>
  <si>
    <t>It seems like there’s a max that my CSAT will increase based on me lowering my price.  It increased when I lowered price in growth, but then didn’t when I lowered price in transform.</t>
  </si>
  <si>
    <t>Content: when I move the slider bar, none of the dashboard metrics change</t>
  </si>
  <si>
    <t>I increased employee training a lot and CSAT went down.  Wouldn’t CSAT go up?</t>
  </si>
  <si>
    <t>When I exported final decisions, the file name was TR Data (Events, Inits,……)  which seems to be an incoorect name for a dec file</t>
  </si>
  <si>
    <t>Completed</t>
  </si>
  <si>
    <t>Yes</t>
  </si>
  <si>
    <t>No</t>
  </si>
  <si>
    <t>No Action</t>
  </si>
  <si>
    <t>Set max to 95% in all years for CSAT and ESAT.  This fixes pricing issue</t>
  </si>
  <si>
    <t>Need to select content level, then use slider</t>
  </si>
  <si>
    <t>Could not replicate.  Not needed for HTML Platform</t>
  </si>
  <si>
    <t>LTB Model Fix List</t>
  </si>
  <si>
    <t>Last Year Technology</t>
  </si>
  <si>
    <t>capCSATTechnologyLastYr</t>
  </si>
  <si>
    <t>May need to balance</t>
  </si>
  <si>
    <t>Notes</t>
  </si>
  <si>
    <t>initiatives</t>
  </si>
  <si>
    <t/>
  </si>
  <si>
    <t>datapageCompdecSpecProg1</t>
  </si>
  <si>
    <t>datapageCompdecSpecProg2</t>
  </si>
  <si>
    <t>datapageCompdecSpecProg3</t>
  </si>
  <si>
    <t>datapageCompdecSpecProg4</t>
  </si>
  <si>
    <t>datapageCompdecSpecProg5</t>
  </si>
  <si>
    <t>datapageCompdecSpecProg6</t>
  </si>
  <si>
    <t>datapageCompdecSpecProg7</t>
  </si>
  <si>
    <t>datapageCompdecSpecProg8</t>
  </si>
  <si>
    <t>Wobblers</t>
  </si>
  <si>
    <t>datapageCompdecWobbler1</t>
  </si>
  <si>
    <t>datapageCompdecWobbler2</t>
  </si>
  <si>
    <t>datapageCompdecWobbler3</t>
  </si>
  <si>
    <t>datapageCompdecWobbler4</t>
  </si>
  <si>
    <t>FTE A Code</t>
  </si>
  <si>
    <t>FTE B Code</t>
  </si>
  <si>
    <t>Expense A Code</t>
  </si>
  <si>
    <t>Expense B Code</t>
  </si>
  <si>
    <t>Build and No Charge</t>
  </si>
  <si>
    <t>Leverage Technology</t>
  </si>
  <si>
    <t>Fully Integrate</t>
  </si>
  <si>
    <t>Partially Integrate</t>
  </si>
  <si>
    <t>No Open Platform</t>
  </si>
  <si>
    <t>CapEx A Code</t>
  </si>
  <si>
    <t>CapEx B Code</t>
  </si>
  <si>
    <t>Modified New Year macro to include decisions to be reset to -0- at the beginning of each decision round</t>
  </si>
  <si>
    <t>Added tables for Initiatives and Events on the datapage to look up FTE and Expense numbers</t>
  </si>
  <si>
    <t>Removed ‘IFERROR’ and ‘VLOOKUP’ functions on toolEvents and toolPrograms pages</t>
  </si>
  <si>
    <t>Removed ‘NORMDIST’ function on Adj page</t>
  </si>
  <si>
    <t>Removed ‘VLOOKUP’ function on datapage</t>
  </si>
  <si>
    <t>Removed unused tables on datapage</t>
  </si>
  <si>
    <t>Rework Inits and Events on the adj page</t>
  </si>
  <si>
    <t>Removed ‘VLOOKUP’ function on Analysis page</t>
  </si>
  <si>
    <t>tlOutputPeopleDAExistingAccountsPerc</t>
  </si>
  <si>
    <t>tlOutputPeopleDAcapEmp1NotUtiliz</t>
  </si>
  <si>
    <t>Trns-18</t>
  </si>
  <si>
    <t>paramProd2CancelSubsReenter</t>
  </si>
  <si>
    <t>decSpecProg1Chosen</t>
  </si>
  <si>
    <t>decSpecProg2Chosen</t>
  </si>
  <si>
    <t>decSpecProg3Chosen</t>
  </si>
  <si>
    <t>decSpecProg4Chosen</t>
  </si>
  <si>
    <t>decSpecProg5Chosen</t>
  </si>
  <si>
    <t>decSpecProg6Chosen</t>
  </si>
  <si>
    <t>decSpecProg7Chosen</t>
  </si>
  <si>
    <t>decSpecProg8Chosen</t>
  </si>
  <si>
    <t>decSpecProg9Chosen</t>
  </si>
  <si>
    <t>decSpecProg10Chosen</t>
  </si>
  <si>
    <t>decSpecProg11Chosen</t>
  </si>
  <si>
    <t>decSpecProg12Chosen</t>
  </si>
  <si>
    <t>decSpecProg13Chosen</t>
  </si>
  <si>
    <t>decSpecProg14Chosen</t>
  </si>
  <si>
    <t>decSpecProg15Chosen</t>
  </si>
  <si>
    <t>decSpecProg16Chosen</t>
  </si>
  <si>
    <t>decSpecProg17Chosen</t>
  </si>
  <si>
    <t>decSpecProg18Chosen</t>
  </si>
  <si>
    <t>decSpecProg19Chosen</t>
  </si>
  <si>
    <t>decSpecProg20Chosen</t>
  </si>
  <si>
    <t>decSpecProg21Chosen</t>
  </si>
  <si>
    <t>decSpecProg22Chosen</t>
  </si>
  <si>
    <t>decSpecProg23Chosen</t>
  </si>
  <si>
    <t>decSpecProg24Chosen</t>
  </si>
  <si>
    <t>Program 9</t>
  </si>
  <si>
    <t>Program 10</t>
  </si>
  <si>
    <t>Program 11</t>
  </si>
  <si>
    <t>Program 12</t>
  </si>
  <si>
    <t>Program 13</t>
  </si>
  <si>
    <t>Program 14</t>
  </si>
  <si>
    <t>Program 15</t>
  </si>
  <si>
    <t>Program 16</t>
  </si>
  <si>
    <t>Program 17</t>
  </si>
  <si>
    <t>Program 18</t>
  </si>
  <si>
    <t>Program 19</t>
  </si>
  <si>
    <t>Program 20</t>
  </si>
  <si>
    <t>Program 21</t>
  </si>
  <si>
    <t>Program 22</t>
  </si>
  <si>
    <t>Program 23</t>
  </si>
  <si>
    <t>Program 24</t>
  </si>
  <si>
    <t>decEvent101Chosen</t>
  </si>
  <si>
    <t>decEvent102Chosen</t>
  </si>
  <si>
    <t>decEvent103Chosen</t>
  </si>
  <si>
    <t>decEvent201Chosen</t>
  </si>
  <si>
    <t>decEvent202Chosen</t>
  </si>
  <si>
    <t>decEvent203Chosen</t>
  </si>
  <si>
    <t>decEvent301Chosen</t>
  </si>
  <si>
    <t>decEvent302Chosen</t>
  </si>
  <si>
    <t>decEvent401Chosen</t>
  </si>
  <si>
    <t>decEvent402Chosen</t>
  </si>
  <si>
    <t>decEvent403Chosen</t>
  </si>
  <si>
    <t>decEvent501Chosen</t>
  </si>
  <si>
    <t>decEvent502Chosen</t>
  </si>
  <si>
    <t>decEvent503Chosen</t>
  </si>
  <si>
    <t>decEvent601Chosen</t>
  </si>
  <si>
    <t>decEvent602Chosen</t>
  </si>
  <si>
    <t>decEvent603Chosen</t>
  </si>
  <si>
    <t>decEvent701Chosen</t>
  </si>
  <si>
    <t>decEvent702Chosen</t>
  </si>
  <si>
    <t>decEvent703Chosen</t>
  </si>
  <si>
    <t>decEvent801Chosen</t>
  </si>
  <si>
    <t>decEvent802Chosen</t>
  </si>
  <si>
    <t>decEvent803Chosen</t>
  </si>
  <si>
    <t>decEvent901Chosen</t>
  </si>
  <si>
    <t>decEvent902Chosen</t>
  </si>
  <si>
    <t>Event 101</t>
  </si>
  <si>
    <t>Event 102</t>
  </si>
  <si>
    <t>Event 103</t>
  </si>
  <si>
    <t>Event 201</t>
  </si>
  <si>
    <t>Event 202</t>
  </si>
  <si>
    <t>Event 203</t>
  </si>
  <si>
    <t>Event 301</t>
  </si>
  <si>
    <t>Event 302</t>
  </si>
  <si>
    <t>Event 401</t>
  </si>
  <si>
    <t>Event 402</t>
  </si>
  <si>
    <t>Event 403</t>
  </si>
  <si>
    <t>Event 501</t>
  </si>
  <si>
    <t>Event 502</t>
  </si>
  <si>
    <t>Event 503</t>
  </si>
  <si>
    <t>Event 601</t>
  </si>
  <si>
    <t>Event 602</t>
  </si>
  <si>
    <t>Event 603</t>
  </si>
  <si>
    <t>Event 701</t>
  </si>
  <si>
    <t>Event 702</t>
  </si>
  <si>
    <t>Event 703</t>
  </si>
  <si>
    <t>Event 801</t>
  </si>
  <si>
    <t>Event 802</t>
  </si>
  <si>
    <t>Event 803</t>
  </si>
  <si>
    <t>Event 901</t>
  </si>
  <si>
    <t>Event 902</t>
  </si>
  <si>
    <t>datapageCompdecSpecProg9</t>
  </si>
  <si>
    <t>datapageCompdecSpecProg10</t>
  </si>
  <si>
    <t>datapageCompdecSpecProg11</t>
  </si>
  <si>
    <t>datapageCompdecSpecProg12</t>
  </si>
  <si>
    <t>datapageCompdecSpecProg13</t>
  </si>
  <si>
    <t>datapageCompdecSpecProg14</t>
  </si>
  <si>
    <t>datapageCompdecSpecProg15</t>
  </si>
  <si>
    <t>datapageCompdecSpecProg16</t>
  </si>
  <si>
    <t>datapageCompdecSpecProg17</t>
  </si>
  <si>
    <t>datapageCompdecSpecProg18</t>
  </si>
  <si>
    <t>datapageCompdecSpecProg19</t>
  </si>
  <si>
    <t>datapageCompdecSpecProg20</t>
  </si>
  <si>
    <t>datapageCompdecSpecProg21</t>
  </si>
  <si>
    <t>datapageCompdecSpecProg22</t>
  </si>
  <si>
    <t>datapageCompdecSpecProg23</t>
  </si>
  <si>
    <t>datapageCompdecSpecProg24</t>
  </si>
  <si>
    <t>datapageCompdecEvent101</t>
  </si>
  <si>
    <t>datapageCompdecEvent102</t>
  </si>
  <si>
    <t>datapageCompdecEvent103</t>
  </si>
  <si>
    <t>datapageCompdecEvent201</t>
  </si>
  <si>
    <t>datapageCompdecEvent202</t>
  </si>
  <si>
    <t>datapageCompdecEvent203</t>
  </si>
  <si>
    <t>datapageCompdecEvent301</t>
  </si>
  <si>
    <t>datapageCompdecEvent302</t>
  </si>
  <si>
    <t>datapageCompdecEvent401</t>
  </si>
  <si>
    <t>datapageCompdecEvent402</t>
  </si>
  <si>
    <t>datapageCompdecEvent403</t>
  </si>
  <si>
    <t>datapageCompdecEvent501</t>
  </si>
  <si>
    <t>datapageCompdecEvent502</t>
  </si>
  <si>
    <t>datapageCompdecEvent503</t>
  </si>
  <si>
    <t>datapageCompdecEvent601</t>
  </si>
  <si>
    <t>datapageCompdecEvent602</t>
  </si>
  <si>
    <t>datapageCompdecEvent603</t>
  </si>
  <si>
    <t>datapageCompdecEvent701</t>
  </si>
  <si>
    <t>datapageCompdecEvent702</t>
  </si>
  <si>
    <t>datapageCompdecEvent703</t>
  </si>
  <si>
    <t>datapageCompdecEvent801</t>
  </si>
  <si>
    <t>datapageCompdecEvent802</t>
  </si>
  <si>
    <t>datapageCompdecEvent803</t>
  </si>
  <si>
    <t>datapageCompdecEvent901</t>
  </si>
  <si>
    <t>datapageCompdecEvent902</t>
  </si>
  <si>
    <t xml:space="preserve">          Select</t>
  </si>
  <si>
    <t>Choice</t>
  </si>
  <si>
    <t xml:space="preserve">LARGE - To be used in Analysis Report row 46 . . . </t>
  </si>
  <si>
    <t>ROUND 1 EVENTS</t>
  </si>
  <si>
    <t>ROUND 2 EVENTS</t>
  </si>
  <si>
    <t>ROUND 3 EVENTS</t>
  </si>
  <si>
    <t>Initiative Check</t>
  </si>
  <si>
    <t>capInitCheckYr1</t>
  </si>
  <si>
    <t>capInitCheckYr2</t>
  </si>
  <si>
    <t>capInitCheckYr3</t>
  </si>
  <si>
    <t>cbalPNLOperatingMargin</t>
  </si>
  <si>
    <t>Web Dashboards</t>
  </si>
  <si>
    <t>Transform – default the forecast decision cell to 0</t>
  </si>
  <si>
    <t>Start DC at higher utilization so it gets to 90% utilization in year 1</t>
  </si>
  <si>
    <t>Make last year growth 0% for transform</t>
  </si>
  <si>
    <t>+/- New Subscribers from Events</t>
  </si>
  <si>
    <t>New Subscribers From Events</t>
  </si>
  <si>
    <t>obalProd1AddSubs</t>
  </si>
  <si>
    <t>obalProd2AddSubs</t>
  </si>
  <si>
    <t>tlOutputF2capProd2NewSubsEvents</t>
  </si>
  <si>
    <t>tlOutputF2obalProd2NewSubsEvents</t>
  </si>
  <si>
    <t>tlOutputF2capProd1NewSubsEvents</t>
  </si>
  <si>
    <t>tlOutputF2obalProd1NewSubsEvents</t>
  </si>
  <si>
    <t>% Developed Internally</t>
  </si>
  <si>
    <t>Add Average Score to the League</t>
  </si>
  <si>
    <t>Give Bloomfield and Nextus special program market share in years 1, 2,3,</t>
  </si>
  <si>
    <t>Transition to Growth</t>
  </si>
  <si>
    <t>Auto Comptitior Initiative Performance</t>
  </si>
  <si>
    <t>Year 3 gets 1.5 boost</t>
  </si>
  <si>
    <t>Current Year Cash OI Margin</t>
  </si>
  <si>
    <t>Average Cash OI Margin</t>
  </si>
  <si>
    <t>capCSATProd1Pricing</t>
  </si>
  <si>
    <t>capCSATProd2Pricing</t>
  </si>
  <si>
    <t>Price increase above 3% impact CSAT.</t>
  </si>
  <si>
    <t>begin CSAT/ESAT at 63%</t>
  </si>
  <si>
    <t>tlOutputCurYearInitsRemaining</t>
  </si>
  <si>
    <t>tlOutputSpecProgFTEsReq</t>
  </si>
  <si>
    <t>tlOutputSpecProgExpense</t>
  </si>
  <si>
    <t>tlOutputMarketing</t>
  </si>
  <si>
    <t>capCurYearInitsRemaining</t>
  </si>
  <si>
    <t>capCurYearInitCheck</t>
  </si>
  <si>
    <t>TRANSPOSED FOR CHARTS</t>
  </si>
  <si>
    <t>tlOutputSpecProg1Chosen</t>
  </si>
  <si>
    <t>tlOutputSpecProg2Chosen</t>
  </si>
  <si>
    <t>tlOutputSpecProg3Chosen</t>
  </si>
  <si>
    <t>tlOutputSpecProg4Chosen</t>
  </si>
  <si>
    <t>tlOutputSpecProg5Chosen</t>
  </si>
  <si>
    <t>tlOutputSpecProg6Chosen</t>
  </si>
  <si>
    <t>tlOutputSpecProg7Chosen</t>
  </si>
  <si>
    <t>tlOutputSpecProg8Chosen</t>
  </si>
  <si>
    <t>tlOutputSpecProg9Chosen</t>
  </si>
  <si>
    <t>tlOutputSpecProg10Chosen</t>
  </si>
  <si>
    <t>tlOutputSpecProg11Chosen</t>
  </si>
  <si>
    <t>tlOutputSpecProg12Chosen</t>
  </si>
  <si>
    <t>tlOutputSpecProg13Chosen</t>
  </si>
  <si>
    <t>tlOutputSpecProg14Chosen</t>
  </si>
  <si>
    <t>tlOutputSpecProg15Chosen</t>
  </si>
  <si>
    <t>tlOutputSpecProg16Chosen</t>
  </si>
  <si>
    <t>tlOutputSpecProg17Chosen</t>
  </si>
  <si>
    <t>tlOutputSpecProg18Chosen</t>
  </si>
  <si>
    <t>tlOutputSpecProg19Chosen</t>
  </si>
  <si>
    <t>tlOutputSpecProg20Chosen</t>
  </si>
  <si>
    <t>tlOutputSpecProg21Chosen</t>
  </si>
  <si>
    <t>tlOutputSpecProg22Chosen</t>
  </si>
  <si>
    <t>WIB_R3_FEEDBACK2</t>
  </si>
  <si>
    <t>tlOutputMaxfinPNLRev</t>
  </si>
  <si>
    <t>WIB_R3_FEEDBACK3</t>
  </si>
  <si>
    <t>tlOutputMaxcbalPNLRevCAGR</t>
  </si>
  <si>
    <t>tlOutputESATThreshold</t>
  </si>
  <si>
    <t>WIB_R3_FEEDBACK10</t>
  </si>
  <si>
    <t>tlOutputCSATThreshold</t>
  </si>
  <si>
    <t>WIB_R3_FEEDBACK11</t>
  </si>
  <si>
    <t>tlOutputEvent101Chosen</t>
  </si>
  <si>
    <t>tlOutputEvent102Chosen</t>
  </si>
  <si>
    <t>tlOutputEvent103Chosen</t>
  </si>
  <si>
    <t>tlOutputEvent201Chosen</t>
  </si>
  <si>
    <t>tlOutputEvent202Chosen</t>
  </si>
  <si>
    <t>tlOutputEvent203Chosen</t>
  </si>
  <si>
    <t>tlOutputEvent301Chosen</t>
  </si>
  <si>
    <t>tlOutputEvent302Chosen</t>
  </si>
  <si>
    <t>tlOutputEvent401Chosen</t>
  </si>
  <si>
    <t>tlOutputEvent402Chosen</t>
  </si>
  <si>
    <t>tlOutputEvent403Chosen</t>
  </si>
  <si>
    <t>tlOutputEvent501Chosen</t>
  </si>
  <si>
    <t>tlOutputEvent502Chosen</t>
  </si>
  <si>
    <t>tlOutputEvent503Chosen</t>
  </si>
  <si>
    <t>tlOutputEvent601Chosen</t>
  </si>
  <si>
    <t>tlOutputEvent603Chosen</t>
  </si>
  <si>
    <t>tlOutputEvent602Chosen</t>
  </si>
  <si>
    <t>tlOutputEvent701Chosen</t>
  </si>
  <si>
    <t>tlOutputEvent702Chosen</t>
  </si>
  <si>
    <t>tlOutputEvent703Chosen</t>
  </si>
  <si>
    <t>tlOutputEvent801Chosen</t>
  </si>
  <si>
    <t>tlOutputEvent802Chosen</t>
  </si>
  <si>
    <t>tlOutputEvent803Chosen</t>
  </si>
  <si>
    <t>tlOutputEvent901Chosen</t>
  </si>
  <si>
    <t>tlOutputEvent902Chosen</t>
  </si>
  <si>
    <t>TLOUTPUTROLLOVERRANGEDATA</t>
  </si>
  <si>
    <t>1: Selling Value in Transform</t>
  </si>
  <si>
    <t>FTEa1</t>
  </si>
  <si>
    <t>Costa1</t>
  </si>
  <si>
    <t>FTEa101</t>
  </si>
  <si>
    <t>CapExa101</t>
  </si>
  <si>
    <t>2: Coordination and Cross-Selling Efforts</t>
  </si>
  <si>
    <t>FTEa2</t>
  </si>
  <si>
    <t>Costa2</t>
  </si>
  <si>
    <t>FTEa102</t>
  </si>
  <si>
    <t>Costa102</t>
  </si>
  <si>
    <t>3: Acquisition Integration</t>
  </si>
  <si>
    <t>FTEa3</t>
  </si>
  <si>
    <t>Costa3</t>
  </si>
  <si>
    <t>FTEa103</t>
  </si>
  <si>
    <t>Costa103</t>
  </si>
  <si>
    <t>4: Deploy Single Billing System</t>
  </si>
  <si>
    <t>FTEa4</t>
  </si>
  <si>
    <t>Costa4</t>
  </si>
  <si>
    <t>FTEa201</t>
  </si>
  <si>
    <t>5: Product Development - Hiring our Customers</t>
  </si>
  <si>
    <t>FTEa5</t>
  </si>
  <si>
    <t>Costa5</t>
  </si>
  <si>
    <t>FTEa202</t>
  </si>
  <si>
    <t>6: Demarcated Tiers</t>
  </si>
  <si>
    <t>FTEa6</t>
  </si>
  <si>
    <t>FTEb6</t>
  </si>
  <si>
    <t>FTEa203</t>
  </si>
  <si>
    <t>Costa203</t>
  </si>
  <si>
    <t>7: Strategy Execution Meetings and Breaking Down Siloes</t>
  </si>
  <si>
    <t>FTEa7</t>
  </si>
  <si>
    <t>Costa7</t>
  </si>
  <si>
    <t>FTEa301</t>
  </si>
  <si>
    <t>CapExa301</t>
  </si>
  <si>
    <t>8: Divesting BUs</t>
  </si>
  <si>
    <t>FTEa8</t>
  </si>
  <si>
    <t>FTEb8</t>
  </si>
  <si>
    <t>FTEa302</t>
  </si>
  <si>
    <t>Costa302</t>
  </si>
  <si>
    <t>9: Thoughtful Workforce Management</t>
  </si>
  <si>
    <t>FTEa9</t>
  </si>
  <si>
    <t>FTEb9</t>
  </si>
  <si>
    <t>FTEa10</t>
  </si>
  <si>
    <t>Costa10</t>
  </si>
  <si>
    <t>FTEa401</t>
  </si>
  <si>
    <t>Costa401</t>
  </si>
  <si>
    <t>FTEa11</t>
  </si>
  <si>
    <t>Costa11</t>
  </si>
  <si>
    <t>FTEa402</t>
  </si>
  <si>
    <t>Costa402</t>
  </si>
  <si>
    <t>12: Leverage Third Party for Data Centers</t>
  </si>
  <si>
    <t>FTEa12</t>
  </si>
  <si>
    <t>FTEa403</t>
  </si>
  <si>
    <t>Costa403</t>
  </si>
  <si>
    <t>13: One PnL for Growth and Transform</t>
  </si>
  <si>
    <t>FTEa13</t>
  </si>
  <si>
    <t>FTEb13</t>
  </si>
  <si>
    <t>14: Design and Manage Value Proposition Marketing</t>
  </si>
  <si>
    <t>FTEa14</t>
  </si>
  <si>
    <t>Costa14</t>
  </si>
  <si>
    <t>FTEa502</t>
  </si>
  <si>
    <t>Costa502</t>
  </si>
  <si>
    <t>FTEa15</t>
  </si>
  <si>
    <t>Costa15</t>
  </si>
  <si>
    <t>FTEa503</t>
  </si>
  <si>
    <t>Costa503</t>
  </si>
  <si>
    <t>16: Platform Development</t>
  </si>
  <si>
    <t>FTEa16</t>
  </si>
  <si>
    <t>Costa16</t>
  </si>
  <si>
    <t>FTEa601</t>
  </si>
  <si>
    <t>CapExa601</t>
  </si>
  <si>
    <t>FTEa17</t>
  </si>
  <si>
    <t>Costa17</t>
  </si>
  <si>
    <t>FTEa602</t>
  </si>
  <si>
    <t>Costa602</t>
  </si>
  <si>
    <t>FTEa18</t>
  </si>
  <si>
    <t>Costa18</t>
  </si>
  <si>
    <t>FTEa603</t>
  </si>
  <si>
    <t>FTEa19</t>
  </si>
  <si>
    <t>Costa19</t>
  </si>
  <si>
    <t>FTEa701</t>
  </si>
  <si>
    <t>Costa701</t>
  </si>
  <si>
    <t>FTEa20</t>
  </si>
  <si>
    <t>FTEb20</t>
  </si>
  <si>
    <t>Costa20</t>
  </si>
  <si>
    <t>Costb20</t>
  </si>
  <si>
    <t>FTEa702</t>
  </si>
  <si>
    <t>Costa702</t>
  </si>
  <si>
    <t>FTEa21</t>
  </si>
  <si>
    <t>Costa21</t>
  </si>
  <si>
    <t>FTEa22</t>
  </si>
  <si>
    <t>Costa22</t>
  </si>
  <si>
    <t>FTEa801</t>
  </si>
  <si>
    <t>FTEa803</t>
  </si>
  <si>
    <t>FTEa901</t>
  </si>
  <si>
    <t>CapExa901</t>
  </si>
  <si>
    <t>Data Center 3rd Party Cost</t>
  </si>
  <si>
    <t>Transform Canceled Subs Reentering Market</t>
  </si>
  <si>
    <t>Special Program Sales Growth</t>
  </si>
  <si>
    <t>Special Program Sales Transform</t>
  </si>
  <si>
    <t>adjSpecProgName1</t>
  </si>
  <si>
    <t>Special Programs Expense Transform</t>
  </si>
  <si>
    <t>Special Program Transform FTEsRequired</t>
  </si>
  <si>
    <t>adjSpecProgName2</t>
  </si>
  <si>
    <t>Special Programs Expense Growth</t>
  </si>
  <si>
    <t>Special Program Growth FTEsRequired</t>
  </si>
  <si>
    <t>adjSpecProgName3</t>
  </si>
  <si>
    <t>Growth Labor Hours Req. Per Sub</t>
  </si>
  <si>
    <t>Growth Other Costs</t>
  </si>
  <si>
    <t>Transform Labor Hours Req. Per Sub</t>
  </si>
  <si>
    <t>Transform Other Costs</t>
  </si>
  <si>
    <t>adjSpecProgName4</t>
  </si>
  <si>
    <t>adjSpecProgName5</t>
  </si>
  <si>
    <t>Growth Additional Prod Tech Lvl</t>
  </si>
  <si>
    <t>Transform Additional Prod Tech Lvl</t>
  </si>
  <si>
    <t>adjSpecProgName6</t>
  </si>
  <si>
    <t>adjSpecProgName7</t>
  </si>
  <si>
    <t>Growth Cancellation Rate</t>
  </si>
  <si>
    <t>Transform Cancellation Rate</t>
  </si>
  <si>
    <t>adjSpecProgName8</t>
  </si>
  <si>
    <t>Growth Reduce Subscribers</t>
  </si>
  <si>
    <t>Transform Reduce Subscribers</t>
  </si>
  <si>
    <t>adjSpecProgName9</t>
  </si>
  <si>
    <t>adjSpecProgName10</t>
  </si>
  <si>
    <t>Growth Service Attach Rate</t>
  </si>
  <si>
    <t>Transform Service Attach Rate</t>
  </si>
  <si>
    <t>adjSpecProgName11</t>
  </si>
  <si>
    <t>adjSpecProgName12</t>
  </si>
  <si>
    <t>Data Center Shut Down</t>
  </si>
  <si>
    <t>adjSpecProgName13</t>
  </si>
  <si>
    <t>adjSpecProgName14</t>
  </si>
  <si>
    <t>adjSpecProgName15</t>
  </si>
  <si>
    <t>adjSpecProgName16</t>
  </si>
  <si>
    <t>adjSpecProgName17</t>
  </si>
  <si>
    <t>adjSpecProgName18</t>
  </si>
  <si>
    <t>adjSpecProgName19</t>
  </si>
  <si>
    <t>adjSpecProgName20</t>
  </si>
  <si>
    <t>Growth Service Price</t>
  </si>
  <si>
    <t>Transform Service Price</t>
  </si>
  <si>
    <t>adjSpecProgName21</t>
  </si>
  <si>
    <t>adjSpecProgName22</t>
  </si>
  <si>
    <t>adjEvtName101</t>
  </si>
  <si>
    <t>Special Programs Acquistion CapEx Growth</t>
  </si>
  <si>
    <t>Growth Additional Subscribers</t>
  </si>
  <si>
    <t>adjEvtName102</t>
  </si>
  <si>
    <t>adjEvtName103</t>
  </si>
  <si>
    <t>adjEvtName201</t>
  </si>
  <si>
    <t>adjEvtName202</t>
  </si>
  <si>
    <t>adjEvtName203</t>
  </si>
  <si>
    <t>adjEvtName301</t>
  </si>
  <si>
    <t>Special Programs Tech CapEx Growth</t>
  </si>
  <si>
    <t>adjEvtName302</t>
  </si>
  <si>
    <t>adjEvtName401</t>
  </si>
  <si>
    <t>adjEvtName402</t>
  </si>
  <si>
    <t>Transform Additional Subscribers</t>
  </si>
  <si>
    <t>adjEvtName403</t>
  </si>
  <si>
    <t>adjEvtName501</t>
  </si>
  <si>
    <t>Growth Percent 3rd Party</t>
  </si>
  <si>
    <t>Transform Percent 3rd Party</t>
  </si>
  <si>
    <t>adjEvtName502</t>
  </si>
  <si>
    <t>adjEvtName503</t>
  </si>
  <si>
    <t>adjEvtName601</t>
  </si>
  <si>
    <t>Special Programs Acquistion CapEx Transform</t>
  </si>
  <si>
    <t>adjEvtName602</t>
  </si>
  <si>
    <t>adjEvtName603</t>
  </si>
  <si>
    <t>adjEvtName701</t>
  </si>
  <si>
    <t>adjEvtName702</t>
  </si>
  <si>
    <t>adjEvtName703</t>
  </si>
  <si>
    <t>adjEvtName801</t>
  </si>
  <si>
    <t>adjEvtName802</t>
  </si>
  <si>
    <t>adjEvtName803</t>
  </si>
  <si>
    <t>adjEvtName901</t>
  </si>
  <si>
    <t>Special Programs Tech CapEx Transform</t>
  </si>
  <si>
    <t>adjEvtName902</t>
  </si>
  <si>
    <t>Growth DC Capacity Per Sub</t>
  </si>
  <si>
    <t>Transform DC Capacity Per Sub</t>
  </si>
  <si>
    <t>1:  Selling Value in Transform</t>
  </si>
  <si>
    <t>2:  Coordination and Cross-Selling Efforts</t>
  </si>
  <si>
    <t>5:  Product Development - Hiring our Customers</t>
  </si>
  <si>
    <t>6:  Demarcated Tiers</t>
  </si>
  <si>
    <t>7:  Strategy Execution Meetings and Breaking Down Siloes</t>
  </si>
  <si>
    <t>8:  Divesting BUs</t>
  </si>
  <si>
    <t>10:  Innovation</t>
  </si>
  <si>
    <t>11:  Cultural Understanding</t>
  </si>
  <si>
    <t>14:  Design and Manage Value Proposition Marketing</t>
  </si>
  <si>
    <t>15:  Services</t>
  </si>
  <si>
    <t>17:  E-Commerce</t>
  </si>
  <si>
    <t>18:  Field Sales Force</t>
  </si>
  <si>
    <t>19:  Inside Sales Force</t>
  </si>
  <si>
    <t>21:  Diversity</t>
  </si>
  <si>
    <t>101:  Acquire</t>
  </si>
  <si>
    <t>102:  Invest</t>
  </si>
  <si>
    <t>301:  No Service</t>
  </si>
  <si>
    <t>302:  Service</t>
  </si>
  <si>
    <t>601:  Buy</t>
  </si>
  <si>
    <t>602:  Create</t>
  </si>
  <si>
    <t>803:  Partially Integrate</t>
  </si>
  <si>
    <t>8:  - Divesting BUs</t>
  </si>
  <si>
    <t>20:  Correct Initial Pricing</t>
  </si>
  <si>
    <t>103:  Due Diligence</t>
  </si>
  <si>
    <t>402:  Innovation Process</t>
  </si>
  <si>
    <t>502:  Build and Charge</t>
  </si>
  <si>
    <t>503:  Build and No Charge</t>
  </si>
  <si>
    <t>603:  Partner</t>
  </si>
  <si>
    <t>701:  Hire More</t>
  </si>
  <si>
    <t>901:  No Open Platform</t>
  </si>
  <si>
    <t>902:  Open Platform</t>
  </si>
  <si>
    <t>22:  Customer Service</t>
  </si>
  <si>
    <t>201:  One-on-one Coaching</t>
  </si>
  <si>
    <t>3:  Acquisition Integration</t>
  </si>
  <si>
    <t>4:  Deploy Single Billing System</t>
  </si>
  <si>
    <t>9:  Thoughtful Workforce Management</t>
  </si>
  <si>
    <t>12:  Leverage Third Party for Data Centers</t>
  </si>
  <si>
    <t>13:  One PnL for Growth and Transform</t>
  </si>
  <si>
    <t>16:  Platform Development</t>
  </si>
  <si>
    <t>203:  Innovation Workshop</t>
  </si>
  <si>
    <t>702:  Leverage Technology</t>
  </si>
  <si>
    <t>801:  Fully Integrate</t>
  </si>
  <si>
    <t>9:  - Thoughtful Workforce Management</t>
  </si>
  <si>
    <t>12:  - Leverage Third Party for Data Centers</t>
  </si>
  <si>
    <t>16:  - Platform Development</t>
  </si>
  <si>
    <t>202:  Ideation</t>
  </si>
  <si>
    <t>801:  - Fully Integrate</t>
  </si>
  <si>
    <t>802:  Status Quo</t>
  </si>
  <si>
    <t>803:  -  Partially Integrate</t>
  </si>
  <si>
    <t>401:  Build</t>
  </si>
  <si>
    <t>403:  - No Build</t>
  </si>
  <si>
    <t>902:  - Open Platform</t>
  </si>
  <si>
    <t>Product Technology(Ex.+New*TTM)</t>
  </si>
  <si>
    <t>Growth  - Market Model Explain</t>
  </si>
  <si>
    <t>Transform  - Market Model Explain</t>
  </si>
  <si>
    <t>Growth Technology</t>
  </si>
  <si>
    <t>Transform Technology</t>
  </si>
  <si>
    <t xml:space="preserve">Year 1:  Consolidating Data Centers: If you choose the Initiative about Data centers you can still change the slider which changes your ESAT/CSAT on the dashboard. Don't know if this will affect the results but just something to look at. </t>
  </si>
  <si>
    <t xml:space="preserve">Year 1:  Event 1: Option A: You get $100M in increased revenue from buying a $15M business. According to the Consequence Cash OI (and operating margin) is supposed to decrease but the dashboard is showing the opposite.  </t>
  </si>
  <si>
    <t xml:space="preserve">Year 1:  Initiatives: Have a reminder about the fact that the participant has to change the forecasted revenue. Confused us why some initiatives increased revenue and some did not. Ben did a good job explaining why but it could be good with a reminder in the handout. </t>
  </si>
  <si>
    <t xml:space="preserve">Year 1:  Analysis report: The FTEs required for special programs doesn't match with what we used for: FTEs used for initiatives, FTEs used for Events or the sum of both of them. </t>
  </si>
  <si>
    <t>Year 1:  Initiatives - Leverage third Party for Data Centers: To consolidate the Data centers in the tool to 90% utilization rate would require 260 FTEs and the initiative to do third party requires 124 FTEs. We would consider increasing the number of FTEs of you select that initiative.</t>
  </si>
  <si>
    <t xml:space="preserve">Year 1:  Initiatives - One PnL for growth and Transform: CSAT is increasing and we suggest that we make the connection to CSAT more explicit in the explanation. Maybe add a sentence in the description. </t>
  </si>
  <si>
    <t>Year 1:  Initiatives - Service: Doesn't have an effect to CSAT. Would consider a small positive effect.</t>
  </si>
  <si>
    <t xml:space="preserve">Year 1:  Initiatives - E-commerce: Takes a hit to the operating margin, which we discussed, would rather increase.  We however think that Cash OI should decrease as we consider as we consider it as CapEx. Would consider changing it to: increase the margin because of reduced overhead costs and a net decrease in Cash OI because of the Capital expenditure. </t>
  </si>
  <si>
    <t xml:space="preserve">Year 2:  Product Platform technology: TTM for Growth is getting better when we increase the product technology. Should work the other way around. </t>
  </si>
  <si>
    <t xml:space="preserve">Year 2:  Event 4: In Option A (developed a solution immediately) we discussed the fact that it should be looked upon as a CapEx and therefor only hit the Cash OI and not the operating margin. </t>
  </si>
  <si>
    <t>Year 2:  Event 5: According to the consequence for Option C it is supposed to give you a "slight hit to your margin" but it doesn't change.  We believe it should have an impact as we develop content which we are not charging a higher price for.</t>
  </si>
  <si>
    <t>Year 2:  Event 6: Option A costs $18M (acquire 365Legal) and Options B (develop our own content) costs $15M. We believe that the cost for developing the content is too high because they would only develop about 20% of what 365 is offering due to content overlap(according to the text)</t>
  </si>
  <si>
    <t>Year 3: Development Methodology: ESAT is not affected by the decision to develop all content through third party. Is this something we would like to change or is this because the previous discussion we had about the content being developed by the FTEs?</t>
  </si>
  <si>
    <t>Year 3: Event  7: Can only pick the first two options</t>
  </si>
  <si>
    <t xml:space="preserve">Year 3: Event 7: Option A, the consequence says that Margin would decrease and therefor also Cash OI. However, the dashboard shows that Margin stays the same and Cash OI increases. </t>
  </si>
  <si>
    <t xml:space="preserve">Year 3: Event 8: Option A, ESAT drops with 1.5% and in the consequence text it says that "ESAT is healthy". This is one of the biggest hits to ESAT so either the wording or the %decrease should change. </t>
  </si>
  <si>
    <t xml:space="preserve">Year 3: Event 8: When comparing Option A (fully integrate) vs. Option C (integrate some of the headcount) we believe that the ESAT wouldn't drop more by integrating all of the business rather than a part of it. We suggest that Option A have a bigger hit to ESAT but would be more profitable and Option C resulting in less cost savings but higher ESAT. </t>
  </si>
  <si>
    <t>Year 3: Event 9: Option A, Revenue increases more than "slight"(2%), operating margin (and Cash OI) goes up event though the margins is supposed get "squeezed" because of the high development cost.</t>
  </si>
  <si>
    <t xml:space="preserve">Year 1:  Content Development: Changing development methodology the numbers are not pulling correctly.  Example: Developing 10% Third party leads to a $5M decrease in Cash OI. This would not be the case if (as shown in the sim) Internal cost decreases by $6 M and Royalties increase by $5M. </t>
  </si>
  <si>
    <t>Remove Create Tool from menu</t>
  </si>
  <si>
    <t>Initiatves say not valid</t>
  </si>
  <si>
    <t>Make subscribers 1,000 instead of 2,000.</t>
  </si>
  <si>
    <t>Re-label CapEx, CashAcq</t>
  </si>
  <si>
    <t>Look at all event "CapEx" and make sure its allocated to the right area (acquistion vs. capex)</t>
  </si>
  <si>
    <t>As designed</t>
  </si>
  <si>
    <t>Ben to possibly update scripts</t>
  </si>
  <si>
    <t>Updated Initiative 15 (CSAT by 1%)</t>
  </si>
  <si>
    <t>Event 9A - Split between capex/expense</t>
  </si>
  <si>
    <t>No Change</t>
  </si>
  <si>
    <t>Ben to change text in event</t>
  </si>
  <si>
    <t>Make point in facilitation.  You can release FTEs if you develop with a 3rd party.  Don't want to double count in ESAT equation.  Assumption is that everyone can develop content or do something else.</t>
  </si>
  <si>
    <t>Reducded by 1%</t>
  </si>
  <si>
    <t>For Excel Version</t>
  </si>
  <si>
    <t>Outsource Datacenter</t>
  </si>
  <si>
    <t>xxDCOutsource</t>
  </si>
  <si>
    <t>Set Flag for ESAT.  Added macro to hide slider bar in excel when initiative is selected.</t>
  </si>
  <si>
    <t>FTE Multipler</t>
  </si>
  <si>
    <t>Modified equation for FTE TTM creating diminshing returns for levels 4 and 5.</t>
  </si>
  <si>
    <t>Changed, took expense for option a and b, 30% expense, 70% "CapEx", linked to Cash OI</t>
  </si>
  <si>
    <t>Changed, Split $15M, 30% expense, 70% capex - hits cash OI</t>
  </si>
  <si>
    <t>Cash Investment</t>
  </si>
  <si>
    <t>Acquisitons = "CashAcq" and CapEx = "CapEx" on adj page.  Change "CapEx" to "Cash Investments" on Events page.</t>
  </si>
  <si>
    <t>CreateSim</t>
  </si>
  <si>
    <t># of Classroom Teams</t>
  </si>
  <si>
    <t>xxExcelNumOfTeams</t>
  </si>
  <si>
    <t>TeamNewYear</t>
  </si>
  <si>
    <t>SimNewYear</t>
  </si>
  <si>
    <t>&amp;Create Year 1</t>
  </si>
  <si>
    <t>tlOutputProgramsYearChosenInit1</t>
  </si>
  <si>
    <t>tlOutputProgramsYearChosenInit2</t>
  </si>
  <si>
    <t>tlOutputProgramsYearChosenInit3</t>
  </si>
  <si>
    <t>tlOutputProgramsYearChosenInit4</t>
  </si>
  <si>
    <t>tlOutputProgramsYearChosenInit5</t>
  </si>
  <si>
    <t>tlOutputProgramsYearChosenInit6</t>
  </si>
  <si>
    <t>tlOutputProgramsYearChosenInit7</t>
  </si>
  <si>
    <t>tlOutputProgramsYearChosenInit8</t>
  </si>
  <si>
    <t>tlOutputProgramsYearChosenInit9</t>
  </si>
  <si>
    <t>tlOutputProgramsYearChosenInit10</t>
  </si>
  <si>
    <t>tlOutputProgramsYearChosenInit11</t>
  </si>
  <si>
    <t>tlOutputProgramsYearChosenInit12</t>
  </si>
  <si>
    <t>tlOutputProgramsYearChosenInit13</t>
  </si>
  <si>
    <t>tlOutputProgramsYearChosenInit14</t>
  </si>
  <si>
    <t>tlOutputProgramsYearChosenInit15</t>
  </si>
  <si>
    <t>tlOutputProgramsYearChosenInit16</t>
  </si>
  <si>
    <t>tlOutputProgramsYearChosenInit17</t>
  </si>
  <si>
    <t>tlOutputProgramsYearChosenInit18</t>
  </si>
  <si>
    <t>tlOutputProgramsYearChosenInit19</t>
  </si>
  <si>
    <t>tlOutputProgramsYearChosenInit20</t>
  </si>
  <si>
    <t>tlOutputProgramsYearChosenInit21</t>
  </si>
  <si>
    <t>tlOutputProgramsYearChosenInit22</t>
  </si>
  <si>
    <t>AnalysisFile</t>
  </si>
  <si>
    <t>xxAnalysisXDataImport</t>
  </si>
  <si>
    <t>xxFeedbackXDataImport</t>
  </si>
  <si>
    <t>analyDataImport</t>
  </si>
  <si>
    <t>feedbackDataImport</t>
  </si>
  <si>
    <t>ImportTeamData</t>
  </si>
  <si>
    <t>&amp;Analysis Tool</t>
  </si>
  <si>
    <t>&amp;Excel Seminar Setup</t>
  </si>
  <si>
    <t>Create &amp;Team Sims</t>
  </si>
  <si>
    <t>Import &amp;Data</t>
  </si>
  <si>
    <t>Created seminar specific menus</t>
  </si>
  <si>
    <t>Added in page</t>
  </si>
  <si>
    <t>Need to discuss - this looks at new subs compared to last year ending subs, not this year ending vs. last year ending. Updated on Data page, now 0% growth.</t>
  </si>
  <si>
    <t>Updated Formula to include FTEs for Growth and Transform specific programs.  This also includes FTEs from Events.</t>
  </si>
  <si>
    <t>Need to account for unutilized FTEs.  In this scenario, if I hire less FTEs because I'm using 10% 3rd party, I see a net positive to Cash OI (lower internal cost offset by higher royalties).</t>
  </si>
  <si>
    <t>Create &amp;Analysis Tool</t>
  </si>
  <si>
    <t>tlOutputSpecProg1ChosenYr</t>
  </si>
  <si>
    <t>tlOutputSpecProg2ChosenYr</t>
  </si>
  <si>
    <t>tlOutputSpecProg3ChosenYr</t>
  </si>
  <si>
    <t>tlOutputSpecProg4ChosenYr</t>
  </si>
  <si>
    <t>tlOutputSpecProg5ChosenYr</t>
  </si>
  <si>
    <t>tlOutputSpecProg6ChosenYr</t>
  </si>
  <si>
    <t>tlOutputSpecProg7ChosenYr</t>
  </si>
  <si>
    <t>tlOutputSpecProg8ChosenYr</t>
  </si>
  <si>
    <t>tlOutputSpecProg9ChosenYr</t>
  </si>
  <si>
    <t>tlOutputSpecProg10ChosenYr</t>
  </si>
  <si>
    <t>tlOutputSpecProg11ChosenYr</t>
  </si>
  <si>
    <t>tlOutputSpecProg12ChosenYr</t>
  </si>
  <si>
    <t>tlOutputSpecProg13ChosenYr</t>
  </si>
  <si>
    <t>tlOutputSpecProg14ChosenYr</t>
  </si>
  <si>
    <t>tlOutputSpecProg15ChosenYr</t>
  </si>
  <si>
    <t>tlOutputSpecProg16ChosenYr</t>
  </si>
  <si>
    <t>tlOutputSpecProg17ChosenYr</t>
  </si>
  <si>
    <t>tlOutputSpecProg18ChosenYr</t>
  </si>
  <si>
    <t>tlOutputSpecProg19ChosenYr</t>
  </si>
  <si>
    <t>tlOutputSpecProg20ChosenYr</t>
  </si>
  <si>
    <t>tlOutputSpecProg21ChosenYr</t>
  </si>
  <si>
    <t>tlOutputSpecProg22ChosenYr</t>
  </si>
  <si>
    <t>2A – CSAT, reduce impact to .5%,  2C – Add CSAT Up 1%, ESAT Up 1%</t>
  </si>
  <si>
    <t>4A – Add 500 subscribers</t>
  </si>
  <si>
    <t>Year 2, Event 1A: shouldn’t this slightly grow revenue? Not a big deal if not, but thought this might be possible relative to option c where you do nothing</t>
  </si>
  <si>
    <t>Year 2, Event 2A:  royalty fee comes out of revenue? / no CSAT boost? – understand CSAT simplification, but it seems least costly might see some boost bc there is an improvement</t>
  </si>
  <si>
    <t>5A – Add CSAT up by .5%</t>
  </si>
  <si>
    <t>Year 1 Event 2C:  No change in CSAT. Seems like there would be a benefit in choosing this option , but maybe not for option A(one-on-one meeting)</t>
  </si>
  <si>
    <t>Year 1 Event 1B:  Why does this option reduce Cash OI?</t>
  </si>
  <si>
    <t xml:space="preserve">Year 1 Event 1C:  Why would a DD increase CSAT? </t>
  </si>
  <si>
    <t xml:space="preserve">Year 2, Event 1B: Why is this option(incrementally build solution) generating revenue? </t>
  </si>
  <si>
    <t>Year 2, Event 2C:  shouldn’t option C be less profitable than A?</t>
  </si>
  <si>
    <t>Year 3, Event 1B:  No visible cost impact for option B</t>
  </si>
  <si>
    <t>Year 3, Event 2A:  Small impact to CSAT unexpected- at least for the impact to be so minimal w/out explanation</t>
  </si>
  <si>
    <t>Dropped royalty to 1% from 2%, Lowered CSAT</t>
  </si>
  <si>
    <t>Year 2, Event 3A:  consequence a says it lowers Cash OI, but doesn’t</t>
  </si>
  <si>
    <t>Ben to update text.  It is an acquistion which doesn't hit cash OI.</t>
  </si>
  <si>
    <t>Addressed previously</t>
  </si>
  <si>
    <t>Check Saga's tool, double check in testing</t>
  </si>
  <si>
    <t>Event 6A - Where did 55,000 paying subscribers come from?</t>
  </si>
  <si>
    <t>Ben to remove 55K from text</t>
  </si>
  <si>
    <t>Event 7B - margin not improved</t>
  </si>
  <si>
    <t>Changed to corporate employee cost</t>
  </si>
  <si>
    <t>Graphs for Hard Copy Reports</t>
  </si>
  <si>
    <t>tlOutputTRUE</t>
  </si>
  <si>
    <t>tlOutputFALSE</t>
  </si>
  <si>
    <t>tlOutputZero</t>
  </si>
  <si>
    <t>tlOutputCurrentYear</t>
  </si>
  <si>
    <t>TEAM NAME</t>
  </si>
  <si>
    <t>TEAM NUMBER</t>
  </si>
  <si>
    <t>Make CSAT/ESAT index (multiply by 100) in Excel</t>
  </si>
  <si>
    <t>Growth to transform markets (tlOutputGraphMktRepYr1) (-1.% - Y1, .1% Y2, .2% Y3)</t>
  </si>
  <si>
    <t>Move “Sales” in Excel and Change to “Net New Sales” with a dotted line and space separating from the income statement</t>
  </si>
  <si>
    <t>Change “Transactions” to “Services” in “Net New Sales”</t>
  </si>
  <si>
    <t>Change “Extra Ordinary Items” to “Extraordinary Items”</t>
  </si>
  <si>
    <t>Move Expenses to Cash OI to for total expenses</t>
  </si>
  <si>
    <t>Label EBITDA graph “revenues” on y axis</t>
  </si>
  <si>
    <t>Story board auto competitor CSAT and ESAT</t>
  </si>
  <si>
    <t>This year/last year cost on operations page flipped</t>
  </si>
  <si>
    <t xml:space="preserve">     People Related</t>
  </si>
  <si>
    <t xml:space="preserve">     Revenue Related</t>
  </si>
  <si>
    <t xml:space="preserve">     Net Outside Services</t>
  </si>
  <si>
    <t xml:space="preserve">     Admin &amp; Infrastructure</t>
  </si>
  <si>
    <t xml:space="preserve">     Other Operating</t>
  </si>
  <si>
    <t>Costa9</t>
  </si>
  <si>
    <t>Costb9</t>
  </si>
  <si>
    <t>HideRowtoolProd2Forecast</t>
  </si>
  <si>
    <t>HideColToolProd2Forecast</t>
  </si>
  <si>
    <t>tlOutputAnalyTeamNameT1</t>
  </si>
  <si>
    <t>tlOutputAnalyCSATT1</t>
  </si>
  <si>
    <t>tlOutputAnalyESATT1</t>
  </si>
  <si>
    <t>tlOutputAnalyRevenueT1</t>
  </si>
  <si>
    <t>tlOutputAnalyCAGRT1</t>
  </si>
  <si>
    <t>tlOutputAnalyOperatingIncomeT1</t>
  </si>
  <si>
    <t>tlOutputAnalyOperatingMarginT1</t>
  </si>
  <si>
    <t>tlOutputAnalyCashOIT1</t>
  </si>
  <si>
    <t>tlOutputAnalyCashOIMarginT1</t>
  </si>
  <si>
    <t>tlOutputAnalyEvent1Yr1T1</t>
  </si>
  <si>
    <t>tlOutputAnalyEvent2Yr1T1</t>
  </si>
  <si>
    <t>tlOutputAnalyEvent3Yr1T1</t>
  </si>
  <si>
    <t>tlOutputAnalyEvent1Yr2T1</t>
  </si>
  <si>
    <t>tlOutputAnalyEvent2Yr2T1</t>
  </si>
  <si>
    <t>tlOutputAnalyEvent3Yr2T1</t>
  </si>
  <si>
    <t>tlOutputAnalyEvent1Yr3T1</t>
  </si>
  <si>
    <t>tlOutputAnalyEvent2Yr3T1</t>
  </si>
  <si>
    <t>tlOutputAnalyEvent3Yr3T1</t>
  </si>
  <si>
    <t>tlOutputAnalyInit1Yr1T1</t>
  </si>
  <si>
    <t>tlOutputAnalyInit2Yr1T1</t>
  </si>
  <si>
    <t>tlOutputAnalyInit3Yr1T1</t>
  </si>
  <si>
    <t>tlOutputAnalyInit1Yr2T1</t>
  </si>
  <si>
    <t>tlOutputAnalyInit2Yr2T1</t>
  </si>
  <si>
    <t>tlOutputAnalyInit3Yr2T1</t>
  </si>
  <si>
    <t>tlOutputAnalyInit1Yr3T1</t>
  </si>
  <si>
    <t>tlOutputAnalyInit2Yr3T1</t>
  </si>
  <si>
    <t>tlOutputAnalyInit3Yr3T1</t>
  </si>
  <si>
    <t>tlOutputAnalyParamSP3T1</t>
  </si>
  <si>
    <t>tlOutputAnalyParamSP4T1</t>
  </si>
  <si>
    <t>tlOutputAnalyParamSP5T1</t>
  </si>
  <si>
    <t>tlOutputAnalyParamSP2T1</t>
  </si>
  <si>
    <t>tlOutputAnalyParamGrw16T1</t>
  </si>
  <si>
    <t>tlOutputAnalyParamTrns16T1</t>
  </si>
  <si>
    <t>tlOutputAnalyParamGrw17T1</t>
  </si>
  <si>
    <t>tlOutputAnalyParamTrns17T1</t>
  </si>
  <si>
    <t>tlOutputAnalyParamGrw2T1</t>
  </si>
  <si>
    <t>tlOutputAnalyParamTrns2T1</t>
  </si>
  <si>
    <t>tlOutputAnalyParamGrw3T1</t>
  </si>
  <si>
    <t>tlOutputAnalyParamTrns3T1</t>
  </si>
  <si>
    <t>tlOutputAnalyParamGrw1T1</t>
  </si>
  <si>
    <t>tlOutputAnalyParamTrns1T1</t>
  </si>
  <si>
    <t>tlOutputAnalyParamSP10T1</t>
  </si>
  <si>
    <t>tlOutputAnalyParamSP11T1</t>
  </si>
  <si>
    <t>tlOutputAnalyParamTSGrw3T1</t>
  </si>
  <si>
    <t>tlOutputAnalyParamTSTrns3T1</t>
  </si>
  <si>
    <t>tlOutputAnalyParamOther2T1</t>
  </si>
  <si>
    <t>tlOutputAnalyParamOther1T1</t>
  </si>
  <si>
    <t>tlOutputAnalyParamGrw7T1</t>
  </si>
  <si>
    <t>tlOutputAnalyParamGrw13T1</t>
  </si>
  <si>
    <t>tlOutputAnalyParamTrns7T1</t>
  </si>
  <si>
    <t>tlOutputAnalyParamTrns13T1</t>
  </si>
  <si>
    <t>tlOutputAnalyParamMisc4T1</t>
  </si>
  <si>
    <t>tlOutputAnalyParamMisc5T1</t>
  </si>
  <si>
    <t>tlOutputAnalyParamGrw5T1</t>
  </si>
  <si>
    <t>tlOutputAnalyParamTrns5T1</t>
  </si>
  <si>
    <t>tlOutputAnalyParamFTE8T1</t>
  </si>
  <si>
    <t>tlOutputAnalyParamMisc26T1</t>
  </si>
  <si>
    <t>tlOutputAnalyMSImpact1T1</t>
  </si>
  <si>
    <t>tlOutputAnalyMSImpact2T1</t>
  </si>
  <si>
    <t>tlOutputAnalyMSImpact3T1</t>
  </si>
  <si>
    <t>tlOutputAnalyMSImpact4T1</t>
  </si>
  <si>
    <t>tlOutputAnalyMSImpact5T1</t>
  </si>
  <si>
    <t>tlOutputAnalyMSImpact6T1</t>
  </si>
  <si>
    <t>tlOutputAnalyMSImpact7T1</t>
  </si>
  <si>
    <t>tlOutputAnalyMSImpact8T1</t>
  </si>
  <si>
    <t>tlOutputAnalyMSImpact9T1</t>
  </si>
  <si>
    <t>tlOutputAnalyMSImpact10T1</t>
  </si>
  <si>
    <t>tlOutputAnalyMSImpact11T1</t>
  </si>
  <si>
    <t>tlOutputAnalyMSImpact12T1</t>
  </si>
  <si>
    <t>tlOutputAnalyMSImpact13T1</t>
  </si>
  <si>
    <t>tlOutputAnalyMSImpact14T1</t>
  </si>
  <si>
    <t>tlOutputAnalyMSImpact15T1</t>
  </si>
  <si>
    <t>tlOutputAnalyMSImpact16T1</t>
  </si>
  <si>
    <t>tlOutputAnalyMSImpact17T1</t>
  </si>
  <si>
    <t>tlOutputAnalyMSImpact18T1</t>
  </si>
  <si>
    <t>tlOutputAnalyMSImpact19T1</t>
  </si>
  <si>
    <t>tlOutputAnalyMSImpact20T1</t>
  </si>
  <si>
    <t>tlOutputAnalyMSImpact21T1</t>
  </si>
  <si>
    <t>tlOutputAnalyRGImpact1T1</t>
  </si>
  <si>
    <t>tlOutputAnalyRGImpact2T1</t>
  </si>
  <si>
    <t>tlOutputAnalyRGImpact3T1</t>
  </si>
  <si>
    <t>tlOutputAnalyRGImpact4T1</t>
  </si>
  <si>
    <t>tlOutputAnalyRGImpact5T1</t>
  </si>
  <si>
    <t>tlOutputAnalyRGImpact6T1</t>
  </si>
  <si>
    <t>tlOutputAnalyRGImpact7T1</t>
  </si>
  <si>
    <t>tlOutputAnalyRGImpact8T1</t>
  </si>
  <si>
    <t>tlOutputAnalyRGImpact9T1</t>
  </si>
  <si>
    <t>tlOutputAnalyRGImpact10T1</t>
  </si>
  <si>
    <t>tlOutputAnalyRGImpact11T1</t>
  </si>
  <si>
    <t>tlOutputAnalyRGImpact12T1</t>
  </si>
  <si>
    <t>tlOutputAnalyRGImpact13T1</t>
  </si>
  <si>
    <t>tlOutputAnalyRGImpact14T1</t>
  </si>
  <si>
    <t>tlOutputAnalyRGImpact15T1</t>
  </si>
  <si>
    <t>tlOutputAnalyRGImpact16T1</t>
  </si>
  <si>
    <t>tlOutputAnalyRGImpact17T1</t>
  </si>
  <si>
    <t>tlOutputAnalyRGImpact18T1</t>
  </si>
  <si>
    <t>tlOutputAnalyRGImpact19T1</t>
  </si>
  <si>
    <t>tlOutputAnalyRGImpact20T1</t>
  </si>
  <si>
    <t>tlOutputAnalyCRImpact1T1</t>
  </si>
  <si>
    <t>tlOutputAnalyCRImpact2T1</t>
  </si>
  <si>
    <t>tlOutputAnalyCRImpact3T1</t>
  </si>
  <si>
    <t>tlOutputAnalyCRImpact4T1</t>
  </si>
  <si>
    <t>tlOutputAnalyCRImpact5T1</t>
  </si>
  <si>
    <t>tlOutputAnalyCRImpact6T1</t>
  </si>
  <si>
    <t>tlOutputAnalyCRImpact7T1</t>
  </si>
  <si>
    <t>tlOutputAnalyCRImpact8T1</t>
  </si>
  <si>
    <t>tlOutputAnalyCRImpact9T1</t>
  </si>
  <si>
    <t>tlOutputAnalyCRImpact10T1</t>
  </si>
  <si>
    <t>tlOutputAnalyCRImpact11T1</t>
  </si>
  <si>
    <t>tlOutputAnalyCRImpact12T1</t>
  </si>
  <si>
    <t>tlOutputAnalyCRImpact13T1</t>
  </si>
  <si>
    <t>tlOutputAnalyCRImpact14T1</t>
  </si>
  <si>
    <t>tlOutputAnalySBImpact1T1</t>
  </si>
  <si>
    <t>tlOutputAnalySBImpact2T1</t>
  </si>
  <si>
    <t>tlOutputAnalySBImpact3T1</t>
  </si>
  <si>
    <t>tlOutputAnalySBImpact4T1</t>
  </si>
  <si>
    <t>tlOutputAnalySBImpact5T1</t>
  </si>
  <si>
    <t>tlOutputAnalySBImpact6T1</t>
  </si>
  <si>
    <t>tlOutputAnalySBImpact7T1</t>
  </si>
  <si>
    <t>tlOutputAnalySBImpact8T1</t>
  </si>
  <si>
    <t>tlOutputAnalySBImpact9T1</t>
  </si>
  <si>
    <t>tlOutputAnalySBImpact10T1</t>
  </si>
  <si>
    <t>tlOutputAnalySBImpact11T1</t>
  </si>
  <si>
    <t>tlOutputAnalySBImpact12T1</t>
  </si>
  <si>
    <t>tlOutputAnalySBImpact13T1</t>
  </si>
  <si>
    <t>tlOutputAnalySBImpact14T1</t>
  </si>
  <si>
    <t>tlOutputAnalyEEImpact1T1</t>
  </si>
  <si>
    <t>tlOutputAnalyEEImpact2T1</t>
  </si>
  <si>
    <t>tlOutputAnalyEEImpact3T1</t>
  </si>
  <si>
    <t>tlOutputAnalyEEImpact4T1</t>
  </si>
  <si>
    <t>tlOutputAnalyEEImpact5T1</t>
  </si>
  <si>
    <t>tlOutputAnalyEEImpact6T1</t>
  </si>
  <si>
    <t>tlOutputAnalyEEImpact7T1</t>
  </si>
  <si>
    <t>tlOutputAnalyEEImpact8T1</t>
  </si>
  <si>
    <t>tlOutputAnalyEEImpact9T1</t>
  </si>
  <si>
    <t>tlOutputAnalyEEImpact10T1</t>
  </si>
  <si>
    <t>tlOutputAnalyEEImpact11T1</t>
  </si>
  <si>
    <t>tlOutputAnalyEEImpact12T1</t>
  </si>
  <si>
    <t>tlOutputAnalyEEImpact13T1</t>
  </si>
  <si>
    <t>tlOutputAnalyEEImpact14T1</t>
  </si>
  <si>
    <t>tlOutputAnalyEEImpact15T1</t>
  </si>
  <si>
    <t>tlOutputAnalyEEImpact16T1</t>
  </si>
  <si>
    <t>tlOutputAnalyEEImpact17T1</t>
  </si>
  <si>
    <t>tlOutputAnalyFTEProdImpact1T1</t>
  </si>
  <si>
    <t>tlOutputAnalyFTEProdImpact2T1</t>
  </si>
  <si>
    <t>tlOutputAnalyFTEProdImpact3T1</t>
  </si>
  <si>
    <t>tlOutputAnalyFTEProdImpact4T1</t>
  </si>
  <si>
    <t>tlOutputAnalyFTEProdImpact5T1</t>
  </si>
  <si>
    <t>tlOutputAnalyFTEProdImpact6T1</t>
  </si>
  <si>
    <t>tlOutputAnalyFTEProdImpact7T1</t>
  </si>
  <si>
    <t>tlOutputAnalyCSATImpact1T1</t>
  </si>
  <si>
    <t>tlOutputAnalyCSATImpact2T1</t>
  </si>
  <si>
    <t>tlOutputAnalyCSATImpact3T1</t>
  </si>
  <si>
    <t>tlOutputAnalyCSATImpact4T1</t>
  </si>
  <si>
    <t>tlOutputAnalyCSATImpact5T1</t>
  </si>
  <si>
    <t>tlOutputAnalyCSATImpact6T1</t>
  </si>
  <si>
    <t>tlOutputAnalyCSATImpact7T1</t>
  </si>
  <si>
    <t>tlOutputAnalyCSATImpact8T1</t>
  </si>
  <si>
    <t>tlOutputAnalyCSATImpact9T1</t>
  </si>
  <si>
    <t>tlOutputAnalyCSATImpact10T1</t>
  </si>
  <si>
    <t>tlOutputAnalyCSATImpact11T1</t>
  </si>
  <si>
    <t>tlOutputAnalyCSATImpact12T1</t>
  </si>
  <si>
    <t>tlOutputAnalyCSATImpact13T1</t>
  </si>
  <si>
    <t>tlOutputAnalyCSATImpact14T1</t>
  </si>
  <si>
    <t>tlOutputAnalyCSATImpact15T1</t>
  </si>
  <si>
    <t>tlOutputAnalyCSATImpact16T1</t>
  </si>
  <si>
    <t>tlOutputAnalyProd1RRevT1</t>
  </si>
  <si>
    <t>tlOutputAnalyProd1NRevT1</t>
  </si>
  <si>
    <t>tlOutputAnalyProd1TRevT1</t>
  </si>
  <si>
    <t>tlOutputAnalyProd1RevT1</t>
  </si>
  <si>
    <t>tlOutputAnalyProd1EBITDAT1</t>
  </si>
  <si>
    <t>tlOutputAnalyProd1EBITDAMarginT1</t>
  </si>
  <si>
    <t>tlOutputAnalyProd1OperatingIncomeT1</t>
  </si>
  <si>
    <t>tlOutputAnalyProd1OperatingMarginT1</t>
  </si>
  <si>
    <t>tlOutputAnalyProd1SubGrowthT1</t>
  </si>
  <si>
    <t>tlOutputAnalyProd1CancellationT1</t>
  </si>
  <si>
    <t>tlOutputAnalyProd1AttachRateT1</t>
  </si>
  <si>
    <t>tlOutputAnalyProd1TechT1</t>
  </si>
  <si>
    <t>tlOutputAnalyProd1TTMT1</t>
  </si>
  <si>
    <t>tlOutputAnalyProd1IFTEsT1</t>
  </si>
  <si>
    <t>tlOutputAnalyProd1EIFTEsT1</t>
  </si>
  <si>
    <t>tlOutputAnalyProd1SalesForceT1</t>
  </si>
  <si>
    <t>tlOutputAnalyProd1PercNewT1</t>
  </si>
  <si>
    <t>tlOutputAnalyProd1SalesInitsT1</t>
  </si>
  <si>
    <t>tlOutputAnalyProd1TrainingT1</t>
  </si>
  <si>
    <t>tlOutputAnalyProd1MktT1</t>
  </si>
  <si>
    <t>tlOutputAnalyProd1ContentT1</t>
  </si>
  <si>
    <t>tlOutputAnalyProd1PercIntT1</t>
  </si>
  <si>
    <t>tlOutputAnalyProd1PriceT1</t>
  </si>
  <si>
    <t>tlOutputAnalyProd1CustomerServiceT1</t>
  </si>
  <si>
    <t>tlOutputAnalyProd1CSATTrainingT1</t>
  </si>
  <si>
    <t>tlOutputAnalyProd1ESATTrainingT1</t>
  </si>
  <si>
    <t>tlOutputAnalyProd1MarketShareT1</t>
  </si>
  <si>
    <t>tlOutputAnalyProd1MMDriver1T1</t>
  </si>
  <si>
    <t>tlOutputAnalyProd1MMDriver2T1</t>
  </si>
  <si>
    <t>tlOutputAnalyProd1MMDriver3T1</t>
  </si>
  <si>
    <t>tlOutputAnalyProd1MMDriver4T1</t>
  </si>
  <si>
    <t>tlOutputAnalyProd1MMDriver5T1</t>
  </si>
  <si>
    <t>tlOutputAnalyProd1MMDriver6T1</t>
  </si>
  <si>
    <t>tlOutputAnalyProd1MMSPT1</t>
  </si>
  <si>
    <t>tlOutputAnalyProd1MMTotalT1</t>
  </si>
  <si>
    <t>tlOutputAnalyProd2RRevT1</t>
  </si>
  <si>
    <t>tlOutputAnalyProd2NRevT1</t>
  </si>
  <si>
    <t>tlOutputAnalyProd2TRevT1</t>
  </si>
  <si>
    <t>tlOutputAnalyProd2RevT1</t>
  </si>
  <si>
    <t>tlOutputAnalyProd2EBITDAT1</t>
  </si>
  <si>
    <t>tlOutputAnalyProd2EBITDAMarginT1</t>
  </si>
  <si>
    <t>tlOutputAnalyProd2OperatingIncomeT1</t>
  </si>
  <si>
    <t>tlOutputAnalyProd2OperatingMarginT1</t>
  </si>
  <si>
    <t>tlOutputAnalyProd2SubGrowthT1</t>
  </si>
  <si>
    <t>tlOutputAnalyProd2CancellationT1</t>
  </si>
  <si>
    <t>tlOutputAnalyProd2AttachRateT1</t>
  </si>
  <si>
    <t>tlOutputAnalyProd2TechT1</t>
  </si>
  <si>
    <t>tlOutputAnalyProd2TTMT1</t>
  </si>
  <si>
    <t>tlOutputAnalyProd2IFTEsT1</t>
  </si>
  <si>
    <t>tlOutputAnalyProd2EIFTEsT1</t>
  </si>
  <si>
    <t>tlOutputAnalyProd2SalesForceT1</t>
  </si>
  <si>
    <t>tlOutputAnalyProd2PercNewT1</t>
  </si>
  <si>
    <t>tlOutputAnalyProd2SalesInitsT1</t>
  </si>
  <si>
    <t>tlOutputAnalyProd2TrainingT1</t>
  </si>
  <si>
    <t>tlOutputAnalyProd2MktT1</t>
  </si>
  <si>
    <t>tlOutputAnalyProd2ContentT1</t>
  </si>
  <si>
    <t>tlOutputAnalyProd2PercIntT1</t>
  </si>
  <si>
    <t>tlOutputAnalyProd2PriceT1</t>
  </si>
  <si>
    <t>tlOutputAnalyProd2CustomerServiceT1</t>
  </si>
  <si>
    <t>tlOutputAnalyProd2CSATTrainingT1</t>
  </si>
  <si>
    <t>tlOutputAnalyProd2ESATTrainingT1</t>
  </si>
  <si>
    <t>tlOutputAnalyProd2MarketShareT1</t>
  </si>
  <si>
    <t>tlOutputAnalyProd2MMDriver1T1</t>
  </si>
  <si>
    <t>tlOutputAnalyProd2MMDriver2T1</t>
  </si>
  <si>
    <t>tlOutputAnalyProd2MMDriver3T1</t>
  </si>
  <si>
    <t>tlOutputAnalyProd2MMDriver4T1</t>
  </si>
  <si>
    <t>tlOutputAnalyProd2MMDriver5T1</t>
  </si>
  <si>
    <t>tlOutputAnalyProd2MMDriver6T1</t>
  </si>
  <si>
    <t>tlOutputAnalyProd2MMSPT1</t>
  </si>
  <si>
    <t>tlOutputAnalyProd2MMTotalT1</t>
  </si>
  <si>
    <t>tlOutputAnalyDCsT1</t>
  </si>
  <si>
    <t>tlOutputAnalyDCConsolidateT1</t>
  </si>
  <si>
    <t>tlOutputAnalyDCUtilizationT1</t>
  </si>
  <si>
    <t>tlOutputAnalyGlobalAccessT1</t>
  </si>
  <si>
    <t>tlOutputAnalySalesCoverageT1</t>
  </si>
  <si>
    <t>tlOutputAnalyFTEsT1</t>
  </si>
  <si>
    <t>tlOutputAnalyStaffT1</t>
  </si>
  <si>
    <t>tlOutputAnalyServiceT1</t>
  </si>
  <si>
    <t>tlOutputAnalyHeadcountT1</t>
  </si>
  <si>
    <t>tlOutputAnalyBuildingsT1</t>
  </si>
  <si>
    <t>tlOutputAnalyFTEProd1TechT1</t>
  </si>
  <si>
    <t>tlOutputAnalyFTEProd2TechT1</t>
  </si>
  <si>
    <t>tlOutputAnalyFTEContentT1</t>
  </si>
  <si>
    <t>tlOutputAnalyFTETrainingT1</t>
  </si>
  <si>
    <t>tlOutputAnalyFTEGlobalAccessT1</t>
  </si>
  <si>
    <t>tlOutputAnalyFTESalesCoverageT1</t>
  </si>
  <si>
    <t>tlOutputAnalyFTEDConsolidateT1</t>
  </si>
  <si>
    <t>tlOutputAnalyFTEInitT1</t>
  </si>
  <si>
    <t>tlOutputAnalyFTEProductivtyT1</t>
  </si>
  <si>
    <t>tlOutputAnalyWinMetricCashOIT1</t>
  </si>
  <si>
    <t>tlOutputAnalyWinMetricYr0T1</t>
  </si>
  <si>
    <t>tlOutputAnalyWinMetricYr1T1</t>
  </si>
  <si>
    <t>tlOutputAnalyWinMetricYr2T1</t>
  </si>
  <si>
    <t>tlOutputAnalyWinMetricYr3T1</t>
  </si>
  <si>
    <t>tlOutputFBdecTeamNameThreeTeam</t>
  </si>
  <si>
    <t>tlOutputFBfinPNLProd1RevThreeTeam</t>
  </si>
  <si>
    <t>tlOutputFBfinPNLProd2RevThreeTeam</t>
  </si>
  <si>
    <t>tlOutputFBfinGGORevThreeTeam</t>
  </si>
  <si>
    <t>tlOutputFBfinCAGRThreeTeam</t>
  </si>
  <si>
    <t>tlOutputFBfinPNLRevNewThreeTeam</t>
  </si>
  <si>
    <t>tlOutputFBfinPNLExistSubRevThreeTeam</t>
  </si>
  <si>
    <t>tlOutputFBcapTotalCancellationRateThreeTeam</t>
  </si>
  <si>
    <t>tlOutputFBfinPNLEmpExpThreeTeam</t>
  </si>
  <si>
    <t>tlOutputFBfinPNLRevExpThreeTeam</t>
  </si>
  <si>
    <t>tlOutputFBfinPNLProdDevExpThreeTeam</t>
  </si>
  <si>
    <t>tlOutputFBfinPNLAdminInfraExpThreeTeam</t>
  </si>
  <si>
    <t>tlOutputFBfinPNLOtherOpExpThreeTeam</t>
  </si>
  <si>
    <t>tlOutputFBfinPNLDeprAmortExpThreeTeam</t>
  </si>
  <si>
    <t>tlOutputFBfinPNLOperatingIncomeThreeTeam</t>
  </si>
  <si>
    <t>tlOutputFBfinPNLOperatingMarginThreeTeam</t>
  </si>
  <si>
    <t>tlOutputFBfinCashOIThreeTeam</t>
  </si>
  <si>
    <t>tlOutputFBfinCashOIMarginThreeTeam</t>
  </si>
  <si>
    <t>tlOutputFBCSATDriver1ThreeTeam</t>
  </si>
  <si>
    <t>tlOutputFBCSATDriver2ThreeTeam</t>
  </si>
  <si>
    <t>tlOutputFBCSATDriver3ThreeTeam</t>
  </si>
  <si>
    <t>tlOutputFBCSATDriver4ThreeTeam</t>
  </si>
  <si>
    <t>tlOutputFBCSATDriver5ThreeTeam</t>
  </si>
  <si>
    <t>tlOutputFBCSATDriver6ThreeTeam</t>
  </si>
  <si>
    <t>tlOutputFBCSATDriver7ThreeTeam</t>
  </si>
  <si>
    <t>tlOutputFBCSATDriver8ThreeTeam</t>
  </si>
  <si>
    <t>tlOutputFBCSATDriver9ThreeTeam</t>
  </si>
  <si>
    <t>tlOutputFBCSATDriver10ThreeTeam</t>
  </si>
  <si>
    <t>tlOutputFBcapCSATThreeTeam</t>
  </si>
  <si>
    <t>tlOutputFBESATDriver1ThreeTeam</t>
  </si>
  <si>
    <t>tlOutputFBESATDriver2ThreeTeam</t>
  </si>
  <si>
    <t>tlOutputFBESATDriver3ThreeTeam</t>
  </si>
  <si>
    <t>tlOutputFBESATDriver4ThreeTeam</t>
  </si>
  <si>
    <t>tlOutputFBESATDriver5ThreeTeam</t>
  </si>
  <si>
    <t>tlOutputFBESATDriver6ThreeTeam</t>
  </si>
  <si>
    <t>tlOutputFBcapESATThreeTeam</t>
  </si>
  <si>
    <t>tlOutputFBProd2VOCDriver1ThreeTeam</t>
  </si>
  <si>
    <t>tlOutputFBProd2VOCDriver2ThreeTeam</t>
  </si>
  <si>
    <t>tlOutputFBProd2VOCDriver3ThreeTeam</t>
  </si>
  <si>
    <t>tlOutputFBProd2VOCDriver4ThreeTeam</t>
  </si>
  <si>
    <t>tlOutputFBProd2VOCDriver5ThreeTeam</t>
  </si>
  <si>
    <t>tlOutputFBProd2VOCDriver6ThreeTeam</t>
  </si>
  <si>
    <t>tlOutputFBcbalTotalRevY0ThreeTeam</t>
  </si>
  <si>
    <t>tlOutputFBcbalTotalRevY1ThreeTeam</t>
  </si>
  <si>
    <t>tlOutputFBcbalTotalRevY2ThreeTeam</t>
  </si>
  <si>
    <t>tlOutputFBcbalTotalRevY3ThreeTeam</t>
  </si>
  <si>
    <t>tlOutputFBcbalOperatingMarginY0ThreeTeam</t>
  </si>
  <si>
    <t>tlOutputFBcbalOperatingMarginY1ThreeTeam</t>
  </si>
  <si>
    <t>tlOutputFBcbalOperatingMarginY2ThreeTeam</t>
  </si>
  <si>
    <t>tlOutputFBcbalOperatingMarginY3ThreeTeam</t>
  </si>
  <si>
    <t>tlOutputFBcbalCashOIY0ThreeTeam</t>
  </si>
  <si>
    <t>tlOutputFBcbalCashOIY1ThreeTeam</t>
  </si>
  <si>
    <t>tlOutputFBcbalCashOIY2ThreeTeam</t>
  </si>
  <si>
    <t>tlOutputFBcbalCashOIY3ThreeTeam</t>
  </si>
  <si>
    <t>tlOutputFBcbalESATY0ThreeTeam</t>
  </si>
  <si>
    <t>tlOutputFBcbalESATY1ThreeTeam</t>
  </si>
  <si>
    <t>tlOutputFBcbalESATY2ThreeTeam</t>
  </si>
  <si>
    <t>tlOutputFBcbalESATY3ThreeTeam</t>
  </si>
  <si>
    <t>tlOutputFBcbalCSATY0ThreeTeam</t>
  </si>
  <si>
    <t>tlOutputFBcbalCSATY1ThreeTeam</t>
  </si>
  <si>
    <t>tlOutputFBcbalCSATY2ThreeTeam</t>
  </si>
  <si>
    <t>tlOutputFBcbalCSATY3ThreeTeam</t>
  </si>
  <si>
    <t>tlOutputFBcbalEVT1Y1Choice1ThreeTeam</t>
  </si>
  <si>
    <t>tlOutputFBcbalEVT1Y1Choice2ThreeTeam</t>
  </si>
  <si>
    <t>tlOutputFBcbalEVT1Y1Choice3ThreeTeam</t>
  </si>
  <si>
    <t>tlOutputFBcbalEVT2Y1Choice1ThreeTeam</t>
  </si>
  <si>
    <t>tlOutputFBcbalEVT2Y1Choice2ThreeTeam</t>
  </si>
  <si>
    <t>tlOutputFBcbalEVT2Y1Choice3ThreeTeam</t>
  </si>
  <si>
    <t>tlOutputFBcbalEVT3Y1Choice1ThreeTeam</t>
  </si>
  <si>
    <t>tlOutputFBcbalEVT3Y1Choice2ThreeTeam</t>
  </si>
  <si>
    <t>tlOutputFBcbalEVT3Y1Choice3ThreeTeam</t>
  </si>
  <si>
    <t>tlOutputFBcbalEVT1Y2Choice1ThreeTeam</t>
  </si>
  <si>
    <t>tlOutputFBcbalEVT1Y2Choice2ThreeTeam</t>
  </si>
  <si>
    <t>tlOutputFBcbalEVT1Y2Choice3ThreeTeam</t>
  </si>
  <si>
    <t>tlOutputFBcbalEVT2Y2Choice1ThreeTeam</t>
  </si>
  <si>
    <t>tlOutputFBcbalEVT2Y2Choice2ThreeTeam</t>
  </si>
  <si>
    <t>tlOutputFBcbalEVT2Y2Choice3ThreeTeam</t>
  </si>
  <si>
    <t>tlOutputFBcbalEVT3Y2Choice1ThreeTeam</t>
  </si>
  <si>
    <t>tlOutputFBcbalEVT3Y2Choice2ThreeTeam</t>
  </si>
  <si>
    <t>tlOutputFBcbalEVT3Y2Choice3ThreeTeam</t>
  </si>
  <si>
    <t>tlOutputFBcbalEVT1Y3Choice1ThreeTeam</t>
  </si>
  <si>
    <t>tlOutputFBcbalEVT1Y3Choice2ThreeTeam</t>
  </si>
  <si>
    <t>tlOutputFBcbalEVT1Y3Choice3ThreeTeam</t>
  </si>
  <si>
    <t>tlOutputFBcbalEVT2Y3Choice1ThreeTeam</t>
  </si>
  <si>
    <t>tlOutputFBcbalEVT2Y3Choice2ThreeTeam</t>
  </si>
  <si>
    <t>tlOutputFBcbalEVT2Y3Choice3ThreeTeam</t>
  </si>
  <si>
    <t>tlOutputFBcbalEVT3Y3Choice1ThreeTeam</t>
  </si>
  <si>
    <t>tlOutputFBcbalEVT3Y3Choice2ThreeTeam</t>
  </si>
  <si>
    <t>tlOutputFBcbalEVT3Y3Choice3ThreeTeam</t>
  </si>
  <si>
    <t>tlOutputFBdecTeamNameT1</t>
  </si>
  <si>
    <t>tlOutputFBdecTeamNameT2</t>
  </si>
  <si>
    <t>tlOutputFBdecTeamNameT3</t>
  </si>
  <si>
    <t>tlOutputFBfinPNLProd1RevT1</t>
  </si>
  <si>
    <t>tlOutputFBfinPNLProd1RevT2</t>
  </si>
  <si>
    <t>tlOutputFBfinPNLProd1RevT3</t>
  </si>
  <si>
    <t>tlOutputFBfinPNLProd2RevT1</t>
  </si>
  <si>
    <t>tlOutputFBfinPNLProd2RevT2</t>
  </si>
  <si>
    <t>tlOutputFBfinPNLProd2RevT3</t>
  </si>
  <si>
    <t>tlOutputFBfinGGORevT1</t>
  </si>
  <si>
    <t>tlOutputFBfinGGORevT2</t>
  </si>
  <si>
    <t>tlOutputFBfinGGORevT3</t>
  </si>
  <si>
    <t>tlOutputFBfinCAGRT1</t>
  </si>
  <si>
    <t>tlOutputFBfinCAGRT2</t>
  </si>
  <si>
    <t>tlOutputFBfinCAGRT3</t>
  </si>
  <si>
    <t>tlOutputFBfinPNLRevNewT1</t>
  </si>
  <si>
    <t>tlOutputFBfinPNLRevNewT2</t>
  </si>
  <si>
    <t>tlOutputFBfinPNLRevNewT3</t>
  </si>
  <si>
    <t>tlOutputFBfinPNLExistSubRevT1</t>
  </si>
  <si>
    <t>tlOutputFBfinPNLExistSubRevT2</t>
  </si>
  <si>
    <t>tlOutputFBfinPNLExistSubRevT3</t>
  </si>
  <si>
    <t>tlOutputFBcapTotalCancellationRateT1</t>
  </si>
  <si>
    <t>tlOutputFBcapTotalCancellationRateT2</t>
  </si>
  <si>
    <t>tlOutputFBcapTotalCancellationRateT3</t>
  </si>
  <si>
    <t>tlOutputFBfinPNLEmpExpT1</t>
  </si>
  <si>
    <t>tlOutputFBfinPNLEmpExpT2</t>
  </si>
  <si>
    <t>tlOutputFBfinPNLEmpExpT3</t>
  </si>
  <si>
    <t>tlOutputFBfinPNLRevExpT1</t>
  </si>
  <si>
    <t>tlOutputFBfinPNLRevExpT2</t>
  </si>
  <si>
    <t>tlOutputFBfinPNLRevExpT3</t>
  </si>
  <si>
    <t>tlOutputFBfinPNLProdDevExpT1</t>
  </si>
  <si>
    <t>tlOutputFBfinPNLProdDevExpT2</t>
  </si>
  <si>
    <t>tlOutputFBfinPNLProdDevExpT3</t>
  </si>
  <si>
    <t>tlOutputFBfinPNLAdminInfraExpT1</t>
  </si>
  <si>
    <t>tlOutputFBfinPNLAdminInfraExpT2</t>
  </si>
  <si>
    <t>tlOutputFBfinPNLAdminInfraExpT3</t>
  </si>
  <si>
    <t>tlOutputFBfinPNLOtherOpExpT1</t>
  </si>
  <si>
    <t>tlOutputFBfinPNLOtherOpExpT2</t>
  </si>
  <si>
    <t>tlOutputFBfinPNLOtherOpExpT3</t>
  </si>
  <si>
    <t>tlOutputFBfinPNLDeprAmortExpT1</t>
  </si>
  <si>
    <t>tlOutputFBfinPNLDeprAmortExpT2</t>
  </si>
  <si>
    <t>tlOutputFBfinPNLDeprAmortExpT3</t>
  </si>
  <si>
    <t>tlOutputFBfinPNLOperatingIncomeT1</t>
  </si>
  <si>
    <t>tlOutputFBfinPNLOperatingIncomeT2</t>
  </si>
  <si>
    <t>tlOutputFBfinPNLOperatingIncomeT3</t>
  </si>
  <si>
    <t>tlOutputFBfinPNLOperatingMarginT1</t>
  </si>
  <si>
    <t>tlOutputFBfinPNLOperatingMarginT2</t>
  </si>
  <si>
    <t>tlOutputFBfinPNLOperatingMarginT3</t>
  </si>
  <si>
    <t>tlOutputFBfinCashOIT1</t>
  </si>
  <si>
    <t>tlOutputFBfinCashOIT2</t>
  </si>
  <si>
    <t>tlOutputFBfinCashOIT3</t>
  </si>
  <si>
    <t>tlOutputFBfinCashOIMarginT1</t>
  </si>
  <si>
    <t>tlOutputFBfinCashOIMarginT2</t>
  </si>
  <si>
    <t>tlOutputFBfinCashOIMarginT3</t>
  </si>
  <si>
    <t>tlOutputFBCSATDriver1T1</t>
  </si>
  <si>
    <t>tlOutputFBCSATDriver1T2</t>
  </si>
  <si>
    <t>tlOutputFBCSATDriver1T3</t>
  </si>
  <si>
    <t>tlOutputFBCSATDriver2T1</t>
  </si>
  <si>
    <t>tlOutputFBCSATDriver2T2</t>
  </si>
  <si>
    <t>tlOutputFBCSATDriver2T3</t>
  </si>
  <si>
    <t>tlOutputFBCSATDriver3T1</t>
  </si>
  <si>
    <t>tlOutputFBCSATDriver3T2</t>
  </si>
  <si>
    <t>tlOutputFBCSATDriver3T3</t>
  </si>
  <si>
    <t>tlOutputFBCSATDriver4T1</t>
  </si>
  <si>
    <t>tlOutputFBCSATDriver4T2</t>
  </si>
  <si>
    <t>tlOutputFBCSATDriver4T3</t>
  </si>
  <si>
    <t>tlOutputFBCSATDriver5T1</t>
  </si>
  <si>
    <t>tlOutputFBCSATDriver5T2</t>
  </si>
  <si>
    <t>tlOutputFBCSATDriver5T3</t>
  </si>
  <si>
    <t>tlOutputFBCSATDriver6T1</t>
  </si>
  <si>
    <t>tlOutputFBCSATDriver6T2</t>
  </si>
  <si>
    <t>tlOutputFBCSATDriver6T3</t>
  </si>
  <si>
    <t>tlOutputFBCSATDriver7T1</t>
  </si>
  <si>
    <t>tlOutputFBCSATDriver7T2</t>
  </si>
  <si>
    <t>tlOutputFBCSATDriver7T3</t>
  </si>
  <si>
    <t>tlOutputFBCSATDriver8T1</t>
  </si>
  <si>
    <t>tlOutputFBCSATDriver8T2</t>
  </si>
  <si>
    <t>tlOutputFBCSATDriver8T3</t>
  </si>
  <si>
    <t>tlOutputFBCSATDriver9T1</t>
  </si>
  <si>
    <t>tlOutputFBCSATDriver9T2</t>
  </si>
  <si>
    <t>tlOutputFBCSATDriver9T3</t>
  </si>
  <si>
    <t>tlOutputFBCSATDriver10T1</t>
  </si>
  <si>
    <t>tlOutputFBCSATDriver10T2</t>
  </si>
  <si>
    <t>tlOutputFBCSATDriver10T3</t>
  </si>
  <si>
    <t>tlOutputFBcapCSATT1</t>
  </si>
  <si>
    <t>tlOutputFBcapCSATT2</t>
  </si>
  <si>
    <t>tlOutputFBcapCSATT3</t>
  </si>
  <si>
    <t>tlOutputFBESATDriver1T1</t>
  </si>
  <si>
    <t>tlOutputFBESATDriver1T2</t>
  </si>
  <si>
    <t>tlOutputFBESATDriver1T3</t>
  </si>
  <si>
    <t>tlOutputFBESATDriver2T1</t>
  </si>
  <si>
    <t>tlOutputFBESATDriver2T2</t>
  </si>
  <si>
    <t>tlOutputFBESATDriver2T3</t>
  </si>
  <si>
    <t>tlOutputFBESATDriver3T1</t>
  </si>
  <si>
    <t>tlOutputFBESATDriver3T2</t>
  </si>
  <si>
    <t>tlOutputFBESATDriver3T3</t>
  </si>
  <si>
    <t>tlOutputFBESATDriver4T1</t>
  </si>
  <si>
    <t>tlOutputFBESATDriver4T2</t>
  </si>
  <si>
    <t>tlOutputFBESATDriver4T3</t>
  </si>
  <si>
    <t>tlOutputFBESATDriver5T1</t>
  </si>
  <si>
    <t>tlOutputFBESATDriver5T2</t>
  </si>
  <si>
    <t>tlOutputFBESATDriver5T3</t>
  </si>
  <si>
    <t>tlOutputFBESATDriver6T1</t>
  </si>
  <si>
    <t>tlOutputFBESATDriver6T2</t>
  </si>
  <si>
    <t>tlOutputFBESATDriver6T3</t>
  </si>
  <si>
    <t>tlOutputFBcapESATT1</t>
  </si>
  <si>
    <t>tlOutputFBcapESATT2</t>
  </si>
  <si>
    <t>tlOutputFBcapESATT3</t>
  </si>
  <si>
    <t>tlOutputFBProd2VOCDriver1T1</t>
  </si>
  <si>
    <t>tlOutputFBProd2VOCDriver1T2</t>
  </si>
  <si>
    <t>tlOutputFBProd2VOCDriver1T3</t>
  </si>
  <si>
    <t>tlOutputFBProd2VOCDriver2T1</t>
  </si>
  <si>
    <t>tlOutputFBProd2VOCDriver2T2</t>
  </si>
  <si>
    <t>tlOutputFBProd2VOCDriver2T3</t>
  </si>
  <si>
    <t>tlOutputFBProd2VOCDriver3T1</t>
  </si>
  <si>
    <t>tlOutputFBProd2VOCDriver3T2</t>
  </si>
  <si>
    <t>tlOutputFBProd2VOCDriver3T3</t>
  </si>
  <si>
    <t>tlOutputFBProd2VOCDriver4T1</t>
  </si>
  <si>
    <t>tlOutputFBProd2VOCDriver4T2</t>
  </si>
  <si>
    <t>tlOutputFBProd2VOCDriver4T3</t>
  </si>
  <si>
    <t>tlOutputFBProd2VOCDriver5T1</t>
  </si>
  <si>
    <t>tlOutputFBProd2VOCDriver5T2</t>
  </si>
  <si>
    <t>tlOutputFBProd2VOCDriver5T3</t>
  </si>
  <si>
    <t>tlOutputFBProd2VOCDriver6T1</t>
  </si>
  <si>
    <t>tlOutputFBProd2VOCDriver6T2</t>
  </si>
  <si>
    <t>tlOutputFBProd2VOCDriver6T3</t>
  </si>
  <si>
    <t>tlOutputFBcbalTotalRevY0T1</t>
  </si>
  <si>
    <t>tlOutputFBcbalTotalRevY0T2</t>
  </si>
  <si>
    <t>tlOutputFBcbalTotalRevY0T3</t>
  </si>
  <si>
    <t>tlOutputFBcbalTotalRevY1T1</t>
  </si>
  <si>
    <t>tlOutputFBcbalTotalRevY1T2</t>
  </si>
  <si>
    <t>tlOutputFBcbalTotalRevY1T3</t>
  </si>
  <si>
    <t>tlOutputFBcbalTotalRevY2T1</t>
  </si>
  <si>
    <t>tlOutputFBcbalTotalRevY2T2</t>
  </si>
  <si>
    <t>tlOutputFBcbalTotalRevY2T3</t>
  </si>
  <si>
    <t>tlOutputFBcbalTotalRevY3T1</t>
  </si>
  <si>
    <t>tlOutputFBcbalTotalRevY3T2</t>
  </si>
  <si>
    <t>tlOutputFBcbalTotalRevY3T3</t>
  </si>
  <si>
    <t>tlOutputFBcbalOperatingMarginY0T1</t>
  </si>
  <si>
    <t>tlOutputFBcbalOperatingMarginY0T2</t>
  </si>
  <si>
    <t>tlOutputFBcbalOperatingMarginY0T3</t>
  </si>
  <si>
    <t>tlOutputFBcbalOperatingMarginY1T1</t>
  </si>
  <si>
    <t>tlOutputFBcbalOperatingMarginY1T2</t>
  </si>
  <si>
    <t>tlOutputFBcbalOperatingMarginY1T3</t>
  </si>
  <si>
    <t>tlOutputFBcbalOperatingMarginY2T1</t>
  </si>
  <si>
    <t>tlOutputFBcbalOperatingMarginY2T2</t>
  </si>
  <si>
    <t>tlOutputFBcbalOperatingMarginY2T3</t>
  </si>
  <si>
    <t>tlOutputFBcbalOperatingMarginY3T1</t>
  </si>
  <si>
    <t>tlOutputFBcbalOperatingMarginY3T2</t>
  </si>
  <si>
    <t>tlOutputFBcbalOperatingMarginY3T3</t>
  </si>
  <si>
    <t>tlOutputFBcbalCashOIY0T1</t>
  </si>
  <si>
    <t>tlOutputFBcbalCashOIY0T2</t>
  </si>
  <si>
    <t>tlOutputFBcbalCashOIY0T3</t>
  </si>
  <si>
    <t>tlOutputFBcbalCashOIY1T1</t>
  </si>
  <si>
    <t>tlOutputFBcbalCashOIY1T2</t>
  </si>
  <si>
    <t>tlOutputFBcbalCashOIY1T3</t>
  </si>
  <si>
    <t>tlOutputFBcbalCashOIY2T1</t>
  </si>
  <si>
    <t>tlOutputFBcbalCashOIY2T2</t>
  </si>
  <si>
    <t>tlOutputFBcbalCashOIY2T3</t>
  </si>
  <si>
    <t>tlOutputFBcbalCashOIY3T1</t>
  </si>
  <si>
    <t>tlOutputFBcbalCashOIY3T2</t>
  </si>
  <si>
    <t>tlOutputFBcbalCashOIY3T3</t>
  </si>
  <si>
    <t>tlOutputFBcbalESATY0T1</t>
  </si>
  <si>
    <t>tlOutputFBcbalESATY0T2</t>
  </si>
  <si>
    <t>tlOutputFBcbalESATY0T3</t>
  </si>
  <si>
    <t>tlOutputFBcbalESATY1T1</t>
  </si>
  <si>
    <t>tlOutputFBcbalESATY1T2</t>
  </si>
  <si>
    <t>tlOutputFBcbalESATY1T3</t>
  </si>
  <si>
    <t>tlOutputFBcbalESATY2T1</t>
  </si>
  <si>
    <t>tlOutputFBcbalESATY2T2</t>
  </si>
  <si>
    <t>tlOutputFBcbalESATY2T3</t>
  </si>
  <si>
    <t>tlOutputFBcbalESATY3T1</t>
  </si>
  <si>
    <t>tlOutputFBcbalESATY3T2</t>
  </si>
  <si>
    <t>tlOutputFBcbalESATY3T3</t>
  </si>
  <si>
    <t>tlOutputFBcbalCSATY0T1</t>
  </si>
  <si>
    <t>tlOutputFBcbalCSATY0T2</t>
  </si>
  <si>
    <t>tlOutputFBcbalCSATY0T3</t>
  </si>
  <si>
    <t>tlOutputFBcbalCSATY1T1</t>
  </si>
  <si>
    <t>tlOutputFBcbalCSATY1T2</t>
  </si>
  <si>
    <t>tlOutputFBcbalCSATY1T3</t>
  </si>
  <si>
    <t>tlOutputFBcbalCSATY2T1</t>
  </si>
  <si>
    <t>tlOutputFBcbalCSATY2T2</t>
  </si>
  <si>
    <t>tlOutputFBcbalCSATY2T3</t>
  </si>
  <si>
    <t>tlOutputFBcbalCSATY3T1</t>
  </si>
  <si>
    <t>tlOutputFBcbalCSATY3T2</t>
  </si>
  <si>
    <t>tlOutputFBcbalCSATY3T3</t>
  </si>
  <si>
    <t>tlOutputFBcbalEVT1Y1Choice1T1</t>
  </si>
  <si>
    <t>tlOutputFBcbalEVT1Y1Choice1T2</t>
  </si>
  <si>
    <t>tlOutputFBcbalEVT1Y1Choice1T3</t>
  </si>
  <si>
    <t>tlOutputFBcbalEVT1Y1Choice2T1</t>
  </si>
  <si>
    <t>tlOutputFBcbalEVT1Y1Choice2T2</t>
  </si>
  <si>
    <t>tlOutputFBcbalEVT1Y1Choice2T3</t>
  </si>
  <si>
    <t>tlOutputFBcbalEVT1Y1Choice3T1</t>
  </si>
  <si>
    <t>tlOutputFBcbalEVT1Y1Choice3T2</t>
  </si>
  <si>
    <t>tlOutputFBcbalEVT1Y1Choice3T3</t>
  </si>
  <si>
    <t>tlOutputFBcbalEVT2Y1Choice1T1</t>
  </si>
  <si>
    <t>tlOutputFBcbalEVT2Y1Choice1T2</t>
  </si>
  <si>
    <t>tlOutputFBcbalEVT2Y1Choice1T3</t>
  </si>
  <si>
    <t>tlOutputFBcbalEVT2Y1Choice2T1</t>
  </si>
  <si>
    <t>tlOutputFBcbalEVT2Y1Choice2T2</t>
  </si>
  <si>
    <t>tlOutputFBcbalEVT2Y1Choice2T3</t>
  </si>
  <si>
    <t>tlOutputFBcbalEVT2Y1Choice3T1</t>
  </si>
  <si>
    <t>tlOutputFBcbalEVT2Y1Choice3T2</t>
  </si>
  <si>
    <t>tlOutputFBcbalEVT2Y1Choice3T3</t>
  </si>
  <si>
    <t>tlOutputFBcbalEVT3Y1Choice1T1</t>
  </si>
  <si>
    <t>tlOutputFBcbalEVT3Y1Choice1T2</t>
  </si>
  <si>
    <t>tlOutputFBcbalEVT3Y1Choice1T3</t>
  </si>
  <si>
    <t>tlOutputFBcbalEVT3Y1Choice2T1</t>
  </si>
  <si>
    <t>tlOutputFBcbalEVT3Y1Choice2T2</t>
  </si>
  <si>
    <t>tlOutputFBcbalEVT3Y1Choice2T3</t>
  </si>
  <si>
    <t>tlOutputFBcbalEVT3Y1Choice3T1</t>
  </si>
  <si>
    <t>tlOutputFBcbalEVT3Y1Choice3T2</t>
  </si>
  <si>
    <t>tlOutputFBcbalEVT3Y1Choice3T3</t>
  </si>
  <si>
    <t>tlOutputFBcbalEVT1Y2Choice1T1</t>
  </si>
  <si>
    <t>tlOutputFBcbalEVT1Y2Choice1T2</t>
  </si>
  <si>
    <t>tlOutputFBcbalEVT1Y2Choice1T3</t>
  </si>
  <si>
    <t>tlOutputFBcbalEVT1Y2Choice2T1</t>
  </si>
  <si>
    <t>tlOutputFBcbalEVT1Y2Choice2T2</t>
  </si>
  <si>
    <t>tlOutputFBcbalEVT1Y2Choice2T3</t>
  </si>
  <si>
    <t>tlOutputFBcbalEVT1Y2Choice3T1</t>
  </si>
  <si>
    <t>tlOutputFBcbalEVT1Y2Choice3T2</t>
  </si>
  <si>
    <t>tlOutputFBcbalEVT1Y2Choice3T3</t>
  </si>
  <si>
    <t>tlOutputFBcbalEVT2Y2Choice1T1</t>
  </si>
  <si>
    <t>tlOutputFBcbalEVT2Y2Choice1T2</t>
  </si>
  <si>
    <t>tlOutputFBcbalEVT2Y2Choice1T3</t>
  </si>
  <si>
    <t>tlOutputFBcbalEVT2Y2Choice2T1</t>
  </si>
  <si>
    <t>tlOutputFBcbalEVT2Y2Choice2T2</t>
  </si>
  <si>
    <t>tlOutputFBcbalEVT2Y2Choice2T3</t>
  </si>
  <si>
    <t>tlOutputFBcbalEVT2Y2Choice3T1</t>
  </si>
  <si>
    <t>tlOutputFBcbalEVT2Y2Choice3T2</t>
  </si>
  <si>
    <t>tlOutputFBcbalEVT2Y2Choice3T3</t>
  </si>
  <si>
    <t>tlOutputFBcbalEVT3Y2Choice1T1</t>
  </si>
  <si>
    <t>tlOutputFBcbalEVT3Y2Choice1T2</t>
  </si>
  <si>
    <t>tlOutputFBcbalEVT3Y2Choice1T3</t>
  </si>
  <si>
    <t>tlOutputFBcbalEVT3Y2Choice2T1</t>
  </si>
  <si>
    <t>tlOutputFBcbalEVT3Y2Choice2T2</t>
  </si>
  <si>
    <t>tlOutputFBcbalEVT3Y2Choice2T3</t>
  </si>
  <si>
    <t>tlOutputFBcbalEVT3Y2Choice3T1</t>
  </si>
  <si>
    <t>tlOutputFBcbalEVT3Y2Choice3T2</t>
  </si>
  <si>
    <t>tlOutputFBcbalEVT3Y2Choice3T3</t>
  </si>
  <si>
    <t>tlOutputFBcbalEVT1Y3Choice1T1</t>
  </si>
  <si>
    <t>tlOutputFBcbalEVT1Y3Choice1T2</t>
  </si>
  <si>
    <t>tlOutputFBcbalEVT1Y3Choice1T3</t>
  </si>
  <si>
    <t>tlOutputFBcbalEVT1Y3Choice2T1</t>
  </si>
  <si>
    <t>tlOutputFBcbalEVT1Y3Choice2T2</t>
  </si>
  <si>
    <t>tlOutputFBcbalEVT1Y3Choice2T3</t>
  </si>
  <si>
    <t>tlOutputFBcbalEVT1Y3Choice3T1</t>
  </si>
  <si>
    <t>tlOutputFBcbalEVT1Y3Choice3T2</t>
  </si>
  <si>
    <t>tlOutputFBcbalEVT1Y3Choice3T3</t>
  </si>
  <si>
    <t>tlOutputFBcbalEVT2Y3Choice1T1</t>
  </si>
  <si>
    <t>tlOutputFBcbalEVT2Y3Choice1T2</t>
  </si>
  <si>
    <t>tlOutputFBcbalEVT2Y3Choice1T3</t>
  </si>
  <si>
    <t>tlOutputFBcbalEVT2Y3Choice2T1</t>
  </si>
  <si>
    <t>tlOutputFBcbalEVT2Y3Choice2T2</t>
  </si>
  <si>
    <t>tlOutputFBcbalEVT2Y3Choice2T3</t>
  </si>
  <si>
    <t>tlOutputFBcbalEVT2Y3Choice3T1</t>
  </si>
  <si>
    <t>tlOutputFBcbalEVT2Y3Choice3T2</t>
  </si>
  <si>
    <t>tlOutputFBcbalEVT2Y3Choice3T3</t>
  </si>
  <si>
    <t>tlOutputFBcbalEVT3Y3Choice1T1</t>
  </si>
  <si>
    <t>tlOutputFBcbalEVT3Y3Choice1T2</t>
  </si>
  <si>
    <t>tlOutputFBcbalEVT3Y3Choice1T3</t>
  </si>
  <si>
    <t>tlOutputFBcbalEVT3Y3Choice2T1</t>
  </si>
  <si>
    <t>tlOutputFBcbalEVT3Y3Choice2T2</t>
  </si>
  <si>
    <t>tlOutputFBcbalEVT3Y3Choice2T3</t>
  </si>
  <si>
    <t>tlOutputFBcbalEVT3Y3Choice3T1</t>
  </si>
  <si>
    <t>tlOutputFBcbalEVT3Y3Choice3T2</t>
  </si>
  <si>
    <t>tlOutputFBcbalEVT3Y3Choice3T3</t>
  </si>
  <si>
    <t>tlOutputDBTSfinPNLRev</t>
  </si>
  <si>
    <t>tlOutputDBTSfinPNLOperatingMargin</t>
  </si>
  <si>
    <t>tlOutputDBTSfinCashOI</t>
  </si>
  <si>
    <t>tlOutputDBTScapESAT</t>
  </si>
  <si>
    <t>tlOutputDBTScapCSAT</t>
  </si>
  <si>
    <t>Cash Operating Income (Last Year)</t>
  </si>
  <si>
    <t>CSAT – not an index/% (reads 6267.9%) on Value Proposition Page (Product Platform Development Report)</t>
  </si>
  <si>
    <t>Facilitator Puts in the Event (and the brings them back to the decision page)</t>
  </si>
  <si>
    <t>Cash OI (should we have the beginning year value in Tree?)</t>
  </si>
  <si>
    <t>Init 13: One P&amp;L (titles for all initiatives need to be changed)</t>
  </si>
  <si>
    <r>
      <t xml:space="preserve">After comments have been turned on, to hide the comments the pop-up says “click view indicator only” </t>
    </r>
    <r>
      <rPr>
        <sz val="8"/>
        <rFont val="Wingdings"/>
        <charset val="2"/>
      </rPr>
      <t>à</t>
    </r>
    <r>
      <rPr>
        <sz val="8"/>
        <rFont val="Calibri"/>
        <family val="2"/>
      </rPr>
      <t xml:space="preserve"> no, it’s “hide comments”</t>
    </r>
  </si>
  <si>
    <t>Need to update menu items</t>
  </si>
  <si>
    <t>Move employee admin expense to people related on income statement</t>
  </si>
  <si>
    <t>Move expensed portion of internal product development to people related on income statement</t>
  </si>
  <si>
    <t>Capitalize internal content development</t>
  </si>
  <si>
    <t>Change line item on balance sheet to "Computer Software &amp; Content, net"</t>
  </si>
  <si>
    <t>Change beginning marketing to 195,000 and allocate 5,000 to Net Outside Services</t>
  </si>
  <si>
    <t>Fix how Product/content expense is calculated</t>
  </si>
  <si>
    <t>Computer Software and Content, net</t>
  </si>
  <si>
    <t>Misc-29</t>
  </si>
  <si>
    <t>Internal Development Base Expense</t>
  </si>
  <si>
    <t>paramInternalDevelopmentBaseExp</t>
  </si>
  <si>
    <t>Internal Development Base Expense Split</t>
  </si>
  <si>
    <t>capProd1InternalDevelopmentBaseExp</t>
  </si>
  <si>
    <t>capProd2InternalDevelopmentBaseExp</t>
  </si>
  <si>
    <t>Emphasize Innovation</t>
  </si>
  <si>
    <t>10: Emphasize Innovation</t>
  </si>
  <si>
    <t>Expand Cultural Understanding</t>
  </si>
  <si>
    <t>11: Expand Cultural Understanding</t>
  </si>
  <si>
    <t>Services Team Development</t>
  </si>
  <si>
    <t>15: Services Team Development</t>
  </si>
  <si>
    <t>Invest in E-Commerce</t>
  </si>
  <si>
    <t>17: Invest in E-Commerce</t>
  </si>
  <si>
    <t>Invest in Field Sales Force</t>
  </si>
  <si>
    <t>18: Invest in Field Sales Force</t>
  </si>
  <si>
    <t>Invest in Inside Sales Force</t>
  </si>
  <si>
    <t>19: Invest in Inside Sales Force</t>
  </si>
  <si>
    <t>Obtain Correct Initial Pricing</t>
  </si>
  <si>
    <t>20: Obtain Correct Initial Pricing</t>
  </si>
  <si>
    <t>Promote Diversity</t>
  </si>
  <si>
    <t>21: Promote Diversity</t>
  </si>
  <si>
    <t>Focus on Customer Service</t>
  </si>
  <si>
    <t>22: Focus on Customer Service</t>
  </si>
  <si>
    <t xml:space="preserve">In Excel Tool </t>
  </si>
  <si>
    <t>Ctrl-Shift-E</t>
  </si>
  <si>
    <t>Updated</t>
  </si>
  <si>
    <t>capProd1Emp1NonCapFTEs</t>
  </si>
  <si>
    <t>capProd2Emp1NonCapFTEs</t>
  </si>
  <si>
    <t>capProd1Emp1NonCapAllocProd1</t>
  </si>
  <si>
    <t>capProd2Emp1NonCapAllocProd1</t>
  </si>
  <si>
    <t>Divest BUs</t>
  </si>
  <si>
    <t>ESAT Impact</t>
  </si>
  <si>
    <t>capDC3rdPartyESATImpact</t>
  </si>
  <si>
    <t>Stacked Column with Data Label</t>
  </si>
  <si>
    <t>fb1000TRCSAT</t>
  </si>
  <si>
    <t>Event FTEs</t>
  </si>
  <si>
    <t>Total Event FTEs</t>
  </si>
  <si>
    <t>capEventFTEs</t>
  </si>
  <si>
    <t>Labor Resources (Recruit/Dismiss)</t>
  </si>
  <si>
    <t>Labor Resources Remaining</t>
  </si>
  <si>
    <t>Email</t>
  </si>
  <si>
    <t>dba1</t>
  </si>
  <si>
    <t>dba2</t>
  </si>
  <si>
    <t>dba3</t>
  </si>
  <si>
    <t>dba4</t>
  </si>
  <si>
    <t>dba5</t>
  </si>
  <si>
    <t>TEAMNAME</t>
  </si>
  <si>
    <t>LEADEREMAIL</t>
  </si>
  <si>
    <t>MEMBEREMAIL1</t>
  </si>
  <si>
    <t>MEMBEREMAIL2</t>
  </si>
  <si>
    <t>MEMBEREMAIL3</t>
  </si>
  <si>
    <t>MEMBEREMAIL4</t>
  </si>
  <si>
    <t>COMPANYNAME</t>
  </si>
  <si>
    <t>ROUND1DECISION1</t>
  </si>
  <si>
    <t>ROUND1DECISION2</t>
  </si>
  <si>
    <t>ROUND1DECISION3</t>
  </si>
  <si>
    <t>ROUND2DECISION1</t>
  </si>
  <si>
    <t>ROUND2DECISION2</t>
  </si>
  <si>
    <t>ROUND2DECISION3</t>
  </si>
  <si>
    <t>ROUND3DECISION1</t>
  </si>
  <si>
    <t>ROUND3DECISION2</t>
  </si>
  <si>
    <t>ROUND3DECISION3</t>
  </si>
  <si>
    <t>tlInputWobbler1</t>
  </si>
  <si>
    <t>tlInputWobbler2</t>
  </si>
  <si>
    <t>tlInputWobbler3</t>
  </si>
  <si>
    <t>xxSim0Tool1</t>
  </si>
  <si>
    <t>FROMLOCK1</t>
  </si>
  <si>
    <t>FROMLOCK2</t>
  </si>
  <si>
    <t>FROMLOCK3</t>
  </si>
  <si>
    <t>STRENGTHS</t>
  </si>
  <si>
    <t>- Strong global brand_x000D_- Culture of possessing best content</t>
  </si>
  <si>
    <t>WEAKNESSES</t>
  </si>
  <si>
    <t>- Lack of focus on components of value proposition beyond content_x000D_- Product technology of some of its products has fallen behind competition</t>
  </si>
  <si>
    <t>OPPORTUNITIES</t>
  </si>
  <si>
    <t>- Efficiently invest in areas that drive added customer value in the Transform market_x000D_- Identify areas to simplify the business and lower costs_x000D_- Moving from product focus to platform focus</t>
  </si>
  <si>
    <t>THREATS</t>
  </si>
  <si>
    <t>- Competitors continuing to invest in product technology to create superior products in Transform markets_x000D_- Emergence of disruptive technology/players that make our services irrelevant</t>
  </si>
  <si>
    <t>TLOUTPUTANALYBUILDINGST1_1</t>
  </si>
  <si>
    <t>TLOUTPUTANALYCAGRT1_1</t>
  </si>
  <si>
    <t>TLOUTPUTANALYCASHOIMARGINT1_1</t>
  </si>
  <si>
    <t>TLOUTPUTANALYCASHOIT1_1</t>
  </si>
  <si>
    <t>TLOUTPUTANALYCRIMPACT10T1_1</t>
  </si>
  <si>
    <t>TLOUTPUTANALYCRIMPACT11T1_1</t>
  </si>
  <si>
    <t>TLOUTPUTANALYCRIMPACT12T1_1</t>
  </si>
  <si>
    <t>TLOUTPUTANALYCRIMPACT13T1_1</t>
  </si>
  <si>
    <t>TLOUTPUTANALYCRIMPACT14T1_1</t>
  </si>
  <si>
    <t>TLOUTPUTANALYCRIMPACT1T1_1</t>
  </si>
  <si>
    <t>TLOUTPUTANALYCRIMPACT2T1_1</t>
  </si>
  <si>
    <t>TLOUTPUTANALYCRIMPACT3T1_1</t>
  </si>
  <si>
    <t>TLOUTPUTANALYCRIMPACT4T1_1</t>
  </si>
  <si>
    <t>TLOUTPUTANALYCRIMPACT5T1_1</t>
  </si>
  <si>
    <t>TLOUTPUTANALYCRIMPACT6T1_1</t>
  </si>
  <si>
    <t>TLOUTPUTANALYCRIMPACT7T1_1</t>
  </si>
  <si>
    <t>TLOUTPUTANALYCRIMPACT8T1_1</t>
  </si>
  <si>
    <t>TLOUTPUTANALYCRIMPACT9T1_1</t>
  </si>
  <si>
    <t>TLOUTPUTANALYCSATIMPACT10T1_1</t>
  </si>
  <si>
    <t>TLOUTPUTANALYCSATIMPACT11T1_1</t>
  </si>
  <si>
    <t>TLOUTPUTANALYCSATIMPACT12T1_1</t>
  </si>
  <si>
    <t>TLOUTPUTANALYCSATIMPACT13T1_1</t>
  </si>
  <si>
    <t>TLOUTPUTANALYCSATIMPACT14T1_1</t>
  </si>
  <si>
    <t>TLOUTPUTANALYCSATIMPACT15T1_1</t>
  </si>
  <si>
    <t>TLOUTPUTANALYCSATIMPACT16T1_1</t>
  </si>
  <si>
    <t>TLOUTPUTANALYCSATIMPACT1T1_1</t>
  </si>
  <si>
    <t>TLOUTPUTANALYCSATIMPACT2T1_1</t>
  </si>
  <si>
    <t>TLOUTPUTANALYCSATIMPACT3T1_1</t>
  </si>
  <si>
    <t>TLOUTPUTANALYCSATIMPACT4T1_1</t>
  </si>
  <si>
    <t>TLOUTPUTANALYCSATIMPACT5T1_1</t>
  </si>
  <si>
    <t>TLOUTPUTANALYCSATIMPACT6T1_1</t>
  </si>
  <si>
    <t>TLOUTPUTANALYCSATIMPACT7T1_1</t>
  </si>
  <si>
    <t>TLOUTPUTANALYCSATIMPACT8T1_1</t>
  </si>
  <si>
    <t>TLOUTPUTANALYCSATIMPACT9T1_1</t>
  </si>
  <si>
    <t>TLOUTPUTANALYCSATT1_1</t>
  </si>
  <si>
    <t>TLOUTPUTANALYDCCONSOLIDATET1_1</t>
  </si>
  <si>
    <t>TLOUTPUTANALYDCST1_1</t>
  </si>
  <si>
    <t>TLOUTPUTANALYDCUTILIZATIONT1_1</t>
  </si>
  <si>
    <t>TLOUTPUTANALYEEIMPACT10T1_1</t>
  </si>
  <si>
    <t>TLOUTPUTANALYEEIMPACT11T1_1</t>
  </si>
  <si>
    <t>TLOUTPUTANALYEEIMPACT12T1_1</t>
  </si>
  <si>
    <t>TLOUTPUTANALYEEIMPACT13T1_1</t>
  </si>
  <si>
    <t>TLOUTPUTANALYEEIMPACT14T1_1</t>
  </si>
  <si>
    <t>TLOUTPUTANALYEEIMPACT15T1_1</t>
  </si>
  <si>
    <t>TLOUTPUTANALYEEIMPACT16T1_1</t>
  </si>
  <si>
    <t>TLOUTPUTANALYEEIMPACT17T1_1</t>
  </si>
  <si>
    <t>TLOUTPUTANALYEEIMPACT1T1_1</t>
  </si>
  <si>
    <t>TLOUTPUTANALYEEIMPACT2T1_1</t>
  </si>
  <si>
    <t>TLOUTPUTANALYEEIMPACT3T1_1</t>
  </si>
  <si>
    <t>TLOUTPUTANALYEEIMPACT4T1_1</t>
  </si>
  <si>
    <t>TLOUTPUTANALYEEIMPACT5T1_1</t>
  </si>
  <si>
    <t>TLOUTPUTANALYEEIMPACT6T1_1</t>
  </si>
  <si>
    <t>TLOUTPUTANALYEEIMPACT7T1_1</t>
  </si>
  <si>
    <t>TLOUTPUTANALYEEIMPACT8T1_1</t>
  </si>
  <si>
    <t>TLOUTPUTANALYEEIMPACT9T1_1</t>
  </si>
  <si>
    <t>TLOUTPUTANALYESATT1_1</t>
  </si>
  <si>
    <t>TLOUTPUTANALYEVENT1YR1T1_1</t>
  </si>
  <si>
    <t>TLOUTPUTANALYEVENT1YR2T1_1</t>
  </si>
  <si>
    <t>TLOUTPUTANALYEVENT1YR3T1_1</t>
  </si>
  <si>
    <t>TLOUTPUTANALYEVENT2YR1T1_1</t>
  </si>
  <si>
    <t>TLOUTPUTANALYEVENT2YR2T1_1</t>
  </si>
  <si>
    <t>TLOUTPUTANALYEVENT2YR3T1_1</t>
  </si>
  <si>
    <t>TLOUTPUTANALYEVENT3YR1T1_1</t>
  </si>
  <si>
    <t>TLOUTPUTANALYEVENT3YR2T1_1</t>
  </si>
  <si>
    <t>TLOUTPUTANALYEVENT3YR3T1_1</t>
  </si>
  <si>
    <t>TLOUTPUTANALYFTECONTENTT1_1</t>
  </si>
  <si>
    <t>TLOUTPUTANALYFTEDCONSOLIDATET1_1</t>
  </si>
  <si>
    <t>TLOUTPUTANALYFTEGLOBALACCESST1_1</t>
  </si>
  <si>
    <t>TLOUTPUTANALYFTEINITT1_1</t>
  </si>
  <si>
    <t>TLOUTPUTANALYFTEPROD1TECHT1_1</t>
  </si>
  <si>
    <t>TLOUTPUTANALYFTEPROD2TECHT1_1</t>
  </si>
  <si>
    <t>TLOUTPUTANALYFTEPRODIMPACT1T1_1</t>
  </si>
  <si>
    <t>TLOUTPUTANALYFTEPRODIMPACT2T1_1</t>
  </si>
  <si>
    <t>TLOUTPUTANALYFTEPRODIMPACT3T1_1</t>
  </si>
  <si>
    <t>TLOUTPUTANALYFTEPRODIMPACT4T1_1</t>
  </si>
  <si>
    <t>TLOUTPUTANALYFTEPRODIMPACT5T1_1</t>
  </si>
  <si>
    <t>TLOUTPUTANALYFTEPRODIMPACT6T1_1</t>
  </si>
  <si>
    <t>TLOUTPUTANALYFTEPRODIMPACT7T1_1</t>
  </si>
  <si>
    <t>TLOUTPUTANALYFTEPRODUCTIVTYT1_1</t>
  </si>
  <si>
    <t>TLOUTPUTANALYFTESALESCOVERAGET1_1</t>
  </si>
  <si>
    <t>TLOUTPUTANALYFTEST1_1</t>
  </si>
  <si>
    <t>TLOUTPUTANALYFTETRAININGT1_1</t>
  </si>
  <si>
    <t>TLOUTPUTANALYGLOBALACCESST1_1</t>
  </si>
  <si>
    <t>TLOUTPUTANALYHEADCOUNTT1_1</t>
  </si>
  <si>
    <t>TLOUTPUTANALYINIT1YR1T1_1</t>
  </si>
  <si>
    <t>TLOUTPUTANALYINIT1YR2T1_1</t>
  </si>
  <si>
    <t>TLOUTPUTANALYINIT1YR3T1_1</t>
  </si>
  <si>
    <t>TLOUTPUTANALYINIT2YR1T1_1</t>
  </si>
  <si>
    <t>TLOUTPUTANALYINIT2YR2T1_1</t>
  </si>
  <si>
    <t>TLOUTPUTANALYINIT2YR3T1_1</t>
  </si>
  <si>
    <t>TLOUTPUTANALYINIT3YR1T1_1</t>
  </si>
  <si>
    <t>TLOUTPUTANALYINIT3YR2T1_1</t>
  </si>
  <si>
    <t>TLOUTPUTANALYINIT3YR3T1_1</t>
  </si>
  <si>
    <t>TLOUTPUTANALYMSIMPACT10T1_1</t>
  </si>
  <si>
    <t>TLOUTPUTANALYMSIMPACT11T1_1</t>
  </si>
  <si>
    <t>TLOUTPUTANALYMSIMPACT12T1_1</t>
  </si>
  <si>
    <t>TLOUTPUTANALYMSIMPACT13T1_1</t>
  </si>
  <si>
    <t>TLOUTPUTANALYMSIMPACT14T1_1</t>
  </si>
  <si>
    <t>TLOUTPUTANALYMSIMPACT15T1_1</t>
  </si>
  <si>
    <t>TLOUTPUTANALYMSIMPACT16T1_1</t>
  </si>
  <si>
    <t>TLOUTPUTANALYMSIMPACT17T1_1</t>
  </si>
  <si>
    <t>TLOUTPUTANALYMSIMPACT18T1_1</t>
  </si>
  <si>
    <t>TLOUTPUTANALYMSIMPACT19T1_1</t>
  </si>
  <si>
    <t>TLOUTPUTANALYMSIMPACT1T1_1</t>
  </si>
  <si>
    <t>TLOUTPUTANALYMSIMPACT20T1_1</t>
  </si>
  <si>
    <t>TLOUTPUTANALYMSIMPACT21T1_1</t>
  </si>
  <si>
    <t>TLOUTPUTANALYMSIMPACT2T1_1</t>
  </si>
  <si>
    <t>TLOUTPUTANALYMSIMPACT3T1_1</t>
  </si>
  <si>
    <t>TLOUTPUTANALYMSIMPACT4T1_1</t>
  </si>
  <si>
    <t>TLOUTPUTANALYMSIMPACT5T1_1</t>
  </si>
  <si>
    <t>TLOUTPUTANALYMSIMPACT6T1_1</t>
  </si>
  <si>
    <t>TLOUTPUTANALYMSIMPACT7T1_1</t>
  </si>
  <si>
    <t>TLOUTPUTANALYMSIMPACT8T1_1</t>
  </si>
  <si>
    <t>TLOUTPUTANALYMSIMPACT9T1_1</t>
  </si>
  <si>
    <t>TLOUTPUTANALYOPERATINGINCOMET1_1</t>
  </si>
  <si>
    <t>TLOUTPUTANALYOPERATINGMARGINT1_1</t>
  </si>
  <si>
    <t>TLOUTPUTANALYPARAMFTE8T1_1</t>
  </si>
  <si>
    <t>TLOUTPUTANALYPARAMGRW13T1_1</t>
  </si>
  <si>
    <t>TLOUTPUTANALYPARAMGRW16T1_1</t>
  </si>
  <si>
    <t>TLOUTPUTANALYPARAMGRW17T1_1</t>
  </si>
  <si>
    <t>TLOUTPUTANALYPARAMGRW1T1_1</t>
  </si>
  <si>
    <t>TLOUTPUTANALYPARAMGRW2T1_1</t>
  </si>
  <si>
    <t>TLOUTPUTANALYPARAMGRW3T1_1</t>
  </si>
  <si>
    <t>TLOUTPUTANALYPARAMGRW5T1_1</t>
  </si>
  <si>
    <t>TLOUTPUTANALYPARAMGRW7T1_1</t>
  </si>
  <si>
    <t>TLOUTPUTANALYPARAMMISC26T1_1</t>
  </si>
  <si>
    <t>TLOUTPUTANALYPARAMMISC4T1_1</t>
  </si>
  <si>
    <t>TLOUTPUTANALYPARAMMISC5T1_1</t>
  </si>
  <si>
    <t>TLOUTPUTANALYPARAMOTHER1T1_1</t>
  </si>
  <si>
    <t>TLOUTPUTANALYPARAMOTHER2T1_1</t>
  </si>
  <si>
    <t>TLOUTPUTANALYPARAMSP10T1_1</t>
  </si>
  <si>
    <t>TLOUTPUTANALYPARAMSP11T1_1</t>
  </si>
  <si>
    <t>TLOUTPUTANALYPARAMSP2T1_1</t>
  </si>
  <si>
    <t>TLOUTPUTANALYPARAMSP3T1_1</t>
  </si>
  <si>
    <t>TLOUTPUTANALYPARAMSP4T1_1</t>
  </si>
  <si>
    <t>TLOUTPUTANALYPARAMSP5T1_1</t>
  </si>
  <si>
    <t>TLOUTPUTANALYPARAMTRNS13T1_1</t>
  </si>
  <si>
    <t>TLOUTPUTANALYPARAMTRNS16T1_1</t>
  </si>
  <si>
    <t>TLOUTPUTANALYPARAMTRNS17T1_1</t>
  </si>
  <si>
    <t>TLOUTPUTANALYPARAMTRNS1T1_1</t>
  </si>
  <si>
    <t>TLOUTPUTANALYPARAMTRNS2T1_1</t>
  </si>
  <si>
    <t>TLOUTPUTANALYPARAMTRNS3T1_1</t>
  </si>
  <si>
    <t>TLOUTPUTANALYPARAMTRNS5T1_1</t>
  </si>
  <si>
    <t>TLOUTPUTANALYPARAMTRNS7T1_1</t>
  </si>
  <si>
    <t>TLOUTPUTANALYPARAMTSGRW3T1_1</t>
  </si>
  <si>
    <t>TLOUTPUTANALYPARAMTSTRNS3T1_1</t>
  </si>
  <si>
    <t>TLOUTPUTANALYPROD1ATTACHRATET1_1</t>
  </si>
  <si>
    <t>TLOUTPUTANALYPROD1CANCELLATIONT1_1</t>
  </si>
  <si>
    <t>TLOUTPUTANALYPROD1CONTENTT1_1</t>
  </si>
  <si>
    <t>TLOUTPUTANALYPROD1CSATTRAININGT1_1</t>
  </si>
  <si>
    <t>TLOUTPUTANALYPROD1CUSTOMERSERVICET1_1</t>
  </si>
  <si>
    <t>TLOUTPUTANALYPROD1EBITDAMARGINT1_1</t>
  </si>
  <si>
    <t>TLOUTPUTANALYPROD1EBITDAT1_1</t>
  </si>
  <si>
    <t>TLOUTPUTANALYPROD1EIFTEST1_1</t>
  </si>
  <si>
    <t>TLOUTPUTANALYPROD1ESATTRAININGT1_1</t>
  </si>
  <si>
    <t>TLOUTPUTANALYPROD1IFTEST1_1</t>
  </si>
  <si>
    <t>TLOUTPUTANALYPROD1MARKETSHARET1_1</t>
  </si>
  <si>
    <t>TLOUTPUTANALYPROD1MKTT1_1</t>
  </si>
  <si>
    <t>TLOUTPUTANALYPROD1MMDRIVER1T1_1</t>
  </si>
  <si>
    <t>TLOUTPUTANALYPROD1MMDRIVER2T1_1</t>
  </si>
  <si>
    <t>TLOUTPUTANALYPROD1MMDRIVER3T1_1</t>
  </si>
  <si>
    <t>TLOUTPUTANALYPROD1MMDRIVER4T1_1</t>
  </si>
  <si>
    <t>TLOUTPUTANALYPROD1MMDRIVER5T1_1</t>
  </si>
  <si>
    <t>TLOUTPUTANALYPROD1MMDRIVER6T1_1</t>
  </si>
  <si>
    <t>TLOUTPUTANALYPROD1MMSPT1_1</t>
  </si>
  <si>
    <t>TLOUTPUTANALYPROD1MMTOTALT1_1</t>
  </si>
  <si>
    <t>TLOUTPUTANALYPROD1NREVT1_1</t>
  </si>
  <si>
    <t>TLOUTPUTANALYPROD1OPERATINGINCOMET1_1</t>
  </si>
  <si>
    <t>TLOUTPUTANALYPROD1OPERATINGMARGINT1_1</t>
  </si>
  <si>
    <t>TLOUTPUTANALYPROD1PERCINTT1_1</t>
  </si>
  <si>
    <t>TLOUTPUTANALYPROD1PERCNEWT1_1</t>
  </si>
  <si>
    <t>TLOUTPUTANALYPROD1PRICET1_1</t>
  </si>
  <si>
    <t>TLOUTPUTANALYPROD1REVT1_1</t>
  </si>
  <si>
    <t>TLOUTPUTANALYPROD1RREVT1_1</t>
  </si>
  <si>
    <t>TLOUTPUTANALYPROD1SALESFORCET1_1</t>
  </si>
  <si>
    <t>TLOUTPUTANALYPROD1SALESINITST1_1</t>
  </si>
  <si>
    <t>TLOUTPUTANALYPROD1SUBGROWTHT1_1</t>
  </si>
  <si>
    <t>TLOUTPUTANALYPROD1TECHT1_1</t>
  </si>
  <si>
    <t>TLOUTPUTANALYPROD1TRAININGT1_1</t>
  </si>
  <si>
    <t>TLOUTPUTANALYPROD1TREVT1_1</t>
  </si>
  <si>
    <t>TLOUTPUTANALYPROD1TTMT1_1</t>
  </si>
  <si>
    <t>TLOUTPUTANALYPROD2ATTACHRATET1_1</t>
  </si>
  <si>
    <t>TLOUTPUTANALYPROD2CANCELLATIONT1_1</t>
  </si>
  <si>
    <t>TLOUTPUTANALYPROD2CONTENTT1_1</t>
  </si>
  <si>
    <t>TLOUTPUTANALYPROD2CSATTRAININGT1_1</t>
  </si>
  <si>
    <t>TLOUTPUTANALYPROD2CUSTOMERSERVICET1_1</t>
  </si>
  <si>
    <t>TLOUTPUTANALYPROD2EBITDAMARGINT1_1</t>
  </si>
  <si>
    <t>TLOUTPUTANALYPROD2EBITDAT1_1</t>
  </si>
  <si>
    <t>TLOUTPUTANALYPROD2EIFTEST1_1</t>
  </si>
  <si>
    <t>TLOUTPUTANALYPROD2ESATTRAININGT1_1</t>
  </si>
  <si>
    <t>TLOUTPUTANALYPROD2IFTEST1_1</t>
  </si>
  <si>
    <t>TLOUTPUTANALYPROD2MARKETSHARET1_1</t>
  </si>
  <si>
    <t>TLOUTPUTANALYPROD2MKTT1_1</t>
  </si>
  <si>
    <t>TLOUTPUTANALYPROD2MMDRIVER1T1_1</t>
  </si>
  <si>
    <t>TLOUTPUTANALYPROD2MMDRIVER2T1_1</t>
  </si>
  <si>
    <t>TLOUTPUTANALYPROD2MMDRIVER3T1_1</t>
  </si>
  <si>
    <t>TLOUTPUTANALYPROD2MMDRIVER4T1_1</t>
  </si>
  <si>
    <t>TLOUTPUTANALYPROD2MMDRIVER5T1_1</t>
  </si>
  <si>
    <t>TLOUTPUTANALYPROD2MMDRIVER6T1_1</t>
  </si>
  <si>
    <t>TLOUTPUTANALYPROD2MMSPT1_1</t>
  </si>
  <si>
    <t>TLOUTPUTANALYPROD2MMTOTALT1_1</t>
  </si>
  <si>
    <t>TLOUTPUTANALYPROD2NREVT1_1</t>
  </si>
  <si>
    <t>TLOUTPUTANALYPROD2OPERATINGINCOMET1_1</t>
  </si>
  <si>
    <t>TLOUTPUTANALYPROD2OPERATINGMARGINT1_1</t>
  </si>
  <si>
    <t>TLOUTPUTANALYPROD2PERCINTT1_1</t>
  </si>
  <si>
    <t>TLOUTPUTANALYPROD2PERCNEWT1_1</t>
  </si>
  <si>
    <t>TLOUTPUTANALYPROD2PRICET1_1</t>
  </si>
  <si>
    <t>TLOUTPUTANALYPROD2REVT1_1</t>
  </si>
  <si>
    <t>TLOUTPUTANALYPROD2RREVT1_1</t>
  </si>
  <si>
    <t>TLOUTPUTANALYPROD2SALESFORCET1_1</t>
  </si>
  <si>
    <t>TLOUTPUTANALYPROD2SALESINITST1_1</t>
  </si>
  <si>
    <t>TLOUTPUTANALYPROD2SUBGROWTHT1_1</t>
  </si>
  <si>
    <t>TLOUTPUTANALYPROD2TECHT1_1</t>
  </si>
  <si>
    <t>TLOUTPUTANALYPROD2TRAININGT1_1</t>
  </si>
  <si>
    <t>TLOUTPUTANALYPROD2TREVT1_1</t>
  </si>
  <si>
    <t>TLOUTPUTANALYPROD2TTMT1_1</t>
  </si>
  <si>
    <t>TLOUTPUTANALYREVENUET1_1</t>
  </si>
  <si>
    <t>TLOUTPUTANALYRGIMPACT10T1_1</t>
  </si>
  <si>
    <t>TLOUTPUTANALYRGIMPACT11T1_1</t>
  </si>
  <si>
    <t>TLOUTPUTANALYRGIMPACT12T1_1</t>
  </si>
  <si>
    <t>TLOUTPUTANALYRGIMPACT13T1_1</t>
  </si>
  <si>
    <t>TLOUTPUTANALYRGIMPACT14T1_1</t>
  </si>
  <si>
    <t>TLOUTPUTANALYRGIMPACT15T1_1</t>
  </si>
  <si>
    <t>TLOUTPUTANALYRGIMPACT16T1_1</t>
  </si>
  <si>
    <t>TLOUTPUTANALYRGIMPACT17T1_1</t>
  </si>
  <si>
    <t>TLOUTPUTANALYRGIMPACT18T1_1</t>
  </si>
  <si>
    <t>TLOUTPUTANALYRGIMPACT19T1_1</t>
  </si>
  <si>
    <t>TLOUTPUTANALYRGIMPACT1T1_1</t>
  </si>
  <si>
    <t>TLOUTPUTANALYRGIMPACT20T1_1</t>
  </si>
  <si>
    <t>TLOUTPUTANALYRGIMPACT2T1_1</t>
  </si>
  <si>
    <t>TLOUTPUTANALYRGIMPACT3T1_1</t>
  </si>
  <si>
    <t>TLOUTPUTANALYRGIMPACT4T1_1</t>
  </si>
  <si>
    <t>TLOUTPUTANALYRGIMPACT5T1_1</t>
  </si>
  <si>
    <t>TLOUTPUTANALYRGIMPACT6T1_1</t>
  </si>
  <si>
    <t>TLOUTPUTANALYRGIMPACT7T1_1</t>
  </si>
  <si>
    <t>TLOUTPUTANALYRGIMPACT8T1_1</t>
  </si>
  <si>
    <t>TLOUTPUTANALYRGIMPACT9T1_1</t>
  </si>
  <si>
    <t>TLOUTPUTANALYSALESCOVERAGET1_1</t>
  </si>
  <si>
    <t>TLOUTPUTANALYSBIMPACT10T1_1</t>
  </si>
  <si>
    <t>TLOUTPUTANALYSBIMPACT11T1_1</t>
  </si>
  <si>
    <t>TLOUTPUTANALYSBIMPACT12T1_1</t>
  </si>
  <si>
    <t>TLOUTPUTANALYSBIMPACT13T1_1</t>
  </si>
  <si>
    <t>TLOUTPUTANALYSBIMPACT14T1_1</t>
  </si>
  <si>
    <t>TLOUTPUTANALYSBIMPACT1T1_1</t>
  </si>
  <si>
    <t>TLOUTPUTANALYSBIMPACT2T1_1</t>
  </si>
  <si>
    <t>TLOUTPUTANALYSBIMPACT3T1_1</t>
  </si>
  <si>
    <t>TLOUTPUTANALYSBIMPACT4T1_1</t>
  </si>
  <si>
    <t>TLOUTPUTANALYSBIMPACT5T1_1</t>
  </si>
  <si>
    <t>TLOUTPUTANALYSBIMPACT6T1_1</t>
  </si>
  <si>
    <t>TLOUTPUTANALYSBIMPACT7T1_1</t>
  </si>
  <si>
    <t>TLOUTPUTANALYSBIMPACT8T1_1</t>
  </si>
  <si>
    <t>TLOUTPUTANALYSBIMPACT9T1_1</t>
  </si>
  <si>
    <t>TLOUTPUTANALYSERVICET1_1</t>
  </si>
  <si>
    <t>TLOUTPUTANALYSTAFFT1_1</t>
  </si>
  <si>
    <t>TLOUTPUTANALYTEAMNAMET1_1</t>
  </si>
  <si>
    <t>TLOUTPUTANALYWINMETRICCASHOIT1_1</t>
  </si>
  <si>
    <t>TLOUTPUTANALYWINMETRICYR0T1_1</t>
  </si>
  <si>
    <t>TLOUTPUTANALYWINMETRICYR1T1_1</t>
  </si>
  <si>
    <t>TLOUTPUTANALYWINMETRICYR2T1_1</t>
  </si>
  <si>
    <t>TLOUTPUTANALYWINMETRICYR3T1_1</t>
  </si>
  <si>
    <t>TLOUTPUTFBDECTEAMNAMET1_1</t>
  </si>
  <si>
    <t>TLOUTPUTFBFINPNLPROD1REVT1_1</t>
  </si>
  <si>
    <t>TLOUTPUTFBFINPNLPROD2REVT1_1</t>
  </si>
  <si>
    <t>TLOUTPUTFBFINGGOREVT1_1</t>
  </si>
  <si>
    <t>TLOUTPUTFBFINCAGRT1_1</t>
  </si>
  <si>
    <t>TLOUTPUTFBFINPNLREVNEWT1_1</t>
  </si>
  <si>
    <t>TLOUTPUTFBFINPNLEXISTSUBREVT1_1</t>
  </si>
  <si>
    <t>TLOUTPUTFBCAPTOTALCANCELLATIONRATET1_1</t>
  </si>
  <si>
    <t>TLOUTPUTFBFINPNLEMPEXPT1_1</t>
  </si>
  <si>
    <t>TLOUTPUTFBFINPNLREVEXPT1_1</t>
  </si>
  <si>
    <t>TLOUTPUTFBFINPNLPRODDEVEXPT1_1</t>
  </si>
  <si>
    <t>TLOUTPUTFBFINPNLADMININFRAEXPT1_1</t>
  </si>
  <si>
    <t>TLOUTPUTFBFINPNLOTHEROPEXPT1_1</t>
  </si>
  <si>
    <t>TLOUTPUTFBFINPNLDEPRAMORTEXPT1_1</t>
  </si>
  <si>
    <t>TLOUTPUTFBFINPNLOPERATINGINCOMET1_1</t>
  </si>
  <si>
    <t>TLOUTPUTFBFINPNLOPERATINGMARGINT1_1</t>
  </si>
  <si>
    <t>TLOUTPUTFBFINCASHOIT1_1</t>
  </si>
  <si>
    <t>TLOUTPUTFBFINCASHOIMARGINT1_1</t>
  </si>
  <si>
    <t>TLOUTPUTFBCSATDRIVER1T1_1</t>
  </si>
  <si>
    <t>TLOUTPUTFBCSATDRIVER2T1_1</t>
  </si>
  <si>
    <t>TLOUTPUTFBCSATDRIVER3T1_1</t>
  </si>
  <si>
    <t>TLOUTPUTFBCSATDRIVER4T1_1</t>
  </si>
  <si>
    <t>TLOUTPUTFBCSATDRIVER5T1_1</t>
  </si>
  <si>
    <t>TLOUTPUTFBCSATDRIVER6T1_1</t>
  </si>
  <si>
    <t>TLOUTPUTFBCSATDRIVER7T1_1</t>
  </si>
  <si>
    <t>TLOUTPUTFBCSATDRIVER8T1_1</t>
  </si>
  <si>
    <t>TLOUTPUTFBCSATDRIVER9T1_1</t>
  </si>
  <si>
    <t>TLOUTPUTFBCSATDRIVER10T1_1</t>
  </si>
  <si>
    <t>TLOUTPUTFBCAPCSATT1_1</t>
  </si>
  <si>
    <t>TLOUTPUTFBESATDRIVER1T1_1</t>
  </si>
  <si>
    <t>TLOUTPUTFBESATDRIVER2T1_1</t>
  </si>
  <si>
    <t>TLOUTPUTFBESATDRIVER3T1_1</t>
  </si>
  <si>
    <t>TLOUTPUTFBESATDRIVER4T1_1</t>
  </si>
  <si>
    <t>TLOUTPUTFBESATDRIVER5T1_1</t>
  </si>
  <si>
    <t>TLOUTPUTFBESATDRIVER6T1_1</t>
  </si>
  <si>
    <t>TLOUTPUTFBCAPESATT1_1</t>
  </si>
  <si>
    <t>TLOUTPUTFBPROD2VOCDRIVER1T1_1</t>
  </si>
  <si>
    <t>TLOUTPUTFBPROD2VOCDRIVER2T1_1</t>
  </si>
  <si>
    <t>TLOUTPUTFBPROD2VOCDRIVER3T1_1</t>
  </si>
  <si>
    <t>TLOUTPUTFBPROD2VOCDRIVER4T1_1</t>
  </si>
  <si>
    <t>TLOUTPUTFBPROD2VOCDRIVER5T1_1</t>
  </si>
  <si>
    <t>TLOUTPUTFBPROD2VOCDRIVER6T1_1</t>
  </si>
  <si>
    <t>TLOUTPUTFBCBALTOTALREVY0T1_1</t>
  </si>
  <si>
    <t>TLOUTPUTFBCBALTOTALREVY1T1_1</t>
  </si>
  <si>
    <t>TLOUTPUTFBCBALTOTALREVY2T1_1</t>
  </si>
  <si>
    <t>TLOUTPUTFBCBALTOTALREVY3T1_1</t>
  </si>
  <si>
    <t>TLOUTPUTFBCBALOPERATINGMARGINY0T1_1</t>
  </si>
  <si>
    <t>TLOUTPUTFBCBALOPERATINGMARGINY1T1_1</t>
  </si>
  <si>
    <t>TLOUTPUTFBCBALOPERATINGMARGINY2T1_1</t>
  </si>
  <si>
    <t>TLOUTPUTFBCBALOPERATINGMARGINY3T1_1</t>
  </si>
  <si>
    <t>TLOUTPUTFBCBALCASHOIY0T1_1</t>
  </si>
  <si>
    <t>TLOUTPUTFBCBALCASHOIY1T1_1</t>
  </si>
  <si>
    <t>TLOUTPUTFBCBALCASHOIY2T1_1</t>
  </si>
  <si>
    <t>TLOUTPUTFBCBALCASHOIY3T1_1</t>
  </si>
  <si>
    <t>TLOUTPUTFBCBALESATY0T1_1</t>
  </si>
  <si>
    <t>TLOUTPUTFBCBALESATY1T1_1</t>
  </si>
  <si>
    <t>TLOUTPUTFBCBALESATY2T1_1</t>
  </si>
  <si>
    <t>TLOUTPUTFBCBALESATY3T1_1</t>
  </si>
  <si>
    <t>TLOUTPUTFBCBALCSATY0T1_1</t>
  </si>
  <si>
    <t>TLOUTPUTFBCBALCSATY1T1_1</t>
  </si>
  <si>
    <t>TLOUTPUTFBCBALCSATY2T1_1</t>
  </si>
  <si>
    <t>TLOUTPUTFBCBALCSATY3T1_1</t>
  </si>
  <si>
    <t>TLOUTPUTFBCBALEVT1Y1CHOICE1T1_1</t>
  </si>
  <si>
    <t>TLOUTPUTFBCBALEVT1Y1CHOICE2T1_1</t>
  </si>
  <si>
    <t>TLOUTPUTFBCBALEVT1Y1CHOICE3T1_1</t>
  </si>
  <si>
    <t>TLOUTPUTFBCBALEVT2Y1CHOICE1T1_1</t>
  </si>
  <si>
    <t>TLOUTPUTFBCBALEVT2Y1CHOICE2T1_1</t>
  </si>
  <si>
    <t>TLOUTPUTFBCBALEVT2Y1CHOICE3T1_1</t>
  </si>
  <si>
    <t>TLOUTPUTFBCBALEVT3Y1CHOICE1T1_1</t>
  </si>
  <si>
    <t>TLOUTPUTFBCBALEVT3Y1CHOICE2T1_1</t>
  </si>
  <si>
    <t>TLOUTPUTFBCBALEVT3Y1CHOICE3T1_1</t>
  </si>
  <si>
    <t>TLOUTPUTFBCBALEVT1Y2CHOICE1T1_1</t>
  </si>
  <si>
    <t>TLOUTPUTFBCBALEVT1Y2CHOICE2T1_1</t>
  </si>
  <si>
    <t>TLOUTPUTFBCBALEVT1Y2CHOICE3T1_1</t>
  </si>
  <si>
    <t>TLOUTPUTFBCBALEVT2Y2CHOICE1T1_1</t>
  </si>
  <si>
    <t>TLOUTPUTFBCBALEVT2Y2CHOICE2T1_1</t>
  </si>
  <si>
    <t>TLOUTPUTFBCBALEVT2Y2CHOICE3T1_1</t>
  </si>
  <si>
    <t>TLOUTPUTFBCBALEVT3Y2CHOICE1T1_1</t>
  </si>
  <si>
    <t>TLOUTPUTFBCBALEVT3Y2CHOICE2T1_1</t>
  </si>
  <si>
    <t>TLOUTPUTFBCBALEVT3Y2CHOICE3T1_1</t>
  </si>
  <si>
    <t>TLOUTPUTFBCBALEVT1Y3CHOICE1T1_1</t>
  </si>
  <si>
    <t>TLOUTPUTFBCBALEVT1Y3CHOICE2T1_1</t>
  </si>
  <si>
    <t>TLOUTPUTFBCBALEVT1Y3CHOICE3T1_1</t>
  </si>
  <si>
    <t>TLOUTPUTFBCBALEVT2Y3CHOICE1T1_1</t>
  </si>
  <si>
    <t>TLOUTPUTFBCBALEVT2Y3CHOICE2T1_1</t>
  </si>
  <si>
    <t>TLOUTPUTFBCBALEVT2Y3CHOICE3T1_1</t>
  </si>
  <si>
    <t>TLOUTPUTFBCBALEVT3Y3CHOICE1T1_1</t>
  </si>
  <si>
    <t>TLOUTPUTFBCBALEVT3Y3CHOICE2T1_1</t>
  </si>
  <si>
    <t>TLOUTPUTFBCBALEVT3Y3CHOICE3T1_1</t>
  </si>
  <si>
    <t>TLOUTPUTANALYBUILDINGST1_2</t>
  </si>
  <si>
    <t>TLOUTPUTANALYCAGRT1_2</t>
  </si>
  <si>
    <t>TLOUTPUTANALYCASHOIMARGINT1_2</t>
  </si>
  <si>
    <t>TLOUTPUTANALYCASHOIT1_2</t>
  </si>
  <si>
    <t>TLOUTPUTANALYCRIMPACT10T1_2</t>
  </si>
  <si>
    <t>TLOUTPUTANALYCRIMPACT11T1_2</t>
  </si>
  <si>
    <t>TLOUTPUTANALYCRIMPACT12T1_2</t>
  </si>
  <si>
    <t>TLOUTPUTANALYCRIMPACT13T1_2</t>
  </si>
  <si>
    <t>TLOUTPUTANALYCRIMPACT14T1_2</t>
  </si>
  <si>
    <t>TLOUTPUTANALYCRIMPACT1T1_2</t>
  </si>
  <si>
    <t>TLOUTPUTANALYCRIMPACT2T1_2</t>
  </si>
  <si>
    <t>TLOUTPUTANALYCRIMPACT3T1_2</t>
  </si>
  <si>
    <t>TLOUTPUTANALYCRIMPACT4T1_2</t>
  </si>
  <si>
    <t>TLOUTPUTANALYCRIMPACT5T1_2</t>
  </si>
  <si>
    <t>TLOUTPUTANALYCRIMPACT6T1_2</t>
  </si>
  <si>
    <t>TLOUTPUTANALYCRIMPACT7T1_2</t>
  </si>
  <si>
    <t>TLOUTPUTANALYCRIMPACT8T1_2</t>
  </si>
  <si>
    <t>TLOUTPUTANALYCRIMPACT9T1_2</t>
  </si>
  <si>
    <t>TLOUTPUTANALYCSATIMPACT10T1_2</t>
  </si>
  <si>
    <t>TLOUTPUTANALYCSATIMPACT11T1_2</t>
  </si>
  <si>
    <t>TLOUTPUTANALYCSATIMPACT12T1_2</t>
  </si>
  <si>
    <t>TLOUTPUTANALYCSATIMPACT13T1_2</t>
  </si>
  <si>
    <t>TLOUTPUTANALYCSATIMPACT14T1_2</t>
  </si>
  <si>
    <t>TLOUTPUTANALYCSATIMPACT15T1_2</t>
  </si>
  <si>
    <t>TLOUTPUTANALYCSATIMPACT16T1_2</t>
  </si>
  <si>
    <t>TLOUTPUTANALYCSATIMPACT1T1_2</t>
  </si>
  <si>
    <t>TLOUTPUTANALYCSATIMPACT2T1_2</t>
  </si>
  <si>
    <t>TLOUTPUTANALYCSATIMPACT3T1_2</t>
  </si>
  <si>
    <t>TLOUTPUTANALYCSATIMPACT4T1_2</t>
  </si>
  <si>
    <t>TLOUTPUTANALYCSATIMPACT5T1_2</t>
  </si>
  <si>
    <t>TLOUTPUTANALYCSATIMPACT6T1_2</t>
  </si>
  <si>
    <t>TLOUTPUTANALYCSATIMPACT7T1_2</t>
  </si>
  <si>
    <t>TLOUTPUTANALYCSATIMPACT8T1_2</t>
  </si>
  <si>
    <t>TLOUTPUTANALYCSATIMPACT9T1_2</t>
  </si>
  <si>
    <t>TLOUTPUTANALYCSATT1_2</t>
  </si>
  <si>
    <t>TLOUTPUTANALYDCCONSOLIDATET1_2</t>
  </si>
  <si>
    <t>TLOUTPUTANALYDCST1_2</t>
  </si>
  <si>
    <t>TLOUTPUTANALYDCUTILIZATIONT1_2</t>
  </si>
  <si>
    <t>TLOUTPUTANALYEEIMPACT10T1_2</t>
  </si>
  <si>
    <t>TLOUTPUTANALYEEIMPACT11T1_2</t>
  </si>
  <si>
    <t>TLOUTPUTANALYEEIMPACT12T1_2</t>
  </si>
  <si>
    <t>TLOUTPUTANALYEEIMPACT13T1_2</t>
  </si>
  <si>
    <t>TLOUTPUTANALYEEIMPACT14T1_2</t>
  </si>
  <si>
    <t>TLOUTPUTANALYEEIMPACT15T1_2</t>
  </si>
  <si>
    <t>TLOUTPUTANALYEEIMPACT16T1_2</t>
  </si>
  <si>
    <t>TLOUTPUTANALYEEIMPACT17T1_2</t>
  </si>
  <si>
    <t>TLOUTPUTANALYEEIMPACT1T1_2</t>
  </si>
  <si>
    <t>TLOUTPUTANALYEEIMPACT2T1_2</t>
  </si>
  <si>
    <t>TLOUTPUTANALYEEIMPACT3T1_2</t>
  </si>
  <si>
    <t>TLOUTPUTANALYEEIMPACT4T1_2</t>
  </si>
  <si>
    <t>TLOUTPUTANALYEEIMPACT5T1_2</t>
  </si>
  <si>
    <t>TLOUTPUTANALYEEIMPACT6T1_2</t>
  </si>
  <si>
    <t>TLOUTPUTANALYEEIMPACT7T1_2</t>
  </si>
  <si>
    <t>TLOUTPUTANALYEEIMPACT8T1_2</t>
  </si>
  <si>
    <t>TLOUTPUTANALYEEIMPACT9T1_2</t>
  </si>
  <si>
    <t>TLOUTPUTANALYESATT1_2</t>
  </si>
  <si>
    <t>TLOUTPUTANALYEVENT1YR1T1_2</t>
  </si>
  <si>
    <t>TLOUTPUTANALYEVENT1YR2T1_2</t>
  </si>
  <si>
    <t>TLOUTPUTANALYEVENT1YR3T1_2</t>
  </si>
  <si>
    <t>TLOUTPUTANALYEVENT2YR1T1_2</t>
  </si>
  <si>
    <t>TLOUTPUTANALYEVENT2YR2T1_2</t>
  </si>
  <si>
    <t>TLOUTPUTANALYEVENT2YR3T1_2</t>
  </si>
  <si>
    <t>TLOUTPUTANALYEVENT3YR1T1_2</t>
  </si>
  <si>
    <t>TLOUTPUTANALYEVENT3YR2T1_2</t>
  </si>
  <si>
    <t>TLOUTPUTANALYEVENT3YR3T1_2</t>
  </si>
  <si>
    <t>TLOUTPUTANALYFTECONTENTT1_2</t>
  </si>
  <si>
    <t>TLOUTPUTANALYFTEDCONSOLIDATET1_2</t>
  </si>
  <si>
    <t>TLOUTPUTANALYFTEGLOBALACCESST1_2</t>
  </si>
  <si>
    <t>TLOUTPUTANALYFTEINITT1_2</t>
  </si>
  <si>
    <t>TLOUTPUTANALYFTEPROD1TECHT1_2</t>
  </si>
  <si>
    <t>TLOUTPUTANALYFTEPROD2TECHT1_2</t>
  </si>
  <si>
    <t>TLOUTPUTANALYFTEPRODIMPACT1T1_2</t>
  </si>
  <si>
    <t>TLOUTPUTANALYFTEPRODIMPACT2T1_2</t>
  </si>
  <si>
    <t>TLOUTPUTANALYFTEPRODIMPACT3T1_2</t>
  </si>
  <si>
    <t>TLOUTPUTANALYFTEPRODIMPACT4T1_2</t>
  </si>
  <si>
    <t>TLOUTPUTANALYFTEPRODIMPACT5T1_2</t>
  </si>
  <si>
    <t>TLOUTPUTANALYFTEPRODIMPACT6T1_2</t>
  </si>
  <si>
    <t>TLOUTPUTANALYFTEPRODIMPACT7T1_2</t>
  </si>
  <si>
    <t>TLOUTPUTANALYFTEPRODUCTIVTYT1_2</t>
  </si>
  <si>
    <t>TLOUTPUTANALYFTESALESCOVERAGET1_2</t>
  </si>
  <si>
    <t>TLOUTPUTANALYFTEST1_2</t>
  </si>
  <si>
    <t>TLOUTPUTANALYFTETRAININGT1_2</t>
  </si>
  <si>
    <t>TLOUTPUTANALYGLOBALACCESST1_2</t>
  </si>
  <si>
    <t>TLOUTPUTANALYHEADCOUNTT1_2</t>
  </si>
  <si>
    <t>TLOUTPUTANALYINIT1YR1T1_2</t>
  </si>
  <si>
    <t>TLOUTPUTANALYINIT1YR2T1_2</t>
  </si>
  <si>
    <t>TLOUTPUTANALYINIT1YR3T1_2</t>
  </si>
  <si>
    <t>TLOUTPUTANALYINIT2YR1T1_2</t>
  </si>
  <si>
    <t>TLOUTPUTANALYINIT2YR2T1_2</t>
  </si>
  <si>
    <t>TLOUTPUTANALYINIT2YR3T1_2</t>
  </si>
  <si>
    <t>TLOUTPUTANALYINIT3YR1T1_2</t>
  </si>
  <si>
    <t>TLOUTPUTANALYINIT3YR2T1_2</t>
  </si>
  <si>
    <t>TLOUTPUTANALYINIT3YR3T1_2</t>
  </si>
  <si>
    <t>TLOUTPUTANALYMSIMPACT10T1_2</t>
  </si>
  <si>
    <t>TLOUTPUTANALYMSIMPACT11T1_2</t>
  </si>
  <si>
    <t>TLOUTPUTANALYMSIMPACT12T1_2</t>
  </si>
  <si>
    <t>TLOUTPUTANALYMSIMPACT13T1_2</t>
  </si>
  <si>
    <t>TLOUTPUTANALYMSIMPACT14T1_2</t>
  </si>
  <si>
    <t>TLOUTPUTANALYMSIMPACT15T1_2</t>
  </si>
  <si>
    <t>TLOUTPUTANALYMSIMPACT16T1_2</t>
  </si>
  <si>
    <t>TLOUTPUTANALYMSIMPACT17T1_2</t>
  </si>
  <si>
    <t>TLOUTPUTANALYMSIMPACT18T1_2</t>
  </si>
  <si>
    <t>TLOUTPUTANALYMSIMPACT19T1_2</t>
  </si>
  <si>
    <t>TLOUTPUTANALYMSIMPACT1T1_2</t>
  </si>
  <si>
    <t>TLOUTPUTANALYMSIMPACT20T1_2</t>
  </si>
  <si>
    <t>TLOUTPUTANALYMSIMPACT21T1_2</t>
  </si>
  <si>
    <t>TLOUTPUTANALYMSIMPACT2T1_2</t>
  </si>
  <si>
    <t>TLOUTPUTANALYMSIMPACT3T1_2</t>
  </si>
  <si>
    <t>TLOUTPUTANALYMSIMPACT4T1_2</t>
  </si>
  <si>
    <t>TLOUTPUTANALYMSIMPACT5T1_2</t>
  </si>
  <si>
    <t>TLOUTPUTANALYMSIMPACT6T1_2</t>
  </si>
  <si>
    <t>TLOUTPUTANALYMSIMPACT7T1_2</t>
  </si>
  <si>
    <t>TLOUTPUTANALYMSIMPACT8T1_2</t>
  </si>
  <si>
    <t>TLOUTPUTANALYMSIMPACT9T1_2</t>
  </si>
  <si>
    <t>TLOUTPUTANALYOPERATINGINCOMET1_2</t>
  </si>
  <si>
    <t>TLOUTPUTANALYOPERATINGMARGINT1_2</t>
  </si>
  <si>
    <t>TLOUTPUTANALYPARAMFTE8T1_2</t>
  </si>
  <si>
    <t>TLOUTPUTANALYPARAMGRW13T1_2</t>
  </si>
  <si>
    <t>TLOUTPUTANALYPARAMGRW16T1_2</t>
  </si>
  <si>
    <t>TLOUTPUTANALYPARAMGRW17T1_2</t>
  </si>
  <si>
    <t>TLOUTPUTANALYPARAMGRW1T1_2</t>
  </si>
  <si>
    <t>TLOUTPUTANALYPARAMGRW2T1_2</t>
  </si>
  <si>
    <t>TLOUTPUTANALYPARAMGRW3T1_2</t>
  </si>
  <si>
    <t>TLOUTPUTANALYPARAMGRW5T1_2</t>
  </si>
  <si>
    <t>TLOUTPUTANALYPARAMGRW7T1_2</t>
  </si>
  <si>
    <t>TLOUTPUTANALYPARAMMISC26T1_2</t>
  </si>
  <si>
    <t>TLOUTPUTANALYPARAMMISC4T1_2</t>
  </si>
  <si>
    <t>TLOUTPUTANALYPARAMMISC5T1_2</t>
  </si>
  <si>
    <t>TLOUTPUTANALYPARAMOTHER1T1_2</t>
  </si>
  <si>
    <t>TLOUTPUTANALYPARAMOTHER2T1_2</t>
  </si>
  <si>
    <t>TLOUTPUTANALYPARAMSP10T1_2</t>
  </si>
  <si>
    <t>TLOUTPUTANALYPARAMSP11T1_2</t>
  </si>
  <si>
    <t>TLOUTPUTANALYPARAMSP2T1_2</t>
  </si>
  <si>
    <t>TLOUTPUTANALYPARAMSP3T1_2</t>
  </si>
  <si>
    <t>TLOUTPUTANALYPARAMSP4T1_2</t>
  </si>
  <si>
    <t>TLOUTPUTANALYPARAMSP5T1_2</t>
  </si>
  <si>
    <t>TLOUTPUTANALYPARAMTRNS13T1_2</t>
  </si>
  <si>
    <t>TLOUTPUTANALYPARAMTRNS16T1_2</t>
  </si>
  <si>
    <t>TLOUTPUTANALYPARAMTRNS17T1_2</t>
  </si>
  <si>
    <t>TLOUTPUTANALYPARAMTRNS1T1_2</t>
  </si>
  <si>
    <t>TLOUTPUTANALYPARAMTRNS2T1_2</t>
  </si>
  <si>
    <t>TLOUTPUTANALYPARAMTRNS3T1_2</t>
  </si>
  <si>
    <t>TLOUTPUTANALYPARAMTRNS5T1_2</t>
  </si>
  <si>
    <t>TLOUTPUTANALYPARAMTRNS7T1_2</t>
  </si>
  <si>
    <t>TLOUTPUTANALYPARAMTSGRW3T1_2</t>
  </si>
  <si>
    <t>TLOUTPUTANALYPARAMTSTRNS3T1_2</t>
  </si>
  <si>
    <t>TLOUTPUTANALYPROD1ATTACHRATET1_2</t>
  </si>
  <si>
    <t>TLOUTPUTANALYPROD1CANCELLATIONT1_2</t>
  </si>
  <si>
    <t>TLOUTPUTANALYPROD1CONTENTT1_2</t>
  </si>
  <si>
    <t>TLOUTPUTANALYPROD1CSATTRAININGT1_2</t>
  </si>
  <si>
    <t>TLOUTPUTANALYPROD1CUSTOMERSERVICET1_2</t>
  </si>
  <si>
    <t>TLOUTPUTANALYPROD1EBITDAMARGINT1_2</t>
  </si>
  <si>
    <t>TLOUTPUTANALYPROD1EBITDAT1_2</t>
  </si>
  <si>
    <t>TLOUTPUTANALYPROD1EIFTEST1_2</t>
  </si>
  <si>
    <t>TLOUTPUTANALYPROD1ESATTRAININGT1_2</t>
  </si>
  <si>
    <t>TLOUTPUTANALYPROD1IFTEST1_2</t>
  </si>
  <si>
    <t>TLOUTPUTANALYPROD1MARKETSHARET1_2</t>
  </si>
  <si>
    <t>TLOUTPUTANALYPROD1MKTT1_2</t>
  </si>
  <si>
    <t>TLOUTPUTANALYPROD1MMDRIVER1T1_2</t>
  </si>
  <si>
    <t>TLOUTPUTANALYPROD1MMDRIVER2T1_2</t>
  </si>
  <si>
    <t>TLOUTPUTANALYPROD1MMDRIVER3T1_2</t>
  </si>
  <si>
    <t>TLOUTPUTANALYPROD1MMDRIVER4T1_2</t>
  </si>
  <si>
    <t>TLOUTPUTANALYPROD1MMDRIVER5T1_2</t>
  </si>
  <si>
    <t>TLOUTPUTANALYPROD1MMDRIVER6T1_2</t>
  </si>
  <si>
    <t>TLOUTPUTANALYPROD1MMSPT1_2</t>
  </si>
  <si>
    <t>TLOUTPUTANALYPROD1MMTOTALT1_2</t>
  </si>
  <si>
    <t>TLOUTPUTANALYPROD1NREVT1_2</t>
  </si>
  <si>
    <t>TLOUTPUTANALYPROD1OPERATINGINCOMET1_2</t>
  </si>
  <si>
    <t>TLOUTPUTANALYPROD1OPERATINGMARGINT1_2</t>
  </si>
  <si>
    <t>TLOUTPUTANALYPROD1PERCINTT1_2</t>
  </si>
  <si>
    <t>TLOUTPUTANALYPROD1PERCNEWT1_2</t>
  </si>
  <si>
    <t>TLOUTPUTANALYPROD1PRICET1_2</t>
  </si>
  <si>
    <t>TLOUTPUTANALYPROD1REVT1_2</t>
  </si>
  <si>
    <t>TLOUTPUTANALYPROD1RREVT1_2</t>
  </si>
  <si>
    <t>TLOUTPUTANALYPROD1SALESFORCET1_2</t>
  </si>
  <si>
    <t>TLOUTPUTANALYPROD1SALESINITST1_2</t>
  </si>
  <si>
    <t>TLOUTPUTANALYPROD1SUBGROWTHT1_2</t>
  </si>
  <si>
    <t>TLOUTPUTANALYPROD1TECHT1_2</t>
  </si>
  <si>
    <t>TLOUTPUTANALYPROD1TRAININGT1_2</t>
  </si>
  <si>
    <t>TLOUTPUTANALYPROD1TREVT1_2</t>
  </si>
  <si>
    <t>TLOUTPUTANALYPROD1TTMT1_2</t>
  </si>
  <si>
    <t>TLOUTPUTANALYPROD2ATTACHRATET1_2</t>
  </si>
  <si>
    <t>TLOUTPUTANALYPROD2CANCELLATIONT1_2</t>
  </si>
  <si>
    <t>TLOUTPUTANALYPROD2CONTENTT1_2</t>
  </si>
  <si>
    <t>TLOUTPUTANALYPROD2CSATTRAININGT1_2</t>
  </si>
  <si>
    <t>TLOUTPUTANALYPROD2CUSTOMERSERVICET1_2</t>
  </si>
  <si>
    <t>TLOUTPUTANALYPROD2EBITDAMARGINT1_2</t>
  </si>
  <si>
    <t>TLOUTPUTANALYPROD2EBITDAT1_2</t>
  </si>
  <si>
    <t>TLOUTPUTANALYPROD2EIFTEST1_2</t>
  </si>
  <si>
    <t>TLOUTPUTANALYPROD2ESATTRAININGT1_2</t>
  </si>
  <si>
    <t>TLOUTPUTANALYPROD2IFTEST1_2</t>
  </si>
  <si>
    <t>TLOUTPUTANALYPROD2MARKETSHARET1_2</t>
  </si>
  <si>
    <t>TLOUTPUTANALYPROD2MKTT1_2</t>
  </si>
  <si>
    <t>TLOUTPUTANALYPROD2MMDRIVER1T1_2</t>
  </si>
  <si>
    <t>TLOUTPUTANALYPROD2MMDRIVER2T1_2</t>
  </si>
  <si>
    <t>TLOUTPUTANALYPROD2MMDRIVER3T1_2</t>
  </si>
  <si>
    <t>TLOUTPUTANALYPROD2MMDRIVER4T1_2</t>
  </si>
  <si>
    <t>TLOUTPUTANALYPROD2MMDRIVER5T1_2</t>
  </si>
  <si>
    <t>TLOUTPUTANALYPROD2MMDRIVER6T1_2</t>
  </si>
  <si>
    <t>TLOUTPUTANALYPROD2MMSPT1_2</t>
  </si>
  <si>
    <t>TLOUTPUTANALYPROD2MMTOTALT1_2</t>
  </si>
  <si>
    <t>TLOUTPUTANALYPROD2NREVT1_2</t>
  </si>
  <si>
    <t>TLOUTPUTANALYPROD2OPERATINGINCOMET1_2</t>
  </si>
  <si>
    <t>TLOUTPUTANALYPROD2OPERATINGMARGINT1_2</t>
  </si>
  <si>
    <t>TLOUTPUTANALYPROD2PERCINTT1_2</t>
  </si>
  <si>
    <t>TLOUTPUTANALYPROD2PERCNEWT1_2</t>
  </si>
  <si>
    <t>TLOUTPUTANALYPROD2PRICET1_2</t>
  </si>
  <si>
    <t>TLOUTPUTANALYPROD2REVT1_2</t>
  </si>
  <si>
    <t>TLOUTPUTANALYPROD2RREVT1_2</t>
  </si>
  <si>
    <t>TLOUTPUTANALYPROD2SALESFORCET1_2</t>
  </si>
  <si>
    <t>TLOUTPUTANALYPROD2SALESINITST1_2</t>
  </si>
  <si>
    <t>TLOUTPUTANALYPROD2SUBGROWTHT1_2</t>
  </si>
  <si>
    <t>TLOUTPUTANALYPROD2TECHT1_2</t>
  </si>
  <si>
    <t>TLOUTPUTANALYPROD2TRAININGT1_2</t>
  </si>
  <si>
    <t>TLOUTPUTANALYPROD2TREVT1_2</t>
  </si>
  <si>
    <t>TLOUTPUTANALYPROD2TTMT1_2</t>
  </si>
  <si>
    <t>TLOUTPUTANALYREVENUET1_2</t>
  </si>
  <si>
    <t>TLOUTPUTANALYRGIMPACT10T1_2</t>
  </si>
  <si>
    <t>TLOUTPUTANALYRGIMPACT11T1_2</t>
  </si>
  <si>
    <t>TLOUTPUTANALYRGIMPACT12T1_2</t>
  </si>
  <si>
    <t>TLOUTPUTANALYRGIMPACT13T1_2</t>
  </si>
  <si>
    <t>TLOUTPUTANALYRGIMPACT14T1_2</t>
  </si>
  <si>
    <t>TLOUTPUTANALYRGIMPACT15T1_2</t>
  </si>
  <si>
    <t>TLOUTPUTANALYRGIMPACT16T1_2</t>
  </si>
  <si>
    <t>TLOUTPUTANALYRGIMPACT17T1_2</t>
  </si>
  <si>
    <t>TLOUTPUTANALYRGIMPACT18T1_2</t>
  </si>
  <si>
    <t>TLOUTPUTANALYRGIMPACT19T1_2</t>
  </si>
  <si>
    <t>TLOUTPUTANALYRGIMPACT1T1_2</t>
  </si>
  <si>
    <t>TLOUTPUTANALYRGIMPACT20T1_2</t>
  </si>
  <si>
    <t>TLOUTPUTANALYRGIMPACT2T1_2</t>
  </si>
  <si>
    <t>TLOUTPUTANALYRGIMPACT3T1_2</t>
  </si>
  <si>
    <t>TLOUTPUTANALYRGIMPACT4T1_2</t>
  </si>
  <si>
    <t>TLOUTPUTANALYRGIMPACT5T1_2</t>
  </si>
  <si>
    <t>TLOUTPUTANALYRGIMPACT6T1_2</t>
  </si>
  <si>
    <t>TLOUTPUTANALYRGIMPACT7T1_2</t>
  </si>
  <si>
    <t>TLOUTPUTANALYRGIMPACT8T1_2</t>
  </si>
  <si>
    <t>TLOUTPUTANALYRGIMPACT9T1_2</t>
  </si>
  <si>
    <t>TLOUTPUTANALYSALESCOVERAGET1_2</t>
  </si>
  <si>
    <t>TLOUTPUTANALYSBIMPACT10T1_2</t>
  </si>
  <si>
    <t>TLOUTPUTANALYSBIMPACT11T1_2</t>
  </si>
  <si>
    <t>TLOUTPUTANALYSBIMPACT12T1_2</t>
  </si>
  <si>
    <t>TLOUTPUTANALYSBIMPACT13T1_2</t>
  </si>
  <si>
    <t>TLOUTPUTANALYSBIMPACT14T1_2</t>
  </si>
  <si>
    <t>TLOUTPUTANALYSBIMPACT1T1_2</t>
  </si>
  <si>
    <t>TLOUTPUTANALYSBIMPACT2T1_2</t>
  </si>
  <si>
    <t>TLOUTPUTANALYSBIMPACT3T1_2</t>
  </si>
  <si>
    <t>TLOUTPUTANALYSBIMPACT4T1_2</t>
  </si>
  <si>
    <t>TLOUTPUTANALYSBIMPACT5T1_2</t>
  </si>
  <si>
    <t>TLOUTPUTANALYSBIMPACT6T1_2</t>
  </si>
  <si>
    <t>TLOUTPUTANALYSBIMPACT7T1_2</t>
  </si>
  <si>
    <t>TLOUTPUTANALYSBIMPACT8T1_2</t>
  </si>
  <si>
    <t>TLOUTPUTANALYSBIMPACT9T1_2</t>
  </si>
  <si>
    <t>TLOUTPUTANALYSERVICET1_2</t>
  </si>
  <si>
    <t>TLOUTPUTANALYSTAFFT1_2</t>
  </si>
  <si>
    <t>TLOUTPUTANALYTEAMNAMET1_2</t>
  </si>
  <si>
    <t>TLOUTPUTANALYWINMETRICCASHOIT1_2</t>
  </si>
  <si>
    <t>TLOUTPUTANALYWINMETRICYR0T1_2</t>
  </si>
  <si>
    <t>TLOUTPUTANALYWINMETRICYR1T1_2</t>
  </si>
  <si>
    <t>TLOUTPUTANALYWINMETRICYR2T1_2</t>
  </si>
  <si>
    <t>TLOUTPUTANALYWINMETRICYR3T1_2</t>
  </si>
  <si>
    <t>TLOUTPUTFBDECTEAMNAMET1_2</t>
  </si>
  <si>
    <t>TLOUTPUTFBFINPNLPROD1REVT1_2</t>
  </si>
  <si>
    <t>TLOUTPUTFBFINPNLPROD2REVT1_2</t>
  </si>
  <si>
    <t>TLOUTPUTFBFINGGOREVT1_2</t>
  </si>
  <si>
    <t>TLOUTPUTFBFINCAGRT1_2</t>
  </si>
  <si>
    <t>TLOUTPUTFBFINPNLREVNEWT1_2</t>
  </si>
  <si>
    <t>TLOUTPUTFBFINPNLEXISTSUBREVT1_2</t>
  </si>
  <si>
    <t>TLOUTPUTFBCAPTOTALCANCELLATIONRATET1_2</t>
  </si>
  <si>
    <t>TLOUTPUTFBFINPNLEMPEXPT1_2</t>
  </si>
  <si>
    <t>TLOUTPUTFBFINPNLREVEXPT1_2</t>
  </si>
  <si>
    <t>TLOUTPUTFBFINPNLPRODDEVEXPT1_2</t>
  </si>
  <si>
    <t>TLOUTPUTFBFINPNLADMININFRAEXPT1_2</t>
  </si>
  <si>
    <t>TLOUTPUTFBFINPNLOTHEROPEXPT1_2</t>
  </si>
  <si>
    <t>TLOUTPUTFBFINPNLDEPRAMORTEXPT1_2</t>
  </si>
  <si>
    <t>TLOUTPUTFBFINPNLOPERATINGINCOMET1_2</t>
  </si>
  <si>
    <t>TLOUTPUTFBFINPNLOPERATINGMARGINT1_2</t>
  </si>
  <si>
    <t>TLOUTPUTFBFINCASHOIT1_2</t>
  </si>
  <si>
    <t>TLOUTPUTFBFINCASHOIMARGINT1_2</t>
  </si>
  <si>
    <t>TLOUTPUTFBCSATDRIVER1T1_2</t>
  </si>
  <si>
    <t>TLOUTPUTFBCSATDRIVER2T1_2</t>
  </si>
  <si>
    <t>TLOUTPUTFBCSATDRIVER3T1_2</t>
  </si>
  <si>
    <t>TLOUTPUTFBCSATDRIVER4T1_2</t>
  </si>
  <si>
    <t>TLOUTPUTFBCSATDRIVER5T1_2</t>
  </si>
  <si>
    <t>TLOUTPUTFBCSATDRIVER6T1_2</t>
  </si>
  <si>
    <t>TLOUTPUTFBCSATDRIVER7T1_2</t>
  </si>
  <si>
    <t>TLOUTPUTFBCSATDRIVER8T1_2</t>
  </si>
  <si>
    <t>TLOUTPUTFBCSATDRIVER9T1_2</t>
  </si>
  <si>
    <t>TLOUTPUTFBCSATDRIVER10T1_2</t>
  </si>
  <si>
    <t>TLOUTPUTFBCAPCSATT1_2</t>
  </si>
  <si>
    <t>TLOUTPUTFBESATDRIVER1T1_2</t>
  </si>
  <si>
    <t>TLOUTPUTFBESATDRIVER2T1_2</t>
  </si>
  <si>
    <t>TLOUTPUTFBESATDRIVER3T1_2</t>
  </si>
  <si>
    <t>TLOUTPUTFBESATDRIVER4T1_2</t>
  </si>
  <si>
    <t>TLOUTPUTFBESATDRIVER5T1_2</t>
  </si>
  <si>
    <t>TLOUTPUTFBESATDRIVER6T1_2</t>
  </si>
  <si>
    <t>TLOUTPUTFBCAPESATT1_2</t>
  </si>
  <si>
    <t>TLOUTPUTFBPROD2VOCDRIVER1T1_2</t>
  </si>
  <si>
    <t>TLOUTPUTFBPROD2VOCDRIVER2T1_2</t>
  </si>
  <si>
    <t>TLOUTPUTFBPROD2VOCDRIVER3T1_2</t>
  </si>
  <si>
    <t>TLOUTPUTFBPROD2VOCDRIVER4T1_2</t>
  </si>
  <si>
    <t>TLOUTPUTFBPROD2VOCDRIVER5T1_2</t>
  </si>
  <si>
    <t>TLOUTPUTFBPROD2VOCDRIVER6T1_2</t>
  </si>
  <si>
    <t>TLOUTPUTFBCBALTOTALREVY0T1_2</t>
  </si>
  <si>
    <t>TLOUTPUTFBCBALTOTALREVY1T1_2</t>
  </si>
  <si>
    <t>TLOUTPUTFBCBALTOTALREVY2T1_2</t>
  </si>
  <si>
    <t>TLOUTPUTFBCBALTOTALREVY3T1_2</t>
  </si>
  <si>
    <t>TLOUTPUTFBCBALOPERATINGMARGINY0T1_2</t>
  </si>
  <si>
    <t>TLOUTPUTFBCBALOPERATINGMARGINY1T1_2</t>
  </si>
  <si>
    <t>TLOUTPUTFBCBALOPERATINGMARGINY2T1_2</t>
  </si>
  <si>
    <t>TLOUTPUTFBCBALOPERATINGMARGINY3T1_2</t>
  </si>
  <si>
    <t>TLOUTPUTFBCBALCASHOIY0T1_2</t>
  </si>
  <si>
    <t>TLOUTPUTFBCBALCASHOIY1T1_2</t>
  </si>
  <si>
    <t>TLOUTPUTFBCBALCASHOIY2T1_2</t>
  </si>
  <si>
    <t>TLOUTPUTFBCBALCASHOIY3T1_2</t>
  </si>
  <si>
    <t>TLOUTPUTFBCBALESATY0T1_2</t>
  </si>
  <si>
    <t>TLOUTPUTFBCBALESATY1T1_2</t>
  </si>
  <si>
    <t>TLOUTPUTFBCBALESATY2T1_2</t>
  </si>
  <si>
    <t>TLOUTPUTFBCBALESATY3T1_2</t>
  </si>
  <si>
    <t>TLOUTPUTFBCBALCSATY0T1_2</t>
  </si>
  <si>
    <t>TLOUTPUTFBCBALCSATY1T1_2</t>
  </si>
  <si>
    <t>TLOUTPUTFBCBALCSATY2T1_2</t>
  </si>
  <si>
    <t>TLOUTPUTFBCBALCSATY3T1_2</t>
  </si>
  <si>
    <t>TLOUTPUTFBCBALEVT1Y1CHOICE1T1_2</t>
  </si>
  <si>
    <t>TLOUTPUTFBCBALEVT1Y1CHOICE2T1_2</t>
  </si>
  <si>
    <t>TLOUTPUTFBCBALEVT1Y1CHOICE3T1_2</t>
  </si>
  <si>
    <t>TLOUTPUTFBCBALEVT2Y1CHOICE1T1_2</t>
  </si>
  <si>
    <t>TLOUTPUTFBCBALEVT2Y1CHOICE2T1_2</t>
  </si>
  <si>
    <t>TLOUTPUTFBCBALEVT2Y1CHOICE3T1_2</t>
  </si>
  <si>
    <t>TLOUTPUTFBCBALEVT3Y1CHOICE1T1_2</t>
  </si>
  <si>
    <t>TLOUTPUTFBCBALEVT3Y1CHOICE2T1_2</t>
  </si>
  <si>
    <t>TLOUTPUTFBCBALEVT3Y1CHOICE3T1_2</t>
  </si>
  <si>
    <t>TLOUTPUTFBCBALEVT1Y2CHOICE1T1_2</t>
  </si>
  <si>
    <t>TLOUTPUTFBCBALEVT1Y2CHOICE2T1_2</t>
  </si>
  <si>
    <t>TLOUTPUTFBCBALEVT1Y2CHOICE3T1_2</t>
  </si>
  <si>
    <t>TLOUTPUTFBCBALEVT2Y2CHOICE1T1_2</t>
  </si>
  <si>
    <t>TLOUTPUTFBCBALEVT2Y2CHOICE2T1_2</t>
  </si>
  <si>
    <t>TLOUTPUTFBCBALEVT2Y2CHOICE3T1_2</t>
  </si>
  <si>
    <t>TLOUTPUTFBCBALEVT3Y2CHOICE1T1_2</t>
  </si>
  <si>
    <t>TLOUTPUTFBCBALEVT3Y2CHOICE2T1_2</t>
  </si>
  <si>
    <t>TLOUTPUTFBCBALEVT3Y2CHOICE3T1_2</t>
  </si>
  <si>
    <t>TLOUTPUTFBCBALEVT1Y3CHOICE1T1_2</t>
  </si>
  <si>
    <t>TLOUTPUTFBCBALEVT1Y3CHOICE2T1_2</t>
  </si>
  <si>
    <t>TLOUTPUTFBCBALEVT1Y3CHOICE3T1_2</t>
  </si>
  <si>
    <t>TLOUTPUTFBCBALEVT2Y3CHOICE1T1_2</t>
  </si>
  <si>
    <t>TLOUTPUTFBCBALEVT2Y3CHOICE2T1_2</t>
  </si>
  <si>
    <t>TLOUTPUTFBCBALEVT2Y3CHOICE3T1_2</t>
  </si>
  <si>
    <t>TLOUTPUTFBCBALEVT3Y3CHOICE1T1_2</t>
  </si>
  <si>
    <t>TLOUTPUTFBCBALEVT3Y3CHOICE2T1_2</t>
  </si>
  <si>
    <t>TLOUTPUTFBCBALEVT3Y3CHOICE3T1_2</t>
  </si>
  <si>
    <t>TLOUTPUTANALYBUILDINGST1_3</t>
  </si>
  <si>
    <t>TLOUTPUTANALYCAGRT1_3</t>
  </si>
  <si>
    <t>TLOUTPUTANALYCASHOIMARGINT1_3</t>
  </si>
  <si>
    <t>TLOUTPUTANALYCASHOIT1_3</t>
  </si>
  <si>
    <t>TLOUTPUTANALYCRIMPACT10T1_3</t>
  </si>
  <si>
    <t>TLOUTPUTANALYCRIMPACT11T1_3</t>
  </si>
  <si>
    <t>TLOUTPUTANALYCRIMPACT12T1_3</t>
  </si>
  <si>
    <t>TLOUTPUTANALYCRIMPACT13T1_3</t>
  </si>
  <si>
    <t>TLOUTPUTANALYCRIMPACT14T1_3</t>
  </si>
  <si>
    <t>TLOUTPUTANALYCRIMPACT1T1_3</t>
  </si>
  <si>
    <t>TLOUTPUTANALYCRIMPACT2T1_3</t>
  </si>
  <si>
    <t>TLOUTPUTANALYCRIMPACT3T1_3</t>
  </si>
  <si>
    <t>TLOUTPUTANALYCRIMPACT4T1_3</t>
  </si>
  <si>
    <t>TLOUTPUTANALYCRIMPACT5T1_3</t>
  </si>
  <si>
    <t>TLOUTPUTANALYCRIMPACT6T1_3</t>
  </si>
  <si>
    <t>TLOUTPUTANALYCRIMPACT7T1_3</t>
  </si>
  <si>
    <t>TLOUTPUTANALYCRIMPACT8T1_3</t>
  </si>
  <si>
    <t>TLOUTPUTANALYCRIMPACT9T1_3</t>
  </si>
  <si>
    <t>TLOUTPUTANALYCSATIMPACT10T1_3</t>
  </si>
  <si>
    <t>TLOUTPUTANALYCSATIMPACT11T1_3</t>
  </si>
  <si>
    <t>TLOUTPUTANALYCSATIMPACT12T1_3</t>
  </si>
  <si>
    <t>TLOUTPUTANALYCSATIMPACT13T1_3</t>
  </si>
  <si>
    <t>TLOUTPUTANALYCSATIMPACT14T1_3</t>
  </si>
  <si>
    <t>TLOUTPUTANALYCSATIMPACT15T1_3</t>
  </si>
  <si>
    <t>TLOUTPUTANALYCSATIMPACT16T1_3</t>
  </si>
  <si>
    <t>TLOUTPUTANALYCSATIMPACT1T1_3</t>
  </si>
  <si>
    <t>TLOUTPUTANALYCSATIMPACT2T1_3</t>
  </si>
  <si>
    <t>TLOUTPUTANALYCSATIMPACT3T1_3</t>
  </si>
  <si>
    <t>TLOUTPUTANALYCSATIMPACT4T1_3</t>
  </si>
  <si>
    <t>TLOUTPUTANALYCSATIMPACT5T1_3</t>
  </si>
  <si>
    <t>TLOUTPUTANALYCSATIMPACT6T1_3</t>
  </si>
  <si>
    <t>TLOUTPUTANALYCSATIMPACT7T1_3</t>
  </si>
  <si>
    <t>TLOUTPUTANALYCSATIMPACT8T1_3</t>
  </si>
  <si>
    <t>TLOUTPUTANALYCSATIMPACT9T1_3</t>
  </si>
  <si>
    <t>TLOUTPUTANALYCSATT1_3</t>
  </si>
  <si>
    <t>TLOUTPUTANALYDCCONSOLIDATET1_3</t>
  </si>
  <si>
    <t>TLOUTPUTANALYDCST1_3</t>
  </si>
  <si>
    <t>TLOUTPUTANALYDCUTILIZATIONT1_3</t>
  </si>
  <si>
    <t>TLOUTPUTANALYEEIMPACT10T1_3</t>
  </si>
  <si>
    <t>TLOUTPUTANALYEEIMPACT11T1_3</t>
  </si>
  <si>
    <t>TLOUTPUTANALYEEIMPACT12T1_3</t>
  </si>
  <si>
    <t>TLOUTPUTANALYEEIMPACT13T1_3</t>
  </si>
  <si>
    <t>TLOUTPUTANALYEEIMPACT14T1_3</t>
  </si>
  <si>
    <t>TLOUTPUTANALYEEIMPACT15T1_3</t>
  </si>
  <si>
    <t>TLOUTPUTANALYEEIMPACT16T1_3</t>
  </si>
  <si>
    <t>TLOUTPUTANALYEEIMPACT17T1_3</t>
  </si>
  <si>
    <t>TLOUTPUTANALYEEIMPACT1T1_3</t>
  </si>
  <si>
    <t>TLOUTPUTANALYEEIMPACT2T1_3</t>
  </si>
  <si>
    <t>TLOUTPUTANALYEEIMPACT3T1_3</t>
  </si>
  <si>
    <t>TLOUTPUTANALYEEIMPACT4T1_3</t>
  </si>
  <si>
    <t>TLOUTPUTANALYEEIMPACT5T1_3</t>
  </si>
  <si>
    <t>TLOUTPUTANALYEEIMPACT6T1_3</t>
  </si>
  <si>
    <t>TLOUTPUTANALYEEIMPACT7T1_3</t>
  </si>
  <si>
    <t>TLOUTPUTANALYEEIMPACT8T1_3</t>
  </si>
  <si>
    <t>TLOUTPUTANALYEEIMPACT9T1_3</t>
  </si>
  <si>
    <t>TLOUTPUTANALYESATT1_3</t>
  </si>
  <si>
    <t>TLOUTPUTANALYEVENT1YR1T1_3</t>
  </si>
  <si>
    <t>TLOUTPUTANALYEVENT1YR2T1_3</t>
  </si>
  <si>
    <t>TLOUTPUTANALYEVENT1YR3T1_3</t>
  </si>
  <si>
    <t>TLOUTPUTANALYEVENT2YR1T1_3</t>
  </si>
  <si>
    <t>TLOUTPUTANALYEVENT2YR2T1_3</t>
  </si>
  <si>
    <t>TLOUTPUTANALYEVENT2YR3T1_3</t>
  </si>
  <si>
    <t>TLOUTPUTANALYEVENT3YR1T1_3</t>
  </si>
  <si>
    <t>TLOUTPUTANALYEVENT3YR2T1_3</t>
  </si>
  <si>
    <t>TLOUTPUTANALYEVENT3YR3T1_3</t>
  </si>
  <si>
    <t>TLOUTPUTANALYFTECONTENTT1_3</t>
  </si>
  <si>
    <t>TLOUTPUTANALYFTEDCONSOLIDATET1_3</t>
  </si>
  <si>
    <t>TLOUTPUTANALYFTEGLOBALACCESST1_3</t>
  </si>
  <si>
    <t>TLOUTPUTANALYFTEINITT1_3</t>
  </si>
  <si>
    <t>TLOUTPUTANALYFTEPROD1TECHT1_3</t>
  </si>
  <si>
    <t>TLOUTPUTANALYFTEPROD2TECHT1_3</t>
  </si>
  <si>
    <t>TLOUTPUTANALYFTEPRODIMPACT1T1_3</t>
  </si>
  <si>
    <t>TLOUTPUTANALYFTEPRODIMPACT2T1_3</t>
  </si>
  <si>
    <t>TLOUTPUTANALYFTEPRODIMPACT3T1_3</t>
  </si>
  <si>
    <t>TLOUTPUTANALYFTEPRODIMPACT4T1_3</t>
  </si>
  <si>
    <t>TLOUTPUTANALYFTEPRODIMPACT5T1_3</t>
  </si>
  <si>
    <t>TLOUTPUTANALYFTEPRODIMPACT6T1_3</t>
  </si>
  <si>
    <t>TLOUTPUTANALYFTEPRODIMPACT7T1_3</t>
  </si>
  <si>
    <t>TLOUTPUTANALYFTEPRODUCTIVTYT1_3</t>
  </si>
  <si>
    <t>TLOUTPUTANALYFTESALESCOVERAGET1_3</t>
  </si>
  <si>
    <t>TLOUTPUTANALYFTEST1_3</t>
  </si>
  <si>
    <t>TLOUTPUTANALYFTETRAININGT1_3</t>
  </si>
  <si>
    <t>TLOUTPUTANALYGLOBALACCESST1_3</t>
  </si>
  <si>
    <t>TLOUTPUTANALYHEADCOUNTT1_3</t>
  </si>
  <si>
    <t>TLOUTPUTANALYINIT1YR1T1_3</t>
  </si>
  <si>
    <t>TLOUTPUTANALYINIT1YR2T1_3</t>
  </si>
  <si>
    <t>TLOUTPUTANALYINIT1YR3T1_3</t>
  </si>
  <si>
    <t>TLOUTPUTANALYINIT2YR1T1_3</t>
  </si>
  <si>
    <t>TLOUTPUTANALYINIT2YR2T1_3</t>
  </si>
  <si>
    <t>TLOUTPUTANALYINIT2YR3T1_3</t>
  </si>
  <si>
    <t>TLOUTPUTANALYINIT3YR1T1_3</t>
  </si>
  <si>
    <t>TLOUTPUTANALYINIT3YR2T1_3</t>
  </si>
  <si>
    <t>TLOUTPUTANALYINIT3YR3T1_3</t>
  </si>
  <si>
    <t>TLOUTPUTANALYMSIMPACT10T1_3</t>
  </si>
  <si>
    <t>TLOUTPUTANALYMSIMPACT11T1_3</t>
  </si>
  <si>
    <t>TLOUTPUTANALYMSIMPACT12T1_3</t>
  </si>
  <si>
    <t>TLOUTPUTANALYMSIMPACT13T1_3</t>
  </si>
  <si>
    <t>TLOUTPUTANALYMSIMPACT14T1_3</t>
  </si>
  <si>
    <t>TLOUTPUTANALYMSIMPACT15T1_3</t>
  </si>
  <si>
    <t>TLOUTPUTANALYMSIMPACT16T1_3</t>
  </si>
  <si>
    <t>TLOUTPUTANALYMSIMPACT17T1_3</t>
  </si>
  <si>
    <t>TLOUTPUTANALYMSIMPACT18T1_3</t>
  </si>
  <si>
    <t>TLOUTPUTANALYMSIMPACT19T1_3</t>
  </si>
  <si>
    <t>TLOUTPUTANALYMSIMPACT1T1_3</t>
  </si>
  <si>
    <t>TLOUTPUTANALYMSIMPACT20T1_3</t>
  </si>
  <si>
    <t>TLOUTPUTANALYMSIMPACT21T1_3</t>
  </si>
  <si>
    <t>TLOUTPUTANALYMSIMPACT2T1_3</t>
  </si>
  <si>
    <t>TLOUTPUTANALYMSIMPACT3T1_3</t>
  </si>
  <si>
    <t>TLOUTPUTANALYMSIMPACT4T1_3</t>
  </si>
  <si>
    <t>TLOUTPUTANALYMSIMPACT5T1_3</t>
  </si>
  <si>
    <t>TLOUTPUTANALYMSIMPACT6T1_3</t>
  </si>
  <si>
    <t>TLOUTPUTANALYMSIMPACT7T1_3</t>
  </si>
  <si>
    <t>TLOUTPUTANALYMSIMPACT8T1_3</t>
  </si>
  <si>
    <t>TLOUTPUTANALYMSIMPACT9T1_3</t>
  </si>
  <si>
    <t>TLOUTPUTANALYOPERATINGINCOMET1_3</t>
  </si>
  <si>
    <t>TLOUTPUTANALYOPERATINGMARGINT1_3</t>
  </si>
  <si>
    <t>TLOUTPUTANALYPARAMFTE8T1_3</t>
  </si>
  <si>
    <t>TLOUTPUTANALYPARAMGRW13T1_3</t>
  </si>
  <si>
    <t>TLOUTPUTANALYPARAMGRW16T1_3</t>
  </si>
  <si>
    <t>TLOUTPUTANALYPARAMGRW17T1_3</t>
  </si>
  <si>
    <t>TLOUTPUTANALYPARAMGRW1T1_3</t>
  </si>
  <si>
    <t>TLOUTPUTANALYPARAMGRW2T1_3</t>
  </si>
  <si>
    <t>TLOUTPUTANALYPARAMGRW3T1_3</t>
  </si>
  <si>
    <t>TLOUTPUTANALYPARAMGRW5T1_3</t>
  </si>
  <si>
    <t>TLOUTPUTANALYPARAMGRW7T1_3</t>
  </si>
  <si>
    <t>TLOUTPUTANALYPARAMMISC26T1_3</t>
  </si>
  <si>
    <t>TLOUTPUTANALYPARAMMISC4T1_3</t>
  </si>
  <si>
    <t>TLOUTPUTANALYPARAMMISC5T1_3</t>
  </si>
  <si>
    <t>TLOUTPUTANALYPARAMOTHER1T1_3</t>
  </si>
  <si>
    <t>TLOUTPUTANALYPARAMOTHER2T1_3</t>
  </si>
  <si>
    <t>TLOUTPUTANALYPARAMSP10T1_3</t>
  </si>
  <si>
    <t>TLOUTPUTANALYPARAMSP11T1_3</t>
  </si>
  <si>
    <t>TLOUTPUTANALYPARAMSP2T1_3</t>
  </si>
  <si>
    <t>TLOUTPUTANALYPARAMSP3T1_3</t>
  </si>
  <si>
    <t>TLOUTPUTANALYPARAMSP4T1_3</t>
  </si>
  <si>
    <t>TLOUTPUTANALYPARAMSP5T1_3</t>
  </si>
  <si>
    <t>TLOUTPUTANALYPARAMTRNS13T1_3</t>
  </si>
  <si>
    <t>TLOUTPUTANALYPARAMTRNS16T1_3</t>
  </si>
  <si>
    <t>TLOUTPUTANALYPARAMTRNS17T1_3</t>
  </si>
  <si>
    <t>TLOUTPUTANALYPARAMTRNS1T1_3</t>
  </si>
  <si>
    <t>TLOUTPUTANALYPARAMTRNS2T1_3</t>
  </si>
  <si>
    <t>TLOUTPUTANALYPARAMTRNS3T1_3</t>
  </si>
  <si>
    <t>TLOUTPUTANALYPARAMTRNS5T1_3</t>
  </si>
  <si>
    <t>TLOUTPUTANALYPARAMTRNS7T1_3</t>
  </si>
  <si>
    <t>TLOUTPUTANALYPARAMTSGRW3T1_3</t>
  </si>
  <si>
    <t>TLOUTPUTANALYPARAMTSTRNS3T1_3</t>
  </si>
  <si>
    <t>TLOUTPUTANALYPROD1ATTACHRATET1_3</t>
  </si>
  <si>
    <t>TLOUTPUTANALYPROD1CANCELLATIONT1_3</t>
  </si>
  <si>
    <t>TLOUTPUTANALYPROD1CONTENTT1_3</t>
  </si>
  <si>
    <t>TLOUTPUTANALYPROD1CSATTRAININGT1_3</t>
  </si>
  <si>
    <t>TLOUTPUTANALYPROD1CUSTOMERSERVICET1_3</t>
  </si>
  <si>
    <t>TLOUTPUTANALYPROD1EBITDAMARGINT1_3</t>
  </si>
  <si>
    <t>TLOUTPUTANALYPROD1EBITDAT1_3</t>
  </si>
  <si>
    <t>TLOUTPUTANALYPROD1EIFTEST1_3</t>
  </si>
  <si>
    <t>TLOUTPUTANALYPROD1ESATTRAININGT1_3</t>
  </si>
  <si>
    <t>TLOUTPUTANALYPROD1IFTEST1_3</t>
  </si>
  <si>
    <t>TLOUTPUTANALYPROD1MARKETSHARET1_3</t>
  </si>
  <si>
    <t>TLOUTPUTANALYPROD1MKTT1_3</t>
  </si>
  <si>
    <t>TLOUTPUTANALYPROD1MMDRIVER1T1_3</t>
  </si>
  <si>
    <t>TLOUTPUTANALYPROD1MMDRIVER2T1_3</t>
  </si>
  <si>
    <t>TLOUTPUTANALYPROD1MMDRIVER3T1_3</t>
  </si>
  <si>
    <t>TLOUTPUTANALYPROD1MMDRIVER4T1_3</t>
  </si>
  <si>
    <t>TLOUTPUTANALYPROD1MMDRIVER5T1_3</t>
  </si>
  <si>
    <t>TLOUTPUTANALYPROD1MMDRIVER6T1_3</t>
  </si>
  <si>
    <t>TLOUTPUTANALYPROD1MMSPT1_3</t>
  </si>
  <si>
    <t>TLOUTPUTANALYPROD1MMTOTALT1_3</t>
  </si>
  <si>
    <t>TLOUTPUTANALYPROD1NREVT1_3</t>
  </si>
  <si>
    <t>TLOUTPUTANALYPROD1OPERATINGINCOMET1_3</t>
  </si>
  <si>
    <t>TLOUTPUTANALYPROD1OPERATINGMARGINT1_3</t>
  </si>
  <si>
    <t>TLOUTPUTANALYPROD1PERCINTT1_3</t>
  </si>
  <si>
    <t>TLOUTPUTANALYPROD1PERCNEWT1_3</t>
  </si>
  <si>
    <t>TLOUTPUTANALYPROD1PRICET1_3</t>
  </si>
  <si>
    <t>TLOUTPUTANALYPROD1REVT1_3</t>
  </si>
  <si>
    <t>TLOUTPUTANALYPROD1RREVT1_3</t>
  </si>
  <si>
    <t>TLOUTPUTANALYPROD1SALESFORCET1_3</t>
  </si>
  <si>
    <t>TLOUTPUTANALYPROD1SALESINITST1_3</t>
  </si>
  <si>
    <t>TLOUTPUTANALYPROD1SUBGROWTHT1_3</t>
  </si>
  <si>
    <t>TLOUTPUTANALYPROD1TECHT1_3</t>
  </si>
  <si>
    <t>TLOUTPUTANALYPROD1TRAININGT1_3</t>
  </si>
  <si>
    <t>TLOUTPUTANALYPROD1TREVT1_3</t>
  </si>
  <si>
    <t>TLOUTPUTANALYPROD1TTMT1_3</t>
  </si>
  <si>
    <t>TLOUTPUTANALYPROD2ATTACHRATET1_3</t>
  </si>
  <si>
    <t>TLOUTPUTANALYPROD2CANCELLATIONT1_3</t>
  </si>
  <si>
    <t>TLOUTPUTANALYPROD2CONTENTT1_3</t>
  </si>
  <si>
    <t>TLOUTPUTANALYPROD2CSATTRAININGT1_3</t>
  </si>
  <si>
    <t>TLOUTPUTANALYPROD2CUSTOMERSERVICET1_3</t>
  </si>
  <si>
    <t>TLOUTPUTANALYPROD2EBITDAMARGINT1_3</t>
  </si>
  <si>
    <t>TLOUTPUTANALYPROD2EBITDAT1_3</t>
  </si>
  <si>
    <t>TLOUTPUTANALYPROD2EIFTEST1_3</t>
  </si>
  <si>
    <t>TLOUTPUTANALYPROD2ESATTRAININGT1_3</t>
  </si>
  <si>
    <t>TLOUTPUTANALYPROD2IFTEST1_3</t>
  </si>
  <si>
    <t>TLOUTPUTANALYPROD2MARKETSHARET1_3</t>
  </si>
  <si>
    <t>TLOUTPUTANALYPROD2MKTT1_3</t>
  </si>
  <si>
    <t>TLOUTPUTANALYPROD2MMDRIVER1T1_3</t>
  </si>
  <si>
    <t>TLOUTPUTANALYPROD2MMDRIVER2T1_3</t>
  </si>
  <si>
    <t>TLOUTPUTANALYPROD2MMDRIVER3T1_3</t>
  </si>
  <si>
    <t>TLOUTPUTANALYPROD2MMDRIVER4T1_3</t>
  </si>
  <si>
    <t>TLOUTPUTANALYPROD2MMDRIVER5T1_3</t>
  </si>
  <si>
    <t>TLOUTPUTANALYPROD2MMDRIVER6T1_3</t>
  </si>
  <si>
    <t>TLOUTPUTANALYPROD2MMSPT1_3</t>
  </si>
  <si>
    <t>TLOUTPUTANALYPROD2MMTOTALT1_3</t>
  </si>
  <si>
    <t>TLOUTPUTANALYPROD2NREVT1_3</t>
  </si>
  <si>
    <t>TLOUTPUTANALYPROD2OPERATINGINCOMET1_3</t>
  </si>
  <si>
    <t>TLOUTPUTANALYPROD2OPERATINGMARGINT1_3</t>
  </si>
  <si>
    <t>TLOUTPUTANALYPROD2PERCINTT1_3</t>
  </si>
  <si>
    <t>TLOUTPUTANALYPROD2PERCNEWT1_3</t>
  </si>
  <si>
    <t>TLOUTPUTANALYPROD2PRICET1_3</t>
  </si>
  <si>
    <t>TLOUTPUTANALYPROD2REVT1_3</t>
  </si>
  <si>
    <t>TLOUTPUTANALYPROD2RREVT1_3</t>
  </si>
  <si>
    <t>TLOUTPUTANALYPROD2SALESFORCET1_3</t>
  </si>
  <si>
    <t>TLOUTPUTANALYPROD2SALESINITST1_3</t>
  </si>
  <si>
    <t>TLOUTPUTANALYPROD2SUBGROWTHT1_3</t>
  </si>
  <si>
    <t>TLOUTPUTANALYPROD2TECHT1_3</t>
  </si>
  <si>
    <t>TLOUTPUTANALYPROD2TRAININGT1_3</t>
  </si>
  <si>
    <t>TLOUTPUTANALYPROD2TREVT1_3</t>
  </si>
  <si>
    <t>TLOUTPUTANALYPROD2TTMT1_3</t>
  </si>
  <si>
    <t>TLOUTPUTANALYREVENUET1_3</t>
  </si>
  <si>
    <t>TLOUTPUTANALYRGIMPACT10T1_3</t>
  </si>
  <si>
    <t>TLOUTPUTANALYRGIMPACT11T1_3</t>
  </si>
  <si>
    <t>TLOUTPUTANALYRGIMPACT12T1_3</t>
  </si>
  <si>
    <t>TLOUTPUTANALYRGIMPACT13T1_3</t>
  </si>
  <si>
    <t>TLOUTPUTANALYRGIMPACT14T1_3</t>
  </si>
  <si>
    <t>TLOUTPUTANALYRGIMPACT15T1_3</t>
  </si>
  <si>
    <t>TLOUTPUTANALYRGIMPACT16T1_3</t>
  </si>
  <si>
    <t>TLOUTPUTANALYRGIMPACT17T1_3</t>
  </si>
  <si>
    <t>TLOUTPUTANALYRGIMPACT18T1_3</t>
  </si>
  <si>
    <t>TLOUTPUTANALYRGIMPACT19T1_3</t>
  </si>
  <si>
    <t>TLOUTPUTANALYRGIMPACT1T1_3</t>
  </si>
  <si>
    <t>TLOUTPUTANALYRGIMPACT20T1_3</t>
  </si>
  <si>
    <t>TLOUTPUTANALYRGIMPACT2T1_3</t>
  </si>
  <si>
    <t>TLOUTPUTANALYRGIMPACT3T1_3</t>
  </si>
  <si>
    <t>TLOUTPUTANALYRGIMPACT4T1_3</t>
  </si>
  <si>
    <t>TLOUTPUTANALYRGIMPACT5T1_3</t>
  </si>
  <si>
    <t>TLOUTPUTANALYRGIMPACT6T1_3</t>
  </si>
  <si>
    <t>TLOUTPUTANALYRGIMPACT7T1_3</t>
  </si>
  <si>
    <t>TLOUTPUTANALYRGIMPACT8T1_3</t>
  </si>
  <si>
    <t>TLOUTPUTANALYRGIMPACT9T1_3</t>
  </si>
  <si>
    <t>TLOUTPUTANALYSALESCOVERAGET1_3</t>
  </si>
  <si>
    <t>TLOUTPUTANALYSBIMPACT10T1_3</t>
  </si>
  <si>
    <t>TLOUTPUTANALYSBIMPACT11T1_3</t>
  </si>
  <si>
    <t>TLOUTPUTANALYSBIMPACT12T1_3</t>
  </si>
  <si>
    <t>TLOUTPUTANALYSBIMPACT13T1_3</t>
  </si>
  <si>
    <t>TLOUTPUTANALYSBIMPACT14T1_3</t>
  </si>
  <si>
    <t>TLOUTPUTANALYSBIMPACT1T1_3</t>
  </si>
  <si>
    <t>TLOUTPUTANALYSBIMPACT2T1_3</t>
  </si>
  <si>
    <t>TLOUTPUTANALYSBIMPACT3T1_3</t>
  </si>
  <si>
    <t>TLOUTPUTANALYSBIMPACT4T1_3</t>
  </si>
  <si>
    <t>TLOUTPUTANALYSBIMPACT5T1_3</t>
  </si>
  <si>
    <t>TLOUTPUTANALYSBIMPACT6T1_3</t>
  </si>
  <si>
    <t>TLOUTPUTANALYSBIMPACT7T1_3</t>
  </si>
  <si>
    <t>TLOUTPUTANALYSBIMPACT8T1_3</t>
  </si>
  <si>
    <t>TLOUTPUTANALYSBIMPACT9T1_3</t>
  </si>
  <si>
    <t>TLOUTPUTANALYSERVICET1_3</t>
  </si>
  <si>
    <t>TLOUTPUTANALYSTAFFT1_3</t>
  </si>
  <si>
    <t>TLOUTPUTANALYTEAMNAMET1_3</t>
  </si>
  <si>
    <t>TLOUTPUTANALYWINMETRICCASHOIT1_3</t>
  </si>
  <si>
    <t>TLOUTPUTANALYWINMETRICYR0T1_3</t>
  </si>
  <si>
    <t>TLOUTPUTANALYWINMETRICYR1T1_3</t>
  </si>
  <si>
    <t>TLOUTPUTANALYWINMETRICYR2T1_3</t>
  </si>
  <si>
    <t>TLOUTPUTANALYWINMETRICYR3T1_3</t>
  </si>
  <si>
    <t>TLOUTPUTFBDECTEAMNAMET1_3</t>
  </si>
  <si>
    <t>TLOUTPUTFBFINPNLPROD1REVT1_3</t>
  </si>
  <si>
    <t>TLOUTPUTFBFINPNLPROD2REVT1_3</t>
  </si>
  <si>
    <t>TLOUTPUTFBFINGGOREVT1_3</t>
  </si>
  <si>
    <t>TLOUTPUTFBFINCAGRT1_3</t>
  </si>
  <si>
    <t>TLOUTPUTFBFINPNLREVNEWT1_3</t>
  </si>
  <si>
    <t>TLOUTPUTFBFINPNLEXISTSUBREVT1_3</t>
  </si>
  <si>
    <t>TLOUTPUTFBCAPTOTALCANCELLATIONRATET1_3</t>
  </si>
  <si>
    <t>TLOUTPUTFBFINPNLEMPEXPT1_3</t>
  </si>
  <si>
    <t>TLOUTPUTFBFINPNLREVEXPT1_3</t>
  </si>
  <si>
    <t>TLOUTPUTFBFINPNLPRODDEVEXPT1_3</t>
  </si>
  <si>
    <t>TLOUTPUTFBFINPNLADMININFRAEXPT1_3</t>
  </si>
  <si>
    <t>TLOUTPUTFBFINPNLOTHEROPEXPT1_3</t>
  </si>
  <si>
    <t>TLOUTPUTFBFINPNLDEPRAMORTEXPT1_3</t>
  </si>
  <si>
    <t>TLOUTPUTFBFINPNLOPERATINGINCOMET1_3</t>
  </si>
  <si>
    <t>TLOUTPUTFBFINPNLOPERATINGMARGINT1_3</t>
  </si>
  <si>
    <t>TLOUTPUTFBFINCASHOIT1_3</t>
  </si>
  <si>
    <t>TLOUTPUTFBFINCASHOIMARGINT1_3</t>
  </si>
  <si>
    <t>TLOUTPUTFBCSATDRIVER1T1_3</t>
  </si>
  <si>
    <t>TLOUTPUTFBCSATDRIVER2T1_3</t>
  </si>
  <si>
    <t>TLOUTPUTFBCSATDRIVER3T1_3</t>
  </si>
  <si>
    <t>TLOUTPUTFBCSATDRIVER4T1_3</t>
  </si>
  <si>
    <t>TLOUTPUTFBCSATDRIVER5T1_3</t>
  </si>
  <si>
    <t>TLOUTPUTFBCSATDRIVER6T1_3</t>
  </si>
  <si>
    <t>TLOUTPUTFBCSATDRIVER7T1_3</t>
  </si>
  <si>
    <t>TLOUTPUTFBCSATDRIVER8T1_3</t>
  </si>
  <si>
    <t>TLOUTPUTFBCSATDRIVER9T1_3</t>
  </si>
  <si>
    <t>TLOUTPUTFBCSATDRIVER10T1_3</t>
  </si>
  <si>
    <t>TLOUTPUTFBCAPCSATT1_3</t>
  </si>
  <si>
    <t>TLOUTPUTFBESATDRIVER1T1_3</t>
  </si>
  <si>
    <t>TLOUTPUTFBESATDRIVER2T1_3</t>
  </si>
  <si>
    <t>TLOUTPUTFBESATDRIVER3T1_3</t>
  </si>
  <si>
    <t>TLOUTPUTFBESATDRIVER4T1_3</t>
  </si>
  <si>
    <t>TLOUTPUTFBESATDRIVER5T1_3</t>
  </si>
  <si>
    <t>TLOUTPUTFBESATDRIVER6T1_3</t>
  </si>
  <si>
    <t>TLOUTPUTFBCAPESATT1_3</t>
  </si>
  <si>
    <t>TLOUTPUTFBPROD2VOCDRIVER1T1_3</t>
  </si>
  <si>
    <t>TLOUTPUTFBPROD2VOCDRIVER2T1_3</t>
  </si>
  <si>
    <t>TLOUTPUTFBPROD2VOCDRIVER3T1_3</t>
  </si>
  <si>
    <t>TLOUTPUTFBPROD2VOCDRIVER4T1_3</t>
  </si>
  <si>
    <t>TLOUTPUTFBPROD2VOCDRIVER5T1_3</t>
  </si>
  <si>
    <t>TLOUTPUTFBPROD2VOCDRIVER6T1_3</t>
  </si>
  <si>
    <t>TLOUTPUTFBCBALTOTALREVY0T1_3</t>
  </si>
  <si>
    <t>TLOUTPUTFBCBALTOTALREVY1T1_3</t>
  </si>
  <si>
    <t>TLOUTPUTFBCBALTOTALREVY2T1_3</t>
  </si>
  <si>
    <t>TLOUTPUTFBCBALTOTALREVY3T1_3</t>
  </si>
  <si>
    <t>TLOUTPUTFBCBALOPERATINGMARGINY0T1_3</t>
  </si>
  <si>
    <t>TLOUTPUTFBCBALOPERATINGMARGINY1T1_3</t>
  </si>
  <si>
    <t>TLOUTPUTFBCBALOPERATINGMARGINY2T1_3</t>
  </si>
  <si>
    <t>TLOUTPUTFBCBALOPERATINGMARGINY3T1_3</t>
  </si>
  <si>
    <t>TLOUTPUTFBCBALCASHOIY0T1_3</t>
  </si>
  <si>
    <t>TLOUTPUTFBCBALCASHOIY1T1_3</t>
  </si>
  <si>
    <t>TLOUTPUTFBCBALCASHOIY2T1_3</t>
  </si>
  <si>
    <t>TLOUTPUTFBCBALCASHOIY3T1_3</t>
  </si>
  <si>
    <t>TLOUTPUTFBCBALESATY0T1_3</t>
  </si>
  <si>
    <t>TLOUTPUTFBCBALESATY1T1_3</t>
  </si>
  <si>
    <t>TLOUTPUTFBCBALESATY2T1_3</t>
  </si>
  <si>
    <t>TLOUTPUTFBCBALESATY3T1_3</t>
  </si>
  <si>
    <t>TLOUTPUTFBCBALCSATY0T1_3</t>
  </si>
  <si>
    <t>TLOUTPUTFBCBALCSATY1T1_3</t>
  </si>
  <si>
    <t>TLOUTPUTFBCBALCSATY2T1_3</t>
  </si>
  <si>
    <t>TLOUTPUTFBCBALCSATY3T1_3</t>
  </si>
  <si>
    <t>TLOUTPUTFBCBALEVT1Y1CHOICE1T1_3</t>
  </si>
  <si>
    <t>TLOUTPUTFBCBALEVT1Y1CHOICE2T1_3</t>
  </si>
  <si>
    <t>TLOUTPUTFBCBALEVT1Y1CHOICE3T1_3</t>
  </si>
  <si>
    <t>TLOUTPUTFBCBALEVT2Y1CHOICE1T1_3</t>
  </si>
  <si>
    <t>TLOUTPUTFBCBALEVT2Y1CHOICE2T1_3</t>
  </si>
  <si>
    <t>TLOUTPUTFBCBALEVT2Y1CHOICE3T1_3</t>
  </si>
  <si>
    <t>TLOUTPUTFBCBALEVT3Y1CHOICE1T1_3</t>
  </si>
  <si>
    <t>TLOUTPUTFBCBALEVT3Y1CHOICE2T1_3</t>
  </si>
  <si>
    <t>TLOUTPUTFBCBALEVT3Y1CHOICE3T1_3</t>
  </si>
  <si>
    <t>TLOUTPUTFBCBALEVT1Y2CHOICE1T1_3</t>
  </si>
  <si>
    <t>TLOUTPUTFBCBALEVT1Y2CHOICE2T1_3</t>
  </si>
  <si>
    <t>TLOUTPUTFBCBALEVT1Y2CHOICE3T1_3</t>
  </si>
  <si>
    <t>TLOUTPUTFBCBALEVT2Y2CHOICE1T1_3</t>
  </si>
  <si>
    <t>TLOUTPUTFBCBALEVT2Y2CHOICE2T1_3</t>
  </si>
  <si>
    <t>TLOUTPUTFBCBALEVT2Y2CHOICE3T1_3</t>
  </si>
  <si>
    <t>TLOUTPUTFBCBALEVT3Y2CHOICE1T1_3</t>
  </si>
  <si>
    <t>TLOUTPUTFBCBALEVT3Y2CHOICE2T1_3</t>
  </si>
  <si>
    <t>TLOUTPUTFBCBALEVT3Y2CHOICE3T1_3</t>
  </si>
  <si>
    <t>TLOUTPUTFBCBALEVT1Y3CHOICE1T1_3</t>
  </si>
  <si>
    <t>TLOUTPUTFBCBALEVT1Y3CHOICE2T1_3</t>
  </si>
  <si>
    <t>TLOUTPUTFBCBALEVT1Y3CHOICE3T1_3</t>
  </si>
  <si>
    <t>TLOUTPUTFBCBALEVT2Y3CHOICE1T1_3</t>
  </si>
  <si>
    <t>TLOUTPUTFBCBALEVT2Y3CHOICE2T1_3</t>
  </si>
  <si>
    <t>TLOUTPUTFBCBALEVT2Y3CHOICE3T1_3</t>
  </si>
  <si>
    <t>TLOUTPUTFBCBALEVT3Y3CHOICE1T1_3</t>
  </si>
  <si>
    <t>TLOUTPUTFBCBALEVT3Y3CHOICE2T1_3</t>
  </si>
  <si>
    <t>TLOUTPUTFBCBALEVT3Y3CHOICE3T1_3</t>
  </si>
  <si>
    <t>GROUP</t>
  </si>
  <si>
    <t>QUESTIONS</t>
  </si>
  <si>
    <t>COMMENTS</t>
  </si>
  <si>
    <t>MEDIA_WAITING_LIST</t>
  </si>
  <si>
    <t>FACILITATOR</t>
  </si>
  <si>
    <t>NOTES</t>
  </si>
  <si>
    <t>Fake xxYear - Link to xxYead</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</si>
</sst>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5" formatCode="&quot;$&quot;#,##0_);\(&quot;$&quot;#,##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 #,##0_);\ \(#,##0\);_(* &quot;-&quot;??_);_(@_)"/>
    <numFmt numFmtId="165" formatCode="#,##0,_);\ \(#,##0,\);_(* &quot;-&quot;_);_(@_)"/>
    <numFmt numFmtId="166" formatCode="#,##0,,_);\ \(#,##0,,\);_(* &quot;-&quot;_);_(@_)"/>
    <numFmt numFmtId="167" formatCode="_(* #,##0_);_(* \(#,##0\);_(* &quot;-&quot;??_);_(@_)"/>
    <numFmt numFmtId="168" formatCode="0.0%"/>
    <numFmt numFmtId="169" formatCode="&quot;$&quot;#,##0"/>
    <numFmt numFmtId="170" formatCode="_(* #,##0.0_);_(* \(#,##0.0\);_(* &quot;-&quot;??_);_(@_)"/>
    <numFmt numFmtId="171" formatCode="_(* #,##0.0_);_(* \(#,##0.0\);_(* &quot;-&quot;_);_(@_)"/>
    <numFmt numFmtId="172" formatCode="_(* #,##0.00_);_(* \(#,##0.00\);_(* &quot;-&quot;_);_(@_)"/>
    <numFmt numFmtId="173" formatCode="_(* #,##0.000_);_(* \(#,##0.000\);_(* &quot;-&quot;_);_(@_)"/>
    <numFmt numFmtId="174" formatCode="0.0\ %"/>
    <numFmt numFmtId="175" formatCode="_([$€-2]* #,##0.00_);_([$€-2]* \(#,##0.00\);_([$€-2]* &quot;-&quot;??_)"/>
    <numFmt numFmtId="176" formatCode="[$-409]d\-mmm;@"/>
    <numFmt numFmtId="177" formatCode="mmm\ dd\ &quot;Year&quot;\ yy"/>
    <numFmt numFmtId="178" formatCode="#,###.##,,_);\ \(#,##0,,\);_(* &quot;-&quot;_);_(@_)"/>
    <numFmt numFmtId="179" formatCode="_(* #,##0.0_);_(* \(#,##0.0\);_(* &quot;-&quot;?_);_(@_)"/>
    <numFmt numFmtId="180" formatCode="_(&quot;$&quot;\ #,##0,_);_(&quot;$&quot;\ \ \(#,##0,\);_(&quot;$&quot;\ &quot;-&quot;_);_(@_)"/>
    <numFmt numFmtId="181" formatCode="[$-F400]h:mm:ss\ AM/PM"/>
    <numFmt numFmtId="182" formatCode="&quot;$&quot;\ \ #,##0;&quot;$&quot;\ \ \(#,##0\);_(&quot;$&quot;* &quot;-&quot;_);_(@_)"/>
    <numFmt numFmtId="183" formatCode="_(* #,##0.000_);_(* \(#,##0.000\);_(* &quot;-&quot;???_);_(@_)"/>
    <numFmt numFmtId="184" formatCode="_(&quot;$&quot;* #,##0,,_);_(&quot;$&quot;* \(#,##0,,\);_(&quot;$&quot;* &quot;-&quot;_);_(@_)"/>
    <numFmt numFmtId="185" formatCode="_(&quot;$&quot;* #,##0.000_);_(&quot;$&quot;* \(#,##0.000\);_(&quot;$&quot;* &quot;-&quot;_);_(@_)"/>
    <numFmt numFmtId="186" formatCode="&quot;$&quot;#,##0,_);\(&quot;$&quot;#,##0,\)"/>
    <numFmt numFmtId="187" formatCode="_(* #,##0.0000_);_(* \(#,##0.0000\);_(* &quot;-&quot;??_);_(@_)"/>
    <numFmt numFmtId="188" formatCode="0.0"/>
    <numFmt numFmtId="189" formatCode="0.000%"/>
    <numFmt numFmtId="190" formatCode="_(&quot;$&quot;\ #,##0_);_(&quot;$&quot;\ \(#,##0\);_(&quot;$&quot;* &quot;-&quot;??_);_(@_)"/>
    <numFmt numFmtId="191" formatCode="_(\ #,##0_);_(\ \(#,##0\);_(* &quot;-&quot;_);_(@_)"/>
    <numFmt numFmtId="192" formatCode="0.0000000000000000%"/>
    <numFmt numFmtId="193" formatCode="#,##0.0_);\(#,##0.0\)"/>
  </numFmts>
  <fonts count="105">
    <font>
      <sz val="8"/>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8"/>
      <name val="Arial"/>
      <family val="2"/>
    </font>
    <font>
      <sz val="8"/>
      <name val="Arial"/>
      <family val="2"/>
    </font>
    <font>
      <b/>
      <sz val="10"/>
      <name val="Arial"/>
      <family val="2"/>
    </font>
    <font>
      <sz val="10"/>
      <name val="Arial"/>
      <family val="2"/>
    </font>
    <font>
      <b/>
      <sz val="12"/>
      <color indexed="9"/>
      <name val="Arial"/>
      <family val="2"/>
    </font>
    <font>
      <sz val="8"/>
      <color indexed="9"/>
      <name val="Arial"/>
      <family val="2"/>
    </font>
    <font>
      <b/>
      <i/>
      <sz val="8"/>
      <name val="Arial"/>
      <family val="2"/>
    </font>
    <font>
      <i/>
      <sz val="8"/>
      <name val="Arial"/>
      <family val="2"/>
    </font>
    <font>
      <b/>
      <sz val="8"/>
      <color indexed="9"/>
      <name val="Arial"/>
      <family val="2"/>
    </font>
    <font>
      <b/>
      <sz val="10"/>
      <color indexed="9"/>
      <name val="Arial"/>
      <family val="2"/>
    </font>
    <font>
      <sz val="8"/>
      <color indexed="81"/>
      <name val="Tahoma"/>
      <family val="2"/>
    </font>
    <font>
      <b/>
      <sz val="8"/>
      <color indexed="81"/>
      <name val="Tahoma"/>
      <family val="2"/>
    </font>
    <font>
      <b/>
      <sz val="12"/>
      <name val="Arial"/>
      <family val="2"/>
    </font>
    <font>
      <b/>
      <i/>
      <sz val="14"/>
      <color indexed="9"/>
      <name val="Arial Black"/>
      <family val="2"/>
    </font>
    <font>
      <b/>
      <i/>
      <sz val="22"/>
      <name val="Bookman Old Style"/>
      <family val="1"/>
    </font>
    <font>
      <sz val="12"/>
      <color indexed="9"/>
      <name val="Arial"/>
      <family val="2"/>
    </font>
    <font>
      <sz val="11"/>
      <name val="Arial"/>
      <family val="2"/>
    </font>
    <font>
      <b/>
      <i/>
      <sz val="8"/>
      <color indexed="9"/>
      <name val="Arial"/>
      <family val="2"/>
    </font>
    <font>
      <sz val="8"/>
      <color indexed="10"/>
      <name val="Arial"/>
      <family val="2"/>
    </font>
    <font>
      <sz val="8"/>
      <color indexed="46"/>
      <name val="Arial"/>
      <family val="2"/>
    </font>
    <font>
      <b/>
      <i/>
      <sz val="10"/>
      <color indexed="17"/>
      <name val="Arial"/>
      <family val="2"/>
    </font>
    <font>
      <b/>
      <i/>
      <sz val="12"/>
      <color indexed="22"/>
      <name val="Arial Black"/>
      <family val="2"/>
    </font>
    <font>
      <sz val="8"/>
      <color indexed="22"/>
      <name val="Arial"/>
      <family val="2"/>
    </font>
    <font>
      <b/>
      <sz val="8"/>
      <name val="Courier New"/>
      <family val="3"/>
    </font>
    <font>
      <b/>
      <sz val="12"/>
      <name val="Courier New"/>
      <family val="3"/>
    </font>
    <font>
      <b/>
      <sz val="9"/>
      <name val="Century Schoolbook"/>
      <family val="1"/>
    </font>
    <font>
      <b/>
      <sz val="16"/>
      <name val="DomCasual BT"/>
      <family val="4"/>
    </font>
    <font>
      <b/>
      <i/>
      <sz val="12"/>
      <color indexed="9"/>
      <name val="Arial Black"/>
      <family val="2"/>
    </font>
    <font>
      <sz val="8"/>
      <color indexed="10"/>
      <name val="Arial"/>
      <family val="2"/>
    </font>
    <font>
      <sz val="10"/>
      <name val="Arial"/>
      <family val="2"/>
    </font>
    <font>
      <b/>
      <sz val="10"/>
      <name val="Helv"/>
    </font>
    <font>
      <sz val="8"/>
      <color indexed="13"/>
      <name val="Arial"/>
      <family val="2"/>
    </font>
    <font>
      <b/>
      <sz val="14"/>
      <color indexed="9"/>
      <name val="Arial"/>
      <family val="2"/>
    </font>
    <font>
      <b/>
      <sz val="9"/>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49"/>
      <name val="Calibri"/>
      <family val="2"/>
    </font>
    <font>
      <b/>
      <sz val="13"/>
      <color indexed="49"/>
      <name val="Calibri"/>
      <family val="2"/>
    </font>
    <font>
      <b/>
      <sz val="11"/>
      <color indexed="49"/>
      <name val="Calibri"/>
      <family val="2"/>
    </font>
    <font>
      <sz val="11"/>
      <color indexed="54"/>
      <name val="Calibri"/>
      <family val="2"/>
    </font>
    <font>
      <sz val="11"/>
      <color indexed="52"/>
      <name val="Calibri"/>
      <family val="2"/>
    </font>
    <font>
      <sz val="11"/>
      <color indexed="19"/>
      <name val="Calibri"/>
      <family val="2"/>
    </font>
    <font>
      <b/>
      <sz val="11"/>
      <color indexed="63"/>
      <name val="Calibri"/>
      <family val="2"/>
    </font>
    <font>
      <b/>
      <sz val="18"/>
      <color indexed="49"/>
      <name val="Cambria"/>
      <family val="2"/>
    </font>
    <font>
      <b/>
      <sz val="11"/>
      <color indexed="8"/>
      <name val="Calibri"/>
      <family val="2"/>
    </font>
    <font>
      <sz val="11"/>
      <color indexed="10"/>
      <name val="Calibri"/>
      <family val="2"/>
    </font>
    <font>
      <sz val="8"/>
      <color indexed="18"/>
      <name val="Verdana"/>
      <family val="2"/>
    </font>
    <font>
      <sz val="9"/>
      <name val="Arial"/>
      <family val="2"/>
    </font>
    <font>
      <b/>
      <sz val="8"/>
      <color indexed="18"/>
      <name val="Verdana"/>
      <family val="2"/>
    </font>
    <font>
      <sz val="8"/>
      <color indexed="9"/>
      <name val="Verdana"/>
      <family val="2"/>
    </font>
    <font>
      <sz val="8"/>
      <color rgb="FF000000"/>
      <name val="Arial"/>
      <family val="2"/>
    </font>
    <font>
      <sz val="10"/>
      <name val="Helv"/>
    </font>
    <font>
      <sz val="9"/>
      <name val="Arial Rounded MT Bold"/>
      <family val="2"/>
    </font>
    <font>
      <sz val="10"/>
      <name val="Arial Black"/>
      <family val="2"/>
    </font>
    <font>
      <b/>
      <sz val="11"/>
      <color theme="0"/>
      <name val="Arial"/>
      <family val="2"/>
    </font>
    <font>
      <b/>
      <sz val="11"/>
      <name val="Arial"/>
      <family val="2"/>
    </font>
    <font>
      <b/>
      <sz val="11"/>
      <color theme="1"/>
      <name val="Arial"/>
      <family val="2"/>
    </font>
    <font>
      <sz val="11"/>
      <color theme="1"/>
      <name val="Arial"/>
      <family val="2"/>
    </font>
    <font>
      <sz val="8"/>
      <color rgb="FFFF0000"/>
      <name val="Arial"/>
      <family val="2"/>
    </font>
    <font>
      <sz val="8"/>
      <color theme="1"/>
      <name val="Arial"/>
      <family val="2"/>
    </font>
    <font>
      <sz val="9"/>
      <color indexed="81"/>
      <name val="Tahoma"/>
      <family val="2"/>
    </font>
    <font>
      <sz val="8"/>
      <color theme="0"/>
      <name val="Arial"/>
      <family val="2"/>
    </font>
    <font>
      <b/>
      <sz val="9"/>
      <color indexed="81"/>
      <name val="Tahoma"/>
      <family val="2"/>
    </font>
    <font>
      <b/>
      <sz val="11"/>
      <color indexed="9"/>
      <name val="Arial"/>
      <family val="2"/>
    </font>
    <font>
      <b/>
      <i/>
      <sz val="11"/>
      <color indexed="9"/>
      <name val="Arial"/>
      <family val="2"/>
    </font>
    <font>
      <b/>
      <sz val="8"/>
      <color theme="1"/>
      <name val="Arial"/>
      <family val="2"/>
    </font>
    <font>
      <i/>
      <sz val="8"/>
      <color theme="1"/>
      <name val="Arial"/>
      <family val="2"/>
    </font>
    <font>
      <b/>
      <sz val="8"/>
      <color theme="0"/>
      <name val="Arial"/>
      <family val="2"/>
    </font>
    <font>
      <sz val="11"/>
      <color rgb="FF000000"/>
      <name val="Calibri"/>
      <family val="2"/>
    </font>
    <font>
      <b/>
      <i/>
      <sz val="22"/>
      <color theme="0"/>
      <name val="Bookman Old Style"/>
      <family val="1"/>
    </font>
    <font>
      <b/>
      <sz val="22"/>
      <color theme="0"/>
      <name val="Arial"/>
      <family val="2"/>
    </font>
    <font>
      <b/>
      <sz val="24"/>
      <color theme="0"/>
      <name val="Book Antiqua"/>
      <family val="1"/>
    </font>
    <font>
      <sz val="11"/>
      <color rgb="FF006100"/>
      <name val="Calibri"/>
      <family val="2"/>
      <scheme val="minor"/>
    </font>
    <font>
      <sz val="11"/>
      <color rgb="FF9C000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sz val="11"/>
      <color theme="0"/>
      <name val="Calibri"/>
      <family val="2"/>
      <scheme val="minor"/>
    </font>
    <font>
      <b/>
      <sz val="10"/>
      <color theme="0"/>
      <name val="Arial"/>
      <family val="2"/>
    </font>
    <font>
      <b/>
      <u/>
      <sz val="8"/>
      <name val="Arial"/>
      <family val="2"/>
    </font>
    <font>
      <b/>
      <sz val="9"/>
      <color theme="0"/>
      <name val="Arial"/>
      <family val="2"/>
    </font>
    <font>
      <sz val="8"/>
      <name val="Open Sans Light"/>
      <family val="2"/>
    </font>
    <font>
      <b/>
      <sz val="12"/>
      <color theme="1" tint="0.249977111117893"/>
      <name val="Open Sans Light"/>
      <family val="2"/>
    </font>
    <font>
      <sz val="12"/>
      <color theme="1" tint="0.249977111117893"/>
      <name val="Open Sans Light"/>
      <family val="2"/>
    </font>
    <font>
      <b/>
      <sz val="14"/>
      <color theme="1" tint="0.249977111117893"/>
      <name val="Open Sans Light"/>
      <family val="2"/>
    </font>
    <font>
      <sz val="14"/>
      <color theme="1" tint="0.249977111117893"/>
      <name val="Open Sans Semibold"/>
      <family val="2"/>
    </font>
    <font>
      <b/>
      <sz val="10"/>
      <color theme="1" tint="0.249977111117893"/>
      <name val="Open Sans Light"/>
      <family val="2"/>
    </font>
    <font>
      <sz val="8"/>
      <name val="Wingdings"/>
      <charset val="2"/>
    </font>
    <font>
      <sz val="8"/>
      <name val="Calibri"/>
      <family val="2"/>
    </font>
    <font>
      <sz val="8"/>
      <color rgb="FFFFFF00"/>
      <name val="Arial"/>
      <family val="2"/>
    </font>
  </fonts>
  <fills count="98">
    <fill>
      <patternFill patternType="none"/>
    </fill>
    <fill>
      <patternFill patternType="gray125"/>
    </fill>
    <fill>
      <patternFill patternType="solid">
        <fgColor indexed="9"/>
      </patternFill>
    </fill>
    <fill>
      <patternFill patternType="solid">
        <fgColor indexed="22"/>
      </patternFill>
    </fill>
    <fill>
      <patternFill patternType="solid">
        <fgColor indexed="27"/>
      </patternFill>
    </fill>
    <fill>
      <patternFill patternType="solid">
        <fgColor indexed="47"/>
      </patternFill>
    </fill>
    <fill>
      <patternFill patternType="solid">
        <fgColor indexed="55"/>
      </patternFill>
    </fill>
    <fill>
      <patternFill patternType="solid">
        <fgColor indexed="43"/>
      </patternFill>
    </fill>
    <fill>
      <patternFill patternType="solid">
        <fgColor indexed="44"/>
      </patternFill>
    </fill>
    <fill>
      <patternFill patternType="solid">
        <fgColor indexed="49"/>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43"/>
        <bgColor indexed="64"/>
      </patternFill>
    </fill>
    <fill>
      <patternFill patternType="solid">
        <fgColor indexed="42"/>
      </patternFill>
    </fill>
    <fill>
      <patternFill patternType="solid">
        <fgColor indexed="60"/>
        <bgColor indexed="64"/>
      </patternFill>
    </fill>
    <fill>
      <patternFill patternType="solid">
        <fgColor indexed="26"/>
      </patternFill>
    </fill>
    <fill>
      <patternFill patternType="solid">
        <fgColor indexed="12"/>
        <bgColor indexed="64"/>
      </patternFill>
    </fill>
    <fill>
      <patternFill patternType="solid">
        <fgColor indexed="54"/>
        <bgColor indexed="64"/>
      </patternFill>
    </fill>
    <fill>
      <patternFill patternType="solid">
        <fgColor indexed="11"/>
        <bgColor indexed="64"/>
      </patternFill>
    </fill>
    <fill>
      <patternFill patternType="solid">
        <fgColor indexed="16"/>
        <bgColor indexed="64"/>
      </patternFill>
    </fill>
    <fill>
      <patternFill patternType="solid">
        <fgColor indexed="48"/>
        <bgColor indexed="64"/>
      </patternFill>
    </fill>
    <fill>
      <patternFill patternType="solid">
        <fgColor indexed="8"/>
        <bgColor indexed="64"/>
      </patternFill>
    </fill>
    <fill>
      <patternFill patternType="solid">
        <fgColor indexed="10"/>
        <bgColor indexed="64"/>
      </patternFill>
    </fill>
    <fill>
      <patternFill patternType="solid">
        <fgColor indexed="40"/>
        <bgColor indexed="64"/>
      </patternFill>
    </fill>
    <fill>
      <patternFill patternType="solid">
        <fgColor indexed="9"/>
        <bgColor indexed="64"/>
      </patternFill>
    </fill>
    <fill>
      <patternFill patternType="solid">
        <fgColor indexed="18"/>
        <bgColor indexed="64"/>
      </patternFill>
    </fill>
    <fill>
      <patternFill patternType="solid">
        <fgColor indexed="56"/>
        <bgColor indexed="64"/>
      </patternFill>
    </fill>
    <fill>
      <patternFill patternType="solid">
        <fgColor indexed="41"/>
        <bgColor indexed="64"/>
      </patternFill>
    </fill>
    <fill>
      <patternFill patternType="solid">
        <fgColor indexed="55"/>
        <bgColor indexed="64"/>
      </patternFill>
    </fill>
    <fill>
      <patternFill patternType="solid">
        <fgColor indexed="13"/>
        <bgColor indexed="64"/>
      </patternFill>
    </fill>
    <fill>
      <patternFill patternType="solid">
        <fgColor indexed="47"/>
        <bgColor indexed="64"/>
      </patternFill>
    </fill>
    <fill>
      <patternFill patternType="solid">
        <fgColor indexed="22"/>
        <bgColor indexed="64"/>
      </patternFill>
    </fill>
    <fill>
      <patternFill patternType="solid">
        <fgColor indexed="62"/>
        <bgColor indexed="64"/>
      </patternFill>
    </fill>
    <fill>
      <patternFill patternType="solid">
        <fgColor indexed="17"/>
        <bgColor indexed="64"/>
      </patternFill>
    </fill>
    <fill>
      <patternFill patternType="solid">
        <fgColor indexed="23"/>
        <bgColor indexed="64"/>
      </patternFill>
    </fill>
    <fill>
      <patternFill patternType="solid">
        <fgColor indexed="31"/>
        <bgColor indexed="64"/>
      </patternFill>
    </fill>
    <fill>
      <patternFill patternType="solid">
        <fgColor indexed="21"/>
        <bgColor indexed="64"/>
      </patternFill>
    </fill>
    <fill>
      <patternFill patternType="solid">
        <fgColor indexed="42"/>
        <bgColor indexed="64"/>
      </patternFill>
    </fill>
    <fill>
      <patternFill patternType="solid">
        <fgColor indexed="14"/>
        <bgColor indexed="64"/>
      </patternFill>
    </fill>
    <fill>
      <patternFill patternType="solid">
        <fgColor indexed="46"/>
        <bgColor indexed="64"/>
      </patternFill>
    </fill>
    <fill>
      <patternFill patternType="lightGray">
        <fgColor indexed="13"/>
        <bgColor indexed="43"/>
      </patternFill>
    </fill>
    <fill>
      <patternFill patternType="solid">
        <fgColor indexed="57"/>
        <bgColor indexed="64"/>
      </patternFill>
    </fill>
    <fill>
      <patternFill patternType="solid">
        <fgColor indexed="26"/>
        <bgColor indexed="64"/>
      </patternFill>
    </fill>
    <fill>
      <patternFill patternType="solid">
        <fgColor indexed="33"/>
        <bgColor indexed="64"/>
      </patternFill>
    </fill>
    <fill>
      <patternFill patternType="solid">
        <fgColor indexed="44"/>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66FF33"/>
        <bgColor indexed="64"/>
      </patternFill>
    </fill>
    <fill>
      <patternFill patternType="solid">
        <fgColor rgb="FF92D050"/>
        <bgColor indexed="64"/>
      </patternFill>
    </fill>
    <fill>
      <patternFill patternType="solid">
        <fgColor rgb="FFFF0000"/>
        <bgColor indexed="64"/>
      </patternFill>
    </fill>
    <fill>
      <patternFill patternType="solid">
        <fgColor theme="3" tint="0.79998168889431442"/>
        <bgColor indexed="64"/>
      </patternFill>
    </fill>
    <fill>
      <patternFill patternType="solid">
        <fgColor theme="3"/>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C000"/>
        <bgColor indexed="64"/>
      </patternFill>
    </fill>
    <fill>
      <patternFill patternType="solid">
        <fgColor theme="0" tint="-0.499984740745262"/>
        <bgColor indexed="64"/>
      </patternFill>
    </fill>
    <fill>
      <patternFill patternType="solid">
        <fgColor rgb="FFE06A22"/>
        <bgColor indexed="64"/>
      </patternFill>
    </fill>
    <fill>
      <patternFill patternType="solid">
        <fgColor rgb="FFC6EFCE"/>
      </patternFill>
    </fill>
    <fill>
      <patternFill patternType="solid">
        <fgColor rgb="FFFFC7CE"/>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BFD99"/>
        <bgColor indexed="64"/>
      </patternFill>
    </fill>
    <fill>
      <patternFill patternType="solid">
        <fgColor theme="0" tint="-0.249977111117893"/>
        <bgColor indexed="64"/>
      </patternFill>
    </fill>
    <fill>
      <patternFill patternType="solid">
        <fgColor rgb="FF002060"/>
        <bgColor indexed="64"/>
      </patternFill>
    </fill>
    <fill>
      <patternFill patternType="solid">
        <fgColor theme="0"/>
        <bgColor indexed="64"/>
      </patternFill>
    </fill>
    <fill>
      <patternFill patternType="solid">
        <fgColor rgb="FF28446E"/>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rgb="FF00B050"/>
        <bgColor indexed="64"/>
      </patternFill>
    </fill>
    <fill>
      <patternFill patternType="solid">
        <fgColor theme="1"/>
        <bgColor indexed="64"/>
      </patternFill>
    </fill>
  </fills>
  <borders count="10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medium">
        <color indexed="64"/>
      </left>
      <right style="medium">
        <color indexed="64"/>
      </right>
      <top style="medium">
        <color indexed="64"/>
      </top>
      <bottom/>
      <diagonal/>
    </border>
    <border>
      <left style="thin">
        <color indexed="8"/>
      </left>
      <right style="thin">
        <color indexed="8"/>
      </right>
      <top style="thin">
        <color indexed="8"/>
      </top>
      <bottom style="thin">
        <color indexed="8"/>
      </bottom>
      <diagonal/>
    </border>
    <border>
      <left/>
      <right/>
      <top/>
      <bottom style="thick">
        <color indexed="49"/>
      </bottom>
      <diagonal/>
    </border>
    <border>
      <left/>
      <right/>
      <top/>
      <bottom style="thick">
        <color indexed="55"/>
      </bottom>
      <diagonal/>
    </border>
    <border>
      <left/>
      <right/>
      <top/>
      <bottom style="medium">
        <color indexed="49"/>
      </bottom>
      <diagonal/>
    </border>
    <border>
      <left/>
      <right/>
      <top/>
      <bottom style="double">
        <color indexed="52"/>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diagonal/>
    </border>
    <border>
      <left/>
      <right/>
      <top style="thin">
        <color indexed="49"/>
      </top>
      <bottom style="double">
        <color indexed="49"/>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style="thin">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style="thick">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22"/>
      </left>
      <right style="medium">
        <color indexed="64"/>
      </right>
      <top style="medium">
        <color indexed="22"/>
      </top>
      <bottom style="medium">
        <color indexed="64"/>
      </bottom>
      <diagonal/>
    </border>
    <border>
      <left style="double">
        <color indexed="64"/>
      </left>
      <right style="double">
        <color indexed="64"/>
      </right>
      <top style="double">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55"/>
      </left>
      <right/>
      <top style="medium">
        <color indexed="55"/>
      </top>
      <bottom style="medium">
        <color indexed="9"/>
      </bottom>
      <diagonal/>
    </border>
    <border>
      <left style="medium">
        <color indexed="8"/>
      </left>
      <right style="medium">
        <color indexed="8"/>
      </right>
      <top style="medium">
        <color indexed="8"/>
      </top>
      <bottom style="medium">
        <color indexed="8"/>
      </bottom>
      <diagonal/>
    </border>
    <border>
      <left/>
      <right/>
      <top style="double">
        <color indexed="64"/>
      </top>
      <bottom/>
      <diagonal/>
    </border>
    <border>
      <left/>
      <right style="medium">
        <color indexed="9"/>
      </right>
      <top style="medium">
        <color indexed="55"/>
      </top>
      <bottom style="medium">
        <color indexed="9"/>
      </bottom>
      <diagonal/>
    </border>
    <border>
      <left style="medium">
        <color indexed="63"/>
      </left>
      <right style="medium">
        <color indexed="9"/>
      </right>
      <top style="medium">
        <color indexed="63"/>
      </top>
      <bottom style="medium">
        <color indexed="9"/>
      </bottom>
      <diagonal/>
    </border>
    <border>
      <left style="medium">
        <color indexed="64"/>
      </left>
      <right style="medium">
        <color indexed="55"/>
      </right>
      <top style="medium">
        <color indexed="64"/>
      </top>
      <bottom style="medium">
        <color indexed="55"/>
      </bottom>
      <diagonal/>
    </border>
    <border>
      <left style="thin">
        <color auto="1"/>
      </left>
      <right style="medium">
        <color auto="1"/>
      </right>
      <top style="thin">
        <color auto="1"/>
      </top>
      <bottom style="medium">
        <color auto="1"/>
      </bottom>
      <diagonal/>
    </border>
    <border>
      <left style="thin">
        <color indexed="8"/>
      </left>
      <right style="medium">
        <color indexed="8"/>
      </right>
      <top style="thin">
        <color indexed="8"/>
      </top>
      <bottom style="medium">
        <color indexed="8"/>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hair">
        <color auto="1"/>
      </left>
      <right/>
      <top/>
      <bottom/>
      <diagonal/>
    </border>
    <border>
      <left/>
      <right/>
      <top style="thin">
        <color rgb="FF16365C"/>
      </top>
      <bottom/>
      <diagonal/>
    </border>
    <border>
      <left style="medium">
        <color indexed="8"/>
      </left>
      <right/>
      <top style="medium">
        <color indexed="8"/>
      </top>
      <bottom/>
      <diagonal/>
    </border>
    <border>
      <left/>
      <right/>
      <top style="medium">
        <color indexed="8"/>
      </top>
      <bottom/>
      <diagonal/>
    </border>
    <border>
      <left style="medium">
        <color indexed="8"/>
      </left>
      <right/>
      <top/>
      <bottom/>
      <diagonal/>
    </border>
    <border>
      <left/>
      <right style="medium">
        <color indexed="8"/>
      </right>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23"/>
      </left>
      <right style="thin">
        <color indexed="23"/>
      </right>
      <top style="thin">
        <color indexed="23"/>
      </top>
      <bottom style="thin">
        <color indexed="23"/>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8"/>
      </left>
      <right/>
      <top/>
      <bottom style="mediumDashed">
        <color indexed="8"/>
      </bottom>
      <diagonal/>
    </border>
    <border>
      <left/>
      <right/>
      <top/>
      <bottom style="mediumDashed">
        <color indexed="8"/>
      </bottom>
      <diagonal/>
    </border>
    <border>
      <left/>
      <right style="medium">
        <color indexed="8"/>
      </right>
      <top/>
      <bottom style="mediumDashed">
        <color indexed="8"/>
      </bottom>
      <diagonal/>
    </border>
    <border>
      <left/>
      <right style="hair">
        <color auto="1"/>
      </right>
      <top/>
      <bottom/>
      <diagonal/>
    </border>
    <border>
      <left/>
      <right/>
      <top style="hair">
        <color auto="1"/>
      </top>
      <bottom/>
      <diagonal/>
    </border>
  </borders>
  <cellStyleXfs count="6457">
    <xf numFmtId="0" fontId="0" fillId="0" borderId="0"/>
    <xf numFmtId="0" fontId="42" fillId="2"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2" borderId="0" applyNumberFormat="0" applyBorder="0" applyAlignment="0" applyProtection="0"/>
    <xf numFmtId="0" fontId="42" fillId="4" borderId="0" applyNumberFormat="0" applyBorder="0" applyAlignment="0" applyProtection="0"/>
    <xf numFmtId="0" fontId="42" fillId="5" borderId="0" applyNumberFormat="0" applyBorder="0" applyAlignment="0" applyProtection="0"/>
    <xf numFmtId="0" fontId="42" fillId="6" borderId="0" applyNumberFormat="0" applyBorder="0" applyAlignment="0" applyProtection="0"/>
    <xf numFmtId="0" fontId="42" fillId="3" borderId="0" applyNumberFormat="0" applyBorder="0" applyAlignment="0" applyProtection="0"/>
    <xf numFmtId="0" fontId="42" fillId="7" borderId="0" applyNumberFormat="0" applyBorder="0" applyAlignment="0" applyProtection="0"/>
    <xf numFmtId="0" fontId="42" fillId="6" borderId="0" applyNumberFormat="0" applyBorder="0" applyAlignment="0" applyProtection="0"/>
    <xf numFmtId="0" fontId="42" fillId="8" borderId="0" applyNumberFormat="0" applyBorder="0" applyAlignment="0" applyProtection="0"/>
    <xf numFmtId="0" fontId="42" fillId="5" borderId="0" applyNumberFormat="0" applyBorder="0" applyAlignment="0" applyProtection="0"/>
    <xf numFmtId="0" fontId="43" fillId="9" borderId="0" applyNumberFormat="0" applyBorder="0" applyAlignment="0" applyProtection="0"/>
    <xf numFmtId="0" fontId="43" fillId="3" borderId="0" applyNumberFormat="0" applyBorder="0" applyAlignment="0" applyProtection="0"/>
    <xf numFmtId="0" fontId="43" fillId="7" borderId="0" applyNumberFormat="0" applyBorder="0" applyAlignment="0" applyProtection="0"/>
    <xf numFmtId="0" fontId="43" fillId="6" borderId="0" applyNumberFormat="0" applyBorder="0" applyAlignment="0" applyProtection="0"/>
    <xf numFmtId="0" fontId="43" fillId="9" borderId="0" applyNumberFormat="0" applyBorder="0" applyAlignment="0" applyProtection="0"/>
    <xf numFmtId="0" fontId="43" fillId="5" borderId="0" applyNumberFormat="0" applyBorder="0" applyAlignment="0" applyProtection="0"/>
    <xf numFmtId="0" fontId="43" fillId="9" borderId="0" applyNumberFormat="0" applyBorder="0" applyAlignment="0" applyProtection="0"/>
    <xf numFmtId="0" fontId="43" fillId="10" borderId="0" applyNumberFormat="0" applyBorder="0" applyAlignment="0" applyProtection="0"/>
    <xf numFmtId="0" fontId="43" fillId="11" borderId="0" applyNumberFormat="0" applyBorder="0" applyAlignment="0" applyProtection="0"/>
    <xf numFmtId="0" fontId="43" fillId="12" borderId="0" applyNumberFormat="0" applyBorder="0" applyAlignment="0" applyProtection="0"/>
    <xf numFmtId="0" fontId="43" fillId="9" borderId="0" applyNumberFormat="0" applyBorder="0" applyAlignment="0" applyProtection="0"/>
    <xf numFmtId="0" fontId="43" fillId="13" borderId="0" applyNumberFormat="0" applyBorder="0" applyAlignment="0" applyProtection="0"/>
    <xf numFmtId="0" fontId="44" fillId="14" borderId="0" applyNumberFormat="0" applyBorder="0" applyAlignment="0" applyProtection="0"/>
    <xf numFmtId="0" fontId="45" fillId="3" borderId="1" applyNumberFormat="0" applyAlignment="0" applyProtection="0"/>
    <xf numFmtId="0" fontId="46" fillId="6" borderId="2" applyNumberFormat="0" applyAlignment="0" applyProtection="0"/>
    <xf numFmtId="43" fontId="7" fillId="0" borderId="0" applyFont="0" applyFill="0" applyBorder="0" applyAlignment="0" applyProtection="0"/>
    <xf numFmtId="41" fontId="7" fillId="0" borderId="0" applyFont="0" applyFill="0" applyBorder="0" applyAlignment="0" applyProtection="0"/>
    <xf numFmtId="164" fontId="8" fillId="15" borderId="3" applyFont="0" applyFill="0" applyBorder="0" applyAlignment="0" applyProtection="0">
      <alignment horizontal="center"/>
      <protection locked="0"/>
    </xf>
    <xf numFmtId="165" fontId="10" fillId="0" borderId="0" applyFont="0" applyFill="0" applyBorder="0" applyAlignment="0" applyProtection="0"/>
    <xf numFmtId="166" fontId="7" fillId="0" borderId="0" applyFont="0" applyFill="0" applyBorder="0" applyAlignment="0" applyProtection="0"/>
    <xf numFmtId="41" fontId="7" fillId="0" borderId="0" applyFont="0" applyFill="0" applyBorder="0" applyAlignment="0" applyProtection="0"/>
    <xf numFmtId="0" fontId="37" fillId="0" borderId="0" applyFill="0" applyBorder="0" applyAlignment="0" applyProtection="0"/>
    <xf numFmtId="175" fontId="7" fillId="0" borderId="0" applyFont="0" applyFill="0" applyBorder="0" applyAlignment="0" applyProtection="0"/>
    <xf numFmtId="0" fontId="47" fillId="0" borderId="0" applyNumberFormat="0" applyFill="0" applyBorder="0" applyAlignment="0" applyProtection="0"/>
    <xf numFmtId="12" fontId="38" fillId="0" borderId="4" applyFont="0" applyFill="0" applyBorder="0" applyAlignment="0" applyProtection="0"/>
    <xf numFmtId="0" fontId="48" fillId="16" borderId="0" applyNumberFormat="0" applyBorder="0" applyAlignment="0" applyProtection="0"/>
    <xf numFmtId="0" fontId="49" fillId="0" borderId="5" applyNumberFormat="0" applyFill="0" applyAlignment="0" applyProtection="0"/>
    <xf numFmtId="0" fontId="50" fillId="0" borderId="6" applyNumberFormat="0" applyFill="0" applyAlignment="0" applyProtection="0"/>
    <xf numFmtId="0" fontId="51" fillId="0" borderId="7" applyNumberFormat="0" applyFill="0" applyAlignment="0" applyProtection="0"/>
    <xf numFmtId="0" fontId="51" fillId="0" borderId="0" applyNumberFormat="0" applyFill="0" applyBorder="0" applyAlignment="0" applyProtection="0"/>
    <xf numFmtId="0" fontId="52" fillId="5" borderId="1" applyNumberFormat="0" applyAlignment="0" applyProtection="0"/>
    <xf numFmtId="0" fontId="53" fillId="0" borderId="8" applyNumberFormat="0" applyFill="0" applyAlignment="0" applyProtection="0"/>
    <xf numFmtId="0" fontId="54" fillId="7" borderId="0" applyNumberFormat="0" applyBorder="0" applyAlignment="0" applyProtection="0"/>
    <xf numFmtId="0" fontId="37" fillId="17" borderId="0"/>
    <xf numFmtId="0" fontId="37" fillId="0" borderId="0"/>
    <xf numFmtId="0" fontId="37" fillId="18" borderId="9" applyNumberFormat="0" applyFont="0" applyAlignment="0" applyProtection="0"/>
    <xf numFmtId="0" fontId="55" fillId="3" borderId="10" applyNumberFormat="0" applyAlignment="0" applyProtection="0"/>
    <xf numFmtId="9" fontId="7" fillId="0" borderId="0" applyFont="0" applyFill="0" applyBorder="0" applyAlignment="0" applyProtection="0"/>
    <xf numFmtId="10" fontId="7" fillId="0" borderId="11" applyFont="0" applyFill="0" applyBorder="0" applyAlignment="0" applyProtection="0"/>
    <xf numFmtId="0" fontId="56" fillId="0" borderId="0" applyNumberFormat="0" applyFill="0" applyBorder="0" applyAlignment="0" applyProtection="0"/>
    <xf numFmtId="0" fontId="57" fillId="0" borderId="12" applyNumberFormat="0" applyFill="0" applyAlignment="0" applyProtection="0"/>
    <xf numFmtId="0" fontId="58" fillId="0" borderId="0" applyNumberFormat="0" applyFill="0" applyBorder="0" applyAlignment="0" applyProtection="0"/>
    <xf numFmtId="0" fontId="7" fillId="0" borderId="0"/>
    <xf numFmtId="0" fontId="7" fillId="0" borderId="0" applyFont="0" applyFill="0" applyBorder="0" applyAlignment="0" applyProtection="0"/>
    <xf numFmtId="0" fontId="66" fillId="43" borderId="51" applyNumberFormat="0" applyFont="0" applyProtection="0"/>
    <xf numFmtId="0" fontId="66" fillId="43" borderId="54" applyNumberFormat="0" applyFont="0" applyProtection="0"/>
    <xf numFmtId="0" fontId="66" fillId="43" borderId="54" applyFont="0"/>
    <xf numFmtId="0" fontId="41" fillId="34" borderId="51" applyNumberFormat="0" applyFont="0"/>
    <xf numFmtId="0" fontId="41" fillId="34" borderId="54" applyNumberFormat="0" applyFont="0"/>
    <xf numFmtId="0" fontId="7" fillId="48" borderId="0" applyNumberFormat="0" applyFont="0" applyBorder="0" applyAlignment="0"/>
    <xf numFmtId="0" fontId="7" fillId="49" borderId="0" applyNumberFormat="0" applyFont="0" applyBorder="0" applyAlignment="0">
      <protection locked="0"/>
    </xf>
    <xf numFmtId="178" fontId="7" fillId="0" borderId="0" applyFont="0" applyFill="0" applyBorder="0" applyAlignment="0" applyProtection="0"/>
    <xf numFmtId="179" fontId="20" fillId="0" borderId="0" applyFont="0" applyFill="0" applyBorder="0" applyAlignment="0" applyProtection="0"/>
    <xf numFmtId="39" fontId="17" fillId="44" borderId="15" applyFont="0" applyFill="0" applyBorder="0" applyAlignment="0" applyProtection="0">
      <alignment horizontal="centerContinuous" vertical="center"/>
    </xf>
    <xf numFmtId="0" fontId="11" fillId="43" borderId="54" applyFont="0" applyFill="0" applyBorder="0" applyAlignment="0" applyProtection="0">
      <alignment horizontal="center"/>
      <protection locked="0"/>
    </xf>
    <xf numFmtId="0" fontId="11" fillId="15" borderId="0" applyFont="0" applyFill="0" applyBorder="0" applyAlignment="0" applyProtection="0"/>
    <xf numFmtId="0" fontId="11" fillId="43" borderId="54" applyFont="0" applyFill="0" applyBorder="0" applyAlignment="0" applyProtection="0">
      <protection locked="0"/>
    </xf>
    <xf numFmtId="0" fontId="11" fillId="34" borderId="0" applyFont="0" applyFill="0" applyBorder="0" applyAlignment="0" applyProtection="0"/>
    <xf numFmtId="0" fontId="11" fillId="43" borderId="54" applyFont="0" applyFill="0" applyBorder="0" applyAlignment="0" applyProtection="0">
      <protection locked="0"/>
    </xf>
    <xf numFmtId="37" fontId="11" fillId="0" borderId="0" applyFill="0" applyBorder="0" applyAlignment="0" applyProtection="0"/>
    <xf numFmtId="0" fontId="64" fillId="0" borderId="0"/>
    <xf numFmtId="3" fontId="11" fillId="34" borderId="0" applyFont="0" applyFill="0" applyBorder="0" applyAlignment="0" applyProtection="0">
      <alignment horizontal="center"/>
    </xf>
    <xf numFmtId="0" fontId="64" fillId="0" borderId="0"/>
    <xf numFmtId="0" fontId="11" fillId="0" borderId="0"/>
    <xf numFmtId="0" fontId="64" fillId="0" borderId="0"/>
    <xf numFmtId="0" fontId="64" fillId="0" borderId="0"/>
    <xf numFmtId="180" fontId="20" fillId="27" borderId="0" applyFont="0" applyFill="0" applyBorder="0" applyAlignment="0" applyProtection="0"/>
    <xf numFmtId="0" fontId="10" fillId="43" borderId="54" applyFont="0" applyFill="0" applyBorder="0" applyAlignment="0" applyProtection="0">
      <protection locked="0"/>
    </xf>
    <xf numFmtId="0" fontId="11" fillId="43" borderId="54" applyFont="0" applyFill="0" applyBorder="0" applyAlignment="0" applyProtection="0">
      <protection locked="0"/>
    </xf>
    <xf numFmtId="0" fontId="11" fillId="43" borderId="54" applyFont="0" applyFill="0" applyBorder="0" applyAlignment="0" applyProtection="0">
      <protection locked="0"/>
    </xf>
    <xf numFmtId="5" fontId="11" fillId="0" borderId="0" applyFill="0" applyBorder="0" applyAlignment="0" applyProtection="0"/>
    <xf numFmtId="0" fontId="11" fillId="0" borderId="0" applyFill="0" applyBorder="0" applyAlignment="0" applyProtection="0"/>
    <xf numFmtId="177" fontId="7" fillId="0" borderId="0" applyFont="0" applyFill="0" applyBorder="0" applyAlignment="0" applyProtection="0"/>
    <xf numFmtId="3" fontId="65" fillId="45" borderId="55">
      <alignment horizontal="center" vertical="center"/>
      <protection locked="0"/>
    </xf>
    <xf numFmtId="0" fontId="7" fillId="38" borderId="0" applyFont="0" applyBorder="0" applyAlignment="0" applyProtection="0"/>
    <xf numFmtId="0" fontId="7" fillId="46" borderId="0" applyFont="0" applyBorder="0" applyAlignment="0" applyProtection="0"/>
    <xf numFmtId="2" fontId="11" fillId="0" borderId="0" applyFill="0" applyBorder="0" applyAlignment="0" applyProtection="0"/>
    <xf numFmtId="0" fontId="64" fillId="0" borderId="0"/>
    <xf numFmtId="0" fontId="64" fillId="0" borderId="0"/>
    <xf numFmtId="0" fontId="64" fillId="0" borderId="0"/>
    <xf numFmtId="168" fontId="64" fillId="0" borderId="0" applyFont="0" applyFill="0" applyBorder="0" applyAlignment="0" applyProtection="0">
      <protection locked="0"/>
    </xf>
    <xf numFmtId="10" fontId="64" fillId="0" borderId="0" applyFont="0" applyFill="0" applyBorder="0" applyAlignment="0" applyProtection="0">
      <protection locked="0"/>
    </xf>
    <xf numFmtId="168" fontId="7" fillId="0" borderId="0" applyFont="0" applyFill="0" applyBorder="0" applyAlignment="0" applyProtection="0"/>
    <xf numFmtId="0" fontId="11" fillId="43" borderId="54" applyFont="0" applyFill="0" applyBorder="0" applyAlignment="0" applyProtection="0">
      <protection locked="0"/>
    </xf>
    <xf numFmtId="0" fontId="11" fillId="43" borderId="54" applyFont="0" applyFill="0" applyBorder="0" applyAlignment="0" applyProtection="0">
      <protection locked="0"/>
    </xf>
    <xf numFmtId="0" fontId="11" fillId="0" borderId="52" applyNumberFormat="0" applyFill="0" applyAlignment="0" applyProtection="0"/>
    <xf numFmtId="0" fontId="7" fillId="0" borderId="0"/>
    <xf numFmtId="0" fontId="7" fillId="48" borderId="0" applyNumberFormat="0" applyFont="0" applyBorder="0" applyAlignment="0"/>
    <xf numFmtId="0" fontId="7" fillId="49" borderId="0" applyNumberFormat="0" applyFont="0" applyBorder="0" applyAlignment="0">
      <protection locked="0"/>
    </xf>
    <xf numFmtId="37" fontId="11" fillId="0" borderId="0" applyFill="0" applyBorder="0" applyAlignment="0" applyProtection="0"/>
    <xf numFmtId="0" fontId="11" fillId="43" borderId="54" applyFont="0" applyFill="0" applyBorder="0" applyAlignment="0" applyProtection="0">
      <alignment horizontal="center"/>
      <protection locked="0"/>
    </xf>
    <xf numFmtId="0" fontId="11" fillId="15" borderId="0" applyFont="0" applyFill="0" applyBorder="0" applyAlignment="0" applyProtection="0"/>
    <xf numFmtId="0" fontId="11" fillId="43" borderId="54" applyFont="0" applyFill="0" applyBorder="0" applyAlignment="0" applyProtection="0">
      <protection locked="0"/>
    </xf>
    <xf numFmtId="0" fontId="11" fillId="34" borderId="0" applyFont="0" applyFill="0" applyBorder="0" applyAlignment="0" applyProtection="0"/>
    <xf numFmtId="0" fontId="11" fillId="43" borderId="54" applyFont="0" applyFill="0" applyBorder="0" applyAlignment="0" applyProtection="0">
      <protection locked="0"/>
    </xf>
    <xf numFmtId="37" fontId="11" fillId="0" borderId="0" applyFill="0" applyBorder="0" applyAlignment="0" applyProtection="0"/>
    <xf numFmtId="3" fontId="11" fillId="34" borderId="0" applyFont="0" applyFill="0" applyBorder="0" applyAlignment="0" applyProtection="0">
      <alignment horizontal="center"/>
    </xf>
    <xf numFmtId="0" fontId="11" fillId="0" borderId="0"/>
    <xf numFmtId="0" fontId="10" fillId="43" borderId="54" applyFont="0" applyFill="0" applyBorder="0" applyAlignment="0" applyProtection="0">
      <protection locked="0"/>
    </xf>
    <xf numFmtId="0" fontId="11" fillId="43" borderId="54" applyFont="0" applyFill="0" applyBorder="0" applyAlignment="0" applyProtection="0">
      <protection locked="0"/>
    </xf>
    <xf numFmtId="0" fontId="11" fillId="43" borderId="54" applyFont="0" applyFill="0" applyBorder="0" applyAlignment="0" applyProtection="0">
      <protection locked="0"/>
    </xf>
    <xf numFmtId="5" fontId="11" fillId="0" borderId="0" applyFill="0" applyBorder="0" applyAlignment="0" applyProtection="0"/>
    <xf numFmtId="0" fontId="11" fillId="0" borderId="0" applyFill="0" applyBorder="0" applyAlignment="0" applyProtection="0"/>
    <xf numFmtId="2" fontId="11" fillId="0" borderId="0" applyFill="0" applyBorder="0" applyAlignment="0" applyProtection="0"/>
    <xf numFmtId="12" fontId="38" fillId="0" borderId="60" applyFont="0" applyFill="0" applyBorder="0" applyAlignment="0" applyProtection="0"/>
    <xf numFmtId="168" fontId="7" fillId="0" borderId="0" applyFont="0" applyFill="0" applyBorder="0" applyAlignment="0" applyProtection="0"/>
    <xf numFmtId="0" fontId="11" fillId="43" borderId="54" applyFont="0" applyFill="0" applyBorder="0" applyAlignment="0" applyProtection="0">
      <protection locked="0"/>
    </xf>
    <xf numFmtId="0" fontId="11" fillId="43" borderId="54" applyFont="0" applyFill="0" applyBorder="0" applyAlignment="0" applyProtection="0">
      <protection locked="0"/>
    </xf>
    <xf numFmtId="0" fontId="11" fillId="0" borderId="52" applyNumberFormat="0" applyFill="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0" fontId="11" fillId="0" borderId="0"/>
    <xf numFmtId="43" fontId="11" fillId="0" borderId="0" applyFont="0" applyFill="0" applyBorder="0" applyAlignment="0" applyProtection="0"/>
    <xf numFmtId="0" fontId="7" fillId="0" borderId="0"/>
    <xf numFmtId="37" fontId="11" fillId="0" borderId="0" applyFill="0" applyBorder="0" applyAlignment="0" applyProtection="0"/>
    <xf numFmtId="0" fontId="7" fillId="48" borderId="0" applyNumberFormat="0" applyFont="0" applyBorder="0" applyAlignment="0"/>
    <xf numFmtId="0" fontId="7" fillId="49" borderId="0" applyNumberFormat="0" applyFont="0" applyBorder="0" applyAlignment="0">
      <protection locked="0"/>
    </xf>
    <xf numFmtId="0" fontId="11" fillId="43" borderId="54" applyFont="0" applyFill="0" applyBorder="0" applyAlignment="0" applyProtection="0">
      <alignment horizontal="center"/>
      <protection locked="0"/>
    </xf>
    <xf numFmtId="0" fontId="11" fillId="15" borderId="0" applyFont="0" applyFill="0" applyBorder="0" applyAlignment="0" applyProtection="0"/>
    <xf numFmtId="0" fontId="11" fillId="43" borderId="54" applyFont="0" applyFill="0" applyBorder="0" applyAlignment="0" applyProtection="0">
      <protection locked="0"/>
    </xf>
    <xf numFmtId="0" fontId="11" fillId="34" borderId="0" applyFont="0" applyFill="0" applyBorder="0" applyAlignment="0" applyProtection="0"/>
    <xf numFmtId="0" fontId="11" fillId="43" borderId="54" applyFont="0" applyFill="0" applyBorder="0" applyAlignment="0" applyProtection="0">
      <protection locked="0"/>
    </xf>
    <xf numFmtId="37" fontId="11" fillId="0" borderId="0" applyFill="0" applyBorder="0" applyAlignment="0" applyProtection="0"/>
    <xf numFmtId="3" fontId="11" fillId="34" borderId="0" applyFont="0" applyFill="0" applyBorder="0" applyAlignment="0" applyProtection="0">
      <alignment horizontal="center"/>
    </xf>
    <xf numFmtId="0" fontId="11" fillId="0" borderId="0"/>
    <xf numFmtId="0" fontId="10" fillId="43" borderId="54" applyFont="0" applyFill="0" applyBorder="0" applyAlignment="0" applyProtection="0">
      <protection locked="0"/>
    </xf>
    <xf numFmtId="0" fontId="11" fillId="43" borderId="54" applyFont="0" applyFill="0" applyBorder="0" applyAlignment="0" applyProtection="0">
      <protection locked="0"/>
    </xf>
    <xf numFmtId="0" fontId="11" fillId="43" borderId="54" applyFont="0" applyFill="0" applyBorder="0" applyAlignment="0" applyProtection="0">
      <protection locked="0"/>
    </xf>
    <xf numFmtId="5" fontId="11" fillId="0" borderId="0" applyFill="0" applyBorder="0" applyAlignment="0" applyProtection="0"/>
    <xf numFmtId="0" fontId="11" fillId="0" borderId="0" applyFill="0" applyBorder="0" applyAlignment="0" applyProtection="0"/>
    <xf numFmtId="2" fontId="11" fillId="0" borderId="0" applyFill="0" applyBorder="0" applyAlignment="0" applyProtection="0"/>
    <xf numFmtId="168" fontId="7" fillId="0" borderId="0" applyFont="0" applyFill="0" applyBorder="0" applyAlignment="0" applyProtection="0"/>
    <xf numFmtId="0" fontId="11" fillId="43" borderId="54" applyFont="0" applyFill="0" applyBorder="0" applyAlignment="0" applyProtection="0">
      <protection locked="0"/>
    </xf>
    <xf numFmtId="0" fontId="11" fillId="43" borderId="54" applyFont="0" applyFill="0" applyBorder="0" applyAlignment="0" applyProtection="0">
      <protection locked="0"/>
    </xf>
    <xf numFmtId="0" fontId="11" fillId="0" borderId="52" applyNumberFormat="0" applyFill="0" applyAlignment="0" applyProtection="0"/>
    <xf numFmtId="12" fontId="38" fillId="0" borderId="61" applyFont="0" applyFill="0" applyBorder="0" applyAlignment="0" applyProtection="0"/>
    <xf numFmtId="182" fontId="11" fillId="0" borderId="0" applyFont="0" applyFill="0" applyBorder="0" applyAlignment="0" applyProtection="0"/>
    <xf numFmtId="181" fontId="66" fillId="43" borderId="54" applyFont="0"/>
    <xf numFmtId="181" fontId="7" fillId="40" borderId="0" applyNumberFormat="0" applyFont="0" applyBorder="0" applyAlignment="0"/>
    <xf numFmtId="181" fontId="7" fillId="32" borderId="0" applyNumberFormat="0" applyFont="0" applyBorder="0" applyAlignment="0">
      <protection locked="0"/>
    </xf>
    <xf numFmtId="41" fontId="7" fillId="0" borderId="0" applyFont="0" applyFill="0" applyBorder="0" applyAlignment="0" applyProtection="0"/>
    <xf numFmtId="43" fontId="42" fillId="0" borderId="0" applyFont="0" applyFill="0" applyBorder="0" applyAlignment="0" applyProtection="0"/>
    <xf numFmtId="43" fontId="42" fillId="0" borderId="0" applyFont="0" applyFill="0" applyBorder="0" applyAlignment="0" applyProtection="0"/>
    <xf numFmtId="43" fontId="42" fillId="0" borderId="0" applyFont="0" applyFill="0" applyBorder="0" applyAlignment="0" applyProtection="0"/>
    <xf numFmtId="43" fontId="42" fillId="0" borderId="0" applyFont="0" applyFill="0" applyBorder="0" applyAlignment="0" applyProtection="0"/>
    <xf numFmtId="43" fontId="42" fillId="0" borderId="0" applyFont="0" applyFill="0" applyBorder="0" applyAlignment="0" applyProtection="0"/>
    <xf numFmtId="43" fontId="42" fillId="0" borderId="0" applyFont="0" applyFill="0" applyBorder="0" applyAlignment="0" applyProtection="0"/>
    <xf numFmtId="43" fontId="7" fillId="0" borderId="0" applyFont="0" applyFill="0" applyBorder="0" applyAlignment="0" applyProtection="0"/>
    <xf numFmtId="183" fontId="7" fillId="0" borderId="0" applyFont="0" applyFill="0" applyBorder="0" applyAlignment="0" applyProtection="0"/>
    <xf numFmtId="43" fontId="7" fillId="0" borderId="0" applyFont="0" applyFill="0" applyBorder="0" applyAlignment="0" applyProtection="0"/>
    <xf numFmtId="181" fontId="11" fillId="43" borderId="54" applyFont="0" applyFill="0" applyBorder="0" applyAlignment="0" applyProtection="0">
      <alignment horizontal="center"/>
      <protection locked="0"/>
    </xf>
    <xf numFmtId="181" fontId="11" fillId="15" borderId="0" applyFont="0" applyFill="0" applyBorder="0" applyAlignment="0" applyProtection="0"/>
    <xf numFmtId="181" fontId="11" fillId="43" borderId="54" applyFont="0" applyFill="0" applyBorder="0" applyAlignment="0" applyProtection="0">
      <protection locked="0"/>
    </xf>
    <xf numFmtId="181" fontId="11" fillId="34" borderId="0" applyFont="0" applyFill="0" applyBorder="0" applyAlignment="0" applyProtection="0"/>
    <xf numFmtId="181" fontId="11" fillId="43" borderId="54" applyFont="0" applyFill="0" applyBorder="0" applyAlignment="0" applyProtection="0">
      <protection locked="0"/>
    </xf>
    <xf numFmtId="37" fontId="11" fillId="0" borderId="0" applyFill="0" applyBorder="0" applyAlignment="0" applyProtection="0"/>
    <xf numFmtId="37" fontId="11" fillId="0" borderId="0" applyFill="0" applyBorder="0" applyAlignment="0" applyProtection="0"/>
    <xf numFmtId="37" fontId="11" fillId="0" borderId="0" applyFill="0" applyBorder="0" applyAlignment="0" applyProtection="0"/>
    <xf numFmtId="37" fontId="11" fillId="0" borderId="0" applyFill="0" applyBorder="0" applyAlignment="0" applyProtection="0"/>
    <xf numFmtId="3" fontId="11" fillId="34" borderId="0" applyFont="0" applyFill="0" applyBorder="0" applyAlignment="0" applyProtection="0">
      <alignment horizontal="center"/>
    </xf>
    <xf numFmtId="181" fontId="11" fillId="0" borderId="0"/>
    <xf numFmtId="184" fontId="20" fillId="27" borderId="0" applyFont="0" applyFill="0" applyBorder="0" applyAlignment="0" applyProtection="0"/>
    <xf numFmtId="185" fontId="20" fillId="27" borderId="0" applyFont="0" applyFill="0" applyBorder="0" applyAlignment="0" applyProtection="0"/>
    <xf numFmtId="44" fontId="42" fillId="0" borderId="0" applyFont="0" applyFill="0" applyBorder="0" applyAlignment="0" applyProtection="0"/>
    <xf numFmtId="44" fontId="42" fillId="0" borderId="0" applyFont="0" applyFill="0" applyBorder="0" applyAlignment="0" applyProtection="0"/>
    <xf numFmtId="44" fontId="42" fillId="0" borderId="0" applyFont="0" applyFill="0" applyBorder="0" applyAlignment="0" applyProtection="0"/>
    <xf numFmtId="44" fontId="42" fillId="0" borderId="0" applyFont="0" applyFill="0" applyBorder="0" applyAlignment="0" applyProtection="0"/>
    <xf numFmtId="44" fontId="42" fillId="0" borderId="0" applyFont="0" applyFill="0" applyBorder="0" applyAlignment="0" applyProtection="0"/>
    <xf numFmtId="44" fontId="42"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181" fontId="10" fillId="43" borderId="54" applyFont="0" applyFill="0" applyBorder="0" applyAlignment="0" applyProtection="0">
      <protection locked="0"/>
    </xf>
    <xf numFmtId="181" fontId="11" fillId="43" borderId="54" applyFont="0" applyFill="0" applyBorder="0" applyAlignment="0" applyProtection="0">
      <protection locked="0"/>
    </xf>
    <xf numFmtId="181" fontId="11" fillId="43" borderId="54" applyFont="0" applyFill="0" applyBorder="0" applyAlignment="0" applyProtection="0">
      <protection locked="0"/>
    </xf>
    <xf numFmtId="5" fontId="11" fillId="0" borderId="0" applyFill="0" applyBorder="0" applyAlignment="0" applyProtection="0"/>
    <xf numFmtId="181" fontId="11" fillId="0" borderId="0" applyFill="0" applyBorder="0" applyAlignment="0" applyProtection="0"/>
    <xf numFmtId="181" fontId="11" fillId="0" borderId="0" applyFill="0" applyBorder="0" applyAlignment="0" applyProtection="0"/>
    <xf numFmtId="181" fontId="7" fillId="38" borderId="0" applyFont="0" applyBorder="0" applyAlignment="0" applyProtection="0"/>
    <xf numFmtId="2" fontId="11" fillId="0" borderId="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81" fontId="11" fillId="0" borderId="0"/>
    <xf numFmtId="181" fontId="7" fillId="0" borderId="0"/>
    <xf numFmtId="181" fontId="42" fillId="0" borderId="0"/>
    <xf numFmtId="181" fontId="42" fillId="0" borderId="0"/>
    <xf numFmtId="181" fontId="42" fillId="0" borderId="0"/>
    <xf numFmtId="181" fontId="42" fillId="0" borderId="0"/>
    <xf numFmtId="181" fontId="42" fillId="0" borderId="0"/>
    <xf numFmtId="181" fontId="42" fillId="0" borderId="0"/>
    <xf numFmtId="181" fontId="7" fillId="0" borderId="0"/>
    <xf numFmtId="0" fontId="42" fillId="0" borderId="0"/>
    <xf numFmtId="168" fontId="7"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181" fontId="11" fillId="43" borderId="54" applyFont="0" applyFill="0" applyBorder="0" applyAlignment="0" applyProtection="0">
      <protection locked="0"/>
    </xf>
    <xf numFmtId="181" fontId="11" fillId="43" borderId="54" applyFont="0" applyFill="0" applyBorder="0" applyAlignment="0" applyProtection="0">
      <protection locked="0"/>
    </xf>
    <xf numFmtId="181" fontId="11" fillId="0" borderId="52" applyNumberFormat="0" applyFill="0" applyAlignment="0" applyProtection="0"/>
    <xf numFmtId="181" fontId="11" fillId="0" borderId="52" applyNumberFormat="0" applyFill="0" applyAlignment="0" applyProtection="0"/>
    <xf numFmtId="186" fontId="11" fillId="27" borderId="0" applyFont="0" applyFill="0" applyBorder="0" applyAlignment="0" applyProtection="0">
      <alignment horizontal="center"/>
    </xf>
    <xf numFmtId="181" fontId="66" fillId="43" borderId="54" applyFont="0"/>
    <xf numFmtId="0" fontId="7" fillId="40" borderId="0" applyNumberFormat="0" applyFont="0" applyBorder="0" applyAlignment="0"/>
    <xf numFmtId="0" fontId="7" fillId="32" borderId="0" applyNumberFormat="0" applyFont="0" applyBorder="0" applyAlignment="0">
      <protection locked="0"/>
    </xf>
    <xf numFmtId="181" fontId="11" fillId="43" borderId="54" applyFont="0" applyFill="0" applyBorder="0" applyAlignment="0" applyProtection="0">
      <alignment horizontal="center"/>
      <protection locked="0"/>
    </xf>
    <xf numFmtId="181" fontId="11" fillId="15" borderId="0" applyFont="0" applyFill="0" applyBorder="0" applyAlignment="0" applyProtection="0"/>
    <xf numFmtId="181" fontId="11" fillId="43" borderId="54" applyFont="0" applyFill="0" applyBorder="0" applyAlignment="0" applyProtection="0">
      <protection locked="0"/>
    </xf>
    <xf numFmtId="181" fontId="11" fillId="34" borderId="0" applyFont="0" applyFill="0" applyBorder="0" applyAlignment="0" applyProtection="0"/>
    <xf numFmtId="181" fontId="11" fillId="43" borderId="54" applyFont="0" applyFill="0" applyBorder="0" applyAlignment="0" applyProtection="0">
      <protection locked="0"/>
    </xf>
    <xf numFmtId="37" fontId="11" fillId="0" borderId="0" applyFill="0" applyBorder="0" applyAlignment="0" applyProtection="0"/>
    <xf numFmtId="165" fontId="11" fillId="34" borderId="0" applyFont="0" applyFill="0" applyBorder="0" applyAlignment="0" applyProtection="0">
      <alignment horizontal="center"/>
    </xf>
    <xf numFmtId="181" fontId="11" fillId="0" borderId="0"/>
    <xf numFmtId="181" fontId="10" fillId="43" borderId="54" applyFont="0" applyFill="0" applyBorder="0" applyAlignment="0" applyProtection="0">
      <protection locked="0"/>
    </xf>
    <xf numFmtId="181" fontId="11" fillId="43" borderId="54" applyFont="0" applyFill="0" applyBorder="0" applyAlignment="0" applyProtection="0">
      <protection locked="0"/>
    </xf>
    <xf numFmtId="181" fontId="11" fillId="43" borderId="54" applyFont="0" applyFill="0" applyBorder="0" applyAlignment="0" applyProtection="0">
      <protection locked="0"/>
    </xf>
    <xf numFmtId="5" fontId="11" fillId="0" borderId="0" applyFill="0" applyBorder="0" applyAlignment="0" applyProtection="0"/>
    <xf numFmtId="2" fontId="11" fillId="0" borderId="0" applyFill="0" applyBorder="0" applyAlignment="0" applyProtection="0"/>
    <xf numFmtId="181" fontId="11" fillId="43" borderId="54" applyFont="0" applyFill="0" applyBorder="0" applyAlignment="0" applyProtection="0">
      <protection locked="0"/>
    </xf>
    <xf numFmtId="181" fontId="11" fillId="43" borderId="54" applyFont="0" applyFill="0" applyBorder="0" applyAlignment="0" applyProtection="0">
      <protection locked="0"/>
    </xf>
    <xf numFmtId="12" fontId="38" fillId="0" borderId="60" applyFont="0" applyFill="0" applyBorder="0" applyAlignment="0" applyProtection="0"/>
    <xf numFmtId="37" fontId="11" fillId="0" borderId="0" applyFill="0" applyBorder="0" applyAlignment="0" applyProtection="0"/>
    <xf numFmtId="12" fontId="38" fillId="0" borderId="60" applyFont="0" applyFill="0" applyBorder="0" applyAlignment="0" applyProtection="0"/>
    <xf numFmtId="37" fontId="11" fillId="0" borderId="0" applyFill="0" applyBorder="0" applyAlignment="0" applyProtection="0"/>
    <xf numFmtId="37" fontId="11" fillId="0" borderId="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37" fontId="11" fillId="0" borderId="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12" fontId="38" fillId="0" borderId="6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37" fontId="11" fillId="0" borderId="0" applyFill="0" applyBorder="0" applyAlignment="0" applyProtection="0"/>
    <xf numFmtId="12" fontId="38" fillId="0" borderId="61" applyFont="0" applyFill="0" applyBorder="0" applyAlignment="0" applyProtection="0"/>
    <xf numFmtId="37" fontId="11" fillId="0" borderId="0" applyFill="0" applyBorder="0" applyAlignment="0" applyProtection="0"/>
    <xf numFmtId="12" fontId="38" fillId="0" borderId="60"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1"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12" fontId="38" fillId="0" borderId="6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12" fontId="38" fillId="0" borderId="6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61"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79"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0"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80"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12" fontId="38" fillId="0" borderId="79" applyFont="0" applyFill="0" applyBorder="0" applyAlignment="0" applyProtection="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9" fontId="5" fillId="0" borderId="0" applyFont="0" applyFill="0" applyBorder="0" applyAlignment="0" applyProtection="0"/>
    <xf numFmtId="12" fontId="38" fillId="0" borderId="80"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79" applyFont="0" applyFill="0" applyBorder="0" applyAlignment="0" applyProtection="0"/>
    <xf numFmtId="12" fontId="38" fillId="0" borderId="81"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1"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12" fontId="38" fillId="0" borderId="79"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12" fontId="38" fillId="0" borderId="79" applyFont="0" applyFill="0" applyBorder="0" applyAlignment="0" applyProtection="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9" fontId="5" fillId="0" borderId="0"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0" applyFont="0" applyFill="0" applyBorder="0" applyAlignment="0" applyProtection="0"/>
    <xf numFmtId="12" fontId="38" fillId="0" borderId="81" applyFont="0" applyFill="0" applyBorder="0" applyAlignment="0" applyProtection="0"/>
    <xf numFmtId="12" fontId="38" fillId="0" borderId="81" applyFont="0" applyFill="0" applyBorder="0" applyAlignment="0" applyProtection="0"/>
    <xf numFmtId="12" fontId="38" fillId="0" borderId="80" applyFont="0" applyFill="0" applyBorder="0" applyAlignment="0" applyProtection="0"/>
    <xf numFmtId="12" fontId="38" fillId="0" borderId="81" applyFont="0" applyFill="0" applyBorder="0" applyAlignment="0" applyProtection="0"/>
    <xf numFmtId="175" fontId="7" fillId="0" borderId="0"/>
    <xf numFmtId="175" fontId="7" fillId="0" borderId="0" applyFont="0" applyFill="0" applyBorder="0" applyAlignment="0" applyProtection="0"/>
    <xf numFmtId="175" fontId="66" fillId="43" borderId="51" applyNumberFormat="0" applyFont="0" applyProtection="0"/>
    <xf numFmtId="175" fontId="66" fillId="43" borderId="54" applyNumberFormat="0" applyFont="0" applyProtection="0"/>
    <xf numFmtId="175" fontId="66" fillId="43" borderId="54" applyFont="0"/>
    <xf numFmtId="175" fontId="41" fillId="34" borderId="51" applyNumberFormat="0" applyFont="0"/>
    <xf numFmtId="175" fontId="41" fillId="34" borderId="54" applyNumberFormat="0" applyFont="0"/>
    <xf numFmtId="175" fontId="7" fillId="48" borderId="0" applyNumberFormat="0" applyFont="0" applyBorder="0" applyAlignment="0"/>
    <xf numFmtId="175" fontId="7" fillId="49" borderId="0" applyNumberFormat="0" applyFont="0" applyBorder="0" applyAlignment="0">
      <protection locked="0"/>
    </xf>
    <xf numFmtId="175" fontId="11" fillId="43" borderId="54" applyFont="0" applyFill="0" applyBorder="0" applyAlignment="0" applyProtection="0">
      <alignment horizontal="center"/>
      <protection locked="0"/>
    </xf>
    <xf numFmtId="175" fontId="11" fillId="15" borderId="0" applyFont="0" applyFill="0" applyBorder="0" applyAlignment="0" applyProtection="0"/>
    <xf numFmtId="175" fontId="11" fillId="43" borderId="54" applyFont="0" applyFill="0" applyBorder="0" applyAlignment="0" applyProtection="0">
      <protection locked="0"/>
    </xf>
    <xf numFmtId="175" fontId="11" fillId="34" borderId="0" applyFont="0" applyFill="0" applyBorder="0" applyAlignment="0" applyProtection="0"/>
    <xf numFmtId="175" fontId="11" fillId="43" borderId="54" applyFont="0" applyFill="0" applyBorder="0" applyAlignment="0" applyProtection="0">
      <protection locked="0"/>
    </xf>
    <xf numFmtId="175" fontId="64" fillId="0" borderId="0"/>
    <xf numFmtId="175" fontId="64" fillId="0" borderId="0"/>
    <xf numFmtId="175" fontId="11" fillId="0" borderId="0"/>
    <xf numFmtId="175" fontId="64" fillId="0" borderId="0"/>
    <xf numFmtId="175" fontId="64" fillId="0" borderId="0"/>
    <xf numFmtId="44" fontId="7" fillId="0" borderId="0" applyFont="0" applyFill="0" applyBorder="0" applyAlignment="0" applyProtection="0"/>
    <xf numFmtId="175" fontId="10" fillId="43" borderId="54" applyFont="0" applyFill="0" applyBorder="0" applyAlignment="0" applyProtection="0">
      <protection locked="0"/>
    </xf>
    <xf numFmtId="175" fontId="11" fillId="43" borderId="54" applyFont="0" applyFill="0" applyBorder="0" applyAlignment="0" applyProtection="0">
      <protection locked="0"/>
    </xf>
    <xf numFmtId="175" fontId="11" fillId="43" borderId="54" applyFont="0" applyFill="0" applyBorder="0" applyAlignment="0" applyProtection="0">
      <protection locked="0"/>
    </xf>
    <xf numFmtId="175" fontId="11" fillId="0" borderId="0" applyFill="0" applyBorder="0" applyAlignment="0" applyProtection="0"/>
    <xf numFmtId="175" fontId="7" fillId="38" borderId="0" applyFont="0" applyBorder="0" applyAlignment="0" applyProtection="0"/>
    <xf numFmtId="175" fontId="7" fillId="46" borderId="0" applyFont="0" applyBorder="0" applyAlignment="0" applyProtection="0"/>
    <xf numFmtId="175" fontId="64" fillId="0" borderId="0"/>
    <xf numFmtId="175" fontId="64" fillId="0" borderId="0"/>
    <xf numFmtId="175" fontId="64" fillId="0" borderId="0"/>
    <xf numFmtId="175" fontId="11" fillId="43" borderId="54" applyFont="0" applyFill="0" applyBorder="0" applyAlignment="0" applyProtection="0">
      <protection locked="0"/>
    </xf>
    <xf numFmtId="175" fontId="11" fillId="43" borderId="54" applyFont="0" applyFill="0" applyBorder="0" applyAlignment="0" applyProtection="0">
      <protection locked="0"/>
    </xf>
    <xf numFmtId="175" fontId="11" fillId="0" borderId="52" applyNumberFormat="0" applyFill="0" applyAlignment="0" applyProtection="0"/>
    <xf numFmtId="175" fontId="11" fillId="0" borderId="0"/>
    <xf numFmtId="175" fontId="7" fillId="0" borderId="0"/>
    <xf numFmtId="175" fontId="7" fillId="48" borderId="0" applyNumberFormat="0" applyFont="0" applyBorder="0" applyAlignment="0"/>
    <xf numFmtId="175" fontId="7" fillId="49" borderId="0" applyNumberFormat="0" applyFont="0" applyBorder="0" applyAlignment="0">
      <protection locked="0"/>
    </xf>
    <xf numFmtId="175" fontId="11" fillId="43" borderId="54" applyFont="0" applyFill="0" applyBorder="0" applyAlignment="0" applyProtection="0">
      <alignment horizontal="center"/>
      <protection locked="0"/>
    </xf>
    <xf numFmtId="175" fontId="11" fillId="15" borderId="0" applyFont="0" applyFill="0" applyBorder="0" applyAlignment="0" applyProtection="0"/>
    <xf numFmtId="175" fontId="11" fillId="43" borderId="54" applyFont="0" applyFill="0" applyBorder="0" applyAlignment="0" applyProtection="0">
      <protection locked="0"/>
    </xf>
    <xf numFmtId="175" fontId="11" fillId="34" borderId="0" applyFont="0" applyFill="0" applyBorder="0" applyAlignment="0" applyProtection="0"/>
    <xf numFmtId="175" fontId="11" fillId="43" borderId="54" applyFont="0" applyFill="0" applyBorder="0" applyAlignment="0" applyProtection="0">
      <protection locked="0"/>
    </xf>
    <xf numFmtId="175" fontId="11" fillId="0" borderId="0"/>
    <xf numFmtId="175" fontId="10" fillId="43" borderId="54" applyFont="0" applyFill="0" applyBorder="0" applyAlignment="0" applyProtection="0">
      <protection locked="0"/>
    </xf>
    <xf numFmtId="175" fontId="11" fillId="43" borderId="54" applyFont="0" applyFill="0" applyBorder="0" applyAlignment="0" applyProtection="0">
      <protection locked="0"/>
    </xf>
    <xf numFmtId="175" fontId="11" fillId="43" borderId="54" applyFont="0" applyFill="0" applyBorder="0" applyAlignment="0" applyProtection="0">
      <protection locked="0"/>
    </xf>
    <xf numFmtId="175" fontId="11" fillId="0" borderId="0" applyFill="0" applyBorder="0" applyAlignment="0" applyProtection="0"/>
    <xf numFmtId="12" fontId="38" fillId="0" borderId="90" applyFont="0" applyFill="0" applyBorder="0" applyAlignment="0" applyProtection="0"/>
    <xf numFmtId="175" fontId="11" fillId="43" borderId="54" applyFont="0" applyFill="0" applyBorder="0" applyAlignment="0" applyProtection="0">
      <protection locked="0"/>
    </xf>
    <xf numFmtId="175" fontId="11" fillId="43" borderId="54" applyFont="0" applyFill="0" applyBorder="0" applyAlignment="0" applyProtection="0">
      <protection locked="0"/>
    </xf>
    <xf numFmtId="175" fontId="11" fillId="0" borderId="52" applyNumberFormat="0" applyFill="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4" fillId="0" borderId="0"/>
    <xf numFmtId="175" fontId="7" fillId="0" borderId="0"/>
    <xf numFmtId="175" fontId="11" fillId="0" borderId="52" applyNumberFormat="0" applyFill="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4" fillId="65" borderId="0" applyNumberFormat="0" applyBorder="0" applyAlignment="0" applyProtection="0"/>
    <xf numFmtId="175" fontId="4"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4" fillId="69" borderId="0" applyNumberFormat="0" applyBorder="0" applyAlignment="0" applyProtection="0"/>
    <xf numFmtId="175" fontId="4"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4" fillId="73" borderId="0" applyNumberFormat="0" applyBorder="0" applyAlignment="0" applyProtection="0"/>
    <xf numFmtId="175" fontId="4"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4" fillId="77" borderId="0" applyNumberFormat="0" applyBorder="0" applyAlignment="0" applyProtection="0"/>
    <xf numFmtId="175" fontId="4"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4" fillId="81" borderId="0" applyNumberFormat="0" applyBorder="0" applyAlignment="0" applyProtection="0"/>
    <xf numFmtId="175" fontId="4"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4" fillId="85" borderId="0" applyNumberFormat="0" applyBorder="0" applyAlignment="0" applyProtection="0"/>
    <xf numFmtId="175" fontId="4"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4" fillId="65" borderId="0" applyNumberFormat="0" applyBorder="0" applyAlignment="0" applyProtection="0"/>
    <xf numFmtId="175" fontId="4"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4" fillId="69" borderId="0" applyNumberFormat="0" applyBorder="0" applyAlignment="0" applyProtection="0"/>
    <xf numFmtId="175" fontId="4"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4" fillId="73" borderId="0" applyNumberFormat="0" applyBorder="0" applyAlignment="0" applyProtection="0"/>
    <xf numFmtId="175" fontId="4"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4" fillId="77" borderId="0" applyNumberFormat="0" applyBorder="0" applyAlignment="0" applyProtection="0"/>
    <xf numFmtId="175" fontId="4"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4" fillId="81" borderId="0" applyNumberFormat="0" applyBorder="0" applyAlignment="0" applyProtection="0"/>
    <xf numFmtId="175" fontId="4"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4" fillId="85" borderId="0" applyNumberFormat="0" applyBorder="0" applyAlignment="0" applyProtection="0"/>
    <xf numFmtId="175" fontId="4" fillId="86" borderId="0" applyNumberFormat="0" applyBorder="0" applyAlignment="0" applyProtection="0"/>
    <xf numFmtId="175" fontId="92" fillId="87" borderId="0" applyNumberFormat="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4" fillId="65" borderId="0" applyNumberFormat="0" applyBorder="0" applyAlignment="0" applyProtection="0"/>
    <xf numFmtId="175" fontId="4"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4" fillId="69" borderId="0" applyNumberFormat="0" applyBorder="0" applyAlignment="0" applyProtection="0"/>
    <xf numFmtId="175" fontId="4"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4" fillId="73" borderId="0" applyNumberFormat="0" applyBorder="0" applyAlignment="0" applyProtection="0"/>
    <xf numFmtId="175" fontId="4"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4" fillId="77" borderId="0" applyNumberFormat="0" applyBorder="0" applyAlignment="0" applyProtection="0"/>
    <xf numFmtId="175" fontId="4"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4" fillId="81" borderId="0" applyNumberFormat="0" applyBorder="0" applyAlignment="0" applyProtection="0"/>
    <xf numFmtId="175" fontId="4"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4" fillId="85" borderId="0" applyNumberFormat="0" applyBorder="0" applyAlignment="0" applyProtection="0"/>
    <xf numFmtId="175" fontId="4"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4" fillId="65" borderId="0" applyNumberFormat="0" applyBorder="0" applyAlignment="0" applyProtection="0"/>
    <xf numFmtId="175" fontId="4"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4" fillId="69" borderId="0" applyNumberFormat="0" applyBorder="0" applyAlignment="0" applyProtection="0"/>
    <xf numFmtId="175" fontId="4"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4" fillId="73" borderId="0" applyNumberFormat="0" applyBorder="0" applyAlignment="0" applyProtection="0"/>
    <xf numFmtId="175" fontId="4"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4" fillId="77" borderId="0" applyNumberFormat="0" applyBorder="0" applyAlignment="0" applyProtection="0"/>
    <xf numFmtId="175" fontId="4"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4" fillId="81" borderId="0" applyNumberFormat="0" applyBorder="0" applyAlignment="0" applyProtection="0"/>
    <xf numFmtId="175" fontId="4"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4" fillId="85" borderId="0" applyNumberFormat="0" applyBorder="0" applyAlignment="0" applyProtection="0"/>
    <xf numFmtId="175" fontId="4" fillId="86" borderId="0" applyNumberFormat="0" applyBorder="0" applyAlignment="0" applyProtection="0"/>
    <xf numFmtId="175" fontId="92" fillId="87" borderId="0" applyNumberFormat="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7" fillId="0" borderId="0"/>
    <xf numFmtId="175" fontId="7" fillId="0" borderId="0"/>
    <xf numFmtId="175" fontId="7" fillId="0" borderId="0" applyFont="0" applyFill="0" applyBorder="0" applyAlignment="0" applyProtection="0"/>
    <xf numFmtId="175" fontId="66" fillId="43" borderId="51" applyNumberFormat="0" applyFont="0" applyProtection="0"/>
    <xf numFmtId="175" fontId="66" fillId="43" borderId="54" applyNumberFormat="0" applyFont="0" applyProtection="0"/>
    <xf numFmtId="175" fontId="66" fillId="43" borderId="54" applyFont="0"/>
    <xf numFmtId="175" fontId="41" fillId="34" borderId="51" applyNumberFormat="0" applyFont="0"/>
    <xf numFmtId="175" fontId="41" fillId="34" borderId="54" applyNumberFormat="0" applyFont="0"/>
    <xf numFmtId="175" fontId="7" fillId="48" borderId="0" applyNumberFormat="0" applyFont="0" applyBorder="0" applyAlignment="0"/>
    <xf numFmtId="175" fontId="7" fillId="49" borderId="0" applyNumberFormat="0" applyFont="0" applyBorder="0" applyAlignment="0">
      <protection locked="0"/>
    </xf>
    <xf numFmtId="175" fontId="11" fillId="43" borderId="54" applyFont="0" applyFill="0" applyBorder="0" applyAlignment="0" applyProtection="0">
      <alignment horizontal="center"/>
      <protection locked="0"/>
    </xf>
    <xf numFmtId="175" fontId="11" fillId="15" borderId="0" applyFont="0" applyFill="0" applyBorder="0" applyAlignment="0" applyProtection="0"/>
    <xf numFmtId="175" fontId="11" fillId="43" borderId="54" applyFont="0" applyFill="0" applyBorder="0" applyAlignment="0" applyProtection="0">
      <protection locked="0"/>
    </xf>
    <xf numFmtId="175" fontId="11" fillId="34" borderId="0" applyFont="0" applyFill="0" applyBorder="0" applyAlignment="0" applyProtection="0"/>
    <xf numFmtId="175" fontId="11" fillId="43" borderId="54" applyFont="0" applyFill="0" applyBorder="0" applyAlignment="0" applyProtection="0">
      <protection locked="0"/>
    </xf>
    <xf numFmtId="175" fontId="64" fillId="0" borderId="0"/>
    <xf numFmtId="175" fontId="64" fillId="0" borderId="0"/>
    <xf numFmtId="175" fontId="11" fillId="0" borderId="0"/>
    <xf numFmtId="175" fontId="64" fillId="0" borderId="0"/>
    <xf numFmtId="175" fontId="64" fillId="0" borderId="0"/>
    <xf numFmtId="175" fontId="10" fillId="43" borderId="54" applyFont="0" applyFill="0" applyBorder="0" applyAlignment="0" applyProtection="0">
      <protection locked="0"/>
    </xf>
    <xf numFmtId="175" fontId="11" fillId="43" borderId="54" applyFont="0" applyFill="0" applyBorder="0" applyAlignment="0" applyProtection="0">
      <protection locked="0"/>
    </xf>
    <xf numFmtId="175" fontId="11" fillId="43" borderId="54" applyFont="0" applyFill="0" applyBorder="0" applyAlignment="0" applyProtection="0">
      <protection locked="0"/>
    </xf>
    <xf numFmtId="175" fontId="11" fillId="0" borderId="0" applyFill="0" applyBorder="0" applyAlignment="0" applyProtection="0"/>
    <xf numFmtId="175" fontId="7" fillId="0" borderId="0" applyFont="0" applyFill="0" applyBorder="0" applyAlignment="0" applyProtection="0"/>
    <xf numFmtId="175" fontId="7" fillId="38" borderId="0" applyFont="0" applyBorder="0" applyAlignment="0" applyProtection="0"/>
    <xf numFmtId="175" fontId="7" fillId="46" borderId="0" applyFont="0" applyBorder="0" applyAlignment="0" applyProtection="0"/>
    <xf numFmtId="175" fontId="64" fillId="0" borderId="0"/>
    <xf numFmtId="175" fontId="64" fillId="0" borderId="0"/>
    <xf numFmtId="175" fontId="64" fillId="0" borderId="0"/>
    <xf numFmtId="175" fontId="11" fillId="43" borderId="54" applyFont="0" applyFill="0" applyBorder="0" applyAlignment="0" applyProtection="0">
      <protection locked="0"/>
    </xf>
    <xf numFmtId="175" fontId="11" fillId="43" borderId="54" applyFont="0" applyFill="0" applyBorder="0" applyAlignment="0" applyProtection="0">
      <protection locked="0"/>
    </xf>
    <xf numFmtId="175" fontId="11" fillId="0" borderId="52" applyNumberFormat="0" applyFill="0" applyAlignment="0" applyProtection="0"/>
    <xf numFmtId="175" fontId="11" fillId="0" borderId="0"/>
    <xf numFmtId="43" fontId="11" fillId="0" borderId="0" applyFont="0" applyFill="0" applyBorder="0" applyAlignment="0" applyProtection="0"/>
    <xf numFmtId="175" fontId="7" fillId="0" borderId="0"/>
    <xf numFmtId="175" fontId="7" fillId="48" borderId="0" applyNumberFormat="0" applyFont="0" applyBorder="0" applyAlignment="0"/>
    <xf numFmtId="175" fontId="7" fillId="49" borderId="0" applyNumberFormat="0" applyFont="0" applyBorder="0" applyAlignment="0">
      <protection locked="0"/>
    </xf>
    <xf numFmtId="175" fontId="11" fillId="43" borderId="54" applyFont="0" applyFill="0" applyBorder="0" applyAlignment="0" applyProtection="0">
      <alignment horizontal="center"/>
      <protection locked="0"/>
    </xf>
    <xf numFmtId="175" fontId="11" fillId="15" borderId="0" applyFont="0" applyFill="0" applyBorder="0" applyAlignment="0" applyProtection="0"/>
    <xf numFmtId="175" fontId="11" fillId="43" borderId="54" applyFont="0" applyFill="0" applyBorder="0" applyAlignment="0" applyProtection="0">
      <protection locked="0"/>
    </xf>
    <xf numFmtId="175" fontId="11" fillId="34" borderId="0" applyFont="0" applyFill="0" applyBorder="0" applyAlignment="0" applyProtection="0"/>
    <xf numFmtId="175" fontId="11" fillId="43" borderId="54" applyFont="0" applyFill="0" applyBorder="0" applyAlignment="0" applyProtection="0">
      <protection locked="0"/>
    </xf>
    <xf numFmtId="175" fontId="11" fillId="0" borderId="0"/>
    <xf numFmtId="175" fontId="10" fillId="43" borderId="54" applyFont="0" applyFill="0" applyBorder="0" applyAlignment="0" applyProtection="0">
      <protection locked="0"/>
    </xf>
    <xf numFmtId="175" fontId="11" fillId="43" borderId="54" applyFont="0" applyFill="0" applyBorder="0" applyAlignment="0" applyProtection="0">
      <protection locked="0"/>
    </xf>
    <xf numFmtId="175" fontId="11" fillId="43" borderId="54" applyFont="0" applyFill="0" applyBorder="0" applyAlignment="0" applyProtection="0">
      <protection locked="0"/>
    </xf>
    <xf numFmtId="175" fontId="11" fillId="0" borderId="0" applyFill="0" applyBorder="0" applyAlignment="0" applyProtection="0"/>
    <xf numFmtId="175" fontId="11" fillId="43" borderId="54" applyFont="0" applyFill="0" applyBorder="0" applyAlignment="0" applyProtection="0">
      <protection locked="0"/>
    </xf>
    <xf numFmtId="175" fontId="11" fillId="43" borderId="54" applyFont="0" applyFill="0" applyBorder="0" applyAlignment="0" applyProtection="0">
      <protection locked="0"/>
    </xf>
    <xf numFmtId="175" fontId="11" fillId="0" borderId="52" applyNumberFormat="0" applyFill="0" applyAlignment="0" applyProtection="0"/>
    <xf numFmtId="175" fontId="66" fillId="43" borderId="54" applyFont="0"/>
    <xf numFmtId="175" fontId="7" fillId="40" borderId="0" applyNumberFormat="0" applyFont="0" applyBorder="0" applyAlignment="0"/>
    <xf numFmtId="175" fontId="7" fillId="32" borderId="0" applyNumberFormat="0" applyFont="0" applyBorder="0" applyAlignment="0">
      <protection locked="0"/>
    </xf>
    <xf numFmtId="43" fontId="42" fillId="0" borderId="0" applyFont="0" applyFill="0" applyBorder="0" applyAlignment="0" applyProtection="0"/>
    <xf numFmtId="43" fontId="42" fillId="0" borderId="0" applyFont="0" applyFill="0" applyBorder="0" applyAlignment="0" applyProtection="0"/>
    <xf numFmtId="43" fontId="42" fillId="0" borderId="0" applyFont="0" applyFill="0" applyBorder="0" applyAlignment="0" applyProtection="0"/>
    <xf numFmtId="43" fontId="42" fillId="0" borderId="0" applyFont="0" applyFill="0" applyBorder="0" applyAlignment="0" applyProtection="0"/>
    <xf numFmtId="43" fontId="42" fillId="0" borderId="0" applyFont="0" applyFill="0" applyBorder="0" applyAlignment="0" applyProtection="0"/>
    <xf numFmtId="44" fontId="42" fillId="0" borderId="0" applyFont="0" applyFill="0" applyBorder="0" applyAlignment="0" applyProtection="0"/>
    <xf numFmtId="44" fontId="42" fillId="0" borderId="0" applyFont="0" applyFill="0" applyBorder="0" applyAlignment="0" applyProtection="0"/>
    <xf numFmtId="44" fontId="42" fillId="0" borderId="0" applyFont="0" applyFill="0" applyBorder="0" applyAlignment="0" applyProtection="0"/>
    <xf numFmtId="44" fontId="42" fillId="0" borderId="0" applyFont="0" applyFill="0" applyBorder="0" applyAlignment="0" applyProtection="0"/>
    <xf numFmtId="44" fontId="42" fillId="0" borderId="0" applyFont="0" applyFill="0" applyBorder="0" applyAlignment="0" applyProtection="0"/>
    <xf numFmtId="44" fontId="42" fillId="0" borderId="0"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75" fontId="11" fillId="0" borderId="0"/>
    <xf numFmtId="175" fontId="42" fillId="0" borderId="0"/>
    <xf numFmtId="175" fontId="42" fillId="0" borderId="0"/>
    <xf numFmtId="175" fontId="42" fillId="0" borderId="0"/>
    <xf numFmtId="175" fontId="42" fillId="0" borderId="0"/>
    <xf numFmtId="175" fontId="42" fillId="0" borderId="0"/>
    <xf numFmtId="175" fontId="42" fillId="0" borderId="0"/>
    <xf numFmtId="175" fontId="42" fillId="0" borderId="0"/>
    <xf numFmtId="9" fontId="42"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175" fontId="66" fillId="43" borderId="54" applyFont="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12" fontId="38" fillId="0" borderId="92"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37" fontId="11" fillId="0" borderId="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12" fontId="38" fillId="0" borderId="92"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12" fontId="38" fillId="0" borderId="92"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191" fontId="7" fillId="0" borderId="0" applyFont="0" applyFill="0" applyBorder="0" applyAlignment="0" applyProtection="0"/>
    <xf numFmtId="42" fontId="7" fillId="0" borderId="0" applyFont="0" applyFill="0" applyBorder="0" applyAlignment="0" applyProtection="0"/>
    <xf numFmtId="190" fontId="20" fillId="47" borderId="91" applyFont="0" applyFill="0" applyBorder="0" applyAlignment="0" applyProtection="0">
      <alignment horizontal="center"/>
      <protection locked="0"/>
    </xf>
    <xf numFmtId="12" fontId="38" fillId="0" borderId="92" applyFont="0" applyFill="0" applyBorder="0" applyAlignment="0" applyProtection="0"/>
    <xf numFmtId="189" fontId="7" fillId="0" borderId="0" applyFont="0" applyFill="0" applyBorder="0" applyAlignment="0" applyProtection="0"/>
    <xf numFmtId="0" fontId="7" fillId="0" borderId="0"/>
    <xf numFmtId="37" fontId="11" fillId="0" borderId="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4" fillId="0" borderId="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4" fillId="65" borderId="0" applyNumberFormat="0" applyBorder="0" applyAlignment="0" applyProtection="0"/>
    <xf numFmtId="175" fontId="4"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4" fillId="69" borderId="0" applyNumberFormat="0" applyBorder="0" applyAlignment="0" applyProtection="0"/>
    <xf numFmtId="175" fontId="4"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4" fillId="73" borderId="0" applyNumberFormat="0" applyBorder="0" applyAlignment="0" applyProtection="0"/>
    <xf numFmtId="175" fontId="4"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4" fillId="77" borderId="0" applyNumberFormat="0" applyBorder="0" applyAlignment="0" applyProtection="0"/>
    <xf numFmtId="175" fontId="4"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4" fillId="81" borderId="0" applyNumberFormat="0" applyBorder="0" applyAlignment="0" applyProtection="0"/>
    <xf numFmtId="175" fontId="4"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4" fillId="85" borderId="0" applyNumberFormat="0" applyBorder="0" applyAlignment="0" applyProtection="0"/>
    <xf numFmtId="175" fontId="4"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4" fillId="65" borderId="0" applyNumberFormat="0" applyBorder="0" applyAlignment="0" applyProtection="0"/>
    <xf numFmtId="175" fontId="4"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4" fillId="69" borderId="0" applyNumberFormat="0" applyBorder="0" applyAlignment="0" applyProtection="0"/>
    <xf numFmtId="175" fontId="4"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4" fillId="73" borderId="0" applyNumberFormat="0" applyBorder="0" applyAlignment="0" applyProtection="0"/>
    <xf numFmtId="175" fontId="4"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4" fillId="77" borderId="0" applyNumberFormat="0" applyBorder="0" applyAlignment="0" applyProtection="0"/>
    <xf numFmtId="175" fontId="4"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4" fillId="81" borderId="0" applyNumberFormat="0" applyBorder="0" applyAlignment="0" applyProtection="0"/>
    <xf numFmtId="175" fontId="4"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4" fillId="85" borderId="0" applyNumberFormat="0" applyBorder="0" applyAlignment="0" applyProtection="0"/>
    <xf numFmtId="175" fontId="4" fillId="86" borderId="0" applyNumberFormat="0" applyBorder="0" applyAlignment="0" applyProtection="0"/>
    <xf numFmtId="175" fontId="92" fillId="87" borderId="0" applyNumberFormat="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4" fillId="65" borderId="0" applyNumberFormat="0" applyBorder="0" applyAlignment="0" applyProtection="0"/>
    <xf numFmtId="175" fontId="4"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4" fillId="69" borderId="0" applyNumberFormat="0" applyBorder="0" applyAlignment="0" applyProtection="0"/>
    <xf numFmtId="175" fontId="4"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4" fillId="73" borderId="0" applyNumberFormat="0" applyBorder="0" applyAlignment="0" applyProtection="0"/>
    <xf numFmtId="175" fontId="4"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4" fillId="77" borderId="0" applyNumberFormat="0" applyBorder="0" applyAlignment="0" applyProtection="0"/>
    <xf numFmtId="175" fontId="4"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4" fillId="81" borderId="0" applyNumberFormat="0" applyBorder="0" applyAlignment="0" applyProtection="0"/>
    <xf numFmtId="175" fontId="4"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4" fillId="85" borderId="0" applyNumberFormat="0" applyBorder="0" applyAlignment="0" applyProtection="0"/>
    <xf numFmtId="175" fontId="4"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4" fillId="65" borderId="0" applyNumberFormat="0" applyBorder="0" applyAlignment="0" applyProtection="0"/>
    <xf numFmtId="175" fontId="4"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4" fillId="69" borderId="0" applyNumberFormat="0" applyBorder="0" applyAlignment="0" applyProtection="0"/>
    <xf numFmtId="175" fontId="4"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4" fillId="73" borderId="0" applyNumberFormat="0" applyBorder="0" applyAlignment="0" applyProtection="0"/>
    <xf numFmtId="175" fontId="4"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4" fillId="77" borderId="0" applyNumberFormat="0" applyBorder="0" applyAlignment="0" applyProtection="0"/>
    <xf numFmtId="175" fontId="4"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4" fillId="81" borderId="0" applyNumberFormat="0" applyBorder="0" applyAlignment="0" applyProtection="0"/>
    <xf numFmtId="175" fontId="4"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4" fillId="85" borderId="0" applyNumberFormat="0" applyBorder="0" applyAlignment="0" applyProtection="0"/>
    <xf numFmtId="175" fontId="4" fillId="86" borderId="0" applyNumberFormat="0" applyBorder="0" applyAlignment="0" applyProtection="0"/>
    <xf numFmtId="175" fontId="92" fillId="87" borderId="0" applyNumberFormat="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190" fontId="20" fillId="47" borderId="89" applyFont="0" applyFill="0" applyBorder="0" applyAlignment="0" applyProtection="0">
      <alignment horizontal="center"/>
      <protection locked="0"/>
    </xf>
    <xf numFmtId="37" fontId="11" fillId="0" borderId="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4" fillId="0" borderId="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4" fillId="65" borderId="0" applyNumberFormat="0" applyBorder="0" applyAlignment="0" applyProtection="0"/>
    <xf numFmtId="175" fontId="4"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4" fillId="69" borderId="0" applyNumberFormat="0" applyBorder="0" applyAlignment="0" applyProtection="0"/>
    <xf numFmtId="175" fontId="4"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4" fillId="73" borderId="0" applyNumberFormat="0" applyBorder="0" applyAlignment="0" applyProtection="0"/>
    <xf numFmtId="175" fontId="4"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4" fillId="77" borderId="0" applyNumberFormat="0" applyBorder="0" applyAlignment="0" applyProtection="0"/>
    <xf numFmtId="175" fontId="4"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4" fillId="81" borderId="0" applyNumberFormat="0" applyBorder="0" applyAlignment="0" applyProtection="0"/>
    <xf numFmtId="175" fontId="4"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4" fillId="85" borderId="0" applyNumberFormat="0" applyBorder="0" applyAlignment="0" applyProtection="0"/>
    <xf numFmtId="175" fontId="4"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4" fillId="65" borderId="0" applyNumberFormat="0" applyBorder="0" applyAlignment="0" applyProtection="0"/>
    <xf numFmtId="175" fontId="4"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4" fillId="69" borderId="0" applyNumberFormat="0" applyBorder="0" applyAlignment="0" applyProtection="0"/>
    <xf numFmtId="175" fontId="4"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4" fillId="73" borderId="0" applyNumberFormat="0" applyBorder="0" applyAlignment="0" applyProtection="0"/>
    <xf numFmtId="175" fontId="4"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4" fillId="77" borderId="0" applyNumberFormat="0" applyBorder="0" applyAlignment="0" applyProtection="0"/>
    <xf numFmtId="175" fontId="4"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4" fillId="81" borderId="0" applyNumberFormat="0" applyBorder="0" applyAlignment="0" applyProtection="0"/>
    <xf numFmtId="175" fontId="4"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4" fillId="85" borderId="0" applyNumberFormat="0" applyBorder="0" applyAlignment="0" applyProtection="0"/>
    <xf numFmtId="175" fontId="4" fillId="86" borderId="0" applyNumberFormat="0" applyBorder="0" applyAlignment="0" applyProtection="0"/>
    <xf numFmtId="175" fontId="92" fillId="87" borderId="0" applyNumberFormat="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4" fillId="65" borderId="0" applyNumberFormat="0" applyBorder="0" applyAlignment="0" applyProtection="0"/>
    <xf numFmtId="175" fontId="4"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4" fillId="69" borderId="0" applyNumberFormat="0" applyBorder="0" applyAlignment="0" applyProtection="0"/>
    <xf numFmtId="175" fontId="4"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4" fillId="73" borderId="0" applyNumberFormat="0" applyBorder="0" applyAlignment="0" applyProtection="0"/>
    <xf numFmtId="175" fontId="4"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4" fillId="77" borderId="0" applyNumberFormat="0" applyBorder="0" applyAlignment="0" applyProtection="0"/>
    <xf numFmtId="175" fontId="4"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4" fillId="81" borderId="0" applyNumberFormat="0" applyBorder="0" applyAlignment="0" applyProtection="0"/>
    <xf numFmtId="175" fontId="4"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4" fillId="85" borderId="0" applyNumberFormat="0" applyBorder="0" applyAlignment="0" applyProtection="0"/>
    <xf numFmtId="175" fontId="4"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4" fillId="65" borderId="0" applyNumberFormat="0" applyBorder="0" applyAlignment="0" applyProtection="0"/>
    <xf numFmtId="175" fontId="4"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4" fillId="69" borderId="0" applyNumberFormat="0" applyBorder="0" applyAlignment="0" applyProtection="0"/>
    <xf numFmtId="175" fontId="4"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4" fillId="73" borderId="0" applyNumberFormat="0" applyBorder="0" applyAlignment="0" applyProtection="0"/>
    <xf numFmtId="175" fontId="4"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4" fillId="77" borderId="0" applyNumberFormat="0" applyBorder="0" applyAlignment="0" applyProtection="0"/>
    <xf numFmtId="175" fontId="4"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4" fillId="81" borderId="0" applyNumberFormat="0" applyBorder="0" applyAlignment="0" applyProtection="0"/>
    <xf numFmtId="175" fontId="4"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4" fillId="85" borderId="0" applyNumberFormat="0" applyBorder="0" applyAlignment="0" applyProtection="0"/>
    <xf numFmtId="175" fontId="4" fillId="86" borderId="0" applyNumberFormat="0" applyBorder="0" applyAlignment="0" applyProtection="0"/>
    <xf numFmtId="175" fontId="92" fillId="87" borderId="0" applyNumberFormat="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4" fillId="0" borderId="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4" fillId="65" borderId="0" applyNumberFormat="0" applyBorder="0" applyAlignment="0" applyProtection="0"/>
    <xf numFmtId="175" fontId="4"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4" fillId="69" borderId="0" applyNumberFormat="0" applyBorder="0" applyAlignment="0" applyProtection="0"/>
    <xf numFmtId="175" fontId="4"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4" fillId="73" borderId="0" applyNumberFormat="0" applyBorder="0" applyAlignment="0" applyProtection="0"/>
    <xf numFmtId="175" fontId="4"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4" fillId="77" borderId="0" applyNumberFormat="0" applyBorder="0" applyAlignment="0" applyProtection="0"/>
    <xf numFmtId="175" fontId="4"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4" fillId="81" borderId="0" applyNumberFormat="0" applyBorder="0" applyAlignment="0" applyProtection="0"/>
    <xf numFmtId="175" fontId="4"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4" fillId="85" borderId="0" applyNumberFormat="0" applyBorder="0" applyAlignment="0" applyProtection="0"/>
    <xf numFmtId="175" fontId="4"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4" fillId="65" borderId="0" applyNumberFormat="0" applyBorder="0" applyAlignment="0" applyProtection="0"/>
    <xf numFmtId="175" fontId="4"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4" fillId="69" borderId="0" applyNumberFormat="0" applyBorder="0" applyAlignment="0" applyProtection="0"/>
    <xf numFmtId="175" fontId="4"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4" fillId="73" borderId="0" applyNumberFormat="0" applyBorder="0" applyAlignment="0" applyProtection="0"/>
    <xf numFmtId="175" fontId="4"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4" fillId="77" borderId="0" applyNumberFormat="0" applyBorder="0" applyAlignment="0" applyProtection="0"/>
    <xf numFmtId="175" fontId="4"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4" fillId="81" borderId="0" applyNumberFormat="0" applyBorder="0" applyAlignment="0" applyProtection="0"/>
    <xf numFmtId="175" fontId="4"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4" fillId="85" borderId="0" applyNumberFormat="0" applyBorder="0" applyAlignment="0" applyProtection="0"/>
    <xf numFmtId="175" fontId="4" fillId="86" borderId="0" applyNumberFormat="0" applyBorder="0" applyAlignment="0" applyProtection="0"/>
    <xf numFmtId="175" fontId="92" fillId="87" borderId="0" applyNumberFormat="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4" fillId="65" borderId="0" applyNumberFormat="0" applyBorder="0" applyAlignment="0" applyProtection="0"/>
    <xf numFmtId="175" fontId="4"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4" fillId="69" borderId="0" applyNumberFormat="0" applyBorder="0" applyAlignment="0" applyProtection="0"/>
    <xf numFmtId="175" fontId="4"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4" fillId="73" borderId="0" applyNumberFormat="0" applyBorder="0" applyAlignment="0" applyProtection="0"/>
    <xf numFmtId="175" fontId="4"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4" fillId="77" borderId="0" applyNumberFormat="0" applyBorder="0" applyAlignment="0" applyProtection="0"/>
    <xf numFmtId="175" fontId="4"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4" fillId="81" borderId="0" applyNumberFormat="0" applyBorder="0" applyAlignment="0" applyProtection="0"/>
    <xf numFmtId="175" fontId="4"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4" fillId="85" borderId="0" applyNumberFormat="0" applyBorder="0" applyAlignment="0" applyProtection="0"/>
    <xf numFmtId="175" fontId="4"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4" fillId="65" borderId="0" applyNumberFormat="0" applyBorder="0" applyAlignment="0" applyProtection="0"/>
    <xf numFmtId="175" fontId="4"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4" fillId="69" borderId="0" applyNumberFormat="0" applyBorder="0" applyAlignment="0" applyProtection="0"/>
    <xf numFmtId="175" fontId="4"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4" fillId="73" borderId="0" applyNumberFormat="0" applyBorder="0" applyAlignment="0" applyProtection="0"/>
    <xf numFmtId="175" fontId="4"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4" fillId="77" borderId="0" applyNumberFormat="0" applyBorder="0" applyAlignment="0" applyProtection="0"/>
    <xf numFmtId="175" fontId="4"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4" fillId="81" borderId="0" applyNumberFormat="0" applyBorder="0" applyAlignment="0" applyProtection="0"/>
    <xf numFmtId="175" fontId="4"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4" fillId="85" borderId="0" applyNumberFormat="0" applyBorder="0" applyAlignment="0" applyProtection="0"/>
    <xf numFmtId="175" fontId="4" fillId="86" borderId="0" applyNumberFormat="0" applyBorder="0" applyAlignment="0" applyProtection="0"/>
    <xf numFmtId="175" fontId="92" fillId="87" borderId="0" applyNumberFormat="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175" fontId="4" fillId="0" borderId="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175" fontId="89" fillId="0" borderId="87" applyNumberFormat="0" applyFill="0" applyAlignment="0" applyProtection="0"/>
    <xf numFmtId="175" fontId="3" fillId="70" borderId="0" applyNumberFormat="0" applyBorder="0" applyAlignment="0" applyProtection="0"/>
    <xf numFmtId="175" fontId="92" fillId="80" borderId="0" applyNumberFormat="0" applyBorder="0" applyAlignment="0" applyProtection="0"/>
    <xf numFmtId="175" fontId="87" fillId="62" borderId="86" applyNumberFormat="0" applyAlignment="0" applyProtection="0"/>
    <xf numFmtId="0" fontId="45" fillId="3" borderId="98" applyNumberFormat="0" applyAlignment="0" applyProtection="0"/>
    <xf numFmtId="0" fontId="52" fillId="5" borderId="98" applyNumberFormat="0" applyAlignment="0" applyProtection="0"/>
    <xf numFmtId="0" fontId="11" fillId="18" borderId="99" applyNumberFormat="0" applyFont="0" applyAlignment="0" applyProtection="0"/>
    <xf numFmtId="0" fontId="55" fillId="3" borderId="100" applyNumberFormat="0" applyAlignment="0" applyProtection="0"/>
    <xf numFmtId="175" fontId="92" fillId="67" borderId="0" applyNumberFormat="0" applyBorder="0" applyAlignment="0" applyProtection="0"/>
    <xf numFmtId="0" fontId="57" fillId="0" borderId="101" applyNumberFormat="0" applyFill="0" applyAlignment="0" applyProtection="0"/>
    <xf numFmtId="175" fontId="90" fillId="63" borderId="88" applyNumberFormat="0" applyAlignment="0" applyProtection="0"/>
    <xf numFmtId="175" fontId="3" fillId="69" borderId="0" applyNumberFormat="0" applyBorder="0" applyAlignment="0" applyProtection="0"/>
    <xf numFmtId="175" fontId="3" fillId="82" borderId="0" applyNumberFormat="0" applyBorder="0" applyAlignment="0" applyProtection="0"/>
    <xf numFmtId="175" fontId="3" fillId="66" borderId="0" applyNumberFormat="0" applyBorder="0" applyAlignment="0" applyProtection="0"/>
    <xf numFmtId="175" fontId="91" fillId="0" borderId="0" applyNumberFormat="0" applyFill="0" applyBorder="0" applyAlignment="0" applyProtection="0"/>
    <xf numFmtId="175" fontId="92" fillId="68"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92" fillId="68" borderId="0" applyNumberFormat="0" applyBorder="0" applyAlignment="0" applyProtection="0"/>
    <xf numFmtId="175" fontId="3" fillId="74" borderId="0" applyNumberFormat="0" applyBorder="0" applyAlignment="0" applyProtection="0"/>
    <xf numFmtId="175" fontId="92" fillId="67" borderId="0" applyNumberFormat="0" applyBorder="0" applyAlignment="0" applyProtection="0"/>
    <xf numFmtId="175" fontId="92" fillId="75" borderId="0" applyNumberFormat="0" applyBorder="0" applyAlignment="0" applyProtection="0"/>
    <xf numFmtId="175" fontId="3" fillId="81" borderId="0" applyNumberFormat="0" applyBorder="0" applyAlignment="0" applyProtection="0"/>
    <xf numFmtId="175" fontId="92" fillId="64" borderId="0" applyNumberFormat="0" applyBorder="0" applyAlignment="0" applyProtection="0"/>
    <xf numFmtId="175" fontId="90" fillId="63" borderId="88" applyNumberFormat="0" applyAlignment="0" applyProtection="0"/>
    <xf numFmtId="175" fontId="91" fillId="0" borderId="0" applyNumberForma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75" fontId="3" fillId="77" borderId="0" applyNumberFormat="0" applyBorder="0" applyAlignment="0" applyProtection="0"/>
    <xf numFmtId="175" fontId="89" fillId="0" borderId="87" applyNumberFormat="0" applyFill="0" applyAlignment="0" applyProtection="0"/>
    <xf numFmtId="12" fontId="38" fillId="0" borderId="92" applyFont="0" applyFill="0" applyBorder="0" applyAlignment="0" applyProtection="0"/>
    <xf numFmtId="175" fontId="92" fillId="72" borderId="0" applyNumberFormat="0" applyBorder="0" applyAlignment="0" applyProtection="0"/>
    <xf numFmtId="175" fontId="3" fillId="69" borderId="0" applyNumberFormat="0" applyBorder="0" applyAlignment="0" applyProtection="0"/>
    <xf numFmtId="175" fontId="92" fillId="72" borderId="0" applyNumberFormat="0" applyBorder="0" applyAlignment="0" applyProtection="0"/>
    <xf numFmtId="175" fontId="3" fillId="85" borderId="0" applyNumberFormat="0" applyBorder="0" applyAlignment="0" applyProtection="0"/>
    <xf numFmtId="175" fontId="92" fillId="68" borderId="0" applyNumberFormat="0" applyBorder="0" applyAlignment="0" applyProtection="0"/>
    <xf numFmtId="175" fontId="86" fillId="61" borderId="0" applyNumberFormat="0" applyBorder="0" applyAlignment="0" applyProtection="0"/>
    <xf numFmtId="175" fontId="89" fillId="0" borderId="87" applyNumberFormat="0" applyFill="0" applyAlignment="0" applyProtection="0"/>
    <xf numFmtId="175" fontId="92" fillId="64" borderId="0" applyNumberFormat="0" applyBorder="0" applyAlignment="0" applyProtection="0"/>
    <xf numFmtId="175" fontId="92" fillId="76" borderId="0" applyNumberFormat="0" applyBorder="0" applyAlignment="0" applyProtection="0"/>
    <xf numFmtId="175" fontId="92" fillId="72" borderId="0" applyNumberFormat="0" applyBorder="0" applyAlignment="0" applyProtection="0"/>
    <xf numFmtId="175" fontId="86" fillId="61" borderId="0" applyNumberFormat="0" applyBorder="0" applyAlignment="0" applyProtection="0"/>
    <xf numFmtId="175" fontId="3" fillId="69" borderId="0" applyNumberFormat="0" applyBorder="0" applyAlignment="0" applyProtection="0"/>
    <xf numFmtId="175" fontId="92" fillId="71" borderId="0" applyNumberFormat="0" applyBorder="0" applyAlignment="0" applyProtection="0"/>
    <xf numFmtId="175" fontId="92" fillId="83" borderId="0" applyNumberFormat="0" applyBorder="0" applyAlignment="0" applyProtection="0"/>
    <xf numFmtId="175" fontId="3" fillId="66" borderId="0" applyNumberFormat="0" applyBorder="0" applyAlignment="0" applyProtection="0"/>
    <xf numFmtId="175" fontId="3" fillId="65" borderId="0" applyNumberFormat="0" applyBorder="0" applyAlignment="0" applyProtection="0"/>
    <xf numFmtId="175" fontId="92" fillId="80" borderId="0" applyNumberFormat="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75" fontId="92" fillId="79" borderId="0" applyNumberFormat="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75" fontId="3" fillId="65" borderId="0" applyNumberFormat="0" applyBorder="0" applyAlignment="0" applyProtection="0"/>
    <xf numFmtId="175" fontId="86" fillId="61" borderId="0" applyNumberFormat="0" applyBorder="0" applyAlignment="0" applyProtection="0"/>
    <xf numFmtId="0" fontId="3"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12" fontId="38" fillId="0" borderId="92" applyFont="0" applyFill="0" applyBorder="0" applyAlignment="0" applyProtection="0"/>
    <xf numFmtId="175" fontId="3" fillId="81" borderId="0" applyNumberFormat="0" applyBorder="0" applyAlignment="0" applyProtection="0"/>
    <xf numFmtId="175" fontId="92" fillId="68" borderId="0" applyNumberFormat="0" applyBorder="0" applyAlignment="0" applyProtection="0"/>
    <xf numFmtId="175" fontId="91" fillId="0" borderId="0" applyNumberFormat="0" applyFill="0" applyBorder="0" applyAlignment="0" applyProtection="0"/>
    <xf numFmtId="175" fontId="92" fillId="80" borderId="0" applyNumberFormat="0" applyBorder="0" applyAlignment="0" applyProtection="0"/>
    <xf numFmtId="175" fontId="92" fillId="87" borderId="0" applyNumberFormat="0" applyBorder="0" applyAlignment="0" applyProtection="0"/>
    <xf numFmtId="175" fontId="3" fillId="65" borderId="0" applyNumberFormat="0" applyBorder="0" applyAlignment="0" applyProtection="0"/>
    <xf numFmtId="175" fontId="3" fillId="70" borderId="0" applyNumberFormat="0" applyBorder="0" applyAlignment="0" applyProtection="0"/>
    <xf numFmtId="175" fontId="86" fillId="61"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67" borderId="0" applyNumberFormat="0" applyBorder="0" applyAlignment="0" applyProtection="0"/>
    <xf numFmtId="0" fontId="3"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175" fontId="92" fillId="68" borderId="0" applyNumberFormat="0" applyBorder="0" applyAlignment="0" applyProtection="0"/>
    <xf numFmtId="175" fontId="92" fillId="87" borderId="0" applyNumberFormat="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0" fontId="3" fillId="0" borderId="0"/>
    <xf numFmtId="43" fontId="3" fillId="0" borderId="0" applyFont="0" applyFill="0" applyBorder="0" applyAlignment="0" applyProtection="0"/>
    <xf numFmtId="9" fontId="3" fillId="0" borderId="0" applyFont="0" applyFill="0" applyBorder="0" applyAlignment="0" applyProtection="0"/>
    <xf numFmtId="12" fontId="38" fillId="0" borderId="92"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0" fontId="3" fillId="0" borderId="0"/>
    <xf numFmtId="43" fontId="3" fillId="0" borderId="0" applyFont="0" applyFill="0" applyBorder="0" applyAlignment="0" applyProtection="0"/>
    <xf numFmtId="9" fontId="3" fillId="0" borderId="0" applyFont="0" applyFill="0" applyBorder="0" applyAlignment="0" applyProtection="0"/>
    <xf numFmtId="12" fontId="38" fillId="0" borderId="92"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2" fontId="38" fillId="0" borderId="92" applyFont="0" applyFill="0" applyBorder="0" applyAlignment="0" applyProtection="0"/>
    <xf numFmtId="175" fontId="3" fillId="74" borderId="0" applyNumberFormat="0" applyBorder="0" applyAlignment="0" applyProtection="0"/>
    <xf numFmtId="175" fontId="92" fillId="84" borderId="0" applyNumberFormat="0" applyBorder="0" applyAlignment="0" applyProtection="0"/>
    <xf numFmtId="175" fontId="85" fillId="60" borderId="0" applyNumberFormat="0" applyBorder="0" applyAlignment="0" applyProtection="0"/>
    <xf numFmtId="175" fontId="3" fillId="73" borderId="0" applyNumberFormat="0" applyBorder="0" applyAlignment="0" applyProtection="0"/>
    <xf numFmtId="175" fontId="92" fillId="68" borderId="0" applyNumberFormat="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77" borderId="0" applyNumberFormat="0" applyBorder="0" applyAlignment="0" applyProtection="0"/>
    <xf numFmtId="175" fontId="92" fillId="84" borderId="0" applyNumberFormat="0" applyBorder="0" applyAlignment="0" applyProtection="0"/>
    <xf numFmtId="175" fontId="3" fillId="65" borderId="0" applyNumberFormat="0" applyBorder="0" applyAlignment="0" applyProtection="0"/>
    <xf numFmtId="12" fontId="38" fillId="0" borderId="92" applyFont="0" applyFill="0" applyBorder="0" applyAlignment="0" applyProtection="0"/>
    <xf numFmtId="175" fontId="3" fillId="70" borderId="0" applyNumberFormat="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175" fontId="88" fillId="62" borderId="85" applyNumberFormat="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85" fillId="60" borderId="0" applyNumberFormat="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92" fillId="84" borderId="0" applyNumberFormat="0" applyBorder="0" applyAlignment="0" applyProtection="0"/>
    <xf numFmtId="175" fontId="3" fillId="77" borderId="0" applyNumberFormat="0" applyBorder="0" applyAlignment="0" applyProtection="0"/>
    <xf numFmtId="175" fontId="3" fillId="66" borderId="0" applyNumberFormat="0" applyBorder="0" applyAlignment="0" applyProtection="0"/>
    <xf numFmtId="175" fontId="92" fillId="76" borderId="0" applyNumberFormat="0" applyBorder="0" applyAlignment="0" applyProtection="0"/>
    <xf numFmtId="175" fontId="3" fillId="85" borderId="0" applyNumberFormat="0" applyBorder="0" applyAlignment="0" applyProtection="0"/>
    <xf numFmtId="175" fontId="3" fillId="74" borderId="0" applyNumberFormat="0" applyBorder="0" applyAlignment="0" applyProtection="0"/>
    <xf numFmtId="175" fontId="87" fillId="62" borderId="86"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82" borderId="0" applyNumberFormat="0" applyBorder="0" applyAlignment="0" applyProtection="0"/>
    <xf numFmtId="175" fontId="89" fillId="0" borderId="87" applyNumberFormat="0" applyFill="0" applyAlignment="0" applyProtection="0"/>
    <xf numFmtId="175" fontId="90" fillId="63" borderId="88" applyNumberFormat="0" applyAlignment="0" applyProtection="0"/>
    <xf numFmtId="175" fontId="92" fillId="75" borderId="0" applyNumberFormat="0" applyBorder="0" applyAlignment="0" applyProtection="0"/>
    <xf numFmtId="175" fontId="3" fillId="86" borderId="0" applyNumberFormat="0" applyBorder="0" applyAlignment="0" applyProtection="0"/>
    <xf numFmtId="175" fontId="92" fillId="71" borderId="0" applyNumberFormat="0" applyBorder="0" applyAlignment="0" applyProtection="0"/>
    <xf numFmtId="175" fontId="3" fillId="73" borderId="0" applyNumberFormat="0" applyBorder="0" applyAlignment="0" applyProtection="0"/>
    <xf numFmtId="175" fontId="3" fillId="81" borderId="0" applyNumberFormat="0" applyBorder="0" applyAlignment="0" applyProtection="0"/>
    <xf numFmtId="175" fontId="92" fillId="83" borderId="0" applyNumberFormat="0" applyBorder="0" applyAlignment="0" applyProtection="0"/>
    <xf numFmtId="175" fontId="3" fillId="82" borderId="0" applyNumberFormat="0" applyBorder="0" applyAlignment="0" applyProtection="0"/>
    <xf numFmtId="175" fontId="3" fillId="86" borderId="0" applyNumberFormat="0" applyBorder="0" applyAlignment="0" applyProtection="0"/>
    <xf numFmtId="175" fontId="90" fillId="63" borderId="88" applyNumberFormat="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175" fontId="3" fillId="78" borderId="0" applyNumberFormat="0" applyBorder="0" applyAlignment="0" applyProtection="0"/>
    <xf numFmtId="175" fontId="87" fillId="62" borderId="86" applyNumberFormat="0" applyAlignment="0" applyProtection="0"/>
    <xf numFmtId="175" fontId="92" fillId="79" borderId="0" applyNumberFormat="0" applyBorder="0" applyAlignment="0" applyProtection="0"/>
    <xf numFmtId="175" fontId="3" fillId="82" borderId="0" applyNumberFormat="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175" fontId="3" fillId="85" borderId="0" applyNumberFormat="0" applyBorder="0" applyAlignment="0" applyProtection="0"/>
    <xf numFmtId="175" fontId="92" fillId="72" borderId="0" applyNumberFormat="0" applyBorder="0" applyAlignment="0" applyProtection="0"/>
    <xf numFmtId="175" fontId="85" fillId="60" borderId="0" applyNumberFormat="0" applyBorder="0" applyAlignment="0" applyProtection="0"/>
    <xf numFmtId="175" fontId="3" fillId="74" borderId="0" applyNumberFormat="0" applyBorder="0" applyAlignment="0" applyProtection="0"/>
    <xf numFmtId="175" fontId="3" fillId="86" borderId="0" applyNumberFormat="0" applyBorder="0" applyAlignment="0" applyProtection="0"/>
    <xf numFmtId="175" fontId="92" fillId="76" borderId="0" applyNumberFormat="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175" fontId="3" fillId="66" borderId="0" applyNumberFormat="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190" fontId="20" fillId="47" borderId="91" applyFont="0" applyFill="0" applyBorder="0" applyAlignment="0" applyProtection="0">
      <alignment horizontal="center"/>
      <protection locked="0"/>
    </xf>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175" fontId="3"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175" fontId="3" fillId="81" borderId="0" applyNumberFormat="0" applyBorder="0" applyAlignment="0" applyProtection="0"/>
    <xf numFmtId="175" fontId="92" fillId="71" borderId="0" applyNumberFormat="0" applyBorder="0" applyAlignment="0" applyProtection="0"/>
    <xf numFmtId="175" fontId="92" fillId="75" borderId="0" applyNumberFormat="0" applyBorder="0" applyAlignment="0" applyProtection="0"/>
    <xf numFmtId="175" fontId="3" fillId="66" borderId="0" applyNumberFormat="0" applyBorder="0" applyAlignment="0" applyProtection="0"/>
    <xf numFmtId="175" fontId="85" fillId="60" borderId="0" applyNumberFormat="0" applyBorder="0" applyAlignment="0" applyProtection="0"/>
    <xf numFmtId="175" fontId="92" fillId="83" borderId="0" applyNumberFormat="0" applyBorder="0" applyAlignment="0" applyProtection="0"/>
    <xf numFmtId="175" fontId="3" fillId="69"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91" fillId="0" borderId="0" applyNumberFormat="0" applyFill="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92" fillId="80" borderId="0" applyNumberFormat="0" applyBorder="0" applyAlignment="0" applyProtection="0"/>
    <xf numFmtId="175" fontId="85" fillId="60" borderId="0" applyNumberFormat="0" applyBorder="0" applyAlignment="0" applyProtection="0"/>
    <xf numFmtId="175" fontId="3" fillId="74" borderId="0" applyNumberFormat="0" applyBorder="0" applyAlignment="0" applyProtection="0"/>
    <xf numFmtId="175" fontId="92" fillId="67" borderId="0" applyNumberFormat="0" applyBorder="0" applyAlignment="0" applyProtection="0"/>
    <xf numFmtId="175" fontId="86" fillId="61" borderId="0" applyNumberFormat="0" applyBorder="0" applyAlignment="0" applyProtection="0"/>
    <xf numFmtId="175" fontId="3" fillId="86" borderId="0" applyNumberFormat="0" applyBorder="0" applyAlignment="0" applyProtection="0"/>
    <xf numFmtId="175" fontId="92" fillId="83" borderId="0" applyNumberFormat="0" applyBorder="0" applyAlignment="0" applyProtection="0"/>
    <xf numFmtId="175" fontId="92" fillId="76" borderId="0" applyNumberFormat="0" applyBorder="0" applyAlignment="0" applyProtection="0"/>
    <xf numFmtId="175" fontId="3" fillId="73" borderId="0" applyNumberFormat="0" applyBorder="0" applyAlignment="0" applyProtection="0"/>
    <xf numFmtId="175" fontId="3" fillId="85" borderId="0" applyNumberFormat="0" applyBorder="0" applyAlignment="0" applyProtection="0"/>
    <xf numFmtId="175" fontId="3" fillId="77" borderId="0" applyNumberFormat="0" applyBorder="0" applyAlignment="0" applyProtection="0"/>
    <xf numFmtId="175" fontId="3" fillId="70" borderId="0" applyNumberFormat="0" applyBorder="0" applyAlignment="0" applyProtection="0"/>
    <xf numFmtId="175" fontId="92" fillId="75" borderId="0" applyNumberFormat="0" applyBorder="0" applyAlignment="0" applyProtection="0"/>
    <xf numFmtId="175" fontId="92" fillId="67" borderId="0" applyNumberFormat="0" applyBorder="0" applyAlignment="0" applyProtection="0"/>
    <xf numFmtId="175" fontId="91" fillId="0" borderId="0" applyNumberFormat="0" applyFill="0" applyBorder="0" applyAlignment="0" applyProtection="0"/>
    <xf numFmtId="175" fontId="88" fillId="62" borderId="85" applyNumberFormat="0" applyAlignment="0" applyProtection="0"/>
    <xf numFmtId="175" fontId="92" fillId="71" borderId="0" applyNumberFormat="0" applyBorder="0" applyAlignment="0" applyProtection="0"/>
    <xf numFmtId="175" fontId="90" fillId="63" borderId="88" applyNumberFormat="0" applyAlignment="0" applyProtection="0"/>
    <xf numFmtId="175" fontId="92" fillId="87" borderId="0" applyNumberFormat="0" applyBorder="0" applyAlignment="0" applyProtection="0"/>
    <xf numFmtId="175" fontId="92" fillId="79" borderId="0" applyNumberFormat="0" applyBorder="0" applyAlignment="0" applyProtection="0"/>
    <xf numFmtId="175" fontId="3" fillId="69" borderId="0" applyNumberFormat="0" applyBorder="0" applyAlignment="0" applyProtection="0"/>
    <xf numFmtId="175" fontId="3" fillId="73" borderId="0" applyNumberFormat="0" applyBorder="0" applyAlignment="0" applyProtection="0"/>
    <xf numFmtId="175" fontId="92" fillId="64" borderId="0" applyNumberFormat="0" applyBorder="0" applyAlignment="0" applyProtection="0"/>
    <xf numFmtId="175" fontId="3" fillId="78" borderId="0" applyNumberFormat="0" applyBorder="0" applyAlignment="0" applyProtection="0"/>
    <xf numFmtId="175" fontId="92" fillId="87" borderId="0" applyNumberFormat="0" applyBorder="0" applyAlignment="0" applyProtection="0"/>
    <xf numFmtId="175" fontId="3" fillId="73" borderId="0" applyNumberFormat="0" applyBorder="0" applyAlignment="0" applyProtection="0"/>
    <xf numFmtId="175" fontId="92" fillId="84" borderId="0" applyNumberFormat="0" applyBorder="0" applyAlignment="0" applyProtection="0"/>
    <xf numFmtId="175" fontId="3" fillId="78" borderId="0" applyNumberFormat="0" applyBorder="0" applyAlignment="0" applyProtection="0"/>
    <xf numFmtId="175" fontId="92" fillId="67" borderId="0" applyNumberFormat="0" applyBorder="0" applyAlignment="0" applyProtection="0"/>
    <xf numFmtId="175" fontId="89" fillId="0" borderId="87" applyNumberFormat="0" applyFill="0" applyAlignment="0" applyProtection="0"/>
    <xf numFmtId="175" fontId="92" fillId="80" borderId="0" applyNumberFormat="0" applyBorder="0" applyAlignment="0" applyProtection="0"/>
    <xf numFmtId="175" fontId="90" fillId="63" borderId="88" applyNumberFormat="0" applyAlignment="0" applyProtection="0"/>
    <xf numFmtId="175" fontId="92" fillId="79" borderId="0" applyNumberFormat="0" applyBorder="0" applyAlignment="0" applyProtection="0"/>
    <xf numFmtId="175" fontId="89" fillId="0" borderId="87" applyNumberFormat="0" applyFill="0" applyAlignment="0" applyProtection="0"/>
    <xf numFmtId="175" fontId="3" fillId="86" borderId="0" applyNumberFormat="0" applyBorder="0" applyAlignment="0" applyProtection="0"/>
    <xf numFmtId="175" fontId="92" fillId="72"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3" fillId="66"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92" fillId="83" borderId="0" applyNumberFormat="0" applyBorder="0" applyAlignment="0" applyProtection="0"/>
    <xf numFmtId="175" fontId="88" fillId="62" borderId="85" applyNumberFormat="0" applyAlignment="0" applyProtection="0"/>
    <xf numFmtId="175" fontId="3" fillId="77" borderId="0" applyNumberFormat="0" applyBorder="0" applyAlignment="0" applyProtection="0"/>
    <xf numFmtId="175" fontId="3" fillId="78" borderId="0" applyNumberFormat="0" applyBorder="0" applyAlignment="0" applyProtection="0"/>
    <xf numFmtId="175" fontId="88" fillId="62" borderId="85" applyNumberFormat="0" applyAlignment="0" applyProtection="0"/>
    <xf numFmtId="175" fontId="92" fillId="84" borderId="0" applyNumberFormat="0" applyBorder="0" applyAlignment="0" applyProtection="0"/>
    <xf numFmtId="175" fontId="3" fillId="70"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92" fillId="64"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3" fillId="81" borderId="0" applyNumberFormat="0" applyBorder="0" applyAlignment="0" applyProtection="0"/>
    <xf numFmtId="175" fontId="86" fillId="61" borderId="0" applyNumberFormat="0" applyBorder="0" applyAlignment="0" applyProtection="0"/>
    <xf numFmtId="175" fontId="92" fillId="75" borderId="0" applyNumberFormat="0" applyBorder="0" applyAlignment="0" applyProtection="0"/>
    <xf numFmtId="175" fontId="3" fillId="85" borderId="0" applyNumberFormat="0" applyBorder="0" applyAlignment="0" applyProtection="0"/>
    <xf numFmtId="175" fontId="92" fillId="71"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3" fillId="65"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3" fillId="82" borderId="0" applyNumberFormat="0" applyBorder="0" applyAlignment="0" applyProtection="0"/>
    <xf numFmtId="175" fontId="87" fillId="62" borderId="86" applyNumberFormat="0" applyAlignment="0" applyProtection="0"/>
    <xf numFmtId="175" fontId="92" fillId="76"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3" fillId="65" borderId="0" applyNumberFormat="0" applyBorder="0" applyAlignment="0" applyProtection="0"/>
    <xf numFmtId="175" fontId="3"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3" fillId="69" borderId="0" applyNumberFormat="0" applyBorder="0" applyAlignment="0" applyProtection="0"/>
    <xf numFmtId="175" fontId="3"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3" fillId="73" borderId="0" applyNumberFormat="0" applyBorder="0" applyAlignment="0" applyProtection="0"/>
    <xf numFmtId="175" fontId="3"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3" fillId="77" borderId="0" applyNumberFormat="0" applyBorder="0" applyAlignment="0" applyProtection="0"/>
    <xf numFmtId="175" fontId="3"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3" fillId="81" borderId="0" applyNumberFormat="0" applyBorder="0" applyAlignment="0" applyProtection="0"/>
    <xf numFmtId="175" fontId="3"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3" fillId="85" borderId="0" applyNumberFormat="0" applyBorder="0" applyAlignment="0" applyProtection="0"/>
    <xf numFmtId="175" fontId="3" fillId="86" borderId="0" applyNumberFormat="0" applyBorder="0" applyAlignment="0" applyProtection="0"/>
    <xf numFmtId="175" fontId="92" fillId="87" borderId="0" applyNumberFormat="0" applyBorder="0" applyAlignment="0" applyProtection="0"/>
    <xf numFmtId="175" fontId="92" fillId="67" borderId="0" applyNumberFormat="0" applyBorder="0" applyAlignment="0" applyProtection="0"/>
    <xf numFmtId="175" fontId="2" fillId="66" borderId="0" applyNumberFormat="0" applyBorder="0" applyAlignment="0" applyProtection="0"/>
    <xf numFmtId="175" fontId="2" fillId="65" borderId="0" applyNumberFormat="0" applyBorder="0" applyAlignment="0" applyProtection="0"/>
    <xf numFmtId="175" fontId="92" fillId="64" borderId="0" applyNumberFormat="0" applyBorder="0" applyAlignment="0" applyProtection="0"/>
    <xf numFmtId="175" fontId="91" fillId="0" borderId="0" applyNumberFormat="0" applyFill="0" applyBorder="0" applyAlignment="0" applyProtection="0"/>
    <xf numFmtId="175" fontId="90" fillId="63" borderId="88" applyNumberFormat="0" applyAlignment="0" applyProtection="0"/>
    <xf numFmtId="175" fontId="2" fillId="77" borderId="0" applyNumberFormat="0" applyBorder="0" applyAlignment="0" applyProtection="0"/>
    <xf numFmtId="175" fontId="92" fillId="76" borderId="0" applyNumberFormat="0" applyBorder="0" applyAlignment="0" applyProtection="0"/>
    <xf numFmtId="175" fontId="92" fillId="75" borderId="0" applyNumberFormat="0" applyBorder="0" applyAlignment="0" applyProtection="0"/>
    <xf numFmtId="175" fontId="2" fillId="74" borderId="0" applyNumberFormat="0" applyBorder="0" applyAlignment="0" applyProtection="0"/>
    <xf numFmtId="175" fontId="2" fillId="73" borderId="0" applyNumberFormat="0" applyBorder="0" applyAlignment="0" applyProtection="0"/>
    <xf numFmtId="175" fontId="92" fillId="72" borderId="0" applyNumberFormat="0" applyBorder="0" applyAlignment="0" applyProtection="0"/>
    <xf numFmtId="175" fontId="92" fillId="71" borderId="0" applyNumberFormat="0" applyBorder="0" applyAlignment="0" applyProtection="0"/>
    <xf numFmtId="175" fontId="2" fillId="70" borderId="0" applyNumberFormat="0" applyBorder="0" applyAlignment="0" applyProtection="0"/>
    <xf numFmtId="175" fontId="2" fillId="69" borderId="0" applyNumberFormat="0" applyBorder="0" applyAlignment="0" applyProtection="0"/>
    <xf numFmtId="175" fontId="92" fillId="68" borderId="0" applyNumberFormat="0" applyBorder="0" applyAlignment="0" applyProtection="0"/>
    <xf numFmtId="175" fontId="92" fillId="67" borderId="0" applyNumberFormat="0" applyBorder="0" applyAlignment="0" applyProtection="0"/>
    <xf numFmtId="175" fontId="2" fillId="66" borderId="0" applyNumberFormat="0" applyBorder="0" applyAlignment="0" applyProtection="0"/>
    <xf numFmtId="175" fontId="2" fillId="65" borderId="0" applyNumberFormat="0" applyBorder="0" applyAlignment="0" applyProtection="0"/>
    <xf numFmtId="175" fontId="92" fillId="64" borderId="0" applyNumberFormat="0" applyBorder="0" applyAlignment="0" applyProtection="0"/>
    <xf numFmtId="175" fontId="91" fillId="0" borderId="0" applyNumberFormat="0" applyFill="0" applyBorder="0" applyAlignment="0" applyProtection="0"/>
    <xf numFmtId="175" fontId="90" fillId="63" borderId="88" applyNumberFormat="0" applyAlignment="0" applyProtection="0"/>
    <xf numFmtId="175" fontId="89" fillId="0" borderId="87" applyNumberFormat="0" applyFill="0" applyAlignment="0" applyProtection="0"/>
    <xf numFmtId="175" fontId="88" fillId="62" borderId="85" applyNumberFormat="0" applyAlignment="0" applyProtection="0"/>
    <xf numFmtId="175" fontId="87" fillId="62" borderId="86" applyNumberFormat="0" applyAlignment="0" applyProtection="0"/>
    <xf numFmtId="175" fontId="86" fillId="61" borderId="0" applyNumberFormat="0" applyBorder="0" applyAlignment="0" applyProtection="0"/>
    <xf numFmtId="175" fontId="92" fillId="68" borderId="0" applyNumberFormat="0" applyBorder="0" applyAlignment="0" applyProtection="0"/>
    <xf numFmtId="175" fontId="92" fillId="67" borderId="0" applyNumberFormat="0" applyBorder="0" applyAlignment="0" applyProtection="0"/>
    <xf numFmtId="175" fontId="2" fillId="66" borderId="0" applyNumberFormat="0" applyBorder="0" applyAlignment="0" applyProtection="0"/>
    <xf numFmtId="175" fontId="92" fillId="64" borderId="0" applyNumberFormat="0" applyBorder="0" applyAlignment="0" applyProtection="0"/>
    <xf numFmtId="175" fontId="91" fillId="0" borderId="0" applyNumberFormat="0" applyFill="0" applyBorder="0" applyAlignment="0" applyProtection="0"/>
    <xf numFmtId="175" fontId="89" fillId="0" borderId="87" applyNumberFormat="0" applyFill="0" applyAlignment="0" applyProtection="0"/>
    <xf numFmtId="175" fontId="2" fillId="70" borderId="0" applyNumberFormat="0" applyBorder="0" applyAlignment="0" applyProtection="0"/>
    <xf numFmtId="175" fontId="92" fillId="80" borderId="0" applyNumberFormat="0" applyBorder="0" applyAlignment="0" applyProtection="0"/>
    <xf numFmtId="175" fontId="92" fillId="64" borderId="0" applyNumberFormat="0" applyBorder="0" applyAlignment="0" applyProtection="0"/>
    <xf numFmtId="175" fontId="92" fillId="8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82" borderId="0" applyNumberFormat="0" applyBorder="0" applyAlignment="0" applyProtection="0"/>
    <xf numFmtId="175" fontId="2" fillId="85" borderId="0" applyNumberFormat="0" applyBorder="0" applyAlignment="0" applyProtection="0"/>
    <xf numFmtId="175" fontId="92" fillId="67" borderId="0" applyNumberFormat="0" applyBorder="0" applyAlignment="0" applyProtection="0"/>
    <xf numFmtId="175" fontId="87" fillId="62" borderId="86" applyNumberFormat="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68" borderId="0" applyNumberFormat="0" applyBorder="0" applyAlignment="0" applyProtection="0"/>
    <xf numFmtId="175" fontId="2" fillId="70" borderId="0" applyNumberFormat="0" applyBorder="0" applyAlignment="0" applyProtection="0"/>
    <xf numFmtId="175" fontId="89" fillId="0" borderId="87" applyNumberFormat="0" applyFill="0" applyAlignment="0" applyProtection="0"/>
    <xf numFmtId="175" fontId="86" fillId="61" borderId="0" applyNumberFormat="0" applyBorder="0" applyAlignment="0" applyProtection="0"/>
    <xf numFmtId="175" fontId="2" fillId="73" borderId="0" applyNumberFormat="0" applyBorder="0" applyAlignment="0" applyProtection="0"/>
    <xf numFmtId="175" fontId="92" fillId="83" borderId="0" applyNumberFormat="0" applyBorder="0" applyAlignment="0" applyProtection="0"/>
    <xf numFmtId="175" fontId="92" fillId="80" borderId="0" applyNumberFormat="0" applyBorder="0" applyAlignment="0" applyProtection="0"/>
    <xf numFmtId="175" fontId="85" fillId="60" borderId="0" applyNumberFormat="0" applyBorder="0" applyAlignment="0" applyProtection="0"/>
    <xf numFmtId="175" fontId="2" fillId="78" borderId="0" applyNumberFormat="0" applyBorder="0" applyAlignment="0" applyProtection="0"/>
    <xf numFmtId="175" fontId="90" fillId="63" borderId="88" applyNumberFormat="0" applyAlignment="0" applyProtection="0"/>
    <xf numFmtId="175" fontId="87" fillId="62" borderId="86" applyNumberFormat="0" applyAlignment="0" applyProtection="0"/>
    <xf numFmtId="175" fontId="91" fillId="0" borderId="0" applyNumberFormat="0" applyFill="0" applyBorder="0" applyAlignment="0" applyProtection="0"/>
    <xf numFmtId="175" fontId="2" fillId="74" borderId="0" applyNumberFormat="0" applyBorder="0" applyAlignment="0" applyProtection="0"/>
    <xf numFmtId="175" fontId="85" fillId="60" borderId="0" applyNumberFormat="0" applyBorder="0" applyAlignment="0" applyProtection="0"/>
    <xf numFmtId="175" fontId="2" fillId="74" borderId="0" applyNumberFormat="0" applyBorder="0" applyAlignment="0" applyProtection="0"/>
    <xf numFmtId="175" fontId="92" fillId="84" borderId="0" applyNumberFormat="0" applyBorder="0" applyAlignment="0" applyProtection="0"/>
    <xf numFmtId="175" fontId="90" fillId="63" borderId="88" applyNumberFormat="0" applyAlignment="0" applyProtection="0"/>
    <xf numFmtId="175" fontId="91" fillId="0" borderId="0" applyNumberFormat="0" applyFill="0" applyBorder="0" applyAlignment="0" applyProtection="0"/>
    <xf numFmtId="175" fontId="2" fillId="69" borderId="0" applyNumberFormat="0" applyBorder="0" applyAlignment="0" applyProtection="0"/>
    <xf numFmtId="175" fontId="2" fillId="81" borderId="0" applyNumberFormat="0" applyBorder="0" applyAlignment="0" applyProtection="0"/>
    <xf numFmtId="175" fontId="92" fillId="68" borderId="0" applyNumberFormat="0" applyBorder="0" applyAlignment="0" applyProtection="0"/>
    <xf numFmtId="175" fontId="86" fillId="61" borderId="0" applyNumberFormat="0" applyBorder="0" applyAlignment="0" applyProtection="0"/>
    <xf numFmtId="175" fontId="2" fillId="66" borderId="0" applyNumberFormat="0" applyBorder="0" applyAlignment="0" applyProtection="0"/>
    <xf numFmtId="175" fontId="92" fillId="80" borderId="0" applyNumberFormat="0" applyBorder="0" applyAlignment="0" applyProtection="0"/>
    <xf numFmtId="175" fontId="2" fillId="74" borderId="0" applyNumberFormat="0" applyBorder="0" applyAlignment="0" applyProtection="0"/>
    <xf numFmtId="175" fontId="89" fillId="0" borderId="87" applyNumberFormat="0" applyFill="0" applyAlignment="0" applyProtection="0"/>
    <xf numFmtId="175" fontId="92" fillId="76" borderId="0" applyNumberFormat="0" applyBorder="0" applyAlignment="0" applyProtection="0"/>
    <xf numFmtId="175" fontId="2" fillId="66" borderId="0" applyNumberFormat="0" applyBorder="0" applyAlignment="0" applyProtection="0"/>
    <xf numFmtId="175" fontId="2" fillId="69" borderId="0" applyNumberFormat="0" applyBorder="0" applyAlignment="0" applyProtection="0"/>
    <xf numFmtId="175" fontId="2" fillId="86" borderId="0" applyNumberFormat="0" applyBorder="0" applyAlignment="0" applyProtection="0"/>
    <xf numFmtId="175" fontId="92" fillId="64" borderId="0" applyNumberFormat="0" applyBorder="0" applyAlignment="0" applyProtection="0"/>
    <xf numFmtId="175" fontId="92" fillId="76" borderId="0" applyNumberFormat="0" applyBorder="0" applyAlignment="0" applyProtection="0"/>
    <xf numFmtId="175" fontId="2" fillId="82" borderId="0" applyNumberFormat="0" applyBorder="0" applyAlignment="0" applyProtection="0"/>
    <xf numFmtId="175" fontId="92" fillId="72" borderId="0" applyNumberFormat="0" applyBorder="0" applyAlignment="0" applyProtection="0"/>
    <xf numFmtId="175" fontId="92" fillId="75" borderId="0" applyNumberFormat="0" applyBorder="0" applyAlignment="0" applyProtection="0"/>
    <xf numFmtId="175" fontId="2" fillId="69" borderId="0" applyNumberFormat="0" applyBorder="0" applyAlignment="0" applyProtection="0"/>
    <xf numFmtId="175" fontId="2" fillId="78" borderId="0" applyNumberFormat="0" applyBorder="0" applyAlignment="0" applyProtection="0"/>
    <xf numFmtId="175" fontId="89" fillId="0" borderId="87" applyNumberFormat="0" applyFill="0" applyAlignment="0" applyProtection="0"/>
    <xf numFmtId="175" fontId="92" fillId="67" borderId="0" applyNumberFormat="0" applyBorder="0" applyAlignment="0" applyProtection="0"/>
    <xf numFmtId="175" fontId="2" fillId="78" borderId="0" applyNumberFormat="0" applyBorder="0" applyAlignment="0" applyProtection="0"/>
    <xf numFmtId="175" fontId="2" fillId="77" borderId="0" applyNumberFormat="0" applyBorder="0" applyAlignment="0" applyProtection="0"/>
    <xf numFmtId="175" fontId="92" fillId="67" borderId="0" applyNumberFormat="0" applyBorder="0" applyAlignment="0" applyProtection="0"/>
    <xf numFmtId="175" fontId="2" fillId="82" borderId="0" applyNumberFormat="0" applyBorder="0" applyAlignment="0" applyProtection="0"/>
    <xf numFmtId="175" fontId="89" fillId="0" borderId="87" applyNumberFormat="0" applyFill="0" applyAlignment="0" applyProtection="0"/>
    <xf numFmtId="175" fontId="2" fillId="69" borderId="0" applyNumberFormat="0" applyBorder="0" applyAlignment="0" applyProtection="0"/>
    <xf numFmtId="175" fontId="92" fillId="71" borderId="0" applyNumberFormat="0" applyBorder="0" applyAlignment="0" applyProtection="0"/>
    <xf numFmtId="175" fontId="88" fillId="62" borderId="85" applyNumberFormat="0" applyAlignment="0" applyProtection="0"/>
    <xf numFmtId="175" fontId="2" fillId="82" borderId="0" applyNumberFormat="0" applyBorder="0" applyAlignment="0" applyProtection="0"/>
    <xf numFmtId="175" fontId="92" fillId="68" borderId="0" applyNumberFormat="0" applyBorder="0" applyAlignment="0" applyProtection="0"/>
    <xf numFmtId="175" fontId="85" fillId="60" borderId="0" applyNumberFormat="0" applyBorder="0" applyAlignment="0" applyProtection="0"/>
    <xf numFmtId="175" fontId="2" fillId="81" borderId="0" applyNumberFormat="0" applyBorder="0" applyAlignment="0" applyProtection="0"/>
    <xf numFmtId="175" fontId="91" fillId="0" borderId="0" applyNumberFormat="0" applyFill="0" applyBorder="0" applyAlignment="0" applyProtection="0"/>
    <xf numFmtId="175" fontId="91" fillId="0" borderId="0" applyNumberFormat="0" applyFill="0" applyBorder="0" applyAlignment="0" applyProtection="0"/>
    <xf numFmtId="175" fontId="2" fillId="73" borderId="0" applyNumberFormat="0" applyBorder="0" applyAlignment="0" applyProtection="0"/>
    <xf numFmtId="175" fontId="92" fillId="84" borderId="0" applyNumberFormat="0" applyBorder="0" applyAlignment="0" applyProtection="0"/>
    <xf numFmtId="175" fontId="2" fillId="74" borderId="0" applyNumberFormat="0" applyBorder="0" applyAlignment="0" applyProtection="0"/>
    <xf numFmtId="175" fontId="2" fillId="70"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6" borderId="0" applyNumberFormat="0" applyBorder="0" applyAlignment="0" applyProtection="0"/>
    <xf numFmtId="175" fontId="2" fillId="81" borderId="0" applyNumberFormat="0" applyBorder="0" applyAlignment="0" applyProtection="0"/>
    <xf numFmtId="175" fontId="2" fillId="70" borderId="0" applyNumberFormat="0" applyBorder="0" applyAlignment="0" applyProtection="0"/>
    <xf numFmtId="175" fontId="2" fillId="82" borderId="0" applyNumberFormat="0" applyBorder="0" applyAlignment="0" applyProtection="0"/>
    <xf numFmtId="175" fontId="92" fillId="84" borderId="0" applyNumberFormat="0" applyBorder="0" applyAlignment="0" applyProtection="0"/>
    <xf numFmtId="175" fontId="85" fillId="60" borderId="0" applyNumberFormat="0" applyBorder="0" applyAlignment="0" applyProtection="0"/>
    <xf numFmtId="175" fontId="2" fillId="82" borderId="0" applyNumberFormat="0" applyBorder="0" applyAlignment="0" applyProtection="0"/>
    <xf numFmtId="175" fontId="2" fillId="74" borderId="0" applyNumberFormat="0" applyBorder="0" applyAlignment="0" applyProtection="0"/>
    <xf numFmtId="175" fontId="92" fillId="67" borderId="0" applyNumberFormat="0" applyBorder="0" applyAlignment="0" applyProtection="0"/>
    <xf numFmtId="175" fontId="2" fillId="69" borderId="0" applyNumberFormat="0" applyBorder="0" applyAlignment="0" applyProtection="0"/>
    <xf numFmtId="175" fontId="2" fillId="66" borderId="0" applyNumberFormat="0" applyBorder="0" applyAlignment="0" applyProtection="0"/>
    <xf numFmtId="175" fontId="2" fillId="85" borderId="0" applyNumberFormat="0" applyBorder="0" applyAlignment="0" applyProtection="0"/>
    <xf numFmtId="175" fontId="92" fillId="87" borderId="0" applyNumberFormat="0" applyBorder="0" applyAlignment="0" applyProtection="0"/>
    <xf numFmtId="175" fontId="2" fillId="77" borderId="0" applyNumberFormat="0" applyBorder="0" applyAlignment="0" applyProtection="0"/>
    <xf numFmtId="175" fontId="2" fillId="65" borderId="0" applyNumberFormat="0" applyBorder="0" applyAlignment="0" applyProtection="0"/>
    <xf numFmtId="175" fontId="89" fillId="0" borderId="87" applyNumberFormat="0" applyFill="0" applyAlignment="0" applyProtection="0"/>
    <xf numFmtId="175" fontId="86" fillId="61" borderId="0" applyNumberFormat="0" applyBorder="0" applyAlignment="0" applyProtection="0"/>
    <xf numFmtId="175" fontId="85" fillId="60" borderId="0" applyNumberFormat="0" applyBorder="0" applyAlignment="0" applyProtection="0"/>
    <xf numFmtId="175" fontId="2" fillId="85" borderId="0" applyNumberFormat="0" applyBorder="0" applyAlignment="0" applyProtection="0"/>
    <xf numFmtId="175" fontId="2" fillId="66" borderId="0" applyNumberFormat="0" applyBorder="0" applyAlignment="0" applyProtection="0"/>
    <xf numFmtId="175" fontId="86" fillId="61" borderId="0" applyNumberFormat="0" applyBorder="0" applyAlignment="0" applyProtection="0"/>
    <xf numFmtId="175" fontId="2" fillId="73" borderId="0" applyNumberFormat="0" applyBorder="0" applyAlignment="0" applyProtection="0"/>
    <xf numFmtId="175" fontId="92" fillId="84" borderId="0" applyNumberFormat="0" applyBorder="0" applyAlignment="0" applyProtection="0"/>
    <xf numFmtId="175" fontId="2" fillId="78" borderId="0" applyNumberFormat="0" applyBorder="0" applyAlignment="0" applyProtection="0"/>
    <xf numFmtId="175" fontId="85" fillId="60" borderId="0" applyNumberFormat="0" applyBorder="0" applyAlignment="0" applyProtection="0"/>
    <xf numFmtId="175" fontId="2" fillId="77" borderId="0" applyNumberFormat="0" applyBorder="0" applyAlignment="0" applyProtection="0"/>
    <xf numFmtId="175" fontId="2" fillId="65" borderId="0" applyNumberFormat="0" applyBorder="0" applyAlignment="0" applyProtection="0"/>
    <xf numFmtId="175" fontId="92" fillId="64" borderId="0" applyNumberFormat="0" applyBorder="0" applyAlignment="0" applyProtection="0"/>
    <xf numFmtId="175" fontId="2" fillId="70" borderId="0" applyNumberFormat="0" applyBorder="0" applyAlignment="0" applyProtection="0"/>
    <xf numFmtId="175" fontId="92" fillId="80" borderId="0" applyNumberFormat="0" applyBorder="0" applyAlignment="0" applyProtection="0"/>
    <xf numFmtId="175" fontId="2" fillId="78" borderId="0" applyNumberFormat="0" applyBorder="0" applyAlignment="0" applyProtection="0"/>
    <xf numFmtId="175" fontId="92" fillId="72" borderId="0" applyNumberFormat="0" applyBorder="0" applyAlignment="0" applyProtection="0"/>
    <xf numFmtId="175" fontId="2" fillId="82" borderId="0" applyNumberFormat="0" applyBorder="0" applyAlignment="0" applyProtection="0"/>
    <xf numFmtId="175" fontId="2" fillId="65" borderId="0" applyNumberFormat="0" applyBorder="0" applyAlignment="0" applyProtection="0"/>
    <xf numFmtId="175" fontId="89" fillId="0" borderId="87" applyNumberFormat="0" applyFill="0" applyAlignment="0" applyProtection="0"/>
    <xf numFmtId="175" fontId="92" fillId="79" borderId="0" applyNumberFormat="0" applyBorder="0" applyAlignment="0" applyProtection="0"/>
    <xf numFmtId="175" fontId="91" fillId="0" borderId="0" applyNumberFormat="0" applyFill="0" applyBorder="0" applyAlignment="0" applyProtection="0"/>
    <xf numFmtId="175" fontId="92" fillId="72" borderId="0" applyNumberFormat="0" applyBorder="0" applyAlignment="0" applyProtection="0"/>
    <xf numFmtId="175" fontId="2" fillId="81" borderId="0" applyNumberFormat="0" applyBorder="0" applyAlignment="0" applyProtection="0"/>
    <xf numFmtId="175" fontId="2" fillId="65" borderId="0" applyNumberFormat="0" applyBorder="0" applyAlignment="0" applyProtection="0"/>
    <xf numFmtId="175" fontId="92" fillId="80" borderId="0" applyNumberFormat="0" applyBorder="0" applyAlignment="0" applyProtection="0"/>
    <xf numFmtId="175" fontId="92" fillId="75" borderId="0" applyNumberFormat="0" applyBorder="0" applyAlignment="0" applyProtection="0"/>
    <xf numFmtId="175" fontId="92" fillId="67"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2" fillId="65" borderId="0" applyNumberFormat="0" applyBorder="0" applyAlignment="0" applyProtection="0"/>
    <xf numFmtId="175" fontId="2" fillId="77" borderId="0" applyNumberFormat="0" applyBorder="0" applyAlignment="0" applyProtection="0"/>
    <xf numFmtId="175" fontId="92" fillId="79" borderId="0" applyNumberFormat="0" applyBorder="0" applyAlignment="0" applyProtection="0"/>
    <xf numFmtId="175" fontId="92" fillId="87" borderId="0" applyNumberFormat="0" applyBorder="0" applyAlignment="0" applyProtection="0"/>
    <xf numFmtId="175" fontId="92" fillId="79" borderId="0" applyNumberFormat="0" applyBorder="0" applyAlignment="0" applyProtection="0"/>
    <xf numFmtId="175" fontId="2" fillId="69" borderId="0" applyNumberFormat="0" applyBorder="0" applyAlignment="0" applyProtection="0"/>
    <xf numFmtId="175" fontId="92" fillId="76" borderId="0" applyNumberFormat="0" applyBorder="0" applyAlignment="0" applyProtection="0"/>
    <xf numFmtId="175" fontId="91" fillId="0" borderId="0" applyNumberFormat="0" applyFill="0" applyBorder="0" applyAlignment="0" applyProtection="0"/>
    <xf numFmtId="175" fontId="2" fillId="65" borderId="0" applyNumberFormat="0" applyBorder="0" applyAlignment="0" applyProtection="0"/>
    <xf numFmtId="175" fontId="90" fillId="63" borderId="88" applyNumberFormat="0" applyAlignment="0" applyProtection="0"/>
    <xf numFmtId="175" fontId="87" fillId="62" borderId="86" applyNumberFormat="0" applyAlignment="0" applyProtection="0"/>
    <xf numFmtId="175" fontId="2" fillId="86" borderId="0" applyNumberFormat="0" applyBorder="0" applyAlignment="0" applyProtection="0"/>
    <xf numFmtId="175" fontId="2" fillId="66" borderId="0" applyNumberFormat="0" applyBorder="0" applyAlignment="0" applyProtection="0"/>
    <xf numFmtId="175" fontId="2" fillId="85" borderId="0" applyNumberFormat="0" applyBorder="0" applyAlignment="0" applyProtection="0"/>
    <xf numFmtId="175" fontId="92" fillId="68" borderId="0" applyNumberFormat="0" applyBorder="0" applyAlignment="0" applyProtection="0"/>
    <xf numFmtId="175" fontId="92" fillId="67" borderId="0" applyNumberFormat="0" applyBorder="0" applyAlignment="0" applyProtection="0"/>
    <xf numFmtId="175" fontId="92" fillId="80" borderId="0" applyNumberFormat="0" applyBorder="0" applyAlignment="0" applyProtection="0"/>
    <xf numFmtId="175" fontId="2" fillId="73" borderId="0" applyNumberFormat="0" applyBorder="0" applyAlignment="0" applyProtection="0"/>
    <xf numFmtId="175" fontId="92" fillId="72" borderId="0" applyNumberFormat="0" applyBorder="0" applyAlignment="0" applyProtection="0"/>
    <xf numFmtId="175" fontId="2" fillId="70" borderId="0" applyNumberFormat="0" applyBorder="0" applyAlignment="0" applyProtection="0"/>
    <xf numFmtId="175" fontId="85" fillId="60" borderId="0" applyNumberFormat="0" applyBorder="0" applyAlignment="0" applyProtection="0"/>
    <xf numFmtId="175" fontId="87" fillId="62" borderId="86" applyNumberFormat="0" applyAlignment="0" applyProtection="0"/>
    <xf numFmtId="175" fontId="2" fillId="74" borderId="0" applyNumberFormat="0" applyBorder="0" applyAlignment="0" applyProtection="0"/>
    <xf numFmtId="175" fontId="90" fillId="63" borderId="88" applyNumberFormat="0" applyAlignment="0" applyProtection="0"/>
    <xf numFmtId="175" fontId="92" fillId="84" borderId="0" applyNumberFormat="0" applyBorder="0" applyAlignment="0" applyProtection="0"/>
    <xf numFmtId="175" fontId="2" fillId="70" borderId="0" applyNumberFormat="0" applyBorder="0" applyAlignment="0" applyProtection="0"/>
    <xf numFmtId="175" fontId="2" fillId="73" borderId="0" applyNumberFormat="0" applyBorder="0" applyAlignment="0" applyProtection="0"/>
    <xf numFmtId="175" fontId="2" fillId="65" borderId="0" applyNumberFormat="0" applyBorder="0" applyAlignment="0" applyProtection="0"/>
    <xf numFmtId="175" fontId="92" fillId="71" borderId="0" applyNumberFormat="0" applyBorder="0" applyAlignment="0" applyProtection="0"/>
    <xf numFmtId="175" fontId="92" fillId="71"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175" fontId="92" fillId="76"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175" fontId="92" fillId="67" borderId="0" applyNumberFormat="0" applyBorder="0" applyAlignment="0" applyProtection="0"/>
    <xf numFmtId="175" fontId="86" fillId="61" borderId="0" applyNumberFormat="0" applyBorder="0" applyAlignment="0" applyProtection="0"/>
    <xf numFmtId="175" fontId="86" fillId="61" borderId="0" applyNumberFormat="0" applyBorder="0" applyAlignment="0" applyProtection="0"/>
    <xf numFmtId="175" fontId="92" fillId="72" borderId="0" applyNumberFormat="0" applyBorder="0" applyAlignment="0" applyProtection="0"/>
    <xf numFmtId="175" fontId="86" fillId="61" borderId="0" applyNumberFormat="0" applyBorder="0" applyAlignment="0" applyProtection="0"/>
    <xf numFmtId="175" fontId="92" fillId="64" borderId="0" applyNumberFormat="0" applyBorder="0" applyAlignment="0" applyProtection="0"/>
    <xf numFmtId="175" fontId="87" fillId="62" borderId="86" applyNumberFormat="0" applyAlignment="0" applyProtection="0"/>
    <xf numFmtId="175" fontId="2" fillId="69" borderId="0" applyNumberFormat="0" applyBorder="0" applyAlignment="0" applyProtection="0"/>
    <xf numFmtId="175" fontId="89" fillId="0" borderId="87" applyNumberFormat="0" applyFill="0" applyAlignment="0" applyProtection="0"/>
    <xf numFmtId="175" fontId="92" fillId="72" borderId="0" applyNumberFormat="0" applyBorder="0" applyAlignment="0" applyProtection="0"/>
    <xf numFmtId="175" fontId="2" fillId="70" borderId="0" applyNumberFormat="0" applyBorder="0" applyAlignment="0" applyProtection="0"/>
    <xf numFmtId="175" fontId="92" fillId="68" borderId="0" applyNumberFormat="0" applyBorder="0" applyAlignment="0" applyProtection="0"/>
    <xf numFmtId="175" fontId="86" fillId="61" borderId="0" applyNumberFormat="0" applyBorder="0" applyAlignment="0" applyProtection="0"/>
    <xf numFmtId="175" fontId="86" fillId="61" borderId="0" applyNumberFormat="0" applyBorder="0" applyAlignment="0" applyProtection="0"/>
    <xf numFmtId="175" fontId="89" fillId="0" borderId="87" applyNumberFormat="0" applyFill="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175" fontId="92" fillId="84"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175" fontId="92" fillId="72" borderId="0" applyNumberFormat="0" applyBorder="0" applyAlignment="0" applyProtection="0"/>
    <xf numFmtId="175" fontId="2" fillId="74" borderId="0" applyNumberFormat="0" applyBorder="0" applyAlignment="0" applyProtection="0"/>
    <xf numFmtId="175" fontId="92" fillId="84" borderId="0" applyNumberFormat="0" applyBorder="0" applyAlignment="0" applyProtection="0"/>
    <xf numFmtId="175" fontId="2" fillId="78" borderId="0" applyNumberFormat="0" applyBorder="0" applyAlignment="0" applyProtection="0"/>
    <xf numFmtId="175" fontId="2" fillId="82" borderId="0" applyNumberFormat="0" applyBorder="0" applyAlignment="0" applyProtection="0"/>
    <xf numFmtId="175" fontId="89" fillId="0" borderId="87" applyNumberFormat="0" applyFill="0" applyAlignment="0" applyProtection="0"/>
    <xf numFmtId="175" fontId="2" fillId="78" borderId="0" applyNumberFormat="0" applyBorder="0" applyAlignment="0" applyProtection="0"/>
    <xf numFmtId="175" fontId="90" fillId="63" borderId="88" applyNumberFormat="0" applyAlignment="0" applyProtection="0"/>
    <xf numFmtId="175" fontId="92" fillId="72" borderId="0" applyNumberFormat="0" applyBorder="0" applyAlignment="0" applyProtection="0"/>
    <xf numFmtId="175" fontId="2" fillId="69" borderId="0" applyNumberFormat="0" applyBorder="0" applyAlignment="0" applyProtection="0"/>
    <xf numFmtId="175" fontId="89" fillId="0" borderId="87" applyNumberFormat="0" applyFill="0" applyAlignment="0" applyProtection="0"/>
    <xf numFmtId="175" fontId="2" fillId="86" borderId="0" applyNumberFormat="0" applyBorder="0" applyAlignment="0" applyProtection="0"/>
    <xf numFmtId="175" fontId="92" fillId="76" borderId="0" applyNumberFormat="0" applyBorder="0" applyAlignment="0" applyProtection="0"/>
    <xf numFmtId="175" fontId="92" fillId="87" borderId="0" applyNumberFormat="0" applyBorder="0" applyAlignment="0" applyProtection="0"/>
    <xf numFmtId="175" fontId="2" fillId="86" borderId="0" applyNumberFormat="0" applyBorder="0" applyAlignment="0" applyProtection="0"/>
    <xf numFmtId="175" fontId="2" fillId="82" borderId="0" applyNumberFormat="0" applyBorder="0" applyAlignment="0" applyProtection="0"/>
    <xf numFmtId="175" fontId="86" fillId="61" borderId="0" applyNumberFormat="0" applyBorder="0" applyAlignment="0" applyProtection="0"/>
    <xf numFmtId="175" fontId="92" fillId="64" borderId="0" applyNumberFormat="0" applyBorder="0" applyAlignment="0" applyProtection="0"/>
    <xf numFmtId="175" fontId="2" fillId="81" borderId="0" applyNumberFormat="0" applyBorder="0" applyAlignment="0" applyProtection="0"/>
    <xf numFmtId="175" fontId="91" fillId="0" borderId="0" applyNumberFormat="0" applyFill="0" applyBorder="0" applyAlignment="0" applyProtection="0"/>
    <xf numFmtId="175" fontId="2" fillId="85" borderId="0" applyNumberFormat="0" applyBorder="0" applyAlignment="0" applyProtection="0"/>
    <xf numFmtId="175" fontId="91" fillId="0" borderId="0" applyNumberFormat="0" applyFill="0" applyBorder="0" applyAlignment="0" applyProtection="0"/>
    <xf numFmtId="175" fontId="2" fillId="65"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65" borderId="0" applyNumberFormat="0" applyBorder="0" applyAlignment="0" applyProtection="0"/>
    <xf numFmtId="175" fontId="2" fillId="69"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175" fontId="92" fillId="72" borderId="0" applyNumberFormat="0" applyBorder="0" applyAlignment="0" applyProtection="0"/>
    <xf numFmtId="175" fontId="90" fillId="63" borderId="88" applyNumberFormat="0" applyAlignment="0" applyProtection="0"/>
    <xf numFmtId="175" fontId="2" fillId="74" borderId="0" applyNumberFormat="0" applyBorder="0" applyAlignment="0" applyProtection="0"/>
    <xf numFmtId="175" fontId="92" fillId="64"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87" borderId="0" applyNumberFormat="0" applyBorder="0" applyAlignment="0" applyProtection="0"/>
    <xf numFmtId="175" fontId="91" fillId="0" borderId="0" applyNumberFormat="0" applyFill="0" applyBorder="0" applyAlignment="0" applyProtection="0"/>
    <xf numFmtId="175" fontId="92" fillId="76" borderId="0" applyNumberFormat="0" applyBorder="0" applyAlignment="0" applyProtection="0"/>
    <xf numFmtId="175" fontId="92" fillId="76" borderId="0" applyNumberFormat="0" applyBorder="0" applyAlignment="0" applyProtection="0"/>
    <xf numFmtId="175" fontId="92" fillId="75" borderId="0" applyNumberFormat="0" applyBorder="0" applyAlignment="0" applyProtection="0"/>
    <xf numFmtId="175" fontId="2" fillId="78" borderId="0" applyNumberFormat="0" applyBorder="0" applyAlignment="0" applyProtection="0"/>
    <xf numFmtId="175" fontId="91" fillId="0" borderId="0" applyNumberFormat="0" applyFill="0" applyBorder="0" applyAlignment="0" applyProtection="0"/>
    <xf numFmtId="175" fontId="92" fillId="71" borderId="0" applyNumberFormat="0" applyBorder="0" applyAlignment="0" applyProtection="0"/>
    <xf numFmtId="175" fontId="92" fillId="79" borderId="0" applyNumberFormat="0" applyBorder="0" applyAlignment="0" applyProtection="0"/>
    <xf numFmtId="175" fontId="2" fillId="69" borderId="0" applyNumberFormat="0" applyBorder="0" applyAlignment="0" applyProtection="0"/>
    <xf numFmtId="175" fontId="92" fillId="83" borderId="0" applyNumberFormat="0" applyBorder="0" applyAlignment="0" applyProtection="0"/>
    <xf numFmtId="175" fontId="92" fillId="80" borderId="0" applyNumberFormat="0" applyBorder="0" applyAlignment="0" applyProtection="0"/>
    <xf numFmtId="175" fontId="87" fillId="62" borderId="86" applyNumberFormat="0" applyAlignment="0" applyProtection="0"/>
    <xf numFmtId="175" fontId="92" fillId="68" borderId="0" applyNumberFormat="0" applyBorder="0" applyAlignment="0" applyProtection="0"/>
    <xf numFmtId="175" fontId="2" fillId="86" borderId="0" applyNumberFormat="0" applyBorder="0" applyAlignment="0" applyProtection="0"/>
    <xf numFmtId="175" fontId="87" fillId="62" borderId="86" applyNumberFormat="0" applyAlignment="0" applyProtection="0"/>
    <xf numFmtId="175" fontId="92" fillId="71" borderId="0" applyNumberFormat="0" applyBorder="0" applyAlignment="0" applyProtection="0"/>
    <xf numFmtId="175" fontId="92" fillId="87" borderId="0" applyNumberFormat="0" applyBorder="0" applyAlignment="0" applyProtection="0"/>
    <xf numFmtId="175" fontId="92" fillId="8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175" fontId="89" fillId="0" borderId="87"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175" fontId="2" fillId="73" borderId="0" applyNumberFormat="0" applyBorder="0" applyAlignment="0" applyProtection="0"/>
    <xf numFmtId="175" fontId="91" fillId="0" borderId="0" applyNumberFormat="0" applyFill="0" applyBorder="0" applyAlignment="0" applyProtection="0"/>
    <xf numFmtId="175" fontId="2" fillId="77" borderId="0" applyNumberFormat="0" applyBorder="0" applyAlignment="0" applyProtection="0"/>
    <xf numFmtId="175" fontId="87" fillId="62" borderId="86" applyNumberFormat="0" applyAlignment="0" applyProtection="0"/>
    <xf numFmtId="175" fontId="92" fillId="79" borderId="0" applyNumberFormat="0" applyBorder="0" applyAlignment="0" applyProtection="0"/>
    <xf numFmtId="175" fontId="92" fillId="83" borderId="0" applyNumberFormat="0" applyBorder="0" applyAlignment="0" applyProtection="0"/>
    <xf numFmtId="175" fontId="86" fillId="61" borderId="0" applyNumberFormat="0" applyBorder="0" applyAlignment="0" applyProtection="0"/>
    <xf numFmtId="175" fontId="85" fillId="60" borderId="0" applyNumberFormat="0" applyBorder="0" applyAlignment="0" applyProtection="0"/>
    <xf numFmtId="175" fontId="90" fillId="63" borderId="88" applyNumberFormat="0" applyAlignment="0" applyProtection="0"/>
    <xf numFmtId="175" fontId="92" fillId="68" borderId="0" applyNumberFormat="0" applyBorder="0" applyAlignment="0" applyProtection="0"/>
    <xf numFmtId="175" fontId="87" fillId="62" borderId="86" applyNumberFormat="0" applyAlignment="0" applyProtection="0"/>
    <xf numFmtId="175" fontId="92" fillId="67" borderId="0" applyNumberFormat="0" applyBorder="0" applyAlignment="0" applyProtection="0"/>
    <xf numFmtId="175" fontId="92" fillId="87" borderId="0" applyNumberFormat="0" applyBorder="0" applyAlignment="0" applyProtection="0"/>
    <xf numFmtId="175" fontId="2" fillId="81" borderId="0" applyNumberFormat="0" applyBorder="0" applyAlignment="0" applyProtection="0"/>
    <xf numFmtId="175" fontId="2" fillId="78" borderId="0" applyNumberFormat="0" applyBorder="0" applyAlignment="0" applyProtection="0"/>
    <xf numFmtId="175" fontId="92" fillId="80" borderId="0" applyNumberFormat="0" applyBorder="0" applyAlignment="0" applyProtection="0"/>
    <xf numFmtId="175" fontId="2" fillId="70" borderId="0" applyNumberFormat="0" applyBorder="0" applyAlignment="0" applyProtection="0"/>
    <xf numFmtId="175" fontId="2" fillId="65" borderId="0" applyNumberFormat="0" applyBorder="0" applyAlignment="0" applyProtection="0"/>
    <xf numFmtId="175" fontId="2" fillId="65" borderId="0" applyNumberFormat="0" applyBorder="0" applyAlignment="0" applyProtection="0"/>
    <xf numFmtId="175" fontId="92" fillId="80" borderId="0" applyNumberFormat="0" applyBorder="0" applyAlignment="0" applyProtection="0"/>
    <xf numFmtId="175" fontId="92" fillId="83" borderId="0" applyNumberFormat="0" applyBorder="0" applyAlignment="0" applyProtection="0"/>
    <xf numFmtId="175" fontId="2" fillId="85" borderId="0" applyNumberFormat="0" applyBorder="0" applyAlignment="0" applyProtection="0"/>
    <xf numFmtId="175" fontId="92" fillId="83" borderId="0" applyNumberFormat="0" applyBorder="0" applyAlignment="0" applyProtection="0"/>
    <xf numFmtId="175" fontId="92" fillId="64" borderId="0" applyNumberFormat="0" applyBorder="0" applyAlignment="0" applyProtection="0"/>
    <xf numFmtId="175" fontId="92" fillId="67" borderId="0" applyNumberFormat="0" applyBorder="0" applyAlignment="0" applyProtection="0"/>
    <xf numFmtId="175" fontId="92" fillId="64" borderId="0" applyNumberFormat="0" applyBorder="0" applyAlignment="0" applyProtection="0"/>
    <xf numFmtId="175" fontId="91" fillId="0" borderId="0" applyNumberFormat="0" applyFill="0" applyBorder="0" applyAlignment="0" applyProtection="0"/>
    <xf numFmtId="175" fontId="92" fillId="71" borderId="0" applyNumberFormat="0" applyBorder="0" applyAlignment="0" applyProtection="0"/>
    <xf numFmtId="175" fontId="2" fillId="73" borderId="0" applyNumberFormat="0" applyBorder="0" applyAlignment="0" applyProtection="0"/>
    <xf numFmtId="175" fontId="86" fillId="61" borderId="0" applyNumberFormat="0" applyBorder="0" applyAlignment="0" applyProtection="0"/>
    <xf numFmtId="175" fontId="90" fillId="63" borderId="88" applyNumberFormat="0" applyAlignment="0" applyProtection="0"/>
    <xf numFmtId="175" fontId="2" fillId="85" borderId="0" applyNumberFormat="0" applyBorder="0" applyAlignment="0" applyProtection="0"/>
    <xf numFmtId="175" fontId="92" fillId="75" borderId="0" applyNumberFormat="0" applyBorder="0" applyAlignment="0" applyProtection="0"/>
    <xf numFmtId="175" fontId="89" fillId="0" borderId="87" applyNumberFormat="0" applyFill="0" applyAlignment="0" applyProtection="0"/>
    <xf numFmtId="175" fontId="2" fillId="70" borderId="0" applyNumberFormat="0" applyBorder="0" applyAlignment="0" applyProtection="0"/>
    <xf numFmtId="175" fontId="91" fillId="0" borderId="0" applyNumberFormat="0" applyFill="0" applyBorder="0" applyAlignment="0" applyProtection="0"/>
    <xf numFmtId="175" fontId="92" fillId="67" borderId="0" applyNumberFormat="0" applyBorder="0" applyAlignment="0" applyProtection="0"/>
    <xf numFmtId="175" fontId="2" fillId="77" borderId="0" applyNumberFormat="0" applyBorder="0" applyAlignment="0" applyProtection="0"/>
    <xf numFmtId="175" fontId="92" fillId="83" borderId="0" applyNumberFormat="0" applyBorder="0" applyAlignment="0" applyProtection="0"/>
    <xf numFmtId="175" fontId="2" fillId="66" borderId="0" applyNumberFormat="0" applyBorder="0" applyAlignment="0" applyProtection="0"/>
    <xf numFmtId="175" fontId="2" fillId="78" borderId="0" applyNumberFormat="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2" fillId="77" borderId="0" applyNumberFormat="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2" fillId="0" borderId="0"/>
    <xf numFmtId="175" fontId="2" fillId="74" borderId="0" applyNumberFormat="0" applyBorder="0" applyAlignment="0" applyProtection="0"/>
    <xf numFmtId="175" fontId="92" fillId="68"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87" fillId="62" borderId="86" applyNumberFormat="0" applyAlignment="0" applyProtection="0"/>
    <xf numFmtId="175" fontId="92" fillId="67" borderId="0" applyNumberFormat="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86" fillId="61" borderId="0" applyNumberFormat="0" applyBorder="0" applyAlignment="0" applyProtection="0"/>
    <xf numFmtId="175" fontId="92" fillId="76" borderId="0" applyNumberFormat="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92" fillId="72" borderId="0" applyNumberFormat="0" applyBorder="0" applyAlignment="0" applyProtection="0"/>
    <xf numFmtId="175" fontId="2" fillId="69" borderId="0" applyNumberFormat="0" applyBorder="0" applyAlignment="0" applyProtection="0"/>
    <xf numFmtId="175" fontId="88" fillId="62" borderId="85" applyNumberFormat="0" applyAlignment="0" applyProtection="0"/>
    <xf numFmtId="175" fontId="85" fillId="60" borderId="0" applyNumberFormat="0" applyBorder="0" applyAlignment="0" applyProtection="0"/>
    <xf numFmtId="175" fontId="92" fillId="84" borderId="0" applyNumberFormat="0" applyBorder="0" applyAlignment="0" applyProtection="0"/>
    <xf numFmtId="175" fontId="2" fillId="82" borderId="0" applyNumberFormat="0" applyBorder="0" applyAlignment="0" applyProtection="0"/>
    <xf numFmtId="175" fontId="92" fillId="79" borderId="0" applyNumberFormat="0" applyBorder="0" applyAlignment="0" applyProtection="0"/>
    <xf numFmtId="175" fontId="2" fillId="81" borderId="0" applyNumberFormat="0" applyBorder="0" applyAlignment="0" applyProtection="0"/>
    <xf numFmtId="175" fontId="92" fillId="71" borderId="0" applyNumberFormat="0" applyBorder="0" applyAlignment="0" applyProtection="0"/>
    <xf numFmtId="175" fontId="2" fillId="85" borderId="0" applyNumberFormat="0" applyBorder="0" applyAlignment="0" applyProtection="0"/>
    <xf numFmtId="175" fontId="92" fillId="68" borderId="0" applyNumberFormat="0" applyBorder="0" applyAlignment="0" applyProtection="0"/>
    <xf numFmtId="175" fontId="2" fillId="73" borderId="0" applyNumberFormat="0" applyBorder="0" applyAlignment="0" applyProtection="0"/>
    <xf numFmtId="175" fontId="92" fillId="80" borderId="0" applyNumberFormat="0" applyBorder="0" applyAlignment="0" applyProtection="0"/>
    <xf numFmtId="175" fontId="92" fillId="83" borderId="0" applyNumberFormat="0" applyBorder="0" applyAlignment="0" applyProtection="0"/>
    <xf numFmtId="175" fontId="2" fillId="74" borderId="0" applyNumberFormat="0" applyBorder="0" applyAlignment="0" applyProtection="0"/>
    <xf numFmtId="175" fontId="2" fillId="82" borderId="0" applyNumberFormat="0" applyBorder="0" applyAlignment="0" applyProtection="0"/>
    <xf numFmtId="175" fontId="2" fillId="65" borderId="0" applyNumberFormat="0" applyBorder="0" applyAlignment="0" applyProtection="0"/>
    <xf numFmtId="175" fontId="87" fillId="62" borderId="86" applyNumberFormat="0" applyAlignment="0" applyProtection="0"/>
    <xf numFmtId="175" fontId="2" fillId="78" borderId="0" applyNumberFormat="0" applyBorder="0" applyAlignment="0" applyProtection="0"/>
    <xf numFmtId="175" fontId="92" fillId="64" borderId="0" applyNumberFormat="0" applyBorder="0" applyAlignment="0" applyProtection="0"/>
    <xf numFmtId="175" fontId="90" fillId="63" borderId="88" applyNumberFormat="0" applyAlignment="0" applyProtection="0"/>
    <xf numFmtId="175" fontId="2" fillId="70" borderId="0" applyNumberFormat="0" applyBorder="0" applyAlignment="0" applyProtection="0"/>
    <xf numFmtId="175" fontId="92" fillId="72" borderId="0" applyNumberFormat="0" applyBorder="0" applyAlignment="0" applyProtection="0"/>
    <xf numFmtId="175" fontId="85" fillId="60" borderId="0" applyNumberFormat="0" applyBorder="0" applyAlignment="0" applyProtection="0"/>
    <xf numFmtId="175" fontId="92" fillId="87" borderId="0" applyNumberFormat="0" applyBorder="0" applyAlignment="0" applyProtection="0"/>
    <xf numFmtId="175" fontId="92" fillId="67" borderId="0" applyNumberFormat="0" applyBorder="0" applyAlignment="0" applyProtection="0"/>
    <xf numFmtId="175" fontId="92" fillId="83" borderId="0" applyNumberFormat="0" applyBorder="0" applyAlignment="0" applyProtection="0"/>
    <xf numFmtId="175" fontId="2" fillId="73" borderId="0" applyNumberFormat="0" applyBorder="0" applyAlignment="0" applyProtection="0"/>
    <xf numFmtId="175" fontId="92" fillId="79" borderId="0" applyNumberFormat="0" applyBorder="0" applyAlignment="0" applyProtection="0"/>
    <xf numFmtId="175" fontId="89" fillId="0" borderId="87" applyNumberFormat="0" applyFill="0" applyAlignment="0" applyProtection="0"/>
    <xf numFmtId="175" fontId="2" fillId="70" borderId="0" applyNumberFormat="0" applyBorder="0" applyAlignment="0" applyProtection="0"/>
    <xf numFmtId="175" fontId="92" fillId="83" borderId="0" applyNumberFormat="0" applyBorder="0" applyAlignment="0" applyProtection="0"/>
    <xf numFmtId="175" fontId="2" fillId="70" borderId="0" applyNumberFormat="0" applyBorder="0" applyAlignment="0" applyProtection="0"/>
    <xf numFmtId="175" fontId="2" fillId="66" borderId="0" applyNumberFormat="0" applyBorder="0" applyAlignment="0" applyProtection="0"/>
    <xf numFmtId="175" fontId="88" fillId="62" borderId="85" applyNumberFormat="0" applyAlignment="0" applyProtection="0"/>
    <xf numFmtId="175" fontId="92" fillId="68" borderId="0" applyNumberFormat="0" applyBorder="0" applyAlignment="0" applyProtection="0"/>
    <xf numFmtId="175" fontId="2" fillId="70" borderId="0" applyNumberFormat="0" applyBorder="0" applyAlignment="0" applyProtection="0"/>
    <xf numFmtId="175" fontId="92" fillId="84" borderId="0" applyNumberFormat="0" applyBorder="0" applyAlignment="0" applyProtection="0"/>
    <xf numFmtId="175" fontId="2" fillId="86" borderId="0" applyNumberFormat="0" applyBorder="0" applyAlignment="0" applyProtection="0"/>
    <xf numFmtId="175" fontId="92" fillId="76" borderId="0" applyNumberFormat="0" applyBorder="0" applyAlignment="0" applyProtection="0"/>
    <xf numFmtId="175" fontId="2" fillId="73" borderId="0" applyNumberFormat="0" applyBorder="0" applyAlignment="0" applyProtection="0"/>
    <xf numFmtId="175" fontId="88" fillId="62" borderId="85" applyNumberFormat="0" applyAlignment="0" applyProtection="0"/>
    <xf numFmtId="175" fontId="91" fillId="0" borderId="0" applyNumberFormat="0" applyFill="0" applyBorder="0" applyAlignment="0" applyProtection="0"/>
    <xf numFmtId="175" fontId="92" fillId="79" borderId="0" applyNumberFormat="0" applyBorder="0" applyAlignment="0" applyProtection="0"/>
    <xf numFmtId="175" fontId="2" fillId="85" borderId="0" applyNumberFormat="0" applyBorder="0" applyAlignment="0" applyProtection="0"/>
    <xf numFmtId="175" fontId="92" fillId="84" borderId="0" applyNumberFormat="0" applyBorder="0" applyAlignment="0" applyProtection="0"/>
    <xf numFmtId="175" fontId="2" fillId="82" borderId="0" applyNumberFormat="0" applyBorder="0" applyAlignment="0" applyProtection="0"/>
    <xf numFmtId="175" fontId="2" fillId="65" borderId="0" applyNumberFormat="0" applyBorder="0" applyAlignment="0" applyProtection="0"/>
    <xf numFmtId="175" fontId="92" fillId="84" borderId="0" applyNumberFormat="0" applyBorder="0" applyAlignment="0" applyProtection="0"/>
    <xf numFmtId="175" fontId="2" fillId="66" borderId="0" applyNumberFormat="0" applyBorder="0" applyAlignment="0" applyProtection="0"/>
    <xf numFmtId="175" fontId="2" fillId="66" borderId="0" applyNumberFormat="0" applyBorder="0" applyAlignment="0" applyProtection="0"/>
    <xf numFmtId="175" fontId="92" fillId="87" borderId="0" applyNumberFormat="0" applyBorder="0" applyAlignment="0" applyProtection="0"/>
    <xf numFmtId="175" fontId="2" fillId="77" borderId="0" applyNumberFormat="0" applyBorder="0" applyAlignment="0" applyProtection="0"/>
    <xf numFmtId="175" fontId="90" fillId="63" borderId="88" applyNumberFormat="0" applyAlignment="0" applyProtection="0"/>
    <xf numFmtId="175" fontId="92" fillId="68" borderId="0" applyNumberFormat="0" applyBorder="0" applyAlignment="0" applyProtection="0"/>
    <xf numFmtId="175" fontId="2" fillId="85" borderId="0" applyNumberFormat="0" applyBorder="0" applyAlignment="0" applyProtection="0"/>
    <xf numFmtId="175" fontId="92" fillId="76" borderId="0" applyNumberFormat="0" applyBorder="0" applyAlignment="0" applyProtection="0"/>
    <xf numFmtId="175" fontId="92" fillId="67" borderId="0" applyNumberFormat="0" applyBorder="0" applyAlignment="0" applyProtection="0"/>
    <xf numFmtId="175" fontId="92" fillId="71" borderId="0" applyNumberFormat="0" applyBorder="0" applyAlignment="0" applyProtection="0"/>
    <xf numFmtId="175" fontId="92" fillId="71" borderId="0" applyNumberFormat="0" applyBorder="0" applyAlignment="0" applyProtection="0"/>
    <xf numFmtId="175" fontId="91" fillId="0" borderId="0" applyNumberFormat="0" applyFill="0" applyBorder="0" applyAlignment="0" applyProtection="0"/>
    <xf numFmtId="175" fontId="2" fillId="86" borderId="0" applyNumberFormat="0" applyBorder="0" applyAlignment="0" applyProtection="0"/>
    <xf numFmtId="175" fontId="92" fillId="83" borderId="0" applyNumberFormat="0" applyBorder="0" applyAlignment="0" applyProtection="0"/>
    <xf numFmtId="175" fontId="2" fillId="78" borderId="0" applyNumberFormat="0" applyBorder="0" applyAlignment="0" applyProtection="0"/>
    <xf numFmtId="175" fontId="92" fillId="83" borderId="0" applyNumberFormat="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175" fontId="2" fillId="77" borderId="0" applyNumberFormat="0" applyBorder="0" applyAlignment="0" applyProtection="0"/>
    <xf numFmtId="175" fontId="92" fillId="76" borderId="0" applyNumberFormat="0" applyBorder="0" applyAlignment="0" applyProtection="0"/>
    <xf numFmtId="175" fontId="92" fillId="72" borderId="0" applyNumberFormat="0" applyBorder="0" applyAlignment="0" applyProtection="0"/>
    <xf numFmtId="175" fontId="2" fillId="86" borderId="0" applyNumberFormat="0" applyBorder="0" applyAlignment="0" applyProtection="0"/>
    <xf numFmtId="175" fontId="92" fillId="83" borderId="0" applyNumberFormat="0" applyBorder="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88" fillId="62" borderId="85" applyNumberFormat="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175" fontId="2" fillId="69" borderId="0" applyNumberFormat="0" applyBorder="0" applyAlignment="0" applyProtection="0"/>
    <xf numFmtId="175" fontId="92" fillId="79" borderId="0" applyNumberFormat="0" applyBorder="0" applyAlignment="0" applyProtection="0"/>
    <xf numFmtId="175" fontId="92" fillId="79" borderId="0" applyNumberFormat="0" applyBorder="0" applyAlignment="0" applyProtection="0"/>
    <xf numFmtId="175" fontId="2" fillId="77" borderId="0" applyNumberFormat="0" applyBorder="0" applyAlignment="0" applyProtection="0"/>
    <xf numFmtId="175" fontId="92" fillId="71" borderId="0" applyNumberFormat="0" applyBorder="0" applyAlignment="0" applyProtection="0"/>
    <xf numFmtId="175" fontId="89" fillId="0" borderId="87" applyNumberFormat="0" applyFill="0" applyAlignment="0" applyProtection="0"/>
    <xf numFmtId="175" fontId="91" fillId="0" borderId="0" applyNumberFormat="0" applyFill="0" applyBorder="0" applyAlignment="0" applyProtection="0"/>
    <xf numFmtId="175" fontId="90" fillId="63" borderId="88" applyNumberFormat="0" applyAlignment="0" applyProtection="0"/>
    <xf numFmtId="175" fontId="85" fillId="60" borderId="0" applyNumberFormat="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175" fontId="2" fillId="86"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175" fontId="86" fillId="61" borderId="0" applyNumberFormat="0" applyBorder="0" applyAlignment="0" applyProtection="0"/>
    <xf numFmtId="175" fontId="92" fillId="68" borderId="0" applyNumberFormat="0" applyBorder="0" applyAlignment="0" applyProtection="0"/>
    <xf numFmtId="175" fontId="92" fillId="83" borderId="0" applyNumberFormat="0" applyBorder="0" applyAlignment="0" applyProtection="0"/>
    <xf numFmtId="175" fontId="92" fillId="71" borderId="0" applyNumberFormat="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2" fillId="0" borderId="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2" fillId="0" borderId="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2" fillId="0" borderId="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175" fontId="2"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74" borderId="0" applyNumberFormat="0" applyBorder="0" applyAlignment="0" applyProtection="0"/>
    <xf numFmtId="175" fontId="92" fillId="84" borderId="0" applyNumberFormat="0" applyBorder="0" applyAlignment="0" applyProtection="0"/>
    <xf numFmtId="175" fontId="89" fillId="0" borderId="87" applyNumberFormat="0" applyFill="0" applyAlignment="0" applyProtection="0"/>
    <xf numFmtId="175" fontId="2" fillId="77" borderId="0" applyNumberFormat="0" applyBorder="0" applyAlignment="0" applyProtection="0"/>
    <xf numFmtId="175" fontId="2" fillId="66" borderId="0" applyNumberFormat="0" applyBorder="0" applyAlignment="0" applyProtection="0"/>
    <xf numFmtId="175" fontId="2" fillId="78" borderId="0" applyNumberFormat="0" applyBorder="0" applyAlignment="0" applyProtection="0"/>
    <xf numFmtId="175" fontId="86" fillId="61" borderId="0" applyNumberFormat="0" applyBorder="0" applyAlignment="0" applyProtection="0"/>
    <xf numFmtId="175" fontId="85" fillId="60" borderId="0" applyNumberFormat="0" applyBorder="0" applyAlignment="0" applyProtection="0"/>
    <xf numFmtId="175" fontId="92" fillId="75" borderId="0" applyNumberFormat="0" applyBorder="0" applyAlignment="0" applyProtection="0"/>
    <xf numFmtId="175" fontId="2" fillId="66" borderId="0" applyNumberFormat="0" applyBorder="0" applyAlignment="0" applyProtection="0"/>
    <xf numFmtId="175" fontId="91" fillId="0" borderId="0" applyNumberFormat="0" applyFill="0" applyBorder="0" applyAlignment="0" applyProtection="0"/>
    <xf numFmtId="175" fontId="88" fillId="62" borderId="85" applyNumberFormat="0" applyAlignment="0" applyProtection="0"/>
    <xf numFmtId="175" fontId="92" fillId="84" borderId="0" applyNumberFormat="0" applyBorder="0" applyAlignment="0" applyProtection="0"/>
    <xf numFmtId="175" fontId="2" fillId="81" borderId="0" applyNumberFormat="0" applyBorder="0" applyAlignment="0" applyProtection="0"/>
    <xf numFmtId="175" fontId="92" fillId="76" borderId="0" applyNumberFormat="0" applyBorder="0" applyAlignment="0" applyProtection="0"/>
    <xf numFmtId="175" fontId="2" fillId="78" borderId="0" applyNumberFormat="0" applyBorder="0" applyAlignment="0" applyProtection="0"/>
    <xf numFmtId="175" fontId="86" fillId="61" borderId="0" applyNumberFormat="0" applyBorder="0" applyAlignment="0" applyProtection="0"/>
    <xf numFmtId="175" fontId="85" fillId="60" borderId="0" applyNumberFormat="0" applyBorder="0" applyAlignment="0" applyProtection="0"/>
    <xf numFmtId="175" fontId="2" fillId="81" borderId="0" applyNumberFormat="0" applyBorder="0" applyAlignment="0" applyProtection="0"/>
    <xf numFmtId="175" fontId="2" fillId="74" borderId="0" applyNumberFormat="0" applyBorder="0" applyAlignment="0" applyProtection="0"/>
    <xf numFmtId="175" fontId="92" fillId="79" borderId="0" applyNumberFormat="0" applyBorder="0" applyAlignment="0" applyProtection="0"/>
    <xf numFmtId="175" fontId="92" fillId="71" borderId="0" applyNumberFormat="0" applyBorder="0" applyAlignment="0" applyProtection="0"/>
    <xf numFmtId="175" fontId="92" fillId="67" borderId="0" applyNumberFormat="0" applyBorder="0" applyAlignment="0" applyProtection="0"/>
    <xf numFmtId="175" fontId="92" fillId="64" borderId="0" applyNumberFormat="0" applyBorder="0" applyAlignment="0" applyProtection="0"/>
    <xf numFmtId="175" fontId="92" fillId="75" borderId="0" applyNumberFormat="0" applyBorder="0" applyAlignment="0" applyProtection="0"/>
    <xf numFmtId="175" fontId="2" fillId="66" borderId="0" applyNumberFormat="0" applyBorder="0" applyAlignment="0" applyProtection="0"/>
    <xf numFmtId="175" fontId="85" fillId="60" borderId="0" applyNumberFormat="0" applyBorder="0" applyAlignment="0" applyProtection="0"/>
    <xf numFmtId="175" fontId="2" fillId="66" borderId="0" applyNumberFormat="0" applyBorder="0" applyAlignment="0" applyProtection="0"/>
    <xf numFmtId="175" fontId="92" fillId="75" borderId="0" applyNumberFormat="0" applyBorder="0" applyAlignment="0" applyProtection="0"/>
    <xf numFmtId="175" fontId="86" fillId="61" borderId="0" applyNumberFormat="0" applyBorder="0" applyAlignment="0" applyProtection="0"/>
    <xf numFmtId="175" fontId="90" fillId="63" borderId="88" applyNumberFormat="0" applyAlignment="0" applyProtection="0"/>
    <xf numFmtId="175" fontId="92" fillId="64" borderId="0" applyNumberFormat="0" applyBorder="0" applyAlignment="0" applyProtection="0"/>
    <xf numFmtId="175" fontId="2" fillId="70" borderId="0" applyNumberFormat="0" applyBorder="0" applyAlignment="0" applyProtection="0"/>
    <xf numFmtId="175" fontId="2" fillId="85" borderId="0" applyNumberFormat="0" applyBorder="0" applyAlignment="0" applyProtection="0"/>
    <xf numFmtId="175" fontId="92" fillId="83" borderId="0" applyNumberFormat="0" applyBorder="0" applyAlignment="0" applyProtection="0"/>
    <xf numFmtId="175" fontId="92" fillId="80" borderId="0" applyNumberFormat="0" applyBorder="0" applyAlignment="0" applyProtection="0"/>
    <xf numFmtId="175" fontId="92" fillId="83" borderId="0" applyNumberFormat="0" applyBorder="0" applyAlignment="0" applyProtection="0"/>
    <xf numFmtId="175" fontId="2" fillId="73" borderId="0" applyNumberFormat="0" applyBorder="0" applyAlignment="0" applyProtection="0"/>
    <xf numFmtId="175" fontId="2" fillId="77" borderId="0" applyNumberFormat="0" applyBorder="0" applyAlignment="0" applyProtection="0"/>
    <xf numFmtId="175" fontId="92" fillId="68" borderId="0" applyNumberFormat="0" applyBorder="0" applyAlignment="0" applyProtection="0"/>
    <xf numFmtId="175" fontId="87" fillId="62" borderId="86" applyNumberFormat="0" applyAlignment="0" applyProtection="0"/>
    <xf numFmtId="175" fontId="89" fillId="0" borderId="87" applyNumberFormat="0" applyFill="0" applyAlignment="0" applyProtection="0"/>
    <xf numFmtId="175" fontId="86" fillId="61" borderId="0" applyNumberFormat="0" applyBorder="0" applyAlignment="0" applyProtection="0"/>
    <xf numFmtId="175" fontId="90" fillId="63" borderId="88" applyNumberFormat="0" applyAlignment="0" applyProtection="0"/>
    <xf numFmtId="175" fontId="2" fillId="86" borderId="0" applyNumberFormat="0" applyBorder="0" applyAlignment="0" applyProtection="0"/>
    <xf numFmtId="175" fontId="92" fillId="79" borderId="0" applyNumberFormat="0" applyBorder="0" applyAlignment="0" applyProtection="0"/>
    <xf numFmtId="175" fontId="2" fillId="66" borderId="0" applyNumberFormat="0" applyBorder="0" applyAlignment="0" applyProtection="0"/>
    <xf numFmtId="175" fontId="2" fillId="74" borderId="0" applyNumberFormat="0" applyBorder="0" applyAlignment="0" applyProtection="0"/>
    <xf numFmtId="175" fontId="88" fillId="62" borderId="85" applyNumberFormat="0" applyAlignment="0" applyProtection="0"/>
    <xf numFmtId="175" fontId="2" fillId="77" borderId="0" applyNumberFormat="0" applyBorder="0" applyAlignment="0" applyProtection="0"/>
    <xf numFmtId="175" fontId="2" fillId="82" borderId="0" applyNumberFormat="0" applyBorder="0" applyAlignment="0" applyProtection="0"/>
    <xf numFmtId="175" fontId="92" fillId="71"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2" fillId="73" borderId="0" applyNumberFormat="0" applyBorder="0" applyAlignment="0" applyProtection="0"/>
    <xf numFmtId="175" fontId="2" fillId="77" borderId="0" applyNumberFormat="0" applyBorder="0" applyAlignment="0" applyProtection="0"/>
    <xf numFmtId="175" fontId="2" fillId="65" borderId="0" applyNumberFormat="0" applyBorder="0" applyAlignment="0" applyProtection="0"/>
    <xf numFmtId="175" fontId="92" fillId="75" borderId="0" applyNumberFormat="0" applyBorder="0" applyAlignment="0" applyProtection="0"/>
    <xf numFmtId="175" fontId="88" fillId="62" borderId="85" applyNumberFormat="0" applyAlignment="0" applyProtection="0"/>
    <xf numFmtId="175" fontId="2" fillId="74" borderId="0" applyNumberFormat="0" applyBorder="0" applyAlignment="0" applyProtection="0"/>
    <xf numFmtId="175" fontId="2" fillId="66" borderId="0" applyNumberFormat="0" applyBorder="0" applyAlignment="0" applyProtection="0"/>
    <xf numFmtId="175" fontId="92" fillId="75" borderId="0" applyNumberFormat="0" applyBorder="0" applyAlignment="0" applyProtection="0"/>
    <xf numFmtId="175" fontId="92" fillId="79" borderId="0" applyNumberFormat="0" applyBorder="0" applyAlignment="0" applyProtection="0"/>
    <xf numFmtId="175" fontId="85" fillId="60" borderId="0" applyNumberFormat="0" applyBorder="0" applyAlignment="0" applyProtection="0"/>
    <xf numFmtId="175" fontId="92" fillId="80" borderId="0" applyNumberFormat="0" applyBorder="0" applyAlignment="0" applyProtection="0"/>
    <xf numFmtId="175" fontId="92" fillId="80" borderId="0" applyNumberFormat="0" applyBorder="0" applyAlignment="0" applyProtection="0"/>
    <xf numFmtId="175" fontId="2" fillId="74" borderId="0" applyNumberFormat="0" applyBorder="0" applyAlignment="0" applyProtection="0"/>
    <xf numFmtId="175" fontId="86" fillId="61" borderId="0" applyNumberFormat="0" applyBorder="0" applyAlignment="0" applyProtection="0"/>
    <xf numFmtId="175" fontId="88" fillId="62" borderId="85" applyNumberFormat="0" applyAlignment="0" applyProtection="0"/>
    <xf numFmtId="175" fontId="92" fillId="72" borderId="0" applyNumberFormat="0" applyBorder="0" applyAlignment="0" applyProtection="0"/>
    <xf numFmtId="175" fontId="92" fillId="75" borderId="0" applyNumberFormat="0" applyBorder="0" applyAlignment="0" applyProtection="0"/>
    <xf numFmtId="175" fontId="90" fillId="63" borderId="88" applyNumberFormat="0" applyAlignment="0" applyProtection="0"/>
    <xf numFmtId="175" fontId="2" fillId="66" borderId="0" applyNumberFormat="0" applyBorder="0" applyAlignment="0" applyProtection="0"/>
    <xf numFmtId="175" fontId="2" fillId="82" borderId="0" applyNumberFormat="0" applyBorder="0" applyAlignment="0" applyProtection="0"/>
    <xf numFmtId="175" fontId="2" fillId="85" borderId="0" applyNumberFormat="0" applyBorder="0" applyAlignment="0" applyProtection="0"/>
    <xf numFmtId="175" fontId="2" fillId="78" borderId="0" applyNumberFormat="0" applyBorder="0" applyAlignment="0" applyProtection="0"/>
    <xf numFmtId="175" fontId="92" fillId="72" borderId="0" applyNumberFormat="0" applyBorder="0" applyAlignment="0" applyProtection="0"/>
    <xf numFmtId="175" fontId="92" fillId="84" borderId="0" applyNumberFormat="0" applyBorder="0" applyAlignment="0" applyProtection="0"/>
    <xf numFmtId="175" fontId="2" fillId="70" borderId="0" applyNumberFormat="0" applyBorder="0" applyAlignment="0" applyProtection="0"/>
    <xf numFmtId="175" fontId="92" fillId="87" borderId="0" applyNumberFormat="0" applyBorder="0" applyAlignment="0" applyProtection="0"/>
    <xf numFmtId="175" fontId="91" fillId="0" borderId="0" applyNumberFormat="0" applyFill="0" applyBorder="0" applyAlignment="0" applyProtection="0"/>
    <xf numFmtId="175" fontId="2" fillId="86" borderId="0" applyNumberFormat="0" applyBorder="0" applyAlignment="0" applyProtection="0"/>
    <xf numFmtId="175" fontId="2" fillId="82" borderId="0" applyNumberFormat="0" applyBorder="0" applyAlignment="0" applyProtection="0"/>
    <xf numFmtId="175" fontId="92" fillId="87" borderId="0" applyNumberFormat="0" applyBorder="0" applyAlignment="0" applyProtection="0"/>
    <xf numFmtId="175" fontId="92" fillId="87" borderId="0" applyNumberFormat="0" applyBorder="0" applyAlignment="0" applyProtection="0"/>
    <xf numFmtId="175" fontId="89" fillId="0" borderId="87" applyNumberFormat="0" applyFill="0" applyAlignment="0" applyProtection="0"/>
    <xf numFmtId="175" fontId="2" fillId="70" borderId="0" applyNumberFormat="0" applyBorder="0" applyAlignment="0" applyProtection="0"/>
    <xf numFmtId="175" fontId="92" fillId="75" borderId="0" applyNumberFormat="0" applyBorder="0" applyAlignment="0" applyProtection="0"/>
    <xf numFmtId="175" fontId="90" fillId="63" borderId="88" applyNumberFormat="0" applyAlignment="0" applyProtection="0"/>
    <xf numFmtId="175" fontId="90" fillId="63" borderId="88" applyNumberFormat="0" applyAlignment="0" applyProtection="0"/>
    <xf numFmtId="175" fontId="87" fillId="62" borderId="86" applyNumberFormat="0" applyAlignment="0" applyProtection="0"/>
    <xf numFmtId="175" fontId="90" fillId="63" borderId="88" applyNumberFormat="0" applyAlignment="0" applyProtection="0"/>
    <xf numFmtId="175" fontId="2" fillId="69" borderId="0" applyNumberFormat="0" applyBorder="0" applyAlignment="0" applyProtection="0"/>
    <xf numFmtId="175" fontId="90" fillId="63" borderId="88" applyNumberFormat="0" applyAlignment="0" applyProtection="0"/>
    <xf numFmtId="175" fontId="90" fillId="63" borderId="88" applyNumberFormat="0" applyAlignment="0" applyProtection="0"/>
    <xf numFmtId="175" fontId="86" fillId="61" borderId="0" applyNumberFormat="0" applyBorder="0" applyAlignment="0" applyProtection="0"/>
    <xf numFmtId="175" fontId="92" fillId="72" borderId="0" applyNumberFormat="0" applyBorder="0" applyAlignment="0" applyProtection="0"/>
    <xf numFmtId="175" fontId="92" fillId="83" borderId="0" applyNumberFormat="0" applyBorder="0" applyAlignment="0" applyProtection="0"/>
    <xf numFmtId="175" fontId="2" fillId="69" borderId="0" applyNumberFormat="0" applyBorder="0" applyAlignment="0" applyProtection="0"/>
    <xf numFmtId="175" fontId="2" fillId="78" borderId="0" applyNumberFormat="0" applyBorder="0" applyAlignment="0" applyProtection="0"/>
    <xf numFmtId="175" fontId="92" fillId="72" borderId="0" applyNumberFormat="0" applyBorder="0" applyAlignment="0" applyProtection="0"/>
    <xf numFmtId="175" fontId="92" fillId="68" borderId="0" applyNumberFormat="0" applyBorder="0" applyAlignment="0" applyProtection="0"/>
    <xf numFmtId="175" fontId="90" fillId="63" borderId="88" applyNumberFormat="0" applyAlignment="0" applyProtection="0"/>
    <xf numFmtId="175" fontId="88" fillId="62" borderId="85" applyNumberFormat="0" applyAlignment="0" applyProtection="0"/>
    <xf numFmtId="175" fontId="88" fillId="62" borderId="85" applyNumberFormat="0" applyAlignment="0" applyProtection="0"/>
    <xf numFmtId="175" fontId="92" fillId="83" borderId="0" applyNumberFormat="0" applyBorder="0" applyAlignment="0" applyProtection="0"/>
    <xf numFmtId="175" fontId="2" fillId="65" borderId="0" applyNumberFormat="0" applyBorder="0" applyAlignment="0" applyProtection="0"/>
    <xf numFmtId="175" fontId="92" fillId="67" borderId="0" applyNumberFormat="0" applyBorder="0" applyAlignment="0" applyProtection="0"/>
    <xf numFmtId="175" fontId="2" fillId="85" borderId="0" applyNumberFormat="0" applyBorder="0" applyAlignment="0" applyProtection="0"/>
    <xf numFmtId="175" fontId="2" fillId="65" borderId="0" applyNumberFormat="0" applyBorder="0" applyAlignment="0" applyProtection="0"/>
    <xf numFmtId="175" fontId="2" fillId="78" borderId="0" applyNumberFormat="0" applyBorder="0" applyAlignment="0" applyProtection="0"/>
    <xf numFmtId="175" fontId="87" fillId="62" borderId="86" applyNumberFormat="0" applyAlignment="0" applyProtection="0"/>
    <xf numFmtId="175" fontId="92" fillId="76" borderId="0" applyNumberFormat="0" applyBorder="0" applyAlignment="0" applyProtection="0"/>
    <xf numFmtId="175" fontId="92" fillId="84"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73" borderId="0" applyNumberFormat="0" applyBorder="0" applyAlignment="0" applyProtection="0"/>
    <xf numFmtId="175" fontId="2" fillId="70"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74" borderId="0" applyNumberFormat="0" applyBorder="0" applyAlignment="0" applyProtection="0"/>
    <xf numFmtId="175" fontId="2" fillId="73" borderId="0" applyNumberFormat="0" applyBorder="0" applyAlignment="0" applyProtection="0"/>
    <xf numFmtId="175" fontId="92" fillId="87" borderId="0" applyNumberFormat="0" applyBorder="0" applyAlignment="0" applyProtection="0"/>
    <xf numFmtId="175" fontId="92" fillId="71" borderId="0" applyNumberFormat="0" applyBorder="0" applyAlignment="0" applyProtection="0"/>
    <xf numFmtId="175" fontId="92" fillId="64" borderId="0" applyNumberFormat="0" applyBorder="0" applyAlignment="0" applyProtection="0"/>
    <xf numFmtId="175" fontId="2" fillId="81" borderId="0" applyNumberFormat="0" applyBorder="0" applyAlignment="0" applyProtection="0"/>
    <xf numFmtId="175" fontId="2" fillId="86" borderId="0" applyNumberFormat="0" applyBorder="0" applyAlignment="0" applyProtection="0"/>
    <xf numFmtId="175" fontId="2" fillId="81" borderId="0" applyNumberFormat="0" applyBorder="0" applyAlignment="0" applyProtection="0"/>
    <xf numFmtId="175" fontId="92" fillId="76" borderId="0" applyNumberFormat="0" applyBorder="0" applyAlignment="0" applyProtection="0"/>
    <xf numFmtId="175" fontId="92" fillId="79" borderId="0" applyNumberFormat="0" applyBorder="0" applyAlignment="0" applyProtection="0"/>
    <xf numFmtId="175" fontId="2" fillId="81" borderId="0" applyNumberFormat="0" applyBorder="0" applyAlignment="0" applyProtection="0"/>
    <xf numFmtId="175" fontId="92" fillId="79" borderId="0" applyNumberFormat="0" applyBorder="0" applyAlignment="0" applyProtection="0"/>
    <xf numFmtId="175" fontId="92" fillId="64" borderId="0" applyNumberFormat="0" applyBorder="0" applyAlignment="0" applyProtection="0"/>
    <xf numFmtId="175" fontId="92" fillId="76" borderId="0" applyNumberFormat="0" applyBorder="0" applyAlignment="0" applyProtection="0"/>
    <xf numFmtId="175" fontId="2" fillId="85" borderId="0" applyNumberFormat="0" applyBorder="0" applyAlignment="0" applyProtection="0"/>
    <xf numFmtId="175" fontId="2" fillId="73" borderId="0" applyNumberFormat="0" applyBorder="0" applyAlignment="0" applyProtection="0"/>
    <xf numFmtId="175" fontId="92" fillId="84" borderId="0" applyNumberFormat="0" applyBorder="0" applyAlignment="0" applyProtection="0"/>
    <xf numFmtId="175" fontId="2" fillId="73" borderId="0" applyNumberFormat="0" applyBorder="0" applyAlignment="0" applyProtection="0"/>
    <xf numFmtId="175" fontId="92" fillId="68" borderId="0" applyNumberFormat="0" applyBorder="0" applyAlignment="0" applyProtection="0"/>
    <xf numFmtId="175" fontId="92" fillId="71" borderId="0" applyNumberFormat="0" applyBorder="0" applyAlignment="0" applyProtection="0"/>
    <xf numFmtId="175" fontId="2" fillId="81" borderId="0" applyNumberFormat="0" applyBorder="0" applyAlignment="0" applyProtection="0"/>
    <xf numFmtId="175" fontId="2" fillId="86" borderId="0" applyNumberFormat="0" applyBorder="0" applyAlignment="0" applyProtection="0"/>
    <xf numFmtId="175" fontId="89" fillId="0" borderId="87" applyNumberFormat="0" applyFill="0" applyAlignment="0" applyProtection="0"/>
    <xf numFmtId="175" fontId="2" fillId="81" borderId="0" applyNumberFormat="0" applyBorder="0" applyAlignment="0" applyProtection="0"/>
    <xf numFmtId="175" fontId="88" fillId="62" borderId="85" applyNumberFormat="0" applyAlignment="0" applyProtection="0"/>
    <xf numFmtId="175" fontId="92" fillId="87" borderId="0" applyNumberFormat="0" applyBorder="0" applyAlignment="0" applyProtection="0"/>
    <xf numFmtId="175" fontId="92" fillId="72" borderId="0" applyNumberFormat="0" applyBorder="0" applyAlignment="0" applyProtection="0"/>
    <xf numFmtId="175" fontId="92" fillId="72" borderId="0" applyNumberFormat="0" applyBorder="0" applyAlignment="0" applyProtection="0"/>
    <xf numFmtId="175" fontId="2" fillId="82" borderId="0" applyNumberFormat="0" applyBorder="0" applyAlignment="0" applyProtection="0"/>
    <xf numFmtId="175" fontId="92" fillId="64"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92" fillId="67" borderId="0" applyNumberFormat="0" applyBorder="0" applyAlignment="0" applyProtection="0"/>
    <xf numFmtId="175" fontId="92" fillId="67" borderId="0" applyNumberFormat="0" applyBorder="0" applyAlignment="0" applyProtection="0"/>
    <xf numFmtId="175" fontId="2" fillId="65" borderId="0" applyNumberFormat="0" applyBorder="0" applyAlignment="0" applyProtection="0"/>
    <xf numFmtId="175" fontId="2" fillId="74"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5" fillId="60" borderId="0" applyNumberFormat="0" applyBorder="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92" fillId="68"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65" borderId="0" applyNumberFormat="0" applyBorder="0" applyAlignment="0" applyProtection="0"/>
    <xf numFmtId="175" fontId="2" fillId="85" borderId="0" applyNumberFormat="0" applyBorder="0" applyAlignment="0" applyProtection="0"/>
    <xf numFmtId="175" fontId="92" fillId="71" borderId="0" applyNumberFormat="0" applyBorder="0" applyAlignment="0" applyProtection="0"/>
    <xf numFmtId="175" fontId="89" fillId="0" borderId="87" applyNumberFormat="0" applyFill="0" applyAlignment="0" applyProtection="0"/>
    <xf numFmtId="175" fontId="90" fillId="63" borderId="88" applyNumberFormat="0" applyAlignment="0" applyProtection="0"/>
    <xf numFmtId="175" fontId="92" fillId="79" borderId="0" applyNumberFormat="0" applyBorder="0" applyAlignment="0" applyProtection="0"/>
    <xf numFmtId="175" fontId="92" fillId="79" borderId="0" applyNumberFormat="0" applyBorder="0" applyAlignment="0" applyProtection="0"/>
    <xf numFmtId="175" fontId="92" fillId="72" borderId="0" applyNumberFormat="0" applyBorder="0" applyAlignment="0" applyProtection="0"/>
    <xf numFmtId="175" fontId="2" fillId="66" borderId="0" applyNumberFormat="0" applyBorder="0" applyAlignment="0" applyProtection="0"/>
    <xf numFmtId="175" fontId="2" fillId="77" borderId="0" applyNumberFormat="0" applyBorder="0" applyAlignment="0" applyProtection="0"/>
    <xf numFmtId="175" fontId="90" fillId="63" borderId="88" applyNumberFormat="0" applyAlignment="0" applyProtection="0"/>
    <xf numFmtId="175" fontId="2" fillId="73" borderId="0" applyNumberFormat="0" applyBorder="0" applyAlignment="0" applyProtection="0"/>
    <xf numFmtId="175" fontId="2" fillId="86" borderId="0" applyNumberFormat="0" applyBorder="0" applyAlignment="0" applyProtection="0"/>
    <xf numFmtId="175" fontId="85" fillId="60" borderId="0" applyNumberFormat="0" applyBorder="0" applyAlignment="0" applyProtection="0"/>
    <xf numFmtId="175" fontId="88" fillId="62" borderId="85" applyNumberFormat="0" applyAlignment="0" applyProtection="0"/>
    <xf numFmtId="175" fontId="92" fillId="79" borderId="0" applyNumberFormat="0" applyBorder="0" applyAlignment="0" applyProtection="0"/>
    <xf numFmtId="175" fontId="2" fillId="74" borderId="0" applyNumberFormat="0" applyBorder="0" applyAlignment="0" applyProtection="0"/>
    <xf numFmtId="175" fontId="2" fillId="73" borderId="0" applyNumberFormat="0" applyBorder="0" applyAlignment="0" applyProtection="0"/>
    <xf numFmtId="175" fontId="2" fillId="82" borderId="0" applyNumberFormat="0" applyBorder="0" applyAlignment="0" applyProtection="0"/>
    <xf numFmtId="175" fontId="92" fillId="67" borderId="0" applyNumberFormat="0" applyBorder="0" applyAlignment="0" applyProtection="0"/>
    <xf numFmtId="175" fontId="92" fillId="71" borderId="0" applyNumberFormat="0" applyBorder="0" applyAlignment="0" applyProtection="0"/>
    <xf numFmtId="175" fontId="87" fillId="62" borderId="86" applyNumberFormat="0" applyAlignment="0" applyProtection="0"/>
    <xf numFmtId="175" fontId="2" fillId="70" borderId="0" applyNumberFormat="0" applyBorder="0" applyAlignment="0" applyProtection="0"/>
    <xf numFmtId="175" fontId="92" fillId="87" borderId="0" applyNumberFormat="0" applyBorder="0" applyAlignment="0" applyProtection="0"/>
    <xf numFmtId="175" fontId="2" fillId="86" borderId="0" applyNumberFormat="0" applyBorder="0" applyAlignment="0" applyProtection="0"/>
    <xf numFmtId="175" fontId="86" fillId="61" borderId="0" applyNumberFormat="0" applyBorder="0" applyAlignment="0" applyProtection="0"/>
    <xf numFmtId="175" fontId="92" fillId="76" borderId="0" applyNumberFormat="0" applyBorder="0" applyAlignment="0" applyProtection="0"/>
    <xf numFmtId="175" fontId="92" fillId="75" borderId="0" applyNumberFormat="0" applyBorder="0" applyAlignment="0" applyProtection="0"/>
    <xf numFmtId="175" fontId="2" fillId="74"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92" fillId="87" borderId="0" applyNumberFormat="0" applyBorder="0" applyAlignment="0" applyProtection="0"/>
    <xf numFmtId="175" fontId="2" fillId="69"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73" borderId="0" applyNumberFormat="0" applyBorder="0" applyAlignment="0" applyProtection="0"/>
    <xf numFmtId="175" fontId="88" fillId="62" borderId="85" applyNumberFormat="0" applyAlignment="0" applyProtection="0"/>
    <xf numFmtId="175" fontId="2" fillId="86" borderId="0" applyNumberFormat="0" applyBorder="0" applyAlignment="0" applyProtection="0"/>
    <xf numFmtId="175" fontId="92" fillId="64" borderId="0" applyNumberFormat="0" applyBorder="0" applyAlignment="0" applyProtection="0"/>
    <xf numFmtId="175" fontId="2" fillId="69" borderId="0" applyNumberFormat="0" applyBorder="0" applyAlignment="0" applyProtection="0"/>
    <xf numFmtId="175" fontId="91" fillId="0" borderId="0" applyNumberFormat="0" applyFill="0" applyBorder="0" applyAlignment="0" applyProtection="0"/>
    <xf numFmtId="175" fontId="92" fillId="80" borderId="0" applyNumberFormat="0" applyBorder="0" applyAlignment="0" applyProtection="0"/>
    <xf numFmtId="175" fontId="92" fillId="80" borderId="0" applyNumberFormat="0" applyBorder="0" applyAlignment="0" applyProtection="0"/>
    <xf numFmtId="175" fontId="85" fillId="60" borderId="0" applyNumberFormat="0" applyBorder="0" applyAlignment="0" applyProtection="0"/>
    <xf numFmtId="175" fontId="87" fillId="62" borderId="86" applyNumberFormat="0" applyAlignment="0" applyProtection="0"/>
    <xf numFmtId="175" fontId="92" fillId="64" borderId="0" applyNumberFormat="0" applyBorder="0" applyAlignment="0" applyProtection="0"/>
    <xf numFmtId="175" fontId="2" fillId="69" borderId="0" applyNumberFormat="0" applyBorder="0" applyAlignment="0" applyProtection="0"/>
    <xf numFmtId="175" fontId="92" fillId="68" borderId="0" applyNumberFormat="0" applyBorder="0" applyAlignment="0" applyProtection="0"/>
    <xf numFmtId="175" fontId="85" fillId="60" borderId="0" applyNumberFormat="0" applyBorder="0" applyAlignment="0" applyProtection="0"/>
    <xf numFmtId="175" fontId="89" fillId="0" borderId="87" applyNumberFormat="0" applyFill="0" applyAlignment="0" applyProtection="0"/>
    <xf numFmtId="175" fontId="92" fillId="79" borderId="0" applyNumberFormat="0" applyBorder="0" applyAlignment="0" applyProtection="0"/>
    <xf numFmtId="175" fontId="2" fillId="85" borderId="0" applyNumberFormat="0" applyBorder="0" applyAlignment="0" applyProtection="0"/>
    <xf numFmtId="175" fontId="2" fillId="78" borderId="0" applyNumberFormat="0" applyBorder="0" applyAlignment="0" applyProtection="0"/>
    <xf numFmtId="175" fontId="92" fillId="75" borderId="0" applyNumberFormat="0" applyBorder="0" applyAlignment="0" applyProtection="0"/>
    <xf numFmtId="175" fontId="92" fillId="87" borderId="0" applyNumberFormat="0" applyBorder="0" applyAlignment="0" applyProtection="0"/>
    <xf numFmtId="175" fontId="2" fillId="69" borderId="0" applyNumberFormat="0" applyBorder="0" applyAlignment="0" applyProtection="0"/>
    <xf numFmtId="175" fontId="92" fillId="75" borderId="0" applyNumberFormat="0" applyBorder="0" applyAlignment="0" applyProtection="0"/>
    <xf numFmtId="175" fontId="2" fillId="65" borderId="0" applyNumberFormat="0" applyBorder="0" applyAlignment="0" applyProtection="0"/>
    <xf numFmtId="175" fontId="92" fillId="76" borderId="0" applyNumberFormat="0" applyBorder="0" applyAlignment="0" applyProtection="0"/>
    <xf numFmtId="175" fontId="2" fillId="78" borderId="0" applyNumberFormat="0" applyBorder="0" applyAlignment="0" applyProtection="0"/>
    <xf numFmtId="175" fontId="92" fillId="80" borderId="0" applyNumberFormat="0" applyBorder="0" applyAlignment="0" applyProtection="0"/>
    <xf numFmtId="175" fontId="92" fillId="76" borderId="0" applyNumberFormat="0" applyBorder="0" applyAlignment="0" applyProtection="0"/>
    <xf numFmtId="175" fontId="92" fillId="68" borderId="0" applyNumberFormat="0" applyBorder="0" applyAlignment="0" applyProtection="0"/>
    <xf numFmtId="175" fontId="92" fillId="84" borderId="0" applyNumberFormat="0" applyBorder="0" applyAlignment="0" applyProtection="0"/>
    <xf numFmtId="175" fontId="2" fillId="69"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66"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92" fillId="83" borderId="0" applyNumberFormat="0" applyBorder="0" applyAlignment="0" applyProtection="0"/>
    <xf numFmtId="175" fontId="2" fillId="77" borderId="0" applyNumberFormat="0" applyBorder="0" applyAlignment="0" applyProtection="0"/>
    <xf numFmtId="175" fontId="91" fillId="0" borderId="0" applyNumberFormat="0" applyFill="0" applyBorder="0" applyAlignment="0" applyProtection="0"/>
    <xf numFmtId="175" fontId="88" fillId="62" borderId="85" applyNumberFormat="0" applyAlignment="0" applyProtection="0"/>
    <xf numFmtId="175" fontId="85" fillId="60" borderId="0" applyNumberFormat="0" applyBorder="0" applyAlignment="0" applyProtection="0"/>
    <xf numFmtId="175" fontId="87" fillId="62" borderId="86" applyNumberFormat="0" applyAlignment="0" applyProtection="0"/>
    <xf numFmtId="175" fontId="2" fillId="77" borderId="0" applyNumberFormat="0" applyBorder="0" applyAlignment="0" applyProtection="0"/>
    <xf numFmtId="175" fontId="88" fillId="62" borderId="85" applyNumberFormat="0" applyAlignment="0" applyProtection="0"/>
    <xf numFmtId="175" fontId="92" fillId="68" borderId="0" applyNumberFormat="0" applyBorder="0" applyAlignment="0" applyProtection="0"/>
    <xf numFmtId="175" fontId="91" fillId="0" borderId="0" applyNumberFormat="0" applyFill="0" applyBorder="0" applyAlignment="0" applyProtection="0"/>
    <xf numFmtId="175" fontId="91" fillId="0" borderId="0" applyNumberFormat="0" applyFill="0" applyBorder="0" applyAlignment="0" applyProtection="0"/>
    <xf numFmtId="175" fontId="92" fillId="75" borderId="0" applyNumberFormat="0" applyBorder="0" applyAlignment="0" applyProtection="0"/>
    <xf numFmtId="175" fontId="87" fillId="62" borderId="86" applyNumberFormat="0" applyAlignment="0" applyProtection="0"/>
    <xf numFmtId="175" fontId="92" fillId="68" borderId="0" applyNumberFormat="0" applyBorder="0" applyAlignment="0" applyProtection="0"/>
    <xf numFmtId="175" fontId="85" fillId="60" borderId="0" applyNumberFormat="0" applyBorder="0" applyAlignment="0" applyProtection="0"/>
    <xf numFmtId="175" fontId="92" fillId="75" borderId="0" applyNumberFormat="0" applyBorder="0" applyAlignment="0" applyProtection="0"/>
    <xf numFmtId="175" fontId="92" fillId="83" borderId="0" applyNumberFormat="0" applyBorder="0" applyAlignment="0" applyProtection="0"/>
    <xf numFmtId="175" fontId="2" fillId="77" borderId="0" applyNumberFormat="0" applyBorder="0" applyAlignment="0" applyProtection="0"/>
    <xf numFmtId="175" fontId="2" fillId="85" borderId="0" applyNumberFormat="0" applyBorder="0" applyAlignment="0" applyProtection="0"/>
    <xf numFmtId="175" fontId="2" fillId="77" borderId="0" applyNumberFormat="0" applyBorder="0" applyAlignment="0" applyProtection="0"/>
    <xf numFmtId="175" fontId="92" fillId="64" borderId="0" applyNumberFormat="0" applyBorder="0" applyAlignment="0" applyProtection="0"/>
    <xf numFmtId="175" fontId="92" fillId="67" borderId="0" applyNumberFormat="0" applyBorder="0" applyAlignment="0" applyProtection="0"/>
    <xf numFmtId="175" fontId="2" fillId="78" borderId="0" applyNumberFormat="0" applyBorder="0" applyAlignment="0" applyProtection="0"/>
    <xf numFmtId="175" fontId="88" fillId="62" borderId="85" applyNumberFormat="0" applyAlignment="0" applyProtection="0"/>
    <xf numFmtId="175" fontId="2" fillId="66" borderId="0" applyNumberFormat="0" applyBorder="0" applyAlignment="0" applyProtection="0"/>
    <xf numFmtId="175" fontId="92" fillId="84" borderId="0" applyNumberFormat="0" applyBorder="0" applyAlignment="0" applyProtection="0"/>
    <xf numFmtId="175" fontId="2" fillId="86" borderId="0" applyNumberFormat="0" applyBorder="0" applyAlignment="0" applyProtection="0"/>
    <xf numFmtId="175" fontId="2" fillId="70" borderId="0" applyNumberFormat="0" applyBorder="0" applyAlignment="0" applyProtection="0"/>
    <xf numFmtId="175" fontId="2" fillId="69"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92" fillId="64"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6" fillId="61" borderId="0" applyNumberFormat="0" applyBorder="0" applyAlignment="0" applyProtection="0"/>
    <xf numFmtId="175" fontId="2" fillId="69" borderId="0" applyNumberFormat="0" applyBorder="0" applyAlignment="0" applyProtection="0"/>
    <xf numFmtId="175" fontId="2" fillId="81" borderId="0" applyNumberFormat="0" applyBorder="0" applyAlignment="0" applyProtection="0"/>
    <xf numFmtId="175" fontId="86" fillId="61" borderId="0" applyNumberFormat="0" applyBorder="0" applyAlignment="0" applyProtection="0"/>
    <xf numFmtId="175" fontId="92" fillId="72" borderId="0" applyNumberFormat="0" applyBorder="0" applyAlignment="0" applyProtection="0"/>
    <xf numFmtId="175" fontId="92" fillId="87" borderId="0" applyNumberFormat="0" applyBorder="0" applyAlignment="0" applyProtection="0"/>
    <xf numFmtId="175" fontId="92" fillId="75" borderId="0" applyNumberFormat="0" applyBorder="0" applyAlignment="0" applyProtection="0"/>
    <xf numFmtId="175" fontId="90" fillId="63" borderId="88" applyNumberFormat="0" applyAlignment="0" applyProtection="0"/>
    <xf numFmtId="175" fontId="2" fillId="81" borderId="0" applyNumberFormat="0" applyBorder="0" applyAlignment="0" applyProtection="0"/>
    <xf numFmtId="175" fontId="90" fillId="63" borderId="88" applyNumberFormat="0" applyAlignment="0" applyProtection="0"/>
    <xf numFmtId="175" fontId="92" fillId="67" borderId="0" applyNumberFormat="0" applyBorder="0" applyAlignment="0" applyProtection="0"/>
    <xf numFmtId="175" fontId="92" fillId="76" borderId="0" applyNumberFormat="0" applyBorder="0" applyAlignment="0" applyProtection="0"/>
    <xf numFmtId="175" fontId="92" fillId="75" borderId="0" applyNumberFormat="0" applyBorder="0" applyAlignment="0" applyProtection="0"/>
    <xf numFmtId="175" fontId="2" fillId="85" borderId="0" applyNumberFormat="0" applyBorder="0" applyAlignment="0" applyProtection="0"/>
    <xf numFmtId="175" fontId="2" fillId="66" borderId="0" applyNumberFormat="0" applyBorder="0" applyAlignment="0" applyProtection="0"/>
    <xf numFmtId="175" fontId="85" fillId="60" borderId="0" applyNumberFormat="0" applyBorder="0" applyAlignment="0" applyProtection="0"/>
    <xf numFmtId="175" fontId="92" fillId="71" borderId="0" applyNumberFormat="0" applyBorder="0" applyAlignment="0" applyProtection="0"/>
    <xf numFmtId="175" fontId="88" fillId="62" borderId="85" applyNumberFormat="0" applyAlignment="0" applyProtection="0"/>
    <xf numFmtId="175" fontId="92" fillId="75" borderId="0" applyNumberFormat="0" applyBorder="0" applyAlignment="0" applyProtection="0"/>
    <xf numFmtId="175" fontId="2" fillId="73" borderId="0" applyNumberFormat="0" applyBorder="0" applyAlignment="0" applyProtection="0"/>
    <xf numFmtId="175" fontId="92" fillId="67" borderId="0" applyNumberFormat="0" applyBorder="0" applyAlignment="0" applyProtection="0"/>
    <xf numFmtId="175" fontId="2" fillId="85"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83"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92" fillId="84" borderId="0" applyNumberFormat="0" applyBorder="0" applyAlignment="0" applyProtection="0"/>
    <xf numFmtId="175" fontId="2" fillId="65"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92" fillId="75" borderId="0" applyNumberFormat="0" applyBorder="0" applyAlignment="0" applyProtection="0"/>
    <xf numFmtId="175" fontId="88" fillId="62" borderId="85" applyNumberFormat="0" applyAlignment="0" applyProtection="0"/>
    <xf numFmtId="175" fontId="2" fillId="82" borderId="0" applyNumberFormat="0" applyBorder="0" applyAlignment="0" applyProtection="0"/>
    <xf numFmtId="175" fontId="2" fillId="65" borderId="0" applyNumberFormat="0" applyBorder="0" applyAlignment="0" applyProtection="0"/>
    <xf numFmtId="175" fontId="89" fillId="0" borderId="87" applyNumberFormat="0" applyFill="0" applyAlignment="0" applyProtection="0"/>
    <xf numFmtId="175" fontId="87" fillId="62" borderId="86" applyNumberFormat="0" applyAlignment="0" applyProtection="0"/>
    <xf numFmtId="175" fontId="92" fillId="84" borderId="0" applyNumberFormat="0" applyBorder="0" applyAlignment="0" applyProtection="0"/>
    <xf numFmtId="175" fontId="92" fillId="76" borderId="0" applyNumberFormat="0" applyBorder="0" applyAlignment="0" applyProtection="0"/>
    <xf numFmtId="175" fontId="89" fillId="0" borderId="87" applyNumberFormat="0" applyFill="0" applyAlignment="0" applyProtection="0"/>
    <xf numFmtId="175" fontId="92" fillId="72" borderId="0" applyNumberFormat="0" applyBorder="0" applyAlignment="0" applyProtection="0"/>
    <xf numFmtId="175" fontId="2" fillId="86" borderId="0" applyNumberFormat="0" applyBorder="0" applyAlignment="0" applyProtection="0"/>
    <xf numFmtId="175" fontId="92" fillId="64" borderId="0" applyNumberFormat="0" applyBorder="0" applyAlignment="0" applyProtection="0"/>
    <xf numFmtId="175" fontId="92" fillId="71" borderId="0" applyNumberFormat="0" applyBorder="0" applyAlignment="0" applyProtection="0"/>
    <xf numFmtId="175" fontId="89" fillId="0" borderId="87" applyNumberFormat="0" applyFill="0" applyAlignment="0" applyProtection="0"/>
    <xf numFmtId="175" fontId="2" fillId="74" borderId="0" applyNumberFormat="0" applyBorder="0" applyAlignment="0" applyProtection="0"/>
    <xf numFmtId="175" fontId="92" fillId="83" borderId="0" applyNumberFormat="0" applyBorder="0" applyAlignment="0" applyProtection="0"/>
    <xf numFmtId="175" fontId="92" fillId="67" borderId="0" applyNumberFormat="0" applyBorder="0" applyAlignment="0" applyProtection="0"/>
    <xf numFmtId="175" fontId="92" fillId="72" borderId="0" applyNumberFormat="0" applyBorder="0" applyAlignment="0" applyProtection="0"/>
    <xf numFmtId="175" fontId="2" fillId="82" borderId="0" applyNumberFormat="0" applyBorder="0" applyAlignment="0" applyProtection="0"/>
    <xf numFmtId="175" fontId="92" fillId="80" borderId="0" applyNumberFormat="0" applyBorder="0" applyAlignment="0" applyProtection="0"/>
    <xf numFmtId="175" fontId="92" fillId="68" borderId="0" applyNumberFormat="0" applyBorder="0" applyAlignment="0" applyProtection="0"/>
    <xf numFmtId="175" fontId="89" fillId="0" borderId="87" applyNumberFormat="0" applyFill="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70"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74" borderId="0" applyNumberFormat="0" applyBorder="0" applyAlignment="0" applyProtection="0"/>
    <xf numFmtId="175" fontId="92" fillId="87" borderId="0" applyNumberFormat="0" applyBorder="0" applyAlignment="0" applyProtection="0"/>
    <xf numFmtId="175" fontId="92" fillId="64" borderId="0" applyNumberFormat="0" applyBorder="0" applyAlignment="0" applyProtection="0"/>
    <xf numFmtId="175" fontId="2" fillId="81" borderId="0" applyNumberFormat="0" applyBorder="0" applyAlignment="0" applyProtection="0"/>
    <xf numFmtId="175" fontId="2" fillId="86" borderId="0" applyNumberFormat="0" applyBorder="0" applyAlignment="0" applyProtection="0"/>
    <xf numFmtId="175" fontId="2" fillId="81" borderId="0" applyNumberFormat="0" applyBorder="0" applyAlignment="0" applyProtection="0"/>
    <xf numFmtId="175" fontId="92" fillId="79" borderId="0" applyNumberFormat="0" applyBorder="0" applyAlignment="0" applyProtection="0"/>
    <xf numFmtId="175" fontId="92" fillId="64" borderId="0" applyNumberFormat="0" applyBorder="0" applyAlignment="0" applyProtection="0"/>
    <xf numFmtId="175" fontId="2" fillId="73" borderId="0" applyNumberFormat="0" applyBorder="0" applyAlignment="0" applyProtection="0"/>
    <xf numFmtId="175" fontId="2" fillId="73" borderId="0" applyNumberFormat="0" applyBorder="0" applyAlignment="0" applyProtection="0"/>
    <xf numFmtId="175" fontId="2" fillId="81" borderId="0" applyNumberFormat="0" applyBorder="0" applyAlignment="0" applyProtection="0"/>
    <xf numFmtId="175" fontId="2" fillId="86" borderId="0" applyNumberFormat="0" applyBorder="0" applyAlignment="0" applyProtection="0"/>
    <xf numFmtId="175" fontId="89" fillId="0" borderId="87" applyNumberFormat="0" applyFill="0" applyAlignment="0" applyProtection="0"/>
    <xf numFmtId="175" fontId="2" fillId="81" borderId="0" applyNumberFormat="0" applyBorder="0" applyAlignment="0" applyProtection="0"/>
    <xf numFmtId="175" fontId="92" fillId="87" borderId="0" applyNumberFormat="0" applyBorder="0" applyAlignment="0" applyProtection="0"/>
    <xf numFmtId="175" fontId="2" fillId="82" borderId="0" applyNumberFormat="0" applyBorder="0" applyAlignment="0" applyProtection="0"/>
    <xf numFmtId="175" fontId="92" fillId="64" borderId="0" applyNumberFormat="0" applyBorder="0" applyAlignment="0" applyProtection="0"/>
    <xf numFmtId="175" fontId="85" fillId="60" borderId="0" applyNumberFormat="0" applyBorder="0" applyAlignment="0" applyProtection="0"/>
    <xf numFmtId="175" fontId="2" fillId="74"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5" fillId="60" borderId="0" applyNumberFormat="0" applyBorder="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92" fillId="68"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65" borderId="0" applyNumberFormat="0" applyBorder="0" applyAlignment="0" applyProtection="0"/>
    <xf numFmtId="175" fontId="2" fillId="85" borderId="0" applyNumberFormat="0" applyBorder="0" applyAlignment="0" applyProtection="0"/>
    <xf numFmtId="175" fontId="90" fillId="63" borderId="88" applyNumberFormat="0" applyAlignment="0" applyProtection="0"/>
    <xf numFmtId="175" fontId="92" fillId="79" borderId="0" applyNumberFormat="0" applyBorder="0" applyAlignment="0" applyProtection="0"/>
    <xf numFmtId="175" fontId="92" fillId="72" borderId="0" applyNumberFormat="0" applyBorder="0" applyAlignment="0" applyProtection="0"/>
    <xf numFmtId="175" fontId="2" fillId="77" borderId="0" applyNumberFormat="0" applyBorder="0" applyAlignment="0" applyProtection="0"/>
    <xf numFmtId="175" fontId="2" fillId="86" borderId="0" applyNumberFormat="0" applyBorder="0" applyAlignment="0" applyProtection="0"/>
    <xf numFmtId="175" fontId="92" fillId="79" borderId="0" applyNumberFormat="0" applyBorder="0" applyAlignment="0" applyProtection="0"/>
    <xf numFmtId="175" fontId="2" fillId="82" borderId="0" applyNumberFormat="0" applyBorder="0" applyAlignment="0" applyProtection="0"/>
    <xf numFmtId="175" fontId="92" fillId="67" borderId="0" applyNumberFormat="0" applyBorder="0" applyAlignment="0" applyProtection="0"/>
    <xf numFmtId="175" fontId="92" fillId="71" borderId="0" applyNumberFormat="0" applyBorder="0" applyAlignment="0" applyProtection="0"/>
    <xf numFmtId="175" fontId="87" fillId="62" borderId="86" applyNumberFormat="0" applyAlignment="0" applyProtection="0"/>
    <xf numFmtId="175" fontId="86" fillId="61" borderId="0" applyNumberFormat="0" applyBorder="0" applyAlignment="0" applyProtection="0"/>
    <xf numFmtId="175" fontId="92" fillId="75"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69"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73" borderId="0" applyNumberFormat="0" applyBorder="0" applyAlignment="0" applyProtection="0"/>
    <xf numFmtId="175" fontId="2" fillId="86" borderId="0" applyNumberFormat="0" applyBorder="0" applyAlignment="0" applyProtection="0"/>
    <xf numFmtId="175" fontId="91" fillId="0" borderId="0" applyNumberFormat="0" applyFill="0" applyBorder="0" applyAlignment="0" applyProtection="0"/>
    <xf numFmtId="175" fontId="92" fillId="80" borderId="0" applyNumberFormat="0" applyBorder="0" applyAlignment="0" applyProtection="0"/>
    <xf numFmtId="175" fontId="92" fillId="80" borderId="0" applyNumberFormat="0" applyBorder="0" applyAlignment="0" applyProtection="0"/>
    <xf numFmtId="175" fontId="85" fillId="60" borderId="0" applyNumberFormat="0" applyBorder="0" applyAlignment="0" applyProtection="0"/>
    <xf numFmtId="175" fontId="92" fillId="68" borderId="0" applyNumberFormat="0" applyBorder="0" applyAlignment="0" applyProtection="0"/>
    <xf numFmtId="175" fontId="2" fillId="85" borderId="0" applyNumberFormat="0" applyBorder="0" applyAlignment="0" applyProtection="0"/>
    <xf numFmtId="175" fontId="92" fillId="87" borderId="0" applyNumberFormat="0" applyBorder="0" applyAlignment="0" applyProtection="0"/>
    <xf numFmtId="175" fontId="2" fillId="69" borderId="0" applyNumberFormat="0" applyBorder="0" applyAlignment="0" applyProtection="0"/>
    <xf numFmtId="175" fontId="92" fillId="76" borderId="0" applyNumberFormat="0" applyBorder="0" applyAlignment="0" applyProtection="0"/>
    <xf numFmtId="175" fontId="2" fillId="78" borderId="0" applyNumberFormat="0" applyBorder="0" applyAlignment="0" applyProtection="0"/>
    <xf numFmtId="175" fontId="92" fillId="80" borderId="0" applyNumberFormat="0" applyBorder="0" applyAlignment="0" applyProtection="0"/>
    <xf numFmtId="175" fontId="92" fillId="76" borderId="0" applyNumberFormat="0" applyBorder="0" applyAlignment="0" applyProtection="0"/>
    <xf numFmtId="175" fontId="92" fillId="84"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66"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92" fillId="83" borderId="0" applyNumberFormat="0" applyBorder="0" applyAlignment="0" applyProtection="0"/>
    <xf numFmtId="175" fontId="88" fillId="62" borderId="85" applyNumberFormat="0" applyAlignment="0" applyProtection="0"/>
    <xf numFmtId="175" fontId="2" fillId="77" borderId="0" applyNumberFormat="0" applyBorder="0" applyAlignment="0" applyProtection="0"/>
    <xf numFmtId="175" fontId="2" fillId="78" borderId="0" applyNumberFormat="0" applyBorder="0" applyAlignment="0" applyProtection="0"/>
    <xf numFmtId="175" fontId="88" fillId="62" borderId="85" applyNumberFormat="0" applyAlignment="0" applyProtection="0"/>
    <xf numFmtId="175" fontId="92" fillId="84" borderId="0" applyNumberFormat="0" applyBorder="0" applyAlignment="0" applyProtection="0"/>
    <xf numFmtId="175" fontId="2" fillId="70"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92" fillId="64"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81" borderId="0" applyNumberFormat="0" applyBorder="0" applyAlignment="0" applyProtection="0"/>
    <xf numFmtId="175" fontId="86" fillId="61" borderId="0" applyNumberFormat="0" applyBorder="0" applyAlignment="0" applyProtection="0"/>
    <xf numFmtId="175" fontId="92" fillId="75" borderId="0" applyNumberFormat="0" applyBorder="0" applyAlignment="0" applyProtection="0"/>
    <xf numFmtId="175" fontId="2" fillId="85" borderId="0" applyNumberFormat="0" applyBorder="0" applyAlignment="0" applyProtection="0"/>
    <xf numFmtId="175" fontId="92" fillId="71"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65"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2" fillId="82" borderId="0" applyNumberFormat="0" applyBorder="0" applyAlignment="0" applyProtection="0"/>
    <xf numFmtId="175" fontId="87" fillId="62" borderId="86" applyNumberFormat="0" applyAlignment="0" applyProtection="0"/>
    <xf numFmtId="175" fontId="92" fillId="76"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175" fontId="85" fillId="60" borderId="0" applyNumberFormat="0" applyBorder="0" applyAlignment="0" applyProtection="0"/>
    <xf numFmtId="175" fontId="86" fillId="61" borderId="0" applyNumberFormat="0" applyBorder="0" applyAlignment="0" applyProtection="0"/>
    <xf numFmtId="175" fontId="87" fillId="62" borderId="86" applyNumberFormat="0" applyAlignment="0" applyProtection="0"/>
    <xf numFmtId="175" fontId="88" fillId="62" borderId="85" applyNumberFormat="0" applyAlignment="0" applyProtection="0"/>
    <xf numFmtId="175" fontId="89" fillId="0" borderId="87" applyNumberFormat="0" applyFill="0" applyAlignment="0" applyProtection="0"/>
    <xf numFmtId="175" fontId="90" fillId="63" borderId="88" applyNumberFormat="0" applyAlignment="0" applyProtection="0"/>
    <xf numFmtId="175" fontId="91" fillId="0" borderId="0" applyNumberFormat="0" applyFill="0" applyBorder="0" applyAlignment="0" applyProtection="0"/>
    <xf numFmtId="175" fontId="92" fillId="64" borderId="0" applyNumberFormat="0" applyBorder="0" applyAlignment="0" applyProtection="0"/>
    <xf numFmtId="175" fontId="2" fillId="65" borderId="0" applyNumberFormat="0" applyBorder="0" applyAlignment="0" applyProtection="0"/>
    <xf numFmtId="175" fontId="2" fillId="66" borderId="0" applyNumberFormat="0" applyBorder="0" applyAlignment="0" applyProtection="0"/>
    <xf numFmtId="175" fontId="92" fillId="67" borderId="0" applyNumberFormat="0" applyBorder="0" applyAlignment="0" applyProtection="0"/>
    <xf numFmtId="175" fontId="92" fillId="68" borderId="0" applyNumberFormat="0" applyBorder="0" applyAlignment="0" applyProtection="0"/>
    <xf numFmtId="175" fontId="2" fillId="69" borderId="0" applyNumberFormat="0" applyBorder="0" applyAlignment="0" applyProtection="0"/>
    <xf numFmtId="175" fontId="2" fillId="70" borderId="0" applyNumberFormat="0" applyBorder="0" applyAlignment="0" applyProtection="0"/>
    <xf numFmtId="175" fontId="92" fillId="71" borderId="0" applyNumberFormat="0" applyBorder="0" applyAlignment="0" applyProtection="0"/>
    <xf numFmtId="175" fontId="92" fillId="72" borderId="0" applyNumberFormat="0" applyBorder="0" applyAlignment="0" applyProtection="0"/>
    <xf numFmtId="175" fontId="2" fillId="73" borderId="0" applyNumberFormat="0" applyBorder="0" applyAlignment="0" applyProtection="0"/>
    <xf numFmtId="175" fontId="2" fillId="74" borderId="0" applyNumberFormat="0" applyBorder="0" applyAlignment="0" applyProtection="0"/>
    <xf numFmtId="175" fontId="92" fillId="75" borderId="0" applyNumberFormat="0" applyBorder="0" applyAlignment="0" applyProtection="0"/>
    <xf numFmtId="175" fontId="92" fillId="76" borderId="0" applyNumberFormat="0" applyBorder="0" applyAlignment="0" applyProtection="0"/>
    <xf numFmtId="175" fontId="2" fillId="77" borderId="0" applyNumberFormat="0" applyBorder="0" applyAlignment="0" applyProtection="0"/>
    <xf numFmtId="175" fontId="2" fillId="78" borderId="0" applyNumberFormat="0" applyBorder="0" applyAlignment="0" applyProtection="0"/>
    <xf numFmtId="175" fontId="92" fillId="79" borderId="0" applyNumberFormat="0" applyBorder="0" applyAlignment="0" applyProtection="0"/>
    <xf numFmtId="175" fontId="92" fillId="80" borderId="0" applyNumberFormat="0" applyBorder="0" applyAlignment="0" applyProtection="0"/>
    <xf numFmtId="175" fontId="2" fillId="81" borderId="0" applyNumberFormat="0" applyBorder="0" applyAlignment="0" applyProtection="0"/>
    <xf numFmtId="175" fontId="2" fillId="82" borderId="0" applyNumberFormat="0" applyBorder="0" applyAlignment="0" applyProtection="0"/>
    <xf numFmtId="175" fontId="92" fillId="83" borderId="0" applyNumberFormat="0" applyBorder="0" applyAlignment="0" applyProtection="0"/>
    <xf numFmtId="175" fontId="92" fillId="84" borderId="0" applyNumberFormat="0" applyBorder="0" applyAlignment="0" applyProtection="0"/>
    <xf numFmtId="175" fontId="2" fillId="85" borderId="0" applyNumberFormat="0" applyBorder="0" applyAlignment="0" applyProtection="0"/>
    <xf numFmtId="175" fontId="2" fillId="86" borderId="0" applyNumberFormat="0" applyBorder="0" applyAlignment="0" applyProtection="0"/>
    <xf numFmtId="175" fontId="92" fillId="87" borderId="0" applyNumberFormat="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cellStyleXfs>
  <cellXfs count="1347">
    <xf numFmtId="0" fontId="0" fillId="0" borderId="0" xfId="0"/>
    <xf numFmtId="41" fontId="17" fillId="19" borderId="13" xfId="29" applyFont="1" applyFill="1" applyBorder="1" applyAlignment="1">
      <alignment horizontal="right"/>
    </xf>
    <xf numFmtId="0" fontId="16" fillId="20" borderId="14" xfId="0" applyFont="1" applyFill="1" applyBorder="1" applyAlignment="1">
      <alignment horizontal="center"/>
    </xf>
    <xf numFmtId="0" fontId="8" fillId="0" borderId="0" xfId="0" applyFont="1"/>
    <xf numFmtId="0" fontId="9" fillId="0" borderId="0" xfId="0" applyFont="1"/>
    <xf numFmtId="0" fontId="0" fillId="0" borderId="0" xfId="0" applyAlignment="1">
      <alignment horizontal="right"/>
    </xf>
    <xf numFmtId="0" fontId="0" fillId="0" borderId="14" xfId="0" applyBorder="1"/>
    <xf numFmtId="0" fontId="0" fillId="0" borderId="15" xfId="0" applyBorder="1"/>
    <xf numFmtId="0" fontId="0" fillId="0" borderId="16" xfId="0" applyBorder="1"/>
    <xf numFmtId="0" fontId="0" fillId="0" borderId="14" xfId="0" applyBorder="1" applyAlignment="1">
      <alignment horizontal="center"/>
    </xf>
    <xf numFmtId="43" fontId="0" fillId="0" borderId="0" xfId="28" applyFont="1"/>
    <xf numFmtId="41" fontId="0" fillId="0" borderId="0" xfId="29" applyFont="1"/>
    <xf numFmtId="9" fontId="0" fillId="0" borderId="0" xfId="0" applyNumberFormat="1"/>
    <xf numFmtId="41" fontId="8" fillId="0" borderId="0" xfId="29" applyFont="1"/>
    <xf numFmtId="41" fontId="0" fillId="0" borderId="0" xfId="0" applyNumberFormat="1"/>
    <xf numFmtId="9" fontId="0" fillId="0" borderId="0" xfId="50" applyFont="1"/>
    <xf numFmtId="3" fontId="0" fillId="0" borderId="0" xfId="0" applyNumberFormat="1"/>
    <xf numFmtId="41" fontId="8" fillId="0" borderId="0" xfId="0" applyNumberFormat="1" applyFont="1"/>
    <xf numFmtId="43" fontId="0" fillId="0" borderId="0" xfId="0" applyNumberFormat="1"/>
    <xf numFmtId="41" fontId="0" fillId="0" borderId="0" xfId="28" applyNumberFormat="1" applyFont="1"/>
    <xf numFmtId="43" fontId="8" fillId="0" borderId="0" xfId="28" applyFont="1"/>
    <xf numFmtId="0" fontId="0" fillId="0" borderId="0" xfId="0" applyBorder="1"/>
    <xf numFmtId="0" fontId="10" fillId="0" borderId="0" xfId="0" applyFont="1"/>
    <xf numFmtId="0" fontId="11" fillId="0" borderId="0" xfId="0" applyFont="1"/>
    <xf numFmtId="41" fontId="9" fillId="0" borderId="0" xfId="29" applyFont="1"/>
    <xf numFmtId="0" fontId="12" fillId="19" borderId="0" xfId="0" applyFont="1" applyFill="1"/>
    <xf numFmtId="0" fontId="13" fillId="19" borderId="0" xfId="0" applyFont="1" applyFill="1"/>
    <xf numFmtId="0" fontId="15" fillId="0" borderId="0" xfId="0" applyFont="1"/>
    <xf numFmtId="3" fontId="14" fillId="0" borderId="17" xfId="0" applyNumberFormat="1" applyFont="1" applyBorder="1"/>
    <xf numFmtId="3" fontId="14" fillId="0" borderId="18" xfId="0" applyNumberFormat="1" applyFont="1" applyBorder="1"/>
    <xf numFmtId="41" fontId="14" fillId="0" borderId="17" xfId="29" applyFont="1" applyBorder="1"/>
    <xf numFmtId="0" fontId="14" fillId="0" borderId="0" xfId="0" applyFont="1"/>
    <xf numFmtId="0" fontId="0" fillId="22" borderId="0" xfId="0" applyFill="1"/>
    <xf numFmtId="0" fontId="0" fillId="23" borderId="0" xfId="0" applyFill="1"/>
    <xf numFmtId="0" fontId="0" fillId="0" borderId="0" xfId="0" applyFill="1"/>
    <xf numFmtId="0" fontId="9" fillId="0" borderId="19" xfId="0" applyFont="1" applyBorder="1"/>
    <xf numFmtId="0" fontId="9" fillId="0" borderId="21" xfId="0" applyFont="1" applyBorder="1"/>
    <xf numFmtId="0" fontId="9" fillId="0" borderId="0" xfId="0" applyFont="1" applyBorder="1"/>
    <xf numFmtId="43" fontId="9" fillId="0" borderId="0" xfId="28" applyFont="1" applyBorder="1"/>
    <xf numFmtId="43" fontId="9" fillId="0" borderId="22" xfId="28" applyFont="1" applyBorder="1"/>
    <xf numFmtId="9" fontId="9" fillId="0" borderId="0" xfId="0" applyNumberFormat="1" applyFont="1" applyBorder="1"/>
    <xf numFmtId="43" fontId="9" fillId="0" borderId="23" xfId="28" applyFont="1" applyBorder="1"/>
    <xf numFmtId="0" fontId="8" fillId="0" borderId="24" xfId="0" quotePrefix="1" applyFont="1" applyBorder="1" applyAlignment="1">
      <alignment horizontal="left"/>
    </xf>
    <xf numFmtId="0" fontId="9" fillId="0" borderId="25" xfId="0" applyFont="1" applyBorder="1"/>
    <xf numFmtId="9" fontId="9" fillId="0" borderId="13" xfId="50" applyFont="1" applyBorder="1"/>
    <xf numFmtId="9" fontId="9" fillId="0" borderId="0" xfId="50" applyFont="1" applyBorder="1"/>
    <xf numFmtId="0" fontId="8" fillId="0" borderId="26" xfId="0" applyFont="1" applyBorder="1"/>
    <xf numFmtId="0" fontId="9" fillId="0" borderId="27" xfId="0" applyFont="1" applyBorder="1"/>
    <xf numFmtId="0" fontId="9" fillId="0" borderId="28" xfId="0" applyFont="1" applyBorder="1"/>
    <xf numFmtId="0" fontId="9" fillId="0" borderId="29" xfId="0" applyFont="1" applyBorder="1"/>
    <xf numFmtId="43" fontId="9" fillId="0" borderId="30" xfId="0" applyNumberFormat="1" applyFont="1" applyBorder="1"/>
    <xf numFmtId="0" fontId="9" fillId="0" borderId="31" xfId="0" applyFont="1" applyBorder="1"/>
    <xf numFmtId="43" fontId="9" fillId="0" borderId="22" xfId="0" applyNumberFormat="1" applyFont="1" applyBorder="1"/>
    <xf numFmtId="0" fontId="9" fillId="0" borderId="32" xfId="0" applyFont="1" applyBorder="1"/>
    <xf numFmtId="10" fontId="9" fillId="0" borderId="27" xfId="50" applyNumberFormat="1" applyFont="1" applyBorder="1"/>
    <xf numFmtId="43" fontId="9" fillId="0" borderId="27" xfId="28" applyFont="1" applyBorder="1"/>
    <xf numFmtId="0" fontId="9" fillId="0" borderId="33" xfId="0" applyFont="1" applyBorder="1"/>
    <xf numFmtId="0" fontId="8" fillId="0" borderId="19" xfId="0" applyFont="1" applyBorder="1"/>
    <xf numFmtId="0" fontId="8" fillId="0" borderId="13" xfId="0" applyFont="1" applyBorder="1"/>
    <xf numFmtId="0" fontId="8" fillId="0" borderId="0" xfId="0" applyFont="1" applyBorder="1"/>
    <xf numFmtId="0" fontId="9" fillId="0" borderId="24" xfId="0" applyFont="1" applyBorder="1"/>
    <xf numFmtId="0" fontId="8" fillId="0" borderId="23" xfId="0" applyFont="1" applyBorder="1"/>
    <xf numFmtId="0" fontId="9" fillId="0" borderId="23" xfId="0" applyFont="1" applyBorder="1"/>
    <xf numFmtId="9" fontId="9" fillId="0" borderId="23" xfId="50" applyFont="1" applyBorder="1"/>
    <xf numFmtId="0" fontId="8" fillId="0" borderId="24" xfId="0" applyFont="1" applyBorder="1"/>
    <xf numFmtId="9" fontId="8" fillId="0" borderId="23" xfId="50" applyFont="1" applyBorder="1"/>
    <xf numFmtId="10" fontId="9" fillId="0" borderId="0" xfId="0" applyNumberFormat="1" applyFont="1"/>
    <xf numFmtId="0" fontId="8" fillId="0" borderId="34" xfId="0" applyFont="1" applyBorder="1"/>
    <xf numFmtId="0" fontId="8" fillId="0" borderId="21" xfId="0" applyFont="1" applyBorder="1"/>
    <xf numFmtId="0" fontId="9" fillId="0" borderId="26" xfId="0" applyFont="1" applyBorder="1"/>
    <xf numFmtId="3" fontId="0" fillId="0" borderId="18" xfId="0" applyNumberFormat="1" applyBorder="1"/>
    <xf numFmtId="0" fontId="8" fillId="0" borderId="0" xfId="0" applyFont="1" applyAlignment="1">
      <alignment horizontal="right"/>
    </xf>
    <xf numFmtId="0" fontId="0" fillId="24" borderId="0" xfId="0" applyFill="1"/>
    <xf numFmtId="43" fontId="0" fillId="24" borderId="0" xfId="28" applyFont="1" applyFill="1"/>
    <xf numFmtId="0" fontId="8" fillId="24" borderId="0" xfId="0" applyFont="1" applyFill="1"/>
    <xf numFmtId="43" fontId="8" fillId="24" borderId="0" xfId="28" applyFont="1" applyFill="1"/>
    <xf numFmtId="41" fontId="0" fillId="24" borderId="0" xfId="29" applyFont="1" applyFill="1"/>
    <xf numFmtId="41" fontId="8" fillId="24" borderId="0" xfId="29" applyFont="1" applyFill="1"/>
    <xf numFmtId="41" fontId="9" fillId="24" borderId="0" xfId="29" applyFont="1" applyFill="1"/>
    <xf numFmtId="41" fontId="9" fillId="0" borderId="0" xfId="0" applyNumberFormat="1" applyFont="1"/>
    <xf numFmtId="9" fontId="9" fillId="0" borderId="0" xfId="50" applyFont="1"/>
    <xf numFmtId="41" fontId="9" fillId="0" borderId="0" xfId="29" applyFont="1" applyBorder="1"/>
    <xf numFmtId="0" fontId="9" fillId="0" borderId="0" xfId="0" applyFont="1" applyBorder="1" applyAlignment="1">
      <alignment horizontal="center"/>
    </xf>
    <xf numFmtId="0" fontId="0" fillId="0" borderId="13" xfId="0" applyBorder="1"/>
    <xf numFmtId="0" fontId="0" fillId="0" borderId="30" xfId="0" applyBorder="1"/>
    <xf numFmtId="0" fontId="0" fillId="0" borderId="21" xfId="0" applyBorder="1"/>
    <xf numFmtId="9" fontId="0" fillId="0" borderId="0" xfId="50" applyFont="1" applyBorder="1"/>
    <xf numFmtId="41" fontId="0" fillId="0" borderId="22" xfId="29" applyFont="1" applyBorder="1"/>
    <xf numFmtId="0" fontId="0" fillId="0" borderId="24" xfId="0" applyBorder="1"/>
    <xf numFmtId="0" fontId="0" fillId="0" borderId="23" xfId="0" applyBorder="1"/>
    <xf numFmtId="0" fontId="0" fillId="0" borderId="19" xfId="0" applyBorder="1"/>
    <xf numFmtId="0" fontId="0" fillId="0" borderId="20" xfId="0" applyBorder="1"/>
    <xf numFmtId="0" fontId="0" fillId="0" borderId="22" xfId="0" applyBorder="1"/>
    <xf numFmtId="0" fontId="0" fillId="0" borderId="25" xfId="0" applyBorder="1"/>
    <xf numFmtId="41" fontId="0" fillId="0" borderId="0" xfId="29" applyFont="1" applyBorder="1"/>
    <xf numFmtId="41" fontId="0" fillId="0" borderId="22" xfId="0" applyNumberFormat="1" applyBorder="1"/>
    <xf numFmtId="41" fontId="0" fillId="0" borderId="23" xfId="29" applyFont="1" applyBorder="1"/>
    <xf numFmtId="41" fontId="0" fillId="0" borderId="25" xfId="0" applyNumberFormat="1" applyBorder="1"/>
    <xf numFmtId="9" fontId="14" fillId="0" borderId="0" xfId="50" applyFont="1"/>
    <xf numFmtId="10" fontId="0" fillId="0" borderId="0" xfId="0" applyNumberFormat="1"/>
    <xf numFmtId="10" fontId="0" fillId="0" borderId="0" xfId="50" applyNumberFormat="1" applyFont="1" applyBorder="1"/>
    <xf numFmtId="10" fontId="8" fillId="0" borderId="23" xfId="0" applyNumberFormat="1" applyFont="1" applyBorder="1"/>
    <xf numFmtId="0" fontId="0" fillId="0" borderId="34" xfId="0" applyBorder="1"/>
    <xf numFmtId="9" fontId="0" fillId="0" borderId="13" xfId="50" applyFont="1" applyBorder="1"/>
    <xf numFmtId="10" fontId="0" fillId="0" borderId="13" xfId="50" applyNumberFormat="1" applyFont="1" applyBorder="1"/>
    <xf numFmtId="10" fontId="0" fillId="0" borderId="0" xfId="0" applyNumberFormat="1" applyBorder="1"/>
    <xf numFmtId="9" fontId="0" fillId="0" borderId="22" xfId="50" applyFont="1" applyBorder="1"/>
    <xf numFmtId="10" fontId="8" fillId="0" borderId="19" xfId="0" applyNumberFormat="1" applyFont="1" applyBorder="1"/>
    <xf numFmtId="10" fontId="0" fillId="0" borderId="13" xfId="0" applyNumberFormat="1" applyBorder="1"/>
    <xf numFmtId="9" fontId="0" fillId="0" borderId="30" xfId="50" applyFont="1" applyBorder="1"/>
    <xf numFmtId="43" fontId="0" fillId="0" borderId="35" xfId="28" applyFont="1" applyBorder="1"/>
    <xf numFmtId="0" fontId="0" fillId="0" borderId="17" xfId="0" applyBorder="1"/>
    <xf numFmtId="0" fontId="9" fillId="0" borderId="36" xfId="0" applyFont="1" applyBorder="1" applyAlignment="1">
      <alignment horizontal="center"/>
    </xf>
    <xf numFmtId="0" fontId="9" fillId="0" borderId="17" xfId="0" applyFont="1" applyBorder="1" applyAlignment="1">
      <alignment horizontal="center"/>
    </xf>
    <xf numFmtId="10" fontId="0" fillId="0" borderId="19" xfId="0" applyNumberFormat="1" applyBorder="1"/>
    <xf numFmtId="10" fontId="8" fillId="0" borderId="23" xfId="50" applyNumberFormat="1" applyFont="1" applyBorder="1"/>
    <xf numFmtId="41" fontId="0" fillId="23" borderId="0" xfId="29" applyFont="1" applyFill="1"/>
    <xf numFmtId="41" fontId="8" fillId="23" borderId="0" xfId="29" applyFont="1" applyFill="1"/>
    <xf numFmtId="43" fontId="0" fillId="23" borderId="0" xfId="28" applyFont="1" applyFill="1"/>
    <xf numFmtId="0" fontId="0" fillId="25" borderId="0" xfId="0" applyFill="1"/>
    <xf numFmtId="43" fontId="9" fillId="0" borderId="0" xfId="28" applyFont="1"/>
    <xf numFmtId="41" fontId="0" fillId="26" borderId="0" xfId="29" applyFont="1" applyFill="1"/>
    <xf numFmtId="0" fontId="0" fillId="26" borderId="0" xfId="0" applyFill="1"/>
    <xf numFmtId="0" fontId="0" fillId="0" borderId="0" xfId="0" applyNumberFormat="1"/>
    <xf numFmtId="0" fontId="0" fillId="27" borderId="0" xfId="0" applyFill="1" applyBorder="1"/>
    <xf numFmtId="0" fontId="0" fillId="28" borderId="0" xfId="0" applyFill="1"/>
    <xf numFmtId="0" fontId="8" fillId="0" borderId="0" xfId="0" applyFont="1" applyFill="1" applyAlignment="1">
      <alignment horizontal="center"/>
    </xf>
    <xf numFmtId="0" fontId="8" fillId="0" borderId="0" xfId="0" applyFont="1" applyAlignment="1">
      <alignment horizontal="center"/>
    </xf>
    <xf numFmtId="0" fontId="0" fillId="19" borderId="0" xfId="0" applyFill="1"/>
    <xf numFmtId="0" fontId="0" fillId="0" borderId="29" xfId="0" applyBorder="1"/>
    <xf numFmtId="0" fontId="0" fillId="0" borderId="31" xfId="0" applyBorder="1"/>
    <xf numFmtId="0" fontId="0" fillId="0" borderId="32" xfId="0" applyBorder="1"/>
    <xf numFmtId="0" fontId="0" fillId="0" borderId="27" xfId="0" applyBorder="1"/>
    <xf numFmtId="0" fontId="0" fillId="0" borderId="33" xfId="0" applyBorder="1"/>
    <xf numFmtId="0" fontId="8" fillId="0" borderId="0" xfId="0" applyFont="1" applyAlignment="1">
      <alignment horizontal="left"/>
    </xf>
    <xf numFmtId="41" fontId="0" fillId="0" borderId="0" xfId="29" applyFont="1" applyFill="1"/>
    <xf numFmtId="41" fontId="8" fillId="0" borderId="0" xfId="29" applyFont="1" applyFill="1"/>
    <xf numFmtId="43" fontId="0" fillId="0" borderId="0" xfId="28" applyFont="1" applyFill="1"/>
    <xf numFmtId="0" fontId="12" fillId="29" borderId="0" xfId="0" applyFont="1" applyFill="1"/>
    <xf numFmtId="0" fontId="13" fillId="29" borderId="0" xfId="0" applyFont="1" applyFill="1"/>
    <xf numFmtId="0" fontId="23" fillId="29" borderId="0" xfId="0" applyFont="1" applyFill="1"/>
    <xf numFmtId="0" fontId="12" fillId="29" borderId="0" xfId="0" quotePrefix="1" applyFont="1" applyFill="1" applyAlignment="1">
      <alignment horizontal="left"/>
    </xf>
    <xf numFmtId="0" fontId="0" fillId="0" borderId="0" xfId="0" applyFill="1" applyBorder="1"/>
    <xf numFmtId="0" fontId="9" fillId="0" borderId="0" xfId="0" applyFont="1" applyFill="1" applyBorder="1"/>
    <xf numFmtId="41" fontId="9" fillId="0" borderId="0" xfId="0" applyNumberFormat="1" applyFont="1" applyBorder="1"/>
    <xf numFmtId="0" fontId="9" fillId="0" borderId="29" xfId="0" applyNumberFormat="1" applyFont="1" applyBorder="1"/>
    <xf numFmtId="43" fontId="9" fillId="0" borderId="30" xfId="28" applyFont="1" applyFill="1" applyBorder="1"/>
    <xf numFmtId="43" fontId="9" fillId="0" borderId="20" xfId="0" applyNumberFormat="1" applyFont="1" applyBorder="1"/>
    <xf numFmtId="0" fontId="8" fillId="0" borderId="16" xfId="0" applyFont="1" applyBorder="1" applyAlignment="1">
      <alignment horizontal="right"/>
    </xf>
    <xf numFmtId="0" fontId="9" fillId="0" borderId="16" xfId="0" applyFont="1" applyBorder="1"/>
    <xf numFmtId="0" fontId="8" fillId="0" borderId="15" xfId="0" applyFont="1" applyBorder="1"/>
    <xf numFmtId="0" fontId="9" fillId="0" borderId="0" xfId="0" applyFont="1" applyBorder="1" applyAlignment="1">
      <alignment horizontal="right"/>
    </xf>
    <xf numFmtId="0" fontId="8" fillId="0" borderId="16" xfId="0" applyFont="1" applyBorder="1"/>
    <xf numFmtId="43" fontId="8" fillId="0" borderId="37" xfId="28" applyFont="1" applyBorder="1"/>
    <xf numFmtId="43" fontId="9" fillId="0" borderId="16" xfId="28" applyFont="1" applyBorder="1"/>
    <xf numFmtId="0" fontId="8" fillId="0" borderId="38" xfId="0" applyFont="1" applyBorder="1"/>
    <xf numFmtId="0" fontId="8" fillId="0" borderId="39" xfId="0" applyFont="1" applyBorder="1"/>
    <xf numFmtId="0" fontId="8" fillId="0" borderId="40" xfId="0" applyFont="1" applyBorder="1"/>
    <xf numFmtId="0" fontId="8" fillId="0" borderId="24" xfId="0" applyFont="1" applyBorder="1" applyAlignment="1">
      <alignment horizontal="left"/>
    </xf>
    <xf numFmtId="9" fontId="9" fillId="0" borderId="32" xfId="50" applyFont="1" applyBorder="1"/>
    <xf numFmtId="9" fontId="9" fillId="0" borderId="27" xfId="50" applyFont="1" applyBorder="1"/>
    <xf numFmtId="9" fontId="9" fillId="0" borderId="34" xfId="50" applyFont="1" applyBorder="1"/>
    <xf numFmtId="9" fontId="9" fillId="0" borderId="21" xfId="50" applyFont="1" applyBorder="1"/>
    <xf numFmtId="9" fontId="9" fillId="0" borderId="24" xfId="50" applyFont="1" applyBorder="1"/>
    <xf numFmtId="41" fontId="8" fillId="0" borderId="0" xfId="29" applyFont="1" applyBorder="1"/>
    <xf numFmtId="3" fontId="0" fillId="0" borderId="0" xfId="0" applyNumberFormat="1" applyBorder="1"/>
    <xf numFmtId="0" fontId="10" fillId="0" borderId="0" xfId="0" applyFont="1" applyFill="1" applyBorder="1"/>
    <xf numFmtId="0" fontId="0" fillId="30" borderId="0" xfId="0" applyFill="1"/>
    <xf numFmtId="0" fontId="0" fillId="0" borderId="0" xfId="0" quotePrefix="1"/>
    <xf numFmtId="41" fontId="0" fillId="31" borderId="0" xfId="29" applyFont="1" applyFill="1"/>
    <xf numFmtId="41" fontId="8" fillId="31" borderId="0" xfId="29" applyFont="1" applyFill="1"/>
    <xf numFmtId="0" fontId="14" fillId="31" borderId="0" xfId="0" applyFont="1" applyFill="1"/>
    <xf numFmtId="0" fontId="0" fillId="31" borderId="0" xfId="0" applyFill="1"/>
    <xf numFmtId="43" fontId="0" fillId="31" borderId="0" xfId="28" applyFont="1" applyFill="1"/>
    <xf numFmtId="41" fontId="9" fillId="0" borderId="23" xfId="29" applyFont="1" applyBorder="1"/>
    <xf numFmtId="0" fontId="0" fillId="0" borderId="11" xfId="0" applyBorder="1"/>
    <xf numFmtId="0" fontId="0" fillId="0" borderId="41" xfId="0" applyBorder="1"/>
    <xf numFmtId="0" fontId="0" fillId="0" borderId="42" xfId="0" applyBorder="1"/>
    <xf numFmtId="41" fontId="8" fillId="0" borderId="13" xfId="29" applyFont="1" applyBorder="1"/>
    <xf numFmtId="41" fontId="9" fillId="0" borderId="21" xfId="29" applyFont="1" applyBorder="1"/>
    <xf numFmtId="41" fontId="9" fillId="0" borderId="34" xfId="29" applyFont="1" applyBorder="1"/>
    <xf numFmtId="41" fontId="9" fillId="0" borderId="21" xfId="29" applyFont="1" applyBorder="1" applyProtection="1"/>
    <xf numFmtId="43" fontId="12" fillId="29" borderId="0" xfId="28" applyFont="1" applyFill="1"/>
    <xf numFmtId="41" fontId="8" fillId="0" borderId="38" xfId="29" applyFont="1" applyBorder="1"/>
    <xf numFmtId="0" fontId="0" fillId="25" borderId="24" xfId="0" applyFill="1" applyBorder="1"/>
    <xf numFmtId="0" fontId="0" fillId="25" borderId="23" xfId="0" applyFill="1" applyBorder="1"/>
    <xf numFmtId="0" fontId="0" fillId="25" borderId="25" xfId="0" applyFill="1" applyBorder="1"/>
    <xf numFmtId="0" fontId="0" fillId="25" borderId="21" xfId="0" applyFill="1" applyBorder="1"/>
    <xf numFmtId="0" fontId="0" fillId="25" borderId="0" xfId="0" applyFill="1" applyBorder="1"/>
    <xf numFmtId="0" fontId="0" fillId="25" borderId="22" xfId="0" applyFill="1" applyBorder="1"/>
    <xf numFmtId="10" fontId="0" fillId="25" borderId="23" xfId="0" applyNumberFormat="1" applyFill="1" applyBorder="1"/>
    <xf numFmtId="9" fontId="0" fillId="25" borderId="23" xfId="50" applyFont="1" applyFill="1" applyBorder="1"/>
    <xf numFmtId="10" fontId="0" fillId="25" borderId="23" xfId="50" applyNumberFormat="1" applyFont="1" applyFill="1" applyBorder="1"/>
    <xf numFmtId="41" fontId="0" fillId="25" borderId="25" xfId="29" applyFont="1" applyFill="1" applyBorder="1"/>
    <xf numFmtId="41" fontId="13" fillId="19" borderId="0" xfId="0" applyNumberFormat="1" applyFont="1" applyFill="1"/>
    <xf numFmtId="41" fontId="13" fillId="19" borderId="26" xfId="29" applyFont="1" applyFill="1" applyBorder="1"/>
    <xf numFmtId="0" fontId="9" fillId="0" borderId="21" xfId="0" applyFont="1" applyFill="1" applyBorder="1"/>
    <xf numFmtId="9" fontId="9" fillId="32" borderId="18" xfId="50" applyFont="1" applyFill="1" applyBorder="1"/>
    <xf numFmtId="0" fontId="14" fillId="20" borderId="0" xfId="0" applyFont="1" applyFill="1"/>
    <xf numFmtId="41" fontId="8" fillId="20" borderId="19" xfId="0" applyNumberFormat="1" applyFont="1" applyFill="1" applyBorder="1"/>
    <xf numFmtId="43" fontId="0" fillId="20" borderId="20" xfId="28" applyFont="1" applyFill="1" applyBorder="1"/>
    <xf numFmtId="43" fontId="7" fillId="0" borderId="0" xfId="28"/>
    <xf numFmtId="9" fontId="7" fillId="25" borderId="23" xfId="50" applyFill="1" applyBorder="1"/>
    <xf numFmtId="41" fontId="7" fillId="25" borderId="25" xfId="29" applyFill="1" applyBorder="1"/>
    <xf numFmtId="41" fontId="7" fillId="0" borderId="23" xfId="29" applyBorder="1"/>
    <xf numFmtId="9" fontId="7" fillId="0" borderId="13" xfId="50" applyBorder="1"/>
    <xf numFmtId="10" fontId="7" fillId="0" borderId="13" xfId="50" applyNumberFormat="1" applyBorder="1"/>
    <xf numFmtId="10" fontId="7" fillId="0" borderId="0" xfId="50" applyNumberFormat="1" applyBorder="1"/>
    <xf numFmtId="10" fontId="7" fillId="25" borderId="23" xfId="50" applyNumberFormat="1" applyFill="1" applyBorder="1"/>
    <xf numFmtId="9" fontId="7" fillId="0" borderId="30" xfId="50" applyBorder="1"/>
    <xf numFmtId="43" fontId="7" fillId="0" borderId="35" xfId="28" applyBorder="1"/>
    <xf numFmtId="9" fontId="7" fillId="0" borderId="22" xfId="50" applyBorder="1"/>
    <xf numFmtId="41" fontId="7" fillId="0" borderId="0" xfId="29" applyBorder="1"/>
    <xf numFmtId="41" fontId="7" fillId="0" borderId="22" xfId="29" applyBorder="1"/>
    <xf numFmtId="43" fontId="7" fillId="20" borderId="20" xfId="28" applyFill="1" applyBorder="1"/>
    <xf numFmtId="41" fontId="0" fillId="25" borderId="23" xfId="0" applyNumberFormat="1" applyFill="1" applyBorder="1"/>
    <xf numFmtId="41" fontId="0" fillId="25" borderId="23" xfId="29" applyFont="1" applyFill="1" applyBorder="1"/>
    <xf numFmtId="41" fontId="0" fillId="0" borderId="0" xfId="0" applyNumberFormat="1" applyFill="1"/>
    <xf numFmtId="0" fontId="0" fillId="26" borderId="0" xfId="0" applyFill="1" applyAlignment="1">
      <alignment horizontal="right"/>
    </xf>
    <xf numFmtId="9" fontId="0" fillId="0" borderId="0" xfId="0" applyNumberFormat="1" applyFill="1"/>
    <xf numFmtId="0" fontId="0" fillId="0" borderId="0" xfId="0" applyFill="1" applyAlignment="1">
      <alignment horizontal="right"/>
    </xf>
    <xf numFmtId="0" fontId="15" fillId="25" borderId="23" xfId="0" applyFont="1" applyFill="1" applyBorder="1"/>
    <xf numFmtId="0" fontId="9" fillId="25" borderId="0" xfId="0" applyFont="1" applyFill="1"/>
    <xf numFmtId="0" fontId="15" fillId="25" borderId="0" xfId="0" applyFont="1" applyFill="1"/>
    <xf numFmtId="0" fontId="8" fillId="0" borderId="11" xfId="0" applyFont="1" applyBorder="1"/>
    <xf numFmtId="0" fontId="8" fillId="25" borderId="0" xfId="0" applyFont="1" applyFill="1"/>
    <xf numFmtId="41" fontId="9" fillId="0" borderId="14" xfId="29" applyFont="1" applyBorder="1"/>
    <xf numFmtId="41" fontId="9" fillId="25" borderId="0" xfId="29" applyFont="1" applyFill="1"/>
    <xf numFmtId="41" fontId="0" fillId="33" borderId="0" xfId="0" applyNumberFormat="1" applyFill="1"/>
    <xf numFmtId="0" fontId="9" fillId="33" borderId="0" xfId="0" applyFont="1" applyFill="1" applyBorder="1"/>
    <xf numFmtId="0" fontId="0" fillId="33" borderId="0" xfId="0" applyFill="1" applyBorder="1"/>
    <xf numFmtId="41" fontId="0" fillId="33" borderId="0" xfId="29" applyFont="1" applyFill="1"/>
    <xf numFmtId="0" fontId="9" fillId="33" borderId="0" xfId="0" applyFont="1" applyFill="1"/>
    <xf numFmtId="164" fontId="16" fillId="20" borderId="14" xfId="30" applyFont="1" applyFill="1" applyBorder="1" applyAlignment="1" applyProtection="1">
      <alignment horizontal="center"/>
    </xf>
    <xf numFmtId="0" fontId="16" fillId="20" borderId="18" xfId="0" applyFont="1" applyFill="1" applyBorder="1" applyAlignment="1">
      <alignment horizontal="center"/>
    </xf>
    <xf numFmtId="0" fontId="25" fillId="20" borderId="0" xfId="0" applyFont="1" applyFill="1"/>
    <xf numFmtId="41" fontId="25" fillId="20" borderId="0" xfId="0" applyNumberFormat="1" applyFont="1" applyFill="1"/>
    <xf numFmtId="0" fontId="8" fillId="33" borderId="15" xfId="0" applyFont="1" applyFill="1" applyBorder="1"/>
    <xf numFmtId="0" fontId="8" fillId="33" borderId="16" xfId="0" applyFont="1" applyFill="1" applyBorder="1"/>
    <xf numFmtId="0" fontId="8" fillId="33" borderId="16" xfId="0" applyFont="1" applyFill="1" applyBorder="1" applyAlignment="1">
      <alignment horizontal="right"/>
    </xf>
    <xf numFmtId="0" fontId="9" fillId="33" borderId="16" xfId="0" applyFont="1" applyFill="1" applyBorder="1"/>
    <xf numFmtId="0" fontId="9" fillId="33" borderId="28" xfId="0" applyFont="1" applyFill="1" applyBorder="1"/>
    <xf numFmtId="43" fontId="8" fillId="33" borderId="37" xfId="28" applyFont="1" applyFill="1" applyBorder="1"/>
    <xf numFmtId="43" fontId="9" fillId="33" borderId="16" xfId="28" applyFont="1" applyFill="1" applyBorder="1"/>
    <xf numFmtId="41" fontId="8" fillId="33" borderId="38" xfId="29" applyFont="1" applyFill="1" applyBorder="1"/>
    <xf numFmtId="0" fontId="8" fillId="33" borderId="39" xfId="0" applyFont="1" applyFill="1" applyBorder="1"/>
    <xf numFmtId="0" fontId="8" fillId="33" borderId="40" xfId="0" applyFont="1" applyFill="1" applyBorder="1"/>
    <xf numFmtId="0" fontId="9" fillId="33" borderId="0" xfId="0" applyFont="1" applyFill="1" applyBorder="1" applyAlignment="1">
      <alignment horizontal="right"/>
    </xf>
    <xf numFmtId="0" fontId="9" fillId="33" borderId="31" xfId="0" applyFont="1" applyFill="1" applyBorder="1"/>
    <xf numFmtId="0" fontId="9" fillId="33" borderId="29" xfId="0" applyFont="1" applyFill="1" applyBorder="1"/>
    <xf numFmtId="0" fontId="9" fillId="33" borderId="32" xfId="0" applyFont="1" applyFill="1" applyBorder="1"/>
    <xf numFmtId="0" fontId="9" fillId="33" borderId="27" xfId="0" applyFont="1" applyFill="1" applyBorder="1"/>
    <xf numFmtId="0" fontId="8" fillId="0" borderId="15" xfId="0" applyFont="1" applyFill="1" applyBorder="1"/>
    <xf numFmtId="0" fontId="8" fillId="0" borderId="16" xfId="0" applyFont="1" applyFill="1" applyBorder="1"/>
    <xf numFmtId="0" fontId="8" fillId="0" borderId="16" xfId="0" applyFont="1" applyFill="1" applyBorder="1" applyAlignment="1">
      <alignment horizontal="right"/>
    </xf>
    <xf numFmtId="0" fontId="9" fillId="0" borderId="16" xfId="0" applyFont="1" applyFill="1" applyBorder="1"/>
    <xf numFmtId="0" fontId="9" fillId="0" borderId="28" xfId="0" applyFont="1" applyFill="1" applyBorder="1"/>
    <xf numFmtId="43" fontId="8" fillId="0" borderId="37" xfId="28" applyFont="1" applyFill="1" applyBorder="1"/>
    <xf numFmtId="43" fontId="9" fillId="0" borderId="16" xfId="28" applyFont="1" applyFill="1" applyBorder="1"/>
    <xf numFmtId="41" fontId="8" fillId="0" borderId="38" xfId="29" applyFont="1" applyFill="1" applyBorder="1"/>
    <xf numFmtId="0" fontId="8" fillId="0" borderId="39" xfId="0" applyFont="1" applyFill="1" applyBorder="1"/>
    <xf numFmtId="0" fontId="8" fillId="0" borderId="40" xfId="0" applyFont="1" applyFill="1" applyBorder="1"/>
    <xf numFmtId="0" fontId="9" fillId="0" borderId="0" xfId="0" applyFont="1" applyFill="1" applyBorder="1" applyAlignment="1">
      <alignment horizontal="right"/>
    </xf>
    <xf numFmtId="0" fontId="9" fillId="0" borderId="31" xfId="0" applyFont="1" applyFill="1" applyBorder="1"/>
    <xf numFmtId="0" fontId="9" fillId="0" borderId="29" xfId="0" applyFont="1" applyFill="1" applyBorder="1"/>
    <xf numFmtId="43" fontId="9" fillId="0" borderId="0" xfId="28" applyFont="1" applyFill="1" applyBorder="1"/>
    <xf numFmtId="43" fontId="9" fillId="0" borderId="34" xfId="28" applyFont="1" applyFill="1" applyBorder="1"/>
    <xf numFmtId="43" fontId="9" fillId="0" borderId="13" xfId="28" applyFont="1" applyFill="1" applyBorder="1"/>
    <xf numFmtId="43" fontId="9" fillId="0" borderId="30" xfId="0" applyNumberFormat="1" applyFont="1" applyFill="1" applyBorder="1"/>
    <xf numFmtId="43" fontId="9" fillId="0" borderId="21" xfId="28" applyFont="1" applyFill="1" applyBorder="1"/>
    <xf numFmtId="43" fontId="9" fillId="0" borderId="22" xfId="0" applyNumberFormat="1" applyFont="1" applyFill="1" applyBorder="1"/>
    <xf numFmtId="0" fontId="9" fillId="0" borderId="29" xfId="0" applyNumberFormat="1" applyFont="1" applyFill="1" applyBorder="1"/>
    <xf numFmtId="43" fontId="9" fillId="0" borderId="24" xfId="28" applyFont="1" applyFill="1" applyBorder="1"/>
    <xf numFmtId="43" fontId="9" fillId="0" borderId="23" xfId="28" applyFont="1" applyFill="1" applyBorder="1"/>
    <xf numFmtId="43" fontId="9" fillId="0" borderId="32" xfId="28" applyFont="1" applyFill="1" applyBorder="1"/>
    <xf numFmtId="43" fontId="9" fillId="0" borderId="27" xfId="28" applyFont="1" applyFill="1" applyBorder="1"/>
    <xf numFmtId="43" fontId="9" fillId="0" borderId="20" xfId="0" applyNumberFormat="1" applyFont="1" applyFill="1" applyBorder="1"/>
    <xf numFmtId="0" fontId="9" fillId="0" borderId="32" xfId="0" applyFont="1" applyFill="1" applyBorder="1"/>
    <xf numFmtId="0" fontId="9" fillId="0" borderId="27" xfId="0" applyFont="1" applyFill="1" applyBorder="1"/>
    <xf numFmtId="10" fontId="9" fillId="0" borderId="27" xfId="50" applyNumberFormat="1" applyFont="1" applyFill="1" applyBorder="1"/>
    <xf numFmtId="0" fontId="14" fillId="0" borderId="33" xfId="0" applyFont="1" applyFill="1" applyBorder="1"/>
    <xf numFmtId="0" fontId="8" fillId="20" borderId="15" xfId="0" applyFont="1" applyFill="1" applyBorder="1"/>
    <xf numFmtId="9" fontId="0" fillId="25" borderId="0" xfId="50" applyFont="1" applyFill="1"/>
    <xf numFmtId="41" fontId="0" fillId="25" borderId="0" xfId="29" applyFont="1" applyFill="1"/>
    <xf numFmtId="43" fontId="9" fillId="25" borderId="0" xfId="28" applyFont="1" applyFill="1"/>
    <xf numFmtId="0" fontId="8" fillId="0" borderId="0" xfId="0" applyFont="1" applyFill="1"/>
    <xf numFmtId="41" fontId="0" fillId="25" borderId="0" xfId="28" applyNumberFormat="1" applyFont="1" applyFill="1"/>
    <xf numFmtId="9" fontId="0" fillId="25" borderId="0" xfId="0" applyNumberFormat="1" applyFill="1"/>
    <xf numFmtId="0" fontId="0" fillId="25" borderId="13" xfId="0" applyFill="1" applyBorder="1"/>
    <xf numFmtId="41" fontId="9" fillId="32" borderId="18" xfId="29" applyFont="1" applyFill="1" applyBorder="1"/>
    <xf numFmtId="0" fontId="16" fillId="19" borderId="0" xfId="0" applyFont="1" applyFill="1"/>
    <xf numFmtId="0" fontId="0" fillId="34" borderId="0" xfId="0" applyFill="1"/>
    <xf numFmtId="0" fontId="13" fillId="35" borderId="0" xfId="0" applyFont="1" applyFill="1"/>
    <xf numFmtId="0" fontId="0" fillId="32" borderId="0" xfId="0" applyFill="1"/>
    <xf numFmtId="0" fontId="25" fillId="20" borderId="0" xfId="0" applyFont="1" applyFill="1" applyBorder="1"/>
    <xf numFmtId="9" fontId="13" fillId="35" borderId="0" xfId="50" applyFont="1" applyFill="1" applyBorder="1"/>
    <xf numFmtId="41" fontId="13" fillId="35" borderId="22" xfId="29" applyFont="1" applyFill="1" applyBorder="1"/>
    <xf numFmtId="0" fontId="25" fillId="35" borderId="0" xfId="0" applyFont="1" applyFill="1"/>
    <xf numFmtId="0" fontId="25" fillId="20" borderId="33" xfId="0" applyFont="1" applyFill="1" applyBorder="1"/>
    <xf numFmtId="0" fontId="0" fillId="32" borderId="0" xfId="0" applyFill="1" applyBorder="1"/>
    <xf numFmtId="0" fontId="0" fillId="32" borderId="31" xfId="0" applyFill="1" applyBorder="1"/>
    <xf numFmtId="0" fontId="0" fillId="32" borderId="27" xfId="0" applyFill="1" applyBorder="1"/>
    <xf numFmtId="0" fontId="0" fillId="32" borderId="33" xfId="0" applyFill="1" applyBorder="1"/>
    <xf numFmtId="0" fontId="0" fillId="34" borderId="0" xfId="0" applyFill="1" applyBorder="1"/>
    <xf numFmtId="0" fontId="0" fillId="0" borderId="43" xfId="0" applyBorder="1"/>
    <xf numFmtId="0" fontId="0" fillId="0" borderId="44" xfId="0" applyBorder="1"/>
    <xf numFmtId="0" fontId="0" fillId="0" borderId="18" xfId="0" applyBorder="1"/>
    <xf numFmtId="0" fontId="0" fillId="0" borderId="45" xfId="0" applyBorder="1"/>
    <xf numFmtId="0" fontId="9" fillId="0" borderId="11" xfId="0" applyFont="1" applyBorder="1"/>
    <xf numFmtId="0" fontId="27" fillId="23" borderId="0" xfId="0" applyFont="1" applyFill="1" applyBorder="1"/>
    <xf numFmtId="0" fontId="27" fillId="24" borderId="0" xfId="0" applyFont="1" applyFill="1" applyBorder="1"/>
    <xf numFmtId="0" fontId="29" fillId="0" borderId="0" xfId="0" applyFont="1" applyBorder="1"/>
    <xf numFmtId="0" fontId="28" fillId="0" borderId="0" xfId="0" applyFont="1" applyBorder="1"/>
    <xf numFmtId="0" fontId="30" fillId="31" borderId="0" xfId="0" applyFont="1" applyFill="1" applyBorder="1"/>
    <xf numFmtId="0" fontId="31" fillId="0" borderId="0" xfId="0" applyFont="1" applyBorder="1"/>
    <xf numFmtId="0" fontId="32" fillId="0" borderId="0" xfId="0" applyFont="1" applyBorder="1"/>
    <xf numFmtId="0" fontId="33" fillId="0" borderId="0" xfId="0" applyFont="1" applyBorder="1"/>
    <xf numFmtId="0" fontId="0" fillId="0" borderId="46" xfId="0" applyBorder="1"/>
    <xf numFmtId="0" fontId="0" fillId="0" borderId="47" xfId="0" applyBorder="1"/>
    <xf numFmtId="0" fontId="34" fillId="0" borderId="0" xfId="0" applyFont="1" applyBorder="1"/>
    <xf numFmtId="0" fontId="0" fillId="36" borderId="0" xfId="0" applyFill="1" applyBorder="1"/>
    <xf numFmtId="0" fontId="0" fillId="37" borderId="0" xfId="0" applyFill="1"/>
    <xf numFmtId="0" fontId="26" fillId="38" borderId="0" xfId="0" applyFont="1" applyFill="1"/>
    <xf numFmtId="0" fontId="26" fillId="19" borderId="0" xfId="0" applyFont="1" applyFill="1"/>
    <xf numFmtId="0" fontId="0" fillId="15" borderId="0" xfId="0" applyFill="1"/>
    <xf numFmtId="2" fontId="0" fillId="0" borderId="0" xfId="0" applyNumberFormat="1"/>
    <xf numFmtId="167" fontId="0" fillId="0" borderId="0" xfId="28" applyNumberFormat="1" applyFont="1"/>
    <xf numFmtId="167" fontId="0" fillId="0" borderId="0" xfId="0" applyNumberFormat="1"/>
    <xf numFmtId="10" fontId="13" fillId="19" borderId="13" xfId="51" applyFont="1" applyFill="1" applyBorder="1"/>
    <xf numFmtId="10" fontId="9" fillId="0" borderId="0" xfId="51" applyFont="1" applyBorder="1"/>
    <xf numFmtId="10" fontId="8" fillId="0" borderId="23" xfId="51" applyFont="1" applyBorder="1"/>
    <xf numFmtId="43" fontId="13" fillId="39" borderId="0" xfId="28" applyFont="1" applyFill="1" applyBorder="1"/>
    <xf numFmtId="0" fontId="13" fillId="39" borderId="0" xfId="0" applyFont="1" applyFill="1"/>
    <xf numFmtId="41" fontId="13" fillId="39" borderId="0" xfId="29" applyFont="1" applyFill="1"/>
    <xf numFmtId="0" fontId="27" fillId="27" borderId="0" xfId="0" applyFont="1" applyFill="1" applyBorder="1"/>
    <xf numFmtId="0" fontId="10" fillId="0" borderId="0" xfId="0" applyFont="1" applyBorder="1"/>
    <xf numFmtId="0" fontId="35" fillId="0" borderId="0" xfId="0" applyFont="1" applyBorder="1"/>
    <xf numFmtId="0" fontId="20" fillId="0" borderId="0" xfId="0" applyFont="1" applyBorder="1"/>
    <xf numFmtId="9" fontId="9" fillId="32" borderId="0" xfId="50" applyFont="1" applyFill="1" applyBorder="1"/>
    <xf numFmtId="0" fontId="17" fillId="19" borderId="34" xfId="0" applyFont="1" applyFill="1" applyBorder="1"/>
    <xf numFmtId="0" fontId="17" fillId="19" borderId="13" xfId="0" applyFont="1" applyFill="1" applyBorder="1"/>
    <xf numFmtId="43" fontId="17" fillId="19" borderId="13" xfId="28" applyFont="1" applyFill="1" applyBorder="1"/>
    <xf numFmtId="41" fontId="17" fillId="19" borderId="13" xfId="29" applyFont="1" applyFill="1" applyBorder="1"/>
    <xf numFmtId="43" fontId="13" fillId="19" borderId="23" xfId="28" applyFont="1" applyFill="1" applyBorder="1"/>
    <xf numFmtId="0" fontId="10" fillId="0" borderId="26" xfId="0" applyFont="1" applyBorder="1"/>
    <xf numFmtId="41" fontId="11" fillId="0" borderId="19" xfId="0" applyNumberFormat="1" applyFont="1" applyBorder="1"/>
    <xf numFmtId="41" fontId="10" fillId="0" borderId="19" xfId="0" applyNumberFormat="1" applyFont="1" applyBorder="1" applyAlignment="1">
      <alignment horizontal="right"/>
    </xf>
    <xf numFmtId="22" fontId="9" fillId="0" borderId="20" xfId="0" applyNumberFormat="1" applyFont="1" applyBorder="1"/>
    <xf numFmtId="0" fontId="10" fillId="0" borderId="24" xfId="0" applyFont="1" applyBorder="1"/>
    <xf numFmtId="41" fontId="11" fillId="0" borderId="23" xfId="0" applyNumberFormat="1" applyFont="1" applyBorder="1"/>
    <xf numFmtId="41" fontId="10" fillId="0" borderId="23" xfId="0" applyNumberFormat="1" applyFont="1" applyBorder="1" applyAlignment="1">
      <alignment horizontal="right"/>
    </xf>
    <xf numFmtId="22" fontId="9" fillId="0" borderId="25" xfId="0" applyNumberFormat="1" applyFont="1" applyBorder="1"/>
    <xf numFmtId="0" fontId="9" fillId="0" borderId="22" xfId="0" applyFont="1" applyBorder="1"/>
    <xf numFmtId="41" fontId="9" fillId="32" borderId="22" xfId="29" applyFont="1" applyFill="1" applyBorder="1"/>
    <xf numFmtId="41" fontId="9" fillId="0" borderId="22" xfId="29" applyFont="1" applyBorder="1"/>
    <xf numFmtId="0" fontId="9" fillId="23" borderId="0" xfId="0" applyFont="1" applyFill="1"/>
    <xf numFmtId="0" fontId="0" fillId="15" borderId="0" xfId="0" applyFill="1" applyBorder="1"/>
    <xf numFmtId="41" fontId="13" fillId="25" borderId="18" xfId="0" applyNumberFormat="1" applyFont="1" applyFill="1" applyBorder="1"/>
    <xf numFmtId="41" fontId="0" fillId="0" borderId="11" xfId="29" applyFont="1" applyFill="1" applyBorder="1"/>
    <xf numFmtId="9" fontId="0" fillId="0" borderId="41" xfId="50" applyFont="1" applyFill="1" applyBorder="1"/>
    <xf numFmtId="43" fontId="0" fillId="0" borderId="41" xfId="28" applyFont="1" applyFill="1" applyBorder="1"/>
    <xf numFmtId="43" fontId="0" fillId="0" borderId="42" xfId="28" applyFont="1" applyFill="1" applyBorder="1"/>
    <xf numFmtId="9" fontId="0" fillId="0" borderId="0" xfId="50" applyFont="1" applyFill="1" applyBorder="1"/>
    <xf numFmtId="43" fontId="0" fillId="0" borderId="0" xfId="28" applyFont="1" applyFill="1" applyBorder="1"/>
    <xf numFmtId="43" fontId="0" fillId="0" borderId="31" xfId="28" applyFont="1" applyFill="1" applyBorder="1"/>
    <xf numFmtId="9" fontId="0" fillId="0" borderId="32" xfId="29" applyNumberFormat="1" applyFont="1" applyFill="1" applyBorder="1"/>
    <xf numFmtId="9" fontId="0" fillId="0" borderId="27" xfId="50" applyFont="1" applyFill="1" applyBorder="1"/>
    <xf numFmtId="43" fontId="0" fillId="0" borderId="27" xfId="28" applyFont="1" applyFill="1" applyBorder="1"/>
    <xf numFmtId="43" fontId="0" fillId="0" borderId="33" xfId="28" applyFont="1" applyFill="1" applyBorder="1"/>
    <xf numFmtId="41" fontId="0" fillId="0" borderId="29" xfId="29" applyFont="1" applyFill="1" applyBorder="1"/>
    <xf numFmtId="0" fontId="8" fillId="0" borderId="28" xfId="0" applyFont="1" applyBorder="1"/>
    <xf numFmtId="0" fontId="10" fillId="0" borderId="11" xfId="0" applyFont="1" applyBorder="1"/>
    <xf numFmtId="0" fontId="11" fillId="0" borderId="0" xfId="0" applyNumberFormat="1" applyFont="1"/>
    <xf numFmtId="0" fontId="0" fillId="32" borderId="18" xfId="0" applyFill="1" applyBorder="1"/>
    <xf numFmtId="0" fontId="0" fillId="0" borderId="11" xfId="0" applyFill="1" applyBorder="1"/>
    <xf numFmtId="0" fontId="0" fillId="0" borderId="41" xfId="0" applyFill="1" applyBorder="1"/>
    <xf numFmtId="0" fontId="0" fillId="0" borderId="29" xfId="0" applyFill="1" applyBorder="1"/>
    <xf numFmtId="0" fontId="36" fillId="0" borderId="32" xfId="0" applyFont="1" applyBorder="1" applyAlignment="1">
      <alignment horizontal="left" indent="2"/>
    </xf>
    <xf numFmtId="41" fontId="13" fillId="0" borderId="0" xfId="29" applyFont="1" applyFill="1"/>
    <xf numFmtId="9" fontId="9" fillId="0" borderId="34" xfId="50" applyFont="1" applyFill="1" applyBorder="1"/>
    <xf numFmtId="9" fontId="9" fillId="0" borderId="13" xfId="50" applyFont="1" applyFill="1" applyBorder="1"/>
    <xf numFmtId="9" fontId="9" fillId="0" borderId="21" xfId="50" applyFont="1" applyFill="1" applyBorder="1"/>
    <xf numFmtId="9" fontId="9" fillId="0" borderId="0" xfId="50" applyFont="1" applyFill="1" applyBorder="1"/>
    <xf numFmtId="9" fontId="9" fillId="0" borderId="24" xfId="50" applyFont="1" applyFill="1" applyBorder="1"/>
    <xf numFmtId="9" fontId="9" fillId="0" borderId="23" xfId="50" applyFont="1" applyFill="1" applyBorder="1"/>
    <xf numFmtId="168" fontId="0" fillId="0" borderId="0" xfId="50" applyNumberFormat="1" applyFont="1"/>
    <xf numFmtId="0" fontId="12" fillId="29" borderId="0" xfId="0" applyFont="1" applyFill="1" applyAlignment="1"/>
    <xf numFmtId="0" fontId="0" fillId="0" borderId="0" xfId="0" applyAlignment="1"/>
    <xf numFmtId="0" fontId="0" fillId="23" borderId="0" xfId="0" applyFill="1" applyAlignment="1"/>
    <xf numFmtId="0" fontId="8" fillId="0" borderId="0" xfId="0" applyFont="1" applyAlignment="1"/>
    <xf numFmtId="0" fontId="39" fillId="24" borderId="11" xfId="0" applyFont="1" applyFill="1" applyBorder="1" applyAlignment="1"/>
    <xf numFmtId="0" fontId="0" fillId="32" borderId="42" xfId="0" applyFill="1" applyBorder="1" applyAlignment="1"/>
    <xf numFmtId="0" fontId="39" fillId="24" borderId="29" xfId="0" applyFont="1" applyFill="1" applyBorder="1" applyAlignment="1"/>
    <xf numFmtId="0" fontId="0" fillId="32" borderId="31" xfId="0" applyFill="1" applyBorder="1" applyAlignment="1"/>
    <xf numFmtId="0" fontId="39" fillId="24" borderId="32" xfId="0" applyFont="1" applyFill="1" applyBorder="1" applyAlignment="1"/>
    <xf numFmtId="0" fontId="0" fillId="32" borderId="33" xfId="0" applyFill="1" applyBorder="1" applyAlignment="1"/>
    <xf numFmtId="0" fontId="0" fillId="25" borderId="0" xfId="0" applyFill="1" applyAlignment="1"/>
    <xf numFmtId="0" fontId="8" fillId="0" borderId="14" xfId="0" applyFont="1" applyBorder="1"/>
    <xf numFmtId="0" fontId="0" fillId="0" borderId="3" xfId="0" applyBorder="1"/>
    <xf numFmtId="0" fontId="0" fillId="0" borderId="48" xfId="0" applyBorder="1"/>
    <xf numFmtId="0" fontId="0" fillId="0" borderId="49" xfId="0" applyBorder="1"/>
    <xf numFmtId="168" fontId="9" fillId="0" borderId="0" xfId="50" applyNumberFormat="1" applyFont="1"/>
    <xf numFmtId="168" fontId="0" fillId="0" borderId="0" xfId="0" applyNumberFormat="1"/>
    <xf numFmtId="0" fontId="26" fillId="0" borderId="0" xfId="0" applyFont="1"/>
    <xf numFmtId="2" fontId="0" fillId="25" borderId="0" xfId="0" applyNumberFormat="1" applyFill="1"/>
    <xf numFmtId="168" fontId="0" fillId="0" borderId="0" xfId="0" applyNumberFormat="1" applyFill="1"/>
    <xf numFmtId="0" fontId="40" fillId="24" borderId="28" xfId="0" applyFont="1" applyFill="1" applyBorder="1" applyAlignment="1">
      <alignment horizontal="right"/>
    </xf>
    <xf numFmtId="3" fontId="11" fillId="0" borderId="31" xfId="28" applyNumberFormat="1" applyFont="1" applyBorder="1" applyAlignment="1">
      <alignment horizontal="right"/>
    </xf>
    <xf numFmtId="0" fontId="11" fillId="0" borderId="31" xfId="0" applyFont="1" applyBorder="1"/>
    <xf numFmtId="168" fontId="0" fillId="25" borderId="18" xfId="50" applyNumberFormat="1" applyFont="1" applyFill="1" applyBorder="1"/>
    <xf numFmtId="9" fontId="0" fillId="0" borderId="0" xfId="50" applyFont="1" applyFill="1"/>
    <xf numFmtId="167" fontId="0" fillId="26" borderId="0" xfId="28" applyNumberFormat="1" applyFont="1" applyFill="1"/>
    <xf numFmtId="167" fontId="0" fillId="0" borderId="0" xfId="28" applyNumberFormat="1" applyFont="1" applyFill="1"/>
    <xf numFmtId="0" fontId="0" fillId="15" borderId="18" xfId="0" applyFill="1" applyBorder="1"/>
    <xf numFmtId="41" fontId="0" fillId="37" borderId="0" xfId="29" applyFont="1" applyFill="1"/>
    <xf numFmtId="167" fontId="0" fillId="0" borderId="0" xfId="28" applyNumberFormat="1" applyFont="1" applyFill="1" applyBorder="1"/>
    <xf numFmtId="167" fontId="0" fillId="31" borderId="0" xfId="28" applyNumberFormat="1" applyFont="1" applyFill="1"/>
    <xf numFmtId="167" fontId="0" fillId="25" borderId="0" xfId="28" applyNumberFormat="1" applyFont="1" applyFill="1"/>
    <xf numFmtId="0" fontId="60" fillId="0" borderId="0" xfId="0" applyFont="1"/>
    <xf numFmtId="3" fontId="9" fillId="0" borderId="0" xfId="29" applyNumberFormat="1" applyFont="1" applyFill="1"/>
    <xf numFmtId="174" fontId="9" fillId="0" borderId="0" xfId="50" applyNumberFormat="1" applyFont="1" applyFill="1" applyBorder="1" applyAlignment="1" applyProtection="1">
      <alignment horizontal="right"/>
      <protection locked="0"/>
    </xf>
    <xf numFmtId="9" fontId="9" fillId="0" borderId="0" xfId="0" applyNumberFormat="1" applyFont="1" applyFill="1"/>
    <xf numFmtId="43" fontId="9" fillId="0" borderId="0" xfId="28" applyFont="1" applyFill="1"/>
    <xf numFmtId="167" fontId="9" fillId="0" borderId="0" xfId="28" applyNumberFormat="1" applyFont="1" applyFill="1"/>
    <xf numFmtId="167" fontId="8" fillId="0" borderId="0" xfId="28" applyNumberFormat="1" applyFont="1"/>
    <xf numFmtId="41" fontId="13" fillId="24" borderId="0" xfId="0" applyNumberFormat="1" applyFont="1" applyFill="1"/>
    <xf numFmtId="41" fontId="9" fillId="15" borderId="18" xfId="0" applyNumberFormat="1" applyFont="1" applyFill="1" applyBorder="1"/>
    <xf numFmtId="167" fontId="17" fillId="19" borderId="13" xfId="28" applyNumberFormat="1" applyFont="1" applyFill="1" applyBorder="1"/>
    <xf numFmtId="41" fontId="0" fillId="31" borderId="0" xfId="29" applyNumberFormat="1" applyFont="1" applyFill="1"/>
    <xf numFmtId="41" fontId="0" fillId="0" borderId="0" xfId="29" applyNumberFormat="1" applyFont="1" applyFill="1"/>
    <xf numFmtId="172" fontId="13" fillId="31" borderId="0" xfId="29" applyNumberFormat="1" applyFont="1" applyFill="1"/>
    <xf numFmtId="0" fontId="17" fillId="24" borderId="28" xfId="0" applyFont="1" applyFill="1" applyBorder="1" applyAlignment="1">
      <alignment horizontal="center"/>
    </xf>
    <xf numFmtId="0" fontId="40" fillId="24" borderId="15" xfId="0" applyFont="1" applyFill="1" applyBorder="1"/>
    <xf numFmtId="0" fontId="40" fillId="24" borderId="16" xfId="0" applyFont="1" applyFill="1" applyBorder="1"/>
    <xf numFmtId="0" fontId="11" fillId="0" borderId="29" xfId="0" applyFont="1" applyBorder="1"/>
    <xf numFmtId="0" fontId="11" fillId="0" borderId="0" xfId="0" applyFont="1" applyBorder="1"/>
    <xf numFmtId="0" fontId="60" fillId="0" borderId="0" xfId="0" applyFont="1" applyBorder="1" applyAlignment="1">
      <alignment horizontal="center"/>
    </xf>
    <xf numFmtId="0" fontId="12" fillId="24" borderId="15" xfId="0" applyFont="1" applyFill="1" applyBorder="1"/>
    <xf numFmtId="0" fontId="12" fillId="24" borderId="16" xfId="0" applyFont="1" applyFill="1" applyBorder="1"/>
    <xf numFmtId="0" fontId="60" fillId="0" borderId="16" xfId="0" applyFont="1" applyBorder="1" applyAlignment="1">
      <alignment horizontal="center"/>
    </xf>
    <xf numFmtId="0" fontId="11" fillId="0" borderId="29" xfId="0" applyFont="1" applyBorder="1" applyAlignment="1">
      <alignment horizontal="left"/>
    </xf>
    <xf numFmtId="0" fontId="11" fillId="0" borderId="0" xfId="0" applyFont="1" applyBorder="1" applyAlignment="1">
      <alignment horizontal="left"/>
    </xf>
    <xf numFmtId="0" fontId="11" fillId="0" borderId="0" xfId="0" applyFont="1" applyBorder="1" applyAlignment="1">
      <alignment horizontal="center"/>
    </xf>
    <xf numFmtId="0" fontId="60" fillId="0" borderId="0" xfId="0" applyFont="1" applyFill="1" applyBorder="1" applyAlignment="1">
      <alignment horizontal="center"/>
    </xf>
    <xf numFmtId="0" fontId="41" fillId="0" borderId="29" xfId="46" applyFont="1" applyFill="1" applyBorder="1"/>
    <xf numFmtId="0" fontId="41" fillId="0" borderId="0" xfId="46" applyFont="1" applyFill="1" applyBorder="1"/>
    <xf numFmtId="0" fontId="11" fillId="0" borderId="32" xfId="0" applyFont="1" applyFill="1" applyBorder="1"/>
    <xf numFmtId="0" fontId="11" fillId="0" borderId="27" xfId="0" applyFont="1" applyFill="1" applyBorder="1"/>
    <xf numFmtId="0" fontId="60" fillId="0" borderId="27" xfId="0" applyFont="1" applyFill="1" applyBorder="1"/>
    <xf numFmtId="0" fontId="60" fillId="0" borderId="27" xfId="0" applyFont="1" applyBorder="1"/>
    <xf numFmtId="41" fontId="9" fillId="0" borderId="0" xfId="0" applyNumberFormat="1" applyFont="1" applyAlignment="1">
      <alignment horizontal="left"/>
    </xf>
    <xf numFmtId="10" fontId="13" fillId="41" borderId="27" xfId="50" applyNumberFormat="1" applyFont="1" applyFill="1" applyBorder="1"/>
    <xf numFmtId="43" fontId="17" fillId="41" borderId="13" xfId="28" applyFont="1" applyFill="1" applyBorder="1"/>
    <xf numFmtId="43" fontId="13" fillId="41" borderId="27" xfId="28" applyFont="1" applyFill="1" applyBorder="1"/>
    <xf numFmtId="41" fontId="8" fillId="41" borderId="0" xfId="29" applyFont="1" applyFill="1" applyBorder="1"/>
    <xf numFmtId="9" fontId="9" fillId="41" borderId="23" xfId="50" applyFont="1" applyFill="1" applyBorder="1"/>
    <xf numFmtId="0" fontId="7" fillId="24" borderId="16" xfId="0" applyFont="1" applyFill="1" applyBorder="1"/>
    <xf numFmtId="168" fontId="0" fillId="31" borderId="0" xfId="50" applyNumberFormat="1" applyFont="1" applyFill="1"/>
    <xf numFmtId="167" fontId="9" fillId="31" borderId="0" xfId="28" applyNumberFormat="1" applyFont="1" applyFill="1" applyBorder="1" applyAlignment="1">
      <alignment horizontal="right"/>
    </xf>
    <xf numFmtId="167" fontId="9" fillId="0" borderId="0" xfId="28" applyNumberFormat="1" applyFont="1" applyFill="1" applyBorder="1" applyAlignment="1">
      <alignment horizontal="right"/>
    </xf>
    <xf numFmtId="41" fontId="9" fillId="41" borderId="14" xfId="29" applyFont="1" applyFill="1" applyBorder="1"/>
    <xf numFmtId="0" fontId="9" fillId="0" borderId="0" xfId="46" applyFont="1" applyFill="1" applyBorder="1"/>
    <xf numFmtId="167" fontId="0" fillId="23" borderId="0" xfId="28" applyNumberFormat="1" applyFont="1" applyFill="1"/>
    <xf numFmtId="43" fontId="9" fillId="21" borderId="0" xfId="28" applyFont="1" applyFill="1" applyBorder="1"/>
    <xf numFmtId="9" fontId="13" fillId="41" borderId="0" xfId="50" applyNumberFormat="1" applyFont="1" applyFill="1" applyBorder="1"/>
    <xf numFmtId="167" fontId="9" fillId="0" borderId="0" xfId="28" applyNumberFormat="1" applyFont="1"/>
    <xf numFmtId="41" fontId="13" fillId="41" borderId="26" xfId="29" applyFont="1" applyFill="1" applyBorder="1"/>
    <xf numFmtId="9" fontId="13" fillId="41" borderId="0" xfId="50" applyFont="1" applyFill="1" applyBorder="1"/>
    <xf numFmtId="171" fontId="8" fillId="0" borderId="0" xfId="0" applyNumberFormat="1" applyFont="1"/>
    <xf numFmtId="173" fontId="0" fillId="0" borderId="0" xfId="0" applyNumberFormat="1"/>
    <xf numFmtId="41" fontId="8" fillId="41" borderId="0" xfId="29" applyNumberFormat="1" applyFont="1" applyFill="1" applyBorder="1"/>
    <xf numFmtId="43" fontId="9" fillId="0" borderId="21" xfId="0" applyNumberFormat="1" applyFont="1" applyBorder="1"/>
    <xf numFmtId="0" fontId="0" fillId="33" borderId="0" xfId="0" applyFill="1"/>
    <xf numFmtId="0" fontId="8" fillId="42" borderId="15" xfId="0" applyFont="1" applyFill="1" applyBorder="1"/>
    <xf numFmtId="0" fontId="8" fillId="42" borderId="16" xfId="0" applyFont="1" applyFill="1" applyBorder="1"/>
    <xf numFmtId="0" fontId="8" fillId="42" borderId="16" xfId="0" applyFont="1" applyFill="1" applyBorder="1" applyAlignment="1">
      <alignment horizontal="right"/>
    </xf>
    <xf numFmtId="0" fontId="9" fillId="42" borderId="16" xfId="0" applyFont="1" applyFill="1" applyBorder="1"/>
    <xf numFmtId="0" fontId="9" fillId="42" borderId="28" xfId="0" applyFont="1" applyFill="1" applyBorder="1"/>
    <xf numFmtId="43" fontId="8" fillId="42" borderId="37" xfId="28" applyFont="1" applyFill="1" applyBorder="1"/>
    <xf numFmtId="43" fontId="9" fillId="42" borderId="16" xfId="28" applyFont="1" applyFill="1" applyBorder="1"/>
    <xf numFmtId="41" fontId="8" fillId="42" borderId="38" xfId="29" applyFont="1" applyFill="1" applyBorder="1"/>
    <xf numFmtId="0" fontId="8" fillId="42" borderId="39" xfId="0" applyFont="1" applyFill="1" applyBorder="1"/>
    <xf numFmtId="0" fontId="8" fillId="42" borderId="40" xfId="0" applyFont="1" applyFill="1" applyBorder="1"/>
    <xf numFmtId="0" fontId="9" fillId="42" borderId="0" xfId="0" applyFont="1" applyFill="1" applyBorder="1" applyAlignment="1">
      <alignment horizontal="right"/>
    </xf>
    <xf numFmtId="0" fontId="9" fillId="42" borderId="31" xfId="0" applyFont="1" applyFill="1" applyBorder="1"/>
    <xf numFmtId="0" fontId="9" fillId="42" borderId="29" xfId="0" applyFont="1" applyFill="1" applyBorder="1"/>
    <xf numFmtId="10" fontId="9" fillId="42" borderId="34" xfId="50" applyNumberFormat="1" applyFont="1" applyFill="1" applyBorder="1"/>
    <xf numFmtId="43" fontId="9" fillId="42" borderId="30" xfId="0" applyNumberFormat="1" applyFont="1" applyFill="1" applyBorder="1"/>
    <xf numFmtId="43" fontId="9" fillId="42" borderId="29" xfId="28" applyFont="1" applyFill="1" applyBorder="1"/>
    <xf numFmtId="43" fontId="9" fillId="42" borderId="22" xfId="0" applyNumberFormat="1" applyFont="1" applyFill="1" applyBorder="1"/>
    <xf numFmtId="0" fontId="9" fillId="42" borderId="29" xfId="0" applyNumberFormat="1" applyFont="1" applyFill="1" applyBorder="1"/>
    <xf numFmtId="0" fontId="9" fillId="42" borderId="0" xfId="0" applyFont="1" applyFill="1" applyBorder="1"/>
    <xf numFmtId="43" fontId="9" fillId="42" borderId="32" xfId="28" applyFont="1" applyFill="1" applyBorder="1"/>
    <xf numFmtId="43" fontId="9" fillId="42" borderId="27" xfId="28" applyFont="1" applyFill="1" applyBorder="1"/>
    <xf numFmtId="43" fontId="9" fillId="42" borderId="20" xfId="0" applyNumberFormat="1" applyFont="1" applyFill="1" applyBorder="1"/>
    <xf numFmtId="0" fontId="9" fillId="42" borderId="32" xfId="0" applyFont="1" applyFill="1" applyBorder="1"/>
    <xf numFmtId="0" fontId="9" fillId="42" borderId="27" xfId="0" applyFont="1" applyFill="1" applyBorder="1"/>
    <xf numFmtId="10" fontId="9" fillId="42" borderId="27" xfId="50" applyNumberFormat="1" applyFont="1" applyFill="1" applyBorder="1"/>
    <xf numFmtId="0" fontId="14" fillId="42" borderId="33" xfId="0" applyFont="1" applyFill="1" applyBorder="1"/>
    <xf numFmtId="10" fontId="9" fillId="15" borderId="34" xfId="50" applyNumberFormat="1" applyFont="1" applyFill="1" applyBorder="1"/>
    <xf numFmtId="43" fontId="0" fillId="32" borderId="0" xfId="28" applyFont="1" applyFill="1"/>
    <xf numFmtId="0" fontId="8" fillId="0" borderId="0" xfId="0" applyFont="1" applyFill="1" applyBorder="1"/>
    <xf numFmtId="9" fontId="14" fillId="0" borderId="0" xfId="50" applyNumberFormat="1" applyFont="1"/>
    <xf numFmtId="41" fontId="0" fillId="0" borderId="23" xfId="29" applyNumberFormat="1" applyFont="1" applyBorder="1"/>
    <xf numFmtId="10" fontId="9" fillId="42" borderId="0" xfId="0" applyNumberFormat="1" applyFont="1" applyFill="1" applyBorder="1" applyAlignment="1">
      <alignment horizontal="right"/>
    </xf>
    <xf numFmtId="168" fontId="0" fillId="0" borderId="0" xfId="50" applyNumberFormat="1" applyFont="1" applyFill="1"/>
    <xf numFmtId="9" fontId="0" fillId="23" borderId="0" xfId="0" applyNumberFormat="1" applyFill="1"/>
    <xf numFmtId="0" fontId="13" fillId="29" borderId="0" xfId="0" applyNumberFormat="1" applyFont="1" applyFill="1"/>
    <xf numFmtId="0" fontId="0" fillId="0" borderId="0" xfId="0" applyNumberFormat="1" applyFill="1"/>
    <xf numFmtId="0" fontId="0" fillId="0" borderId="0" xfId="28" applyNumberFormat="1" applyFont="1" applyFill="1"/>
    <xf numFmtId="0" fontId="0" fillId="22" borderId="0" xfId="0" applyNumberFormat="1" applyFill="1"/>
    <xf numFmtId="9" fontId="0" fillId="23" borderId="0" xfId="28" applyNumberFormat="1" applyFont="1" applyFill="1"/>
    <xf numFmtId="0" fontId="23" fillId="29" borderId="0" xfId="0" applyNumberFormat="1" applyFont="1" applyFill="1"/>
    <xf numFmtId="167" fontId="0" fillId="0" borderId="0" xfId="28" applyNumberFormat="1" applyFont="1" applyBorder="1"/>
    <xf numFmtId="1" fontId="0" fillId="0" borderId="0" xfId="0" applyNumberFormat="1"/>
    <xf numFmtId="0" fontId="12" fillId="29" borderId="0" xfId="0" applyNumberFormat="1" applyFont="1" applyFill="1"/>
    <xf numFmtId="0" fontId="9" fillId="0" borderId="0" xfId="0" applyNumberFormat="1" applyFont="1"/>
    <xf numFmtId="169" fontId="0" fillId="0" borderId="0" xfId="0" applyNumberFormat="1" applyFill="1"/>
    <xf numFmtId="3" fontId="8" fillId="0" borderId="0" xfId="29" applyNumberFormat="1" applyFont="1"/>
    <xf numFmtId="0" fontId="9" fillId="0" borderId="0" xfId="0" applyFont="1" applyFill="1"/>
    <xf numFmtId="0" fontId="0" fillId="19" borderId="0" xfId="0" applyNumberFormat="1" applyFill="1"/>
    <xf numFmtId="9" fontId="60" fillId="0" borderId="0" xfId="50" applyFont="1" applyBorder="1" applyAlignment="1">
      <alignment horizontal="center"/>
    </xf>
    <xf numFmtId="43" fontId="8" fillId="0" borderId="0" xfId="28" applyFont="1" applyFill="1"/>
    <xf numFmtId="3" fontId="0" fillId="0" borderId="0" xfId="0" applyNumberFormat="1" applyFill="1"/>
    <xf numFmtId="3" fontId="0" fillId="0" borderId="0" xfId="29" applyNumberFormat="1" applyFont="1" applyFill="1"/>
    <xf numFmtId="9" fontId="9" fillId="0" borderId="0" xfId="50" applyFont="1" applyFill="1"/>
    <xf numFmtId="168" fontId="17" fillId="19" borderId="13" xfId="50" applyNumberFormat="1" applyFont="1" applyFill="1" applyBorder="1"/>
    <xf numFmtId="2" fontId="17" fillId="19" borderId="13" xfId="50" applyNumberFormat="1" applyFont="1" applyFill="1" applyBorder="1"/>
    <xf numFmtId="41" fontId="13" fillId="41" borderId="0" xfId="29" applyFont="1" applyFill="1" applyBorder="1"/>
    <xf numFmtId="168" fontId="9" fillId="0" borderId="0" xfId="50" applyNumberFormat="1" applyFont="1" applyBorder="1"/>
    <xf numFmtId="10" fontId="9" fillId="0" borderId="0" xfId="50" applyNumberFormat="1" applyFont="1" applyBorder="1"/>
    <xf numFmtId="9" fontId="17" fillId="19" borderId="13" xfId="50" applyFont="1" applyFill="1" applyBorder="1"/>
    <xf numFmtId="171" fontId="9" fillId="0" borderId="0" xfId="29" applyNumberFormat="1" applyFont="1" applyBorder="1"/>
    <xf numFmtId="41" fontId="13" fillId="31" borderId="0" xfId="29" applyNumberFormat="1" applyFont="1" applyFill="1"/>
    <xf numFmtId="167" fontId="8" fillId="31" borderId="0" xfId="28" applyNumberFormat="1" applyFont="1" applyFill="1"/>
    <xf numFmtId="167" fontId="8" fillId="0" borderId="0" xfId="28" applyNumberFormat="1" applyFont="1" applyFill="1"/>
    <xf numFmtId="167" fontId="0" fillId="25" borderId="23" xfId="28" applyNumberFormat="1" applyFont="1" applyFill="1" applyBorder="1"/>
    <xf numFmtId="9" fontId="0" fillId="0" borderId="0" xfId="50" applyNumberFormat="1" applyFont="1" applyFill="1"/>
    <xf numFmtId="0" fontId="8" fillId="33" borderId="0" xfId="0" applyFont="1" applyFill="1" applyBorder="1"/>
    <xf numFmtId="169" fontId="0" fillId="31" borderId="0" xfId="0" applyNumberFormat="1" applyFill="1"/>
    <xf numFmtId="41" fontId="8" fillId="31" borderId="0" xfId="28" applyNumberFormat="1" applyFont="1" applyFill="1"/>
    <xf numFmtId="41" fontId="8" fillId="0" borderId="0" xfId="28" applyNumberFormat="1" applyFont="1" applyFill="1"/>
    <xf numFmtId="169" fontId="0" fillId="0" borderId="0" xfId="50" applyNumberFormat="1" applyFont="1"/>
    <xf numFmtId="169" fontId="60" fillId="0" borderId="0" xfId="0" applyNumberFormat="1" applyFont="1" applyBorder="1" applyAlignment="1">
      <alignment horizontal="center"/>
    </xf>
    <xf numFmtId="168" fontId="60" fillId="0" borderId="0" xfId="50" applyNumberFormat="1" applyFont="1" applyBorder="1" applyAlignment="1">
      <alignment horizontal="center"/>
    </xf>
    <xf numFmtId="0" fontId="60" fillId="0" borderId="0" xfId="0" applyFont="1" applyBorder="1" applyAlignment="1"/>
    <xf numFmtId="0" fontId="60" fillId="0" borderId="16" xfId="0" applyFont="1" applyBorder="1" applyAlignment="1"/>
    <xf numFmtId="1" fontId="0" fillId="0" borderId="0" xfId="0" applyNumberFormat="1" applyFill="1"/>
    <xf numFmtId="172" fontId="0" fillId="0" borderId="0" xfId="29" applyNumberFormat="1" applyFont="1" applyFill="1"/>
    <xf numFmtId="41" fontId="13" fillId="35" borderId="0" xfId="29" applyFont="1" applyFill="1"/>
    <xf numFmtId="0" fontId="9" fillId="0" borderId="0" xfId="50" applyNumberFormat="1" applyFont="1" applyFill="1"/>
    <xf numFmtId="168" fontId="0" fillId="0" borderId="0" xfId="50" applyNumberFormat="1" applyFont="1" applyBorder="1"/>
    <xf numFmtId="41" fontId="0" fillId="31" borderId="0" xfId="0" applyNumberFormat="1" applyFill="1"/>
    <xf numFmtId="4" fontId="7" fillId="0" borderId="0" xfId="28" applyNumberFormat="1"/>
    <xf numFmtId="4" fontId="0" fillId="0" borderId="0" xfId="0" applyNumberFormat="1"/>
    <xf numFmtId="0" fontId="0" fillId="0" borderId="0" xfId="50" applyNumberFormat="1" applyFont="1" applyAlignment="1"/>
    <xf numFmtId="0" fontId="0" fillId="0" borderId="0" xfId="31" applyNumberFormat="1" applyFont="1" applyAlignment="1"/>
    <xf numFmtId="0" fontId="8" fillId="0" borderId="0" xfId="55" applyFont="1"/>
    <xf numFmtId="0" fontId="8" fillId="0" borderId="0" xfId="55" applyFont="1" applyFill="1" applyAlignment="1">
      <alignment horizontal="center"/>
    </xf>
    <xf numFmtId="0" fontId="7" fillId="23" borderId="0" xfId="55" applyFill="1"/>
    <xf numFmtId="0" fontId="7" fillId="47" borderId="0" xfId="55" applyFill="1"/>
    <xf numFmtId="0" fontId="7" fillId="0" borderId="0" xfId="55"/>
    <xf numFmtId="0" fontId="7" fillId="25" borderId="0" xfId="55" applyFill="1"/>
    <xf numFmtId="0" fontId="7" fillId="0" borderId="0" xfId="0" applyFont="1" applyBorder="1"/>
    <xf numFmtId="0" fontId="7" fillId="0" borderId="13" xfId="0" applyFont="1" applyBorder="1"/>
    <xf numFmtId="0" fontId="7" fillId="0" borderId="0" xfId="0" applyFont="1"/>
    <xf numFmtId="0" fontId="7" fillId="0" borderId="0" xfId="0" applyFont="1" applyFill="1"/>
    <xf numFmtId="0" fontId="7" fillId="0" borderId="0" xfId="0" applyFont="1" applyBorder="1" applyAlignment="1">
      <alignment vertical="center"/>
    </xf>
    <xf numFmtId="3" fontId="0" fillId="49" borderId="56" xfId="0" applyNumberFormat="1" applyFill="1" applyBorder="1" applyAlignment="1" applyProtection="1">
      <alignment horizontal="center" vertical="center"/>
      <protection locked="0"/>
    </xf>
    <xf numFmtId="0" fontId="0" fillId="0" borderId="0" xfId="0" applyFill="1" applyAlignment="1" applyProtection="1">
      <alignment vertical="center"/>
    </xf>
    <xf numFmtId="0" fontId="7" fillId="0" borderId="0" xfId="0" applyFont="1" applyFill="1" applyAlignment="1" applyProtection="1">
      <alignment vertical="center"/>
    </xf>
    <xf numFmtId="0" fontId="0" fillId="0" borderId="0" xfId="0" applyBorder="1" applyAlignment="1" applyProtection="1">
      <alignment vertical="center"/>
    </xf>
    <xf numFmtId="0" fontId="7" fillId="0" borderId="0" xfId="0" applyFont="1" applyBorder="1" applyAlignment="1" applyProtection="1">
      <alignment vertical="center"/>
    </xf>
    <xf numFmtId="0" fontId="0" fillId="49" borderId="56" xfId="0" applyFill="1" applyBorder="1" applyAlignment="1" applyProtection="1">
      <alignment vertical="center"/>
      <protection locked="0"/>
    </xf>
    <xf numFmtId="0" fontId="7" fillId="0" borderId="0" xfId="0" applyFont="1" applyBorder="1" applyProtection="1"/>
    <xf numFmtId="9" fontId="0" fillId="49" borderId="56" xfId="0" applyNumberFormat="1" applyFill="1" applyBorder="1" applyAlignment="1" applyProtection="1">
      <alignment horizontal="center" vertical="center"/>
      <protection locked="0"/>
    </xf>
    <xf numFmtId="0" fontId="0" fillId="49" borderId="56" xfId="0" applyFill="1" applyBorder="1" applyProtection="1">
      <protection locked="0"/>
    </xf>
    <xf numFmtId="0" fontId="7" fillId="0" borderId="0" xfId="0" applyFont="1" applyFill="1" applyBorder="1" applyProtection="1"/>
    <xf numFmtId="167" fontId="7" fillId="0" borderId="0" xfId="28" applyNumberFormat="1" applyFont="1"/>
    <xf numFmtId="0" fontId="7" fillId="0" borderId="0" xfId="0" applyNumberFormat="1" applyFont="1"/>
    <xf numFmtId="167" fontId="7" fillId="0" borderId="0" xfId="28" applyNumberFormat="1" applyFont="1" applyFill="1"/>
    <xf numFmtId="41" fontId="9" fillId="0" borderId="58" xfId="0" applyNumberFormat="1" applyFont="1" applyBorder="1"/>
    <xf numFmtId="167" fontId="9" fillId="0" borderId="59" xfId="28" applyNumberFormat="1" applyFont="1" applyBorder="1"/>
    <xf numFmtId="0" fontId="7" fillId="0" borderId="0" xfId="0" applyFont="1" applyAlignment="1">
      <alignment horizontal="center"/>
    </xf>
    <xf numFmtId="43" fontId="9" fillId="0" borderId="58" xfId="0" applyNumberFormat="1" applyFont="1" applyBorder="1"/>
    <xf numFmtId="43" fontId="0" fillId="33" borderId="0" xfId="29" applyNumberFormat="1" applyFont="1" applyFill="1"/>
    <xf numFmtId="167" fontId="7" fillId="31" borderId="0" xfId="28" applyNumberFormat="1" applyFont="1" applyFill="1"/>
    <xf numFmtId="0" fontId="71" fillId="0" borderId="0" xfId="0" applyFont="1"/>
    <xf numFmtId="0" fontId="0" fillId="0" borderId="0" xfId="0" applyNumberFormat="1" applyFont="1"/>
    <xf numFmtId="0" fontId="72" fillId="0" borderId="0" xfId="0" applyFont="1"/>
    <xf numFmtId="167" fontId="72" fillId="0" borderId="0" xfId="28" applyNumberFormat="1" applyFont="1"/>
    <xf numFmtId="168" fontId="72" fillId="0" borderId="0" xfId="50" applyNumberFormat="1" applyFont="1"/>
    <xf numFmtId="168" fontId="7" fillId="0" borderId="0" xfId="50" applyNumberFormat="1" applyFont="1" applyFill="1"/>
    <xf numFmtId="167" fontId="8" fillId="0" borderId="0" xfId="0" applyNumberFormat="1" applyFont="1"/>
    <xf numFmtId="0" fontId="7" fillId="30" borderId="0" xfId="55" applyFill="1"/>
    <xf numFmtId="172" fontId="8" fillId="0" borderId="0" xfId="29" applyNumberFormat="1" applyFont="1"/>
    <xf numFmtId="167" fontId="0" fillId="0" borderId="0" xfId="0" applyNumberFormat="1" applyFill="1"/>
    <xf numFmtId="0" fontId="7" fillId="30" borderId="0" xfId="55" applyFill="1"/>
    <xf numFmtId="9" fontId="7" fillId="30" borderId="0" xfId="55" applyNumberFormat="1" applyFill="1"/>
    <xf numFmtId="167" fontId="7" fillId="0" borderId="0" xfId="28" applyNumberFormat="1" applyFont="1" applyFill="1"/>
    <xf numFmtId="167" fontId="8" fillId="0" borderId="0" xfId="28" applyNumberFormat="1" applyFont="1"/>
    <xf numFmtId="0" fontId="7" fillId="51" borderId="0" xfId="55" applyFill="1"/>
    <xf numFmtId="41" fontId="7" fillId="31" borderId="0" xfId="29" applyFont="1" applyFill="1"/>
    <xf numFmtId="0" fontId="7" fillId="0" borderId="0" xfId="46" applyFont="1" applyFill="1" applyBorder="1"/>
    <xf numFmtId="0" fontId="7" fillId="0" borderId="0" xfId="0" quotePrefix="1" applyFont="1" applyBorder="1" applyAlignment="1">
      <alignment vertical="center"/>
    </xf>
    <xf numFmtId="170" fontId="0" fillId="31" borderId="0" xfId="28" applyNumberFormat="1" applyFont="1" applyFill="1"/>
    <xf numFmtId="176" fontId="0" fillId="0" borderId="0" xfId="0" applyNumberFormat="1" applyBorder="1" applyAlignment="1" applyProtection="1">
      <alignment horizontal="center" vertical="center"/>
    </xf>
    <xf numFmtId="0" fontId="72" fillId="0" borderId="0" xfId="0" applyFont="1" applyFill="1" applyBorder="1"/>
    <xf numFmtId="0" fontId="7" fillId="0" borderId="0" xfId="0" applyFont="1" applyFill="1" applyBorder="1"/>
    <xf numFmtId="167" fontId="72" fillId="0" borderId="0" xfId="28" applyNumberFormat="1" applyFont="1" applyFill="1" applyBorder="1"/>
    <xf numFmtId="168" fontId="9" fillId="0" borderId="0" xfId="50" applyNumberFormat="1" applyFont="1" applyFill="1"/>
    <xf numFmtId="167" fontId="0" fillId="0" borderId="0" xfId="28" applyNumberFormat="1" applyFont="1" applyBorder="1" applyAlignment="1" applyProtection="1">
      <alignment vertical="center"/>
    </xf>
    <xf numFmtId="0" fontId="7" fillId="0" borderId="0" xfId="0" applyFont="1" applyAlignment="1" applyProtection="1">
      <alignment vertical="center"/>
    </xf>
    <xf numFmtId="168" fontId="0" fillId="0" borderId="0" xfId="50" applyNumberFormat="1" applyFont="1" applyBorder="1" applyAlignment="1" applyProtection="1">
      <alignment horizontal="center" vertical="center"/>
    </xf>
    <xf numFmtId="43" fontId="0" fillId="52" borderId="0" xfId="28" applyFont="1" applyFill="1"/>
    <xf numFmtId="0" fontId="0" fillId="52" borderId="0" xfId="0" applyFill="1"/>
    <xf numFmtId="168" fontId="0" fillId="30" borderId="0" xfId="50" applyNumberFormat="1" applyFont="1" applyFill="1"/>
    <xf numFmtId="0" fontId="7" fillId="0" borderId="0" xfId="0" applyFont="1" applyFill="1" applyBorder="1" applyAlignment="1" applyProtection="1">
      <alignment vertical="center"/>
    </xf>
    <xf numFmtId="168" fontId="7" fillId="0" borderId="0" xfId="50" applyNumberFormat="1" applyFont="1"/>
    <xf numFmtId="0" fontId="20" fillId="0" borderId="0" xfId="0" applyFont="1" applyFill="1"/>
    <xf numFmtId="0" fontId="7" fillId="0" borderId="0" xfId="0" applyNumberFormat="1" applyFont="1" applyFill="1"/>
    <xf numFmtId="0" fontId="10" fillId="0" borderId="0" xfId="0" applyFont="1" applyFill="1"/>
    <xf numFmtId="0" fontId="11" fillId="0" borderId="0" xfId="0" applyFont="1" applyFill="1"/>
    <xf numFmtId="167" fontId="0" fillId="0" borderId="0" xfId="28" applyNumberFormat="1" applyFont="1" applyAlignment="1">
      <alignment horizontal="right"/>
    </xf>
    <xf numFmtId="167" fontId="7" fillId="0" borderId="0" xfId="28" applyNumberFormat="1" applyFont="1" applyAlignment="1">
      <alignment horizontal="right"/>
    </xf>
    <xf numFmtId="168" fontId="0" fillId="0" borderId="0" xfId="50" applyNumberFormat="1" applyFont="1" applyAlignment="1">
      <alignment horizontal="right"/>
    </xf>
    <xf numFmtId="0" fontId="0" fillId="53" borderId="71" xfId="0" applyFill="1" applyBorder="1" applyAlignment="1"/>
    <xf numFmtId="0" fontId="0" fillId="53" borderId="72" xfId="0" applyFill="1" applyBorder="1" applyAlignment="1"/>
    <xf numFmtId="0" fontId="0" fillId="53" borderId="73" xfId="0" applyFill="1" applyBorder="1" applyAlignment="1"/>
    <xf numFmtId="0" fontId="0" fillId="53" borderId="74" xfId="0" applyFill="1" applyBorder="1" applyAlignment="1"/>
    <xf numFmtId="0" fontId="0" fillId="53" borderId="75" xfId="0" applyFill="1" applyBorder="1" applyAlignment="1"/>
    <xf numFmtId="167" fontId="0" fillId="53" borderId="74" xfId="28" applyNumberFormat="1" applyFont="1" applyFill="1" applyBorder="1" applyAlignment="1"/>
    <xf numFmtId="167" fontId="0" fillId="53" borderId="75" xfId="28" applyNumberFormat="1" applyFont="1" applyFill="1" applyBorder="1" applyAlignment="1"/>
    <xf numFmtId="168" fontId="0" fillId="53" borderId="74" xfId="50" applyNumberFormat="1" applyFont="1" applyFill="1" applyBorder="1" applyAlignment="1"/>
    <xf numFmtId="168" fontId="0" fillId="53" borderId="75" xfId="50" applyNumberFormat="1" applyFont="1" applyFill="1" applyBorder="1" applyAlignment="1"/>
    <xf numFmtId="167" fontId="0" fillId="53" borderId="76" xfId="28" applyNumberFormat="1" applyFont="1" applyFill="1" applyBorder="1" applyAlignment="1"/>
    <xf numFmtId="167" fontId="0" fillId="53" borderId="77" xfId="28" applyNumberFormat="1" applyFont="1" applyFill="1" applyBorder="1" applyAlignment="1"/>
    <xf numFmtId="167" fontId="0" fillId="53" borderId="78" xfId="28" applyNumberFormat="1" applyFont="1" applyFill="1" applyBorder="1" applyAlignment="1"/>
    <xf numFmtId="0" fontId="0" fillId="48" borderId="71" xfId="0" applyFill="1" applyBorder="1" applyAlignment="1"/>
    <xf numFmtId="0" fontId="0" fillId="48" borderId="72" xfId="0" applyFill="1" applyBorder="1" applyAlignment="1"/>
    <xf numFmtId="0" fontId="0" fillId="48" borderId="73" xfId="0" applyFill="1" applyBorder="1" applyAlignment="1"/>
    <xf numFmtId="0" fontId="0" fillId="48" borderId="74" xfId="0" applyFill="1" applyBorder="1" applyAlignment="1"/>
    <xf numFmtId="0" fontId="0" fillId="48" borderId="75" xfId="0" applyFill="1" applyBorder="1" applyAlignment="1"/>
    <xf numFmtId="167" fontId="0" fillId="48" borderId="74" xfId="28" applyNumberFormat="1" applyFont="1" applyFill="1" applyBorder="1" applyAlignment="1"/>
    <xf numFmtId="167" fontId="0" fillId="48" borderId="75" xfId="28" applyNumberFormat="1" applyFont="1" applyFill="1" applyBorder="1" applyAlignment="1"/>
    <xf numFmtId="168" fontId="0" fillId="48" borderId="74" xfId="50" applyNumberFormat="1" applyFont="1" applyFill="1" applyBorder="1" applyAlignment="1"/>
    <xf numFmtId="168" fontId="0" fillId="48" borderId="75" xfId="50" applyNumberFormat="1" applyFont="1" applyFill="1" applyBorder="1" applyAlignment="1"/>
    <xf numFmtId="167" fontId="0" fillId="48" borderId="76" xfId="28" applyNumberFormat="1" applyFont="1" applyFill="1" applyBorder="1" applyAlignment="1"/>
    <xf numFmtId="167" fontId="0" fillId="48" borderId="77" xfId="28" applyNumberFormat="1" applyFont="1" applyFill="1" applyBorder="1" applyAlignment="1"/>
    <xf numFmtId="167" fontId="0" fillId="48" borderId="78" xfId="28" applyNumberFormat="1" applyFont="1" applyFill="1" applyBorder="1" applyAlignment="1"/>
    <xf numFmtId="0" fontId="41" fillId="0" borderId="11" xfId="0" applyFont="1" applyBorder="1"/>
    <xf numFmtId="0" fontId="11" fillId="0" borderId="41" xfId="0" applyFont="1" applyFill="1" applyBorder="1"/>
    <xf numFmtId="0" fontId="11" fillId="0" borderId="42" xfId="0" applyFont="1" applyFill="1" applyBorder="1"/>
    <xf numFmtId="0" fontId="7" fillId="0" borderId="32" xfId="0" applyFont="1" applyBorder="1" applyAlignment="1">
      <alignment horizontal="right"/>
    </xf>
    <xf numFmtId="0" fontId="7" fillId="0" borderId="27" xfId="0" applyFont="1" applyBorder="1" applyAlignment="1">
      <alignment horizontal="right"/>
    </xf>
    <xf numFmtId="0" fontId="7" fillId="0" borderId="33" xfId="0" applyFont="1" applyBorder="1" applyAlignment="1">
      <alignment horizontal="right"/>
    </xf>
    <xf numFmtId="0" fontId="41" fillId="0" borderId="41" xfId="0" applyFont="1" applyFill="1" applyBorder="1"/>
    <xf numFmtId="0" fontId="41" fillId="0" borderId="42" xfId="0" applyFont="1" applyFill="1" applyBorder="1"/>
    <xf numFmtId="167" fontId="13" fillId="35" borderId="0" xfId="28" applyNumberFormat="1" applyFont="1" applyFill="1"/>
    <xf numFmtId="167" fontId="0" fillId="26" borderId="0" xfId="28" applyNumberFormat="1" applyFont="1" applyFill="1" applyAlignment="1">
      <alignment horizontal="right"/>
    </xf>
    <xf numFmtId="170" fontId="0" fillId="0" borderId="0" xfId="28" applyNumberFormat="1" applyFont="1" applyFill="1"/>
    <xf numFmtId="167" fontId="0" fillId="0" borderId="0" xfId="28" applyNumberFormat="1" applyFont="1" applyFill="1" applyAlignment="1">
      <alignment horizontal="right"/>
    </xf>
    <xf numFmtId="168" fontId="0" fillId="26" borderId="0" xfId="50" applyNumberFormat="1" applyFont="1" applyFill="1" applyAlignment="1">
      <alignment horizontal="right"/>
    </xf>
    <xf numFmtId="168" fontId="0" fillId="0" borderId="0" xfId="50" applyNumberFormat="1" applyFont="1" applyFill="1" applyAlignment="1">
      <alignment horizontal="right"/>
    </xf>
    <xf numFmtId="0" fontId="7" fillId="0" borderId="0" xfId="28" applyNumberFormat="1" applyFont="1" applyFill="1"/>
    <xf numFmtId="0" fontId="74" fillId="54" borderId="0" xfId="0" applyFont="1" applyFill="1"/>
    <xf numFmtId="0" fontId="74" fillId="54" borderId="0" xfId="0" applyFont="1" applyFill="1" applyBorder="1"/>
    <xf numFmtId="168" fontId="0" fillId="23" borderId="0" xfId="50" applyNumberFormat="1" applyFont="1" applyFill="1"/>
    <xf numFmtId="3" fontId="60" fillId="0" borderId="0" xfId="0" applyNumberFormat="1" applyFont="1" applyBorder="1" applyAlignment="1">
      <alignment horizontal="center"/>
    </xf>
    <xf numFmtId="0" fontId="7" fillId="32" borderId="0" xfId="0" applyFont="1" applyFill="1" applyBorder="1"/>
    <xf numFmtId="167" fontId="7" fillId="0" borderId="0" xfId="28" applyNumberFormat="1" applyFont="1" applyFill="1" applyBorder="1"/>
    <xf numFmtId="0" fontId="8" fillId="0" borderId="0" xfId="0" applyFont="1" applyFill="1" applyBorder="1" applyAlignment="1">
      <alignment horizontal="center"/>
    </xf>
    <xf numFmtId="9" fontId="7" fillId="0" borderId="0" xfId="50" applyFont="1" applyFill="1" applyBorder="1" applyAlignment="1">
      <alignment horizontal="right"/>
    </xf>
    <xf numFmtId="167" fontId="78" fillId="0" borderId="0" xfId="28" applyNumberFormat="1" applyFont="1" applyFill="1" applyBorder="1"/>
    <xf numFmtId="167" fontId="8" fillId="0" borderId="0" xfId="28" applyNumberFormat="1" applyFont="1" applyFill="1" applyBorder="1"/>
    <xf numFmtId="0" fontId="7" fillId="53" borderId="74" xfId="0" applyFont="1" applyFill="1" applyBorder="1" applyAlignment="1"/>
    <xf numFmtId="43" fontId="72" fillId="0" borderId="0" xfId="28" applyFont="1" applyFill="1" applyBorder="1"/>
    <xf numFmtId="43" fontId="78" fillId="0" borderId="0" xfId="28" applyFont="1" applyFill="1" applyBorder="1"/>
    <xf numFmtId="187" fontId="72" fillId="0" borderId="0" xfId="28" applyNumberFormat="1" applyFont="1" applyFill="1" applyBorder="1"/>
    <xf numFmtId="187" fontId="78" fillId="0" borderId="0" xfId="28" applyNumberFormat="1" applyFont="1" applyFill="1" applyBorder="1"/>
    <xf numFmtId="3" fontId="0" fillId="49" borderId="78" xfId="0" applyNumberFormat="1" applyFill="1" applyBorder="1" applyAlignment="1" applyProtection="1">
      <alignment horizontal="center" vertical="center"/>
      <protection locked="0"/>
    </xf>
    <xf numFmtId="0" fontId="7" fillId="0" borderId="0" xfId="0" applyFont="1" applyFill="1" applyBorder="1" applyAlignment="1">
      <alignment vertical="center"/>
    </xf>
    <xf numFmtId="169" fontId="7" fillId="0" borderId="0" xfId="50" applyNumberFormat="1" applyFont="1"/>
    <xf numFmtId="43" fontId="9" fillId="55" borderId="20" xfId="0" applyNumberFormat="1" applyFont="1" applyFill="1" applyBorder="1"/>
    <xf numFmtId="9" fontId="9" fillId="55" borderId="27" xfId="50" applyFont="1" applyFill="1" applyBorder="1"/>
    <xf numFmtId="9" fontId="9" fillId="55" borderId="32" xfId="50" applyFont="1" applyFill="1" applyBorder="1"/>
    <xf numFmtId="9" fontId="9" fillId="55" borderId="23" xfId="50" applyFont="1" applyFill="1" applyBorder="1"/>
    <xf numFmtId="9" fontId="9" fillId="55" borderId="24" xfId="50" applyFont="1" applyFill="1" applyBorder="1"/>
    <xf numFmtId="0" fontId="9" fillId="55" borderId="0" xfId="0" applyFont="1" applyFill="1" applyBorder="1"/>
    <xf numFmtId="0" fontId="9" fillId="55" borderId="29" xfId="0" applyNumberFormat="1" applyFont="1" applyFill="1" applyBorder="1"/>
    <xf numFmtId="43" fontId="9" fillId="55" borderId="22" xfId="0" applyNumberFormat="1" applyFont="1" applyFill="1" applyBorder="1"/>
    <xf numFmtId="9" fontId="9" fillId="55" borderId="0" xfId="50" applyFont="1" applyFill="1" applyBorder="1"/>
    <xf numFmtId="9" fontId="9" fillId="55" borderId="21" xfId="50" applyFont="1" applyFill="1" applyBorder="1"/>
    <xf numFmtId="43" fontId="9" fillId="55" borderId="30" xfId="0" applyNumberFormat="1" applyFont="1" applyFill="1" applyBorder="1"/>
    <xf numFmtId="9" fontId="9" fillId="55" borderId="13" xfId="50" applyFont="1" applyFill="1" applyBorder="1"/>
    <xf numFmtId="9" fontId="9" fillId="55" borderId="34" xfId="50" applyFont="1" applyFill="1" applyBorder="1"/>
    <xf numFmtId="43" fontId="9" fillId="55" borderId="0" xfId="28" applyFont="1" applyFill="1" applyBorder="1"/>
    <xf numFmtId="0" fontId="9" fillId="55" borderId="29" xfId="0" applyFont="1" applyFill="1" applyBorder="1"/>
    <xf numFmtId="0" fontId="0" fillId="55" borderId="0" xfId="0" applyFill="1"/>
    <xf numFmtId="168" fontId="72" fillId="0" borderId="0" xfId="50" applyNumberFormat="1" applyFont="1" applyFill="1" applyBorder="1"/>
    <xf numFmtId="9" fontId="0" fillId="32" borderId="33" xfId="50" applyFont="1" applyFill="1" applyBorder="1"/>
    <xf numFmtId="9" fontId="0" fillId="32" borderId="27" xfId="50" applyFont="1" applyFill="1" applyBorder="1"/>
    <xf numFmtId="168" fontId="0" fillId="0" borderId="0" xfId="0" applyNumberFormat="1" applyBorder="1"/>
    <xf numFmtId="168" fontId="0" fillId="0" borderId="31" xfId="50" applyNumberFormat="1" applyFont="1" applyBorder="1"/>
    <xf numFmtId="168" fontId="0" fillId="0" borderId="42" xfId="50" applyNumberFormat="1" applyFont="1" applyBorder="1"/>
    <xf numFmtId="168" fontId="0" fillId="0" borderId="41" xfId="50" applyNumberFormat="1" applyFont="1" applyBorder="1"/>
    <xf numFmtId="0" fontId="8" fillId="0" borderId="0" xfId="55" applyFont="1"/>
    <xf numFmtId="168" fontId="7" fillId="0" borderId="0" xfId="50" applyNumberFormat="1" applyFont="1"/>
    <xf numFmtId="0" fontId="71" fillId="0" borderId="0" xfId="0" applyNumberFormat="1" applyFont="1"/>
    <xf numFmtId="168" fontId="7" fillId="0" borderId="0" xfId="50" applyNumberFormat="1" applyBorder="1"/>
    <xf numFmtId="0" fontId="7" fillId="0" borderId="0" xfId="55" applyBorder="1"/>
    <xf numFmtId="0" fontId="7" fillId="30" borderId="0" xfId="55" applyFill="1"/>
    <xf numFmtId="9" fontId="7" fillId="0" borderId="0" xfId="50" applyBorder="1"/>
    <xf numFmtId="168" fontId="7" fillId="0" borderId="0" xfId="50" applyNumberFormat="1" applyFont="1"/>
    <xf numFmtId="0" fontId="7" fillId="51" borderId="0" xfId="55" applyFill="1"/>
    <xf numFmtId="0" fontId="81" fillId="0" borderId="0" xfId="0" applyFont="1" applyAlignment="1">
      <alignment vertical="center"/>
    </xf>
    <xf numFmtId="0" fontId="81" fillId="0" borderId="0" xfId="0" applyFont="1" applyAlignment="1">
      <alignment horizontal="right" vertical="center"/>
    </xf>
    <xf numFmtId="167" fontId="8" fillId="0" borderId="31" xfId="28" applyNumberFormat="1" applyFont="1" applyFill="1" applyBorder="1"/>
    <xf numFmtId="167" fontId="7" fillId="0" borderId="31" xfId="28" applyNumberFormat="1" applyFont="1" applyFill="1" applyBorder="1"/>
    <xf numFmtId="167" fontId="7" fillId="0" borderId="0" xfId="28" applyNumberFormat="1" applyFont="1" applyAlignment="1">
      <alignment horizontal="left"/>
    </xf>
    <xf numFmtId="167" fontId="0" fillId="0" borderId="0" xfId="28" applyNumberFormat="1" applyFont="1" applyAlignment="1">
      <alignment horizontal="left"/>
    </xf>
    <xf numFmtId="167" fontId="7" fillId="0" borderId="0" xfId="28" applyNumberFormat="1" applyFont="1" applyBorder="1" applyAlignment="1" applyProtection="1">
      <alignment horizontal="left" vertical="center"/>
    </xf>
    <xf numFmtId="167" fontId="72" fillId="0" borderId="0" xfId="28" applyNumberFormat="1" applyFont="1" applyFill="1" applyBorder="1" applyAlignment="1">
      <alignment horizontal="left"/>
    </xf>
    <xf numFmtId="167" fontId="7" fillId="0" borderId="0" xfId="28" applyNumberFormat="1" applyFont="1" applyBorder="1" applyAlignment="1">
      <alignment horizontal="left"/>
    </xf>
    <xf numFmtId="167" fontId="0" fillId="0" borderId="0" xfId="28" applyNumberFormat="1" applyFont="1" applyBorder="1" applyAlignment="1">
      <alignment horizontal="left"/>
    </xf>
    <xf numFmtId="167" fontId="7" fillId="0" borderId="0" xfId="28" applyNumberFormat="1" applyBorder="1" applyAlignment="1">
      <alignment horizontal="left"/>
    </xf>
    <xf numFmtId="170" fontId="7" fillId="0" borderId="0" xfId="28" applyNumberFormat="1"/>
    <xf numFmtId="167" fontId="7" fillId="0" borderId="0" xfId="28" applyNumberFormat="1"/>
    <xf numFmtId="167" fontId="7" fillId="0" borderId="11" xfId="28" applyNumberFormat="1" applyFont="1" applyFill="1" applyBorder="1"/>
    <xf numFmtId="0" fontId="7" fillId="0" borderId="41" xfId="0" applyFont="1" applyBorder="1"/>
    <xf numFmtId="167" fontId="7" fillId="0" borderId="29" xfId="28" applyNumberFormat="1" applyFont="1" applyFill="1" applyBorder="1"/>
    <xf numFmtId="167" fontId="7" fillId="0" borderId="29" xfId="28" applyNumberFormat="1" applyFont="1" applyBorder="1"/>
    <xf numFmtId="168" fontId="7" fillId="0" borderId="0" xfId="50" applyNumberFormat="1"/>
    <xf numFmtId="0" fontId="7" fillId="0" borderId="0" xfId="0" applyFont="1" applyAlignment="1">
      <alignment horizontal="right"/>
    </xf>
    <xf numFmtId="4" fontId="0" fillId="0" borderId="0" xfId="0" applyNumberFormat="1" applyAlignment="1">
      <alignment horizontal="right"/>
    </xf>
    <xf numFmtId="4" fontId="7" fillId="0" borderId="0" xfId="0" applyNumberFormat="1" applyFont="1" applyAlignment="1">
      <alignment horizontal="right"/>
    </xf>
    <xf numFmtId="0" fontId="7" fillId="55" borderId="0" xfId="0" applyFont="1" applyFill="1"/>
    <xf numFmtId="167" fontId="7" fillId="0" borderId="0" xfId="28" applyNumberFormat="1" applyFont="1" applyBorder="1"/>
    <xf numFmtId="9" fontId="0" fillId="0" borderId="0" xfId="0" applyNumberFormat="1" applyFill="1" applyBorder="1"/>
    <xf numFmtId="168" fontId="0" fillId="0" borderId="0" xfId="50" applyNumberFormat="1" applyFont="1" applyFill="1" applyBorder="1"/>
    <xf numFmtId="168" fontId="0" fillId="0" borderId="31" xfId="50" applyNumberFormat="1" applyFont="1" applyFill="1" applyBorder="1"/>
    <xf numFmtId="167" fontId="0" fillId="0" borderId="41" xfId="28" applyNumberFormat="1" applyFont="1" applyFill="1" applyBorder="1"/>
    <xf numFmtId="167" fontId="0" fillId="0" borderId="42" xfId="28" applyNumberFormat="1" applyFont="1" applyFill="1" applyBorder="1"/>
    <xf numFmtId="167" fontId="7" fillId="0" borderId="0" xfId="28" applyNumberFormat="1" applyFill="1" applyBorder="1"/>
    <xf numFmtId="167" fontId="7" fillId="0" borderId="31" xfId="28" applyNumberFormat="1" applyFill="1" applyBorder="1"/>
    <xf numFmtId="167" fontId="0" fillId="0" borderId="31" xfId="28" applyNumberFormat="1" applyFont="1" applyFill="1" applyBorder="1"/>
    <xf numFmtId="9" fontId="0" fillId="0" borderId="31" xfId="0" applyNumberFormat="1" applyFill="1" applyBorder="1"/>
    <xf numFmtId="0" fontId="0" fillId="0" borderId="27" xfId="0" applyFill="1" applyBorder="1"/>
    <xf numFmtId="0" fontId="0" fillId="0" borderId="33" xfId="0" applyFill="1" applyBorder="1"/>
    <xf numFmtId="168" fontId="0" fillId="56" borderId="0" xfId="50" applyNumberFormat="1" applyFont="1" applyFill="1"/>
    <xf numFmtId="167" fontId="7" fillId="52" borderId="0" xfId="28" applyNumberFormat="1" applyFont="1" applyFill="1"/>
    <xf numFmtId="167" fontId="7" fillId="49" borderId="0" xfId="28" applyNumberFormat="1" applyFill="1"/>
    <xf numFmtId="0" fontId="8" fillId="49" borderId="0" xfId="0" applyFont="1" applyFill="1"/>
    <xf numFmtId="167" fontId="7" fillId="57" borderId="0" xfId="28" applyNumberFormat="1" applyFont="1" applyFill="1"/>
    <xf numFmtId="0" fontId="7" fillId="0" borderId="41" xfId="55" applyFont="1" applyBorder="1"/>
    <xf numFmtId="0" fontId="7" fillId="0" borderId="42" xfId="0" applyFont="1" applyBorder="1"/>
    <xf numFmtId="0" fontId="7" fillId="0" borderId="0" xfId="55" applyFont="1" applyBorder="1"/>
    <xf numFmtId="0" fontId="7" fillId="0" borderId="31" xfId="0" applyFont="1" applyBorder="1"/>
    <xf numFmtId="0" fontId="7" fillId="0" borderId="27" xfId="55" applyFont="1" applyBorder="1"/>
    <xf numFmtId="0" fontId="7" fillId="0" borderId="27" xfId="0" applyFont="1" applyBorder="1"/>
    <xf numFmtId="0" fontId="7" fillId="0" borderId="33" xfId="0" applyFont="1" applyBorder="1"/>
    <xf numFmtId="167" fontId="7" fillId="0" borderId="0" xfId="0" applyNumberFormat="1" applyFont="1"/>
    <xf numFmtId="170" fontId="7" fillId="0" borderId="0" xfId="0" applyNumberFormat="1" applyFont="1"/>
    <xf numFmtId="167" fontId="13" fillId="41" borderId="0" xfId="28" applyNumberFormat="1" applyFont="1" applyFill="1" applyBorder="1"/>
    <xf numFmtId="43" fontId="9" fillId="55" borderId="34" xfId="28" applyFont="1" applyFill="1" applyBorder="1"/>
    <xf numFmtId="43" fontId="9" fillId="55" borderId="13" xfId="28" applyFont="1" applyFill="1" applyBorder="1"/>
    <xf numFmtId="43" fontId="9" fillId="55" borderId="21" xfId="28" applyFont="1" applyFill="1" applyBorder="1"/>
    <xf numFmtId="43" fontId="9" fillId="55" borderId="24" xfId="28" applyFont="1" applyFill="1" applyBorder="1"/>
    <xf numFmtId="43" fontId="9" fillId="55" borderId="23" xfId="28" applyFont="1" applyFill="1" applyBorder="1"/>
    <xf numFmtId="43" fontId="9" fillId="55" borderId="32" xfId="28" applyFont="1" applyFill="1" applyBorder="1"/>
    <xf numFmtId="43" fontId="9" fillId="55" borderId="27" xfId="28" applyFont="1" applyFill="1" applyBorder="1"/>
    <xf numFmtId="43" fontId="9" fillId="55" borderId="34" xfId="28" applyNumberFormat="1" applyFont="1" applyFill="1" applyBorder="1"/>
    <xf numFmtId="43" fontId="9" fillId="55" borderId="13" xfId="28" applyNumberFormat="1" applyFont="1" applyFill="1" applyBorder="1"/>
    <xf numFmtId="43" fontId="9" fillId="55" borderId="21" xfId="28" applyNumberFormat="1" applyFont="1" applyFill="1" applyBorder="1"/>
    <xf numFmtId="43" fontId="9" fillId="55" borderId="0" xfId="28" applyNumberFormat="1" applyFont="1" applyFill="1" applyBorder="1"/>
    <xf numFmtId="43" fontId="9" fillId="55" borderId="24" xfId="28" applyNumberFormat="1" applyFont="1" applyFill="1" applyBorder="1"/>
    <xf numFmtId="43" fontId="9" fillId="55" borderId="23" xfId="28" applyNumberFormat="1" applyFont="1" applyFill="1" applyBorder="1"/>
    <xf numFmtId="167" fontId="0" fillId="30" borderId="0" xfId="28" applyNumberFormat="1" applyFont="1" applyFill="1"/>
    <xf numFmtId="9" fontId="0" fillId="0" borderId="0" xfId="50" applyNumberFormat="1" applyFont="1"/>
    <xf numFmtId="187" fontId="0" fillId="0" borderId="0" xfId="28" applyNumberFormat="1" applyFont="1" applyFill="1"/>
    <xf numFmtId="187" fontId="7" fillId="0" borderId="0" xfId="28" applyNumberFormat="1" applyFont="1" applyFill="1"/>
    <xf numFmtId="167" fontId="7" fillId="0" borderId="0" xfId="28" applyNumberFormat="1" applyFill="1"/>
    <xf numFmtId="170" fontId="8" fillId="0" borderId="0" xfId="28" applyNumberFormat="1" applyFont="1"/>
    <xf numFmtId="41" fontId="0" fillId="0" borderId="0" xfId="29" applyNumberFormat="1" applyFont="1"/>
    <xf numFmtId="41" fontId="8" fillId="0" borderId="0" xfId="29" applyNumberFormat="1" applyFont="1"/>
    <xf numFmtId="22" fontId="7" fillId="0" borderId="0" xfId="0" applyNumberFormat="1" applyFont="1"/>
    <xf numFmtId="0" fontId="7" fillId="0" borderId="11" xfId="0" applyFont="1" applyBorder="1" applyAlignment="1">
      <alignment horizontal="right"/>
    </xf>
    <xf numFmtId="0" fontId="7" fillId="0" borderId="42" xfId="0" applyFont="1" applyBorder="1" applyAlignment="1">
      <alignment horizontal="right"/>
    </xf>
    <xf numFmtId="0" fontId="0" fillId="0" borderId="82" xfId="0" applyBorder="1"/>
    <xf numFmtId="168" fontId="0" fillId="0" borderId="82" xfId="50" applyNumberFormat="1" applyFont="1" applyBorder="1"/>
    <xf numFmtId="167" fontId="9" fillId="0" borderId="0" xfId="28" applyNumberFormat="1" applyFont="1" applyBorder="1"/>
    <xf numFmtId="10" fontId="0" fillId="0" borderId="23" xfId="50" applyNumberFormat="1" applyFont="1" applyBorder="1"/>
    <xf numFmtId="176" fontId="0" fillId="0" borderId="0" xfId="0" applyNumberFormat="1" applyBorder="1" applyAlignment="1" applyProtection="1">
      <alignment horizontal="right" vertical="center"/>
    </xf>
    <xf numFmtId="0" fontId="8" fillId="0" borderId="0" xfId="0" applyFont="1" applyBorder="1" applyAlignment="1">
      <alignment horizontal="center"/>
    </xf>
    <xf numFmtId="0" fontId="0" fillId="0" borderId="0" xfId="0" applyBorder="1" applyAlignment="1">
      <alignment horizontal="center"/>
    </xf>
    <xf numFmtId="0" fontId="0" fillId="0" borderId="0" xfId="0" applyBorder="1" applyAlignment="1"/>
    <xf numFmtId="188" fontId="0" fillId="0" borderId="0" xfId="0" applyNumberFormat="1" applyBorder="1"/>
    <xf numFmtId="1" fontId="0" fillId="0" borderId="0" xfId="0" applyNumberFormat="1" applyBorder="1"/>
    <xf numFmtId="9" fontId="7" fillId="0" borderId="0" xfId="50" applyFont="1" applyBorder="1"/>
    <xf numFmtId="170" fontId="0" fillId="0" borderId="0" xfId="28" applyNumberFormat="1" applyFont="1" applyBorder="1"/>
    <xf numFmtId="0" fontId="0" fillId="58" borderId="0" xfId="0" applyFill="1"/>
    <xf numFmtId="0" fontId="7" fillId="0" borderId="0" xfId="0" applyFont="1" applyBorder="1" applyAlignment="1">
      <alignment horizontal="center"/>
    </xf>
    <xf numFmtId="0" fontId="7" fillId="0" borderId="83" xfId="0" applyFont="1" applyBorder="1"/>
    <xf numFmtId="0" fontId="10" fillId="0" borderId="23" xfId="0" applyFont="1" applyFill="1" applyBorder="1" applyAlignment="1">
      <alignment horizontal="right"/>
    </xf>
    <xf numFmtId="0" fontId="8" fillId="0" borderId="23" xfId="0" applyFont="1" applyFill="1" applyBorder="1"/>
    <xf numFmtId="0" fontId="8" fillId="0" borderId="23" xfId="0" applyFont="1" applyFill="1" applyBorder="1" applyAlignment="1">
      <alignment horizontal="right"/>
    </xf>
    <xf numFmtId="0" fontId="7" fillId="0" borderId="0" xfId="0" applyFont="1" applyBorder="1" applyAlignment="1">
      <alignment horizontal="left"/>
    </xf>
    <xf numFmtId="0" fontId="7" fillId="52" borderId="0" xfId="0" applyFont="1" applyFill="1" applyBorder="1" applyAlignment="1">
      <alignment horizontal="center"/>
    </xf>
    <xf numFmtId="0" fontId="7" fillId="50" borderId="0" xfId="0" applyFont="1" applyFill="1" applyBorder="1" applyAlignment="1">
      <alignment horizontal="center"/>
    </xf>
    <xf numFmtId="0" fontId="7" fillId="0" borderId="0" xfId="0" quotePrefix="1" applyFont="1" applyBorder="1"/>
    <xf numFmtId="0" fontId="74" fillId="0" borderId="0" xfId="0" applyFont="1" applyBorder="1" applyAlignment="1" applyProtection="1">
      <alignment vertical="center"/>
    </xf>
    <xf numFmtId="0" fontId="8" fillId="0" borderId="0" xfId="0" applyFont="1" applyBorder="1" applyAlignment="1"/>
    <xf numFmtId="0" fontId="8" fillId="0" borderId="23" xfId="0" applyFont="1" applyFill="1" applyBorder="1" applyAlignment="1"/>
    <xf numFmtId="0" fontId="10" fillId="0" borderId="23" xfId="0" applyFont="1" applyFill="1" applyBorder="1" applyAlignment="1"/>
    <xf numFmtId="0" fontId="7" fillId="0" borderId="0" xfId="0" applyFont="1" applyFill="1" applyBorder="1" applyAlignment="1" applyProtection="1">
      <alignment horizontal="left" vertical="center"/>
    </xf>
    <xf numFmtId="0" fontId="0" fillId="0" borderId="0" xfId="0" applyFill="1" applyBorder="1" applyAlignment="1" applyProtection="1">
      <alignment horizontal="left" vertical="center"/>
    </xf>
    <xf numFmtId="3" fontId="7" fillId="0" borderId="0" xfId="0" applyNumberFormat="1" applyFont="1" applyFill="1" applyBorder="1" applyAlignment="1" applyProtection="1">
      <alignment horizontal="left" vertical="center"/>
    </xf>
    <xf numFmtId="0" fontId="7" fillId="25" borderId="0" xfId="0" applyFont="1" applyFill="1" applyBorder="1"/>
    <xf numFmtId="0" fontId="0" fillId="0" borderId="0" xfId="0" applyFont="1" applyFill="1" applyBorder="1"/>
    <xf numFmtId="0" fontId="0" fillId="0" borderId="29" xfId="0" applyFill="1" applyBorder="1" applyAlignment="1">
      <alignment vertical="center"/>
    </xf>
    <xf numFmtId="0" fontId="0" fillId="0" borderId="0" xfId="0" applyFill="1" applyBorder="1" applyAlignment="1">
      <alignment vertical="center"/>
    </xf>
    <xf numFmtId="0" fontId="0" fillId="0" borderId="31" xfId="0" applyFill="1" applyBorder="1" applyAlignment="1">
      <alignment vertical="center"/>
    </xf>
    <xf numFmtId="0" fontId="8" fillId="0" borderId="0" xfId="0" applyFont="1" applyFill="1" applyBorder="1" applyAlignment="1">
      <alignment vertical="center"/>
    </xf>
    <xf numFmtId="43" fontId="0" fillId="0" borderId="0" xfId="28" applyFont="1" applyFill="1" applyBorder="1" applyAlignment="1">
      <alignment horizontal="left" vertical="center"/>
    </xf>
    <xf numFmtId="0" fontId="7" fillId="0" borderId="0" xfId="0" applyFont="1" applyFill="1" applyBorder="1" applyAlignment="1">
      <alignment horizontal="right"/>
    </xf>
    <xf numFmtId="0" fontId="0" fillId="0" borderId="62" xfId="0" applyFill="1" applyBorder="1" applyAlignment="1">
      <alignment vertical="center"/>
    </xf>
    <xf numFmtId="0" fontId="7" fillId="0" borderId="0" xfId="0" applyFont="1" applyFill="1" applyBorder="1" applyAlignment="1">
      <alignment horizontal="right" vertical="center"/>
    </xf>
    <xf numFmtId="43" fontId="7" fillId="0" borderId="0" xfId="28" applyFont="1" applyFill="1" applyBorder="1" applyAlignment="1">
      <alignment horizontal="left" vertical="center"/>
    </xf>
    <xf numFmtId="0" fontId="7" fillId="0" borderId="62" xfId="0" applyFont="1" applyFill="1" applyBorder="1" applyAlignment="1">
      <alignment horizontal="right" vertical="center"/>
    </xf>
    <xf numFmtId="0" fontId="0" fillId="0" borderId="0" xfId="0" applyFill="1" applyBorder="1" applyAlignment="1">
      <alignment horizontal="right" vertical="center"/>
    </xf>
    <xf numFmtId="167" fontId="0" fillId="0" borderId="0" xfId="28" applyNumberFormat="1" applyFont="1" applyFill="1" applyBorder="1" applyAlignment="1">
      <alignment vertical="center"/>
    </xf>
    <xf numFmtId="167" fontId="0" fillId="0" borderId="62" xfId="28" applyNumberFormat="1" applyFont="1" applyFill="1" applyBorder="1" applyAlignment="1">
      <alignment vertical="center"/>
    </xf>
    <xf numFmtId="43" fontId="7" fillId="0" borderId="0" xfId="28" applyFont="1" applyFill="1" applyBorder="1" applyAlignment="1">
      <alignment vertical="center"/>
    </xf>
    <xf numFmtId="168" fontId="0" fillId="0" borderId="0" xfId="50" applyNumberFormat="1" applyFont="1" applyFill="1" applyBorder="1" applyAlignment="1">
      <alignment vertical="center"/>
    </xf>
    <xf numFmtId="176" fontId="0" fillId="0" borderId="0" xfId="28" applyNumberFormat="1" applyFont="1" applyFill="1" applyBorder="1" applyAlignment="1">
      <alignment vertical="center"/>
    </xf>
    <xf numFmtId="37" fontId="0" fillId="0" borderId="0" xfId="28" applyNumberFormat="1" applyFont="1" applyFill="1" applyBorder="1" applyAlignment="1">
      <alignment horizontal="right" vertical="center"/>
    </xf>
    <xf numFmtId="168" fontId="0" fillId="0" borderId="62" xfId="50" applyNumberFormat="1" applyFont="1" applyFill="1" applyBorder="1" applyAlignment="1">
      <alignment vertical="center"/>
    </xf>
    <xf numFmtId="0" fontId="7" fillId="0" borderId="62" xfId="0" applyFont="1" applyFill="1" applyBorder="1" applyAlignment="1">
      <alignment horizontal="right"/>
    </xf>
    <xf numFmtId="176" fontId="0" fillId="0" borderId="62" xfId="28" applyNumberFormat="1" applyFont="1" applyFill="1" applyBorder="1" applyAlignment="1">
      <alignment vertical="center"/>
    </xf>
    <xf numFmtId="37" fontId="0" fillId="0" borderId="62" xfId="28" applyNumberFormat="1" applyFont="1" applyFill="1" applyBorder="1" applyAlignment="1">
      <alignment horizontal="right" vertical="center"/>
    </xf>
    <xf numFmtId="0" fontId="0" fillId="0" borderId="32" xfId="0" applyFill="1" applyBorder="1" applyAlignment="1">
      <alignment vertical="center"/>
    </xf>
    <xf numFmtId="0" fontId="7" fillId="0" borderId="27" xfId="0" applyFont="1" applyFill="1" applyBorder="1" applyAlignment="1">
      <alignment vertical="center"/>
    </xf>
    <xf numFmtId="0" fontId="0" fillId="0" borderId="27" xfId="0" applyFill="1" applyBorder="1" applyAlignment="1">
      <alignment vertical="center"/>
    </xf>
    <xf numFmtId="37" fontId="0" fillId="0" borderId="27" xfId="28" applyNumberFormat="1" applyFont="1" applyFill="1" applyBorder="1" applyAlignment="1">
      <alignment horizontal="right" vertical="center"/>
    </xf>
    <xf numFmtId="0" fontId="0" fillId="0" borderId="33" xfId="0" applyFill="1" applyBorder="1" applyAlignment="1">
      <alignment vertical="center"/>
    </xf>
    <xf numFmtId="0" fontId="0" fillId="0" borderId="11" xfId="0" applyFill="1" applyBorder="1" applyAlignment="1">
      <alignment vertical="center"/>
    </xf>
    <xf numFmtId="0" fontId="0" fillId="0" borderId="41" xfId="0" applyFill="1" applyBorder="1" applyAlignment="1">
      <alignment vertical="center"/>
    </xf>
    <xf numFmtId="0" fontId="0" fillId="0" borderId="42" xfId="0" applyFill="1" applyBorder="1" applyAlignment="1">
      <alignment vertical="center"/>
    </xf>
    <xf numFmtId="0" fontId="8" fillId="0" borderId="23" xfId="0" applyFont="1" applyFill="1" applyBorder="1" applyAlignment="1">
      <alignment horizontal="center" vertical="center"/>
    </xf>
    <xf numFmtId="0" fontId="0" fillId="0" borderId="0" xfId="0" applyFill="1" applyBorder="1" applyAlignment="1">
      <alignment horizontal="center" vertical="center"/>
    </xf>
    <xf numFmtId="0" fontId="8" fillId="0" borderId="62" xfId="0" applyFont="1" applyFill="1" applyBorder="1" applyAlignment="1">
      <alignment horizontal="left" vertical="center"/>
    </xf>
    <xf numFmtId="0" fontId="8" fillId="0" borderId="0" xfId="0" applyFont="1" applyFill="1" applyBorder="1" applyAlignment="1">
      <alignment horizontal="left" vertical="center"/>
    </xf>
    <xf numFmtId="168" fontId="0" fillId="0" borderId="0" xfId="50" applyNumberFormat="1" applyFont="1" applyFill="1" applyBorder="1" applyAlignment="1">
      <alignment horizontal="center" vertical="center"/>
    </xf>
    <xf numFmtId="37" fontId="0" fillId="0" borderId="62" xfId="28" applyNumberFormat="1" applyFont="1" applyFill="1" applyBorder="1" applyAlignment="1">
      <alignment horizontal="left" vertical="center"/>
    </xf>
    <xf numFmtId="37" fontId="0" fillId="0" borderId="0" xfId="28" applyNumberFormat="1" applyFont="1" applyFill="1" applyBorder="1" applyAlignment="1">
      <alignment horizontal="center" vertical="center"/>
    </xf>
    <xf numFmtId="0" fontId="7" fillId="0" borderId="0" xfId="0" quotePrefix="1" applyFont="1" applyFill="1" applyBorder="1" applyAlignment="1">
      <alignment vertical="center"/>
    </xf>
    <xf numFmtId="168" fontId="0" fillId="0" borderId="0" xfId="50" applyNumberFormat="1" applyFont="1" applyFill="1" applyBorder="1" applyAlignment="1">
      <alignment horizontal="left" vertical="center"/>
    </xf>
    <xf numFmtId="168" fontId="0" fillId="0" borderId="62" xfId="50" applyNumberFormat="1" applyFont="1" applyFill="1" applyBorder="1" applyAlignment="1">
      <alignment horizontal="left" vertical="center"/>
    </xf>
    <xf numFmtId="0" fontId="7" fillId="0" borderId="23" xfId="0" quotePrefix="1" applyFont="1" applyFill="1" applyBorder="1" applyAlignment="1">
      <alignment vertical="center"/>
    </xf>
    <xf numFmtId="0" fontId="0" fillId="0" borderId="23" xfId="0" applyFill="1" applyBorder="1" applyAlignment="1">
      <alignment vertical="center"/>
    </xf>
    <xf numFmtId="167" fontId="0" fillId="0" borderId="23" xfId="28" applyNumberFormat="1" applyFont="1" applyFill="1" applyBorder="1" applyAlignment="1">
      <alignment vertical="center"/>
    </xf>
    <xf numFmtId="0" fontId="0" fillId="0" borderId="0" xfId="0" applyFill="1" applyBorder="1" applyAlignment="1">
      <alignment horizontal="left" vertical="center"/>
    </xf>
    <xf numFmtId="0" fontId="0" fillId="0" borderId="62" xfId="0" applyFill="1" applyBorder="1" applyAlignment="1">
      <alignment horizontal="left" vertical="center"/>
    </xf>
    <xf numFmtId="37" fontId="0" fillId="0" borderId="0" xfId="28" applyNumberFormat="1" applyFont="1" applyFill="1" applyBorder="1" applyAlignment="1">
      <alignment horizontal="left" vertical="center"/>
    </xf>
    <xf numFmtId="168" fontId="0" fillId="0" borderId="0" xfId="50" applyNumberFormat="1" applyFont="1" applyFill="1" applyBorder="1" applyAlignment="1">
      <alignment horizontal="right" vertical="center"/>
    </xf>
    <xf numFmtId="0" fontId="0" fillId="0" borderId="29" xfId="0" applyFill="1" applyBorder="1" applyAlignment="1" applyProtection="1">
      <alignment vertical="center"/>
    </xf>
    <xf numFmtId="0" fontId="0" fillId="0" borderId="0" xfId="0" applyFill="1" applyBorder="1" applyAlignment="1" applyProtection="1">
      <alignment vertical="center"/>
    </xf>
    <xf numFmtId="0" fontId="0" fillId="0" borderId="31" xfId="0" applyFill="1" applyBorder="1" applyAlignment="1" applyProtection="1">
      <alignment vertical="center"/>
    </xf>
    <xf numFmtId="0" fontId="8" fillId="0" borderId="0" xfId="0" applyFont="1" applyFill="1" applyBorder="1" applyAlignment="1" applyProtection="1">
      <alignment vertical="center"/>
    </xf>
    <xf numFmtId="0" fontId="8" fillId="0" borderId="0" xfId="0" applyFont="1" applyFill="1" applyBorder="1" applyAlignment="1" applyProtection="1">
      <alignment horizontal="right" vertical="center"/>
    </xf>
    <xf numFmtId="0" fontId="7" fillId="0" borderId="0" xfId="0" applyFont="1" applyFill="1" applyBorder="1" applyAlignment="1" applyProtection="1">
      <alignment horizontal="center" vertical="center"/>
    </xf>
    <xf numFmtId="0" fontId="0" fillId="0" borderId="0" xfId="0" applyFill="1" applyBorder="1" applyAlignment="1" applyProtection="1">
      <alignment horizontal="center" vertical="center"/>
    </xf>
    <xf numFmtId="0" fontId="74" fillId="0" borderId="29" xfId="0" applyFont="1" applyFill="1" applyBorder="1" applyAlignment="1" applyProtection="1">
      <alignment vertical="center"/>
    </xf>
    <xf numFmtId="167" fontId="0" fillId="0" borderId="0" xfId="28" applyNumberFormat="1" applyFont="1" applyFill="1" applyBorder="1" applyAlignment="1" applyProtection="1">
      <alignment vertical="center"/>
    </xf>
    <xf numFmtId="168" fontId="7" fillId="0" borderId="0" xfId="50" applyNumberFormat="1" applyFont="1" applyFill="1" applyBorder="1" applyAlignment="1" applyProtection="1">
      <alignment vertical="center"/>
    </xf>
    <xf numFmtId="168" fontId="0" fillId="0" borderId="0" xfId="50" applyNumberFormat="1" applyFont="1" applyFill="1" applyBorder="1" applyAlignment="1" applyProtection="1">
      <alignment vertical="center"/>
    </xf>
    <xf numFmtId="0" fontId="0" fillId="0" borderId="32" xfId="0" applyFill="1" applyBorder="1" applyAlignment="1" applyProtection="1">
      <alignment vertical="center"/>
    </xf>
    <xf numFmtId="0" fontId="0" fillId="0" borderId="27" xfId="0" applyFill="1" applyBorder="1" applyAlignment="1" applyProtection="1">
      <alignment vertical="center"/>
    </xf>
    <xf numFmtId="0" fontId="0" fillId="0" borderId="27" xfId="0" applyFill="1" applyBorder="1" applyAlignment="1" applyProtection="1">
      <alignment horizontal="left" vertical="center"/>
    </xf>
    <xf numFmtId="0" fontId="0" fillId="0" borderId="33" xfId="0" applyFill="1" applyBorder="1" applyAlignment="1" applyProtection="1">
      <alignment vertical="center"/>
    </xf>
    <xf numFmtId="0" fontId="8" fillId="0" borderId="0" xfId="0" applyFont="1" applyFill="1" applyBorder="1" applyAlignment="1">
      <alignment horizontal="center" vertical="center"/>
    </xf>
    <xf numFmtId="37" fontId="71" fillId="0" borderId="62" xfId="28" applyNumberFormat="1" applyFont="1" applyFill="1" applyBorder="1" applyAlignment="1">
      <alignment horizontal="left" vertical="center"/>
    </xf>
    <xf numFmtId="43" fontId="0" fillId="0" borderId="31" xfId="28" applyFont="1" applyFill="1" applyBorder="1" applyAlignment="1">
      <alignment horizontal="left" vertical="center"/>
    </xf>
    <xf numFmtId="43" fontId="7" fillId="0" borderId="31" xfId="28" applyFont="1" applyFill="1" applyBorder="1" applyAlignment="1">
      <alignment horizontal="left" vertical="center"/>
    </xf>
    <xf numFmtId="0" fontId="8" fillId="0" borderId="23" xfId="0" applyFont="1" applyFill="1" applyBorder="1" applyAlignment="1" applyProtection="1">
      <alignment horizontal="center" vertical="center"/>
    </xf>
    <xf numFmtId="0" fontId="8" fillId="0" borderId="0" xfId="0" applyFont="1" applyFill="1" applyBorder="1" applyAlignment="1" applyProtection="1">
      <alignment horizontal="left" vertical="center"/>
    </xf>
    <xf numFmtId="0" fontId="0" fillId="0" borderId="0" xfId="0" applyFill="1" applyBorder="1" applyAlignment="1" applyProtection="1">
      <alignment horizontal="right" vertical="center"/>
    </xf>
    <xf numFmtId="0" fontId="7" fillId="0" borderId="0" xfId="0" applyFont="1" applyFill="1" applyBorder="1" applyAlignment="1" applyProtection="1">
      <alignment horizontal="right" vertical="center"/>
    </xf>
    <xf numFmtId="0" fontId="0" fillId="0" borderId="0" xfId="0" applyFill="1" applyAlignment="1" applyProtection="1">
      <alignment horizontal="left" vertical="center"/>
    </xf>
    <xf numFmtId="176" fontId="0" fillId="0" borderId="0" xfId="0" applyNumberFormat="1" applyFill="1" applyBorder="1" applyAlignment="1" applyProtection="1">
      <alignment horizontal="center" vertical="center"/>
    </xf>
    <xf numFmtId="176" fontId="0" fillId="0" borderId="0" xfId="0" applyNumberFormat="1" applyFill="1" applyBorder="1" applyAlignment="1" applyProtection="1">
      <alignment horizontal="left" vertical="center"/>
    </xf>
    <xf numFmtId="37" fontId="0" fillId="0" borderId="0" xfId="28" applyNumberFormat="1" applyFont="1" applyFill="1" applyBorder="1" applyAlignment="1" applyProtection="1">
      <alignment horizontal="center" vertical="center"/>
    </xf>
    <xf numFmtId="37" fontId="0" fillId="0" borderId="0" xfId="28" applyNumberFormat="1" applyFont="1" applyFill="1" applyBorder="1" applyAlignment="1" applyProtection="1">
      <alignment horizontal="left" vertical="center"/>
    </xf>
    <xf numFmtId="0" fontId="0" fillId="0" borderId="62" xfId="0" applyFill="1" applyBorder="1" applyAlignment="1" applyProtection="1">
      <alignment vertical="center"/>
    </xf>
    <xf numFmtId="168" fontId="0" fillId="0" borderId="0" xfId="50" applyNumberFormat="1" applyFont="1" applyFill="1" applyBorder="1" applyAlignment="1" applyProtection="1">
      <alignment horizontal="left" vertical="center"/>
    </xf>
    <xf numFmtId="0" fontId="7" fillId="0" borderId="62" xfId="0" applyFont="1" applyFill="1" applyBorder="1" applyAlignment="1" applyProtection="1">
      <alignment horizontal="right" vertical="center"/>
    </xf>
    <xf numFmtId="0" fontId="0" fillId="0" borderId="62" xfId="0" applyFill="1" applyBorder="1" applyAlignment="1" applyProtection="1">
      <alignment horizontal="right" vertical="center"/>
    </xf>
    <xf numFmtId="168" fontId="0" fillId="0" borderId="62" xfId="50" applyNumberFormat="1" applyFont="1" applyFill="1" applyBorder="1" applyAlignment="1" applyProtection="1">
      <alignment vertical="center"/>
    </xf>
    <xf numFmtId="0" fontId="7" fillId="0" borderId="27" xfId="0" applyFont="1" applyFill="1" applyBorder="1" applyAlignment="1" applyProtection="1">
      <alignment vertical="center"/>
    </xf>
    <xf numFmtId="168" fontId="0" fillId="0" borderId="27" xfId="50" applyNumberFormat="1" applyFont="1" applyFill="1" applyBorder="1" applyAlignment="1" applyProtection="1">
      <alignment vertical="center"/>
    </xf>
    <xf numFmtId="168" fontId="7" fillId="0" borderId="0" xfId="50" applyNumberFormat="1" applyFont="1" applyFill="1" applyBorder="1" applyAlignment="1" applyProtection="1">
      <alignment horizontal="right" vertical="center"/>
    </xf>
    <xf numFmtId="3" fontId="0" fillId="0" borderId="0" xfId="0" applyNumberFormat="1" applyFill="1" applyBorder="1" applyAlignment="1" applyProtection="1">
      <alignment horizontal="center" vertical="center"/>
    </xf>
    <xf numFmtId="0" fontId="0" fillId="0" borderId="11" xfId="0" applyFill="1" applyBorder="1" applyAlignment="1" applyProtection="1">
      <alignment vertical="center"/>
    </xf>
    <xf numFmtId="0" fontId="7" fillId="0" borderId="41" xfId="0" applyFont="1" applyFill="1" applyBorder="1" applyAlignment="1" applyProtection="1">
      <alignment vertical="center"/>
    </xf>
    <xf numFmtId="0" fontId="0" fillId="0" borderId="41" xfId="0" applyFill="1" applyBorder="1" applyAlignment="1" applyProtection="1">
      <alignment vertical="center"/>
    </xf>
    <xf numFmtId="168" fontId="0" fillId="0" borderId="41" xfId="50" applyNumberFormat="1" applyFont="1" applyFill="1" applyBorder="1" applyAlignment="1" applyProtection="1">
      <alignment vertical="center"/>
    </xf>
    <xf numFmtId="0" fontId="0" fillId="0" borderId="42" xfId="0" applyFill="1" applyBorder="1" applyAlignment="1" applyProtection="1">
      <alignment vertical="center"/>
    </xf>
    <xf numFmtId="0" fontId="0" fillId="0" borderId="31" xfId="0" applyFill="1" applyBorder="1" applyAlignment="1" applyProtection="1">
      <alignment horizontal="left" vertical="center"/>
    </xf>
    <xf numFmtId="168" fontId="0" fillId="0" borderId="0" xfId="50" applyNumberFormat="1" applyFont="1" applyFill="1" applyBorder="1" applyAlignment="1" applyProtection="1">
      <alignment horizontal="center" vertical="center"/>
    </xf>
    <xf numFmtId="1" fontId="0" fillId="0" borderId="0" xfId="50" applyNumberFormat="1" applyFont="1" applyFill="1" applyBorder="1" applyAlignment="1" applyProtection="1">
      <alignment horizontal="center" vertical="center"/>
    </xf>
    <xf numFmtId="1" fontId="0" fillId="0" borderId="0" xfId="50" applyNumberFormat="1" applyFont="1" applyFill="1" applyBorder="1" applyAlignment="1" applyProtection="1">
      <alignment horizontal="left" vertical="center"/>
    </xf>
    <xf numFmtId="0" fontId="41" fillId="0" borderId="0" xfId="0" applyFont="1" applyFill="1" applyBorder="1" applyAlignment="1" applyProtection="1">
      <alignment vertical="center"/>
    </xf>
    <xf numFmtId="9" fontId="0" fillId="0" borderId="0" xfId="0" applyNumberFormat="1" applyFill="1" applyBorder="1" applyAlignment="1" applyProtection="1">
      <alignment vertical="center"/>
    </xf>
    <xf numFmtId="43" fontId="0" fillId="0" borderId="0" xfId="28" applyFont="1" applyFill="1" applyBorder="1" applyAlignment="1" applyProtection="1">
      <alignment horizontal="left" vertical="center"/>
    </xf>
    <xf numFmtId="168" fontId="0" fillId="0" borderId="0" xfId="50" applyNumberFormat="1" applyFont="1" applyFill="1" applyBorder="1" applyAlignment="1" applyProtection="1">
      <alignment horizontal="right" vertical="center"/>
    </xf>
    <xf numFmtId="43" fontId="0" fillId="0" borderId="0" xfId="28" applyFont="1" applyFill="1" applyAlignment="1">
      <alignment horizontal="left"/>
    </xf>
    <xf numFmtId="3" fontId="0" fillId="0" borderId="0" xfId="0" applyNumberFormat="1" applyFill="1" applyBorder="1" applyAlignment="1" applyProtection="1">
      <alignment horizontal="left" vertical="center"/>
    </xf>
    <xf numFmtId="168" fontId="0" fillId="0" borderId="31" xfId="50" applyNumberFormat="1" applyFont="1" applyFill="1" applyBorder="1" applyAlignment="1" applyProtection="1">
      <alignment horizontal="left" vertical="center"/>
    </xf>
    <xf numFmtId="0" fontId="60" fillId="0" borderId="0" xfId="0" applyFont="1" applyFill="1" applyBorder="1" applyAlignment="1" applyProtection="1">
      <alignment vertical="center"/>
    </xf>
    <xf numFmtId="167" fontId="0" fillId="0" borderId="0" xfId="28" applyNumberFormat="1" applyFont="1" applyFill="1" applyBorder="1" applyAlignment="1" applyProtection="1">
      <alignment horizontal="right" vertical="center"/>
    </xf>
    <xf numFmtId="167" fontId="0" fillId="0" borderId="0" xfId="28" applyNumberFormat="1" applyFont="1" applyFill="1" applyBorder="1" applyAlignment="1" applyProtection="1">
      <alignment horizontal="left" vertical="center"/>
    </xf>
    <xf numFmtId="0" fontId="0" fillId="48" borderId="0" xfId="0" applyFill="1" applyBorder="1"/>
    <xf numFmtId="0" fontId="10" fillId="0" borderId="29" xfId="0" applyFont="1" applyFill="1" applyBorder="1"/>
    <xf numFmtId="0" fontId="10" fillId="0" borderId="31" xfId="0" applyFont="1" applyFill="1" applyBorder="1"/>
    <xf numFmtId="9" fontId="7" fillId="0" borderId="0" xfId="50" applyFont="1" applyFill="1" applyBorder="1" applyAlignment="1">
      <alignment horizontal="center"/>
    </xf>
    <xf numFmtId="0" fontId="10" fillId="0" borderId="23" xfId="0" applyFont="1" applyFill="1" applyBorder="1"/>
    <xf numFmtId="0" fontId="7" fillId="0" borderId="14" xfId="0" applyFont="1" applyFill="1" applyBorder="1"/>
    <xf numFmtId="0" fontId="10" fillId="0" borderId="32" xfId="0" applyFont="1" applyFill="1" applyBorder="1"/>
    <xf numFmtId="0" fontId="10" fillId="0" borderId="27" xfId="0" applyFont="1" applyFill="1" applyBorder="1"/>
    <xf numFmtId="0" fontId="7" fillId="0" borderId="27" xfId="0" applyFont="1" applyFill="1" applyBorder="1"/>
    <xf numFmtId="0" fontId="10" fillId="0" borderId="33" xfId="0" applyFont="1" applyFill="1" applyBorder="1"/>
    <xf numFmtId="0" fontId="7" fillId="0" borderId="29" xfId="0" applyFont="1" applyFill="1" applyBorder="1"/>
    <xf numFmtId="0" fontId="7" fillId="0" borderId="31" xfId="0" applyFont="1" applyFill="1" applyBorder="1"/>
    <xf numFmtId="169" fontId="7" fillId="0" borderId="0" xfId="0" applyNumberFormat="1" applyFont="1" applyFill="1" applyBorder="1"/>
    <xf numFmtId="0" fontId="7" fillId="0" borderId="27" xfId="0" applyFont="1" applyFill="1" applyBorder="1" applyAlignment="1">
      <alignment horizontal="right"/>
    </xf>
    <xf numFmtId="0" fontId="7" fillId="0" borderId="27" xfId="0" applyFont="1" applyFill="1" applyBorder="1" applyAlignment="1">
      <alignment horizontal="left"/>
    </xf>
    <xf numFmtId="0" fontId="7" fillId="0" borderId="0" xfId="0" applyFont="1" applyFill="1" applyBorder="1" applyAlignment="1">
      <alignment horizontal="left" indent="1"/>
    </xf>
    <xf numFmtId="0" fontId="7" fillId="0" borderId="32" xfId="0" applyFont="1" applyFill="1" applyBorder="1"/>
    <xf numFmtId="0" fontId="7" fillId="0" borderId="33" xfId="0" applyFont="1" applyFill="1" applyBorder="1"/>
    <xf numFmtId="3" fontId="7" fillId="49" borderId="57" xfId="0" applyNumberFormat="1" applyFont="1" applyFill="1" applyBorder="1" applyAlignment="1" applyProtection="1">
      <alignment horizontal="center"/>
      <protection locked="0"/>
    </xf>
    <xf numFmtId="41" fontId="7" fillId="49" borderId="51" xfId="0" applyNumberFormat="1" applyFont="1" applyFill="1" applyBorder="1" applyProtection="1">
      <protection locked="0"/>
    </xf>
    <xf numFmtId="0" fontId="22" fillId="48" borderId="0" xfId="0" applyFont="1" applyFill="1" applyBorder="1"/>
    <xf numFmtId="0" fontId="24" fillId="0" borderId="0" xfId="0" applyFont="1" applyFill="1" applyBorder="1"/>
    <xf numFmtId="0" fontId="8" fillId="0" borderId="66" xfId="0" applyFont="1" applyFill="1" applyBorder="1"/>
    <xf numFmtId="0" fontId="8" fillId="0" borderId="67" xfId="0" applyFont="1" applyFill="1" applyBorder="1"/>
    <xf numFmtId="0" fontId="8" fillId="0" borderId="0" xfId="0" applyFont="1" applyFill="1" applyBorder="1" applyAlignment="1">
      <alignment horizontal="centerContinuous" wrapText="1"/>
    </xf>
    <xf numFmtId="0" fontId="8" fillId="0" borderId="23" xfId="0" applyFont="1" applyFill="1" applyBorder="1" applyAlignment="1">
      <alignment horizontal="right" wrapText="1"/>
    </xf>
    <xf numFmtId="0" fontId="78" fillId="0" borderId="0" xfId="0" applyFont="1" applyFill="1" applyBorder="1"/>
    <xf numFmtId="167" fontId="8" fillId="0" borderId="0" xfId="28" applyNumberFormat="1" applyFont="1" applyFill="1" applyBorder="1" applyAlignment="1">
      <alignment horizontal="center"/>
    </xf>
    <xf numFmtId="0" fontId="72" fillId="0" borderId="0" xfId="0" quotePrefix="1" applyFont="1" applyFill="1" applyBorder="1"/>
    <xf numFmtId="0" fontId="72" fillId="0" borderId="23" xfId="0" applyFont="1" applyFill="1" applyBorder="1"/>
    <xf numFmtId="167" fontId="72" fillId="0" borderId="23" xfId="28" applyNumberFormat="1" applyFont="1" applyFill="1" applyBorder="1"/>
    <xf numFmtId="167" fontId="72" fillId="0" borderId="23" xfId="0" applyNumberFormat="1" applyFont="1" applyFill="1" applyBorder="1"/>
    <xf numFmtId="9" fontId="7" fillId="0" borderId="23" xfId="50" applyFont="1" applyFill="1" applyBorder="1" applyAlignment="1">
      <alignment horizontal="right"/>
    </xf>
    <xf numFmtId="167" fontId="72" fillId="0" borderId="0" xfId="0" applyNumberFormat="1" applyFont="1" applyFill="1" applyBorder="1"/>
    <xf numFmtId="0" fontId="72" fillId="0" borderId="63" xfId="0" applyFont="1" applyFill="1" applyBorder="1"/>
    <xf numFmtId="168" fontId="78" fillId="0" borderId="0" xfId="50" applyNumberFormat="1" applyFont="1" applyFill="1" applyBorder="1"/>
    <xf numFmtId="0" fontId="78" fillId="0" borderId="66" xfId="0" applyFont="1" applyFill="1" applyBorder="1"/>
    <xf numFmtId="0" fontId="7" fillId="0" borderId="0" xfId="0" applyFont="1" applyFill="1" applyBorder="1" applyAlignment="1">
      <alignment horizontal="center"/>
    </xf>
    <xf numFmtId="9" fontId="8" fillId="0" borderId="0" xfId="50" applyFont="1" applyFill="1" applyBorder="1" applyAlignment="1">
      <alignment horizontal="center"/>
    </xf>
    <xf numFmtId="0" fontId="8" fillId="0" borderId="68" xfId="0" applyFont="1" applyFill="1" applyBorder="1"/>
    <xf numFmtId="0" fontId="8" fillId="0" borderId="69" xfId="0" applyFont="1" applyFill="1" applyBorder="1"/>
    <xf numFmtId="0" fontId="8" fillId="0" borderId="70" xfId="0" applyFont="1" applyFill="1" applyBorder="1"/>
    <xf numFmtId="0" fontId="8" fillId="0" borderId="29" xfId="0" applyFont="1" applyFill="1" applyBorder="1"/>
    <xf numFmtId="0" fontId="8" fillId="0" borderId="31" xfId="0" applyFont="1" applyFill="1" applyBorder="1"/>
    <xf numFmtId="0" fontId="8" fillId="0" borderId="29" xfId="0" applyFont="1" applyFill="1" applyBorder="1" applyAlignment="1">
      <alignment wrapText="1"/>
    </xf>
    <xf numFmtId="0" fontId="7" fillId="0" borderId="0" xfId="0" applyFont="1" applyFill="1" applyAlignment="1">
      <alignment wrapText="1"/>
    </xf>
    <xf numFmtId="0" fontId="8" fillId="0" borderId="0" xfId="0" applyFont="1" applyFill="1" applyBorder="1" applyAlignment="1">
      <alignment wrapText="1"/>
    </xf>
    <xf numFmtId="167" fontId="8" fillId="0" borderId="23" xfId="28" applyNumberFormat="1" applyFont="1" applyFill="1" applyBorder="1" applyAlignment="1">
      <alignment horizontal="right" wrapText="1"/>
    </xf>
    <xf numFmtId="0" fontId="8" fillId="0" borderId="0" xfId="0" applyFont="1" applyFill="1" applyBorder="1" applyAlignment="1">
      <alignment horizontal="right" wrapText="1"/>
    </xf>
    <xf numFmtId="167" fontId="8" fillId="0" borderId="0" xfId="28" applyNumberFormat="1" applyFont="1" applyFill="1" applyBorder="1" applyAlignment="1">
      <alignment horizontal="right" wrapText="1"/>
    </xf>
    <xf numFmtId="0" fontId="8" fillId="0" borderId="31" xfId="0" applyFont="1" applyFill="1" applyBorder="1" applyAlignment="1">
      <alignment wrapText="1"/>
    </xf>
    <xf numFmtId="0" fontId="72" fillId="0" borderId="29" xfId="0" applyFont="1" applyFill="1" applyBorder="1"/>
    <xf numFmtId="9" fontId="72" fillId="0" borderId="0" xfId="50" applyFont="1" applyFill="1" applyBorder="1"/>
    <xf numFmtId="9" fontId="72" fillId="0" borderId="23" xfId="50" applyFont="1" applyFill="1" applyBorder="1"/>
    <xf numFmtId="0" fontId="78" fillId="0" borderId="29" xfId="0" applyFont="1" applyFill="1" applyBorder="1"/>
    <xf numFmtId="9" fontId="8" fillId="0" borderId="0" xfId="50" applyFont="1" applyFill="1" applyBorder="1"/>
    <xf numFmtId="0" fontId="8" fillId="0" borderId="32" xfId="0" applyFont="1" applyFill="1" applyBorder="1"/>
    <xf numFmtId="0" fontId="8" fillId="0" borderId="27" xfId="0" applyFont="1" applyFill="1" applyBorder="1"/>
    <xf numFmtId="167" fontId="8" fillId="0" borderId="27" xfId="28" applyNumberFormat="1" applyFont="1" applyFill="1" applyBorder="1"/>
    <xf numFmtId="0" fontId="8" fillId="0" borderId="33" xfId="0" applyFont="1" applyFill="1" applyBorder="1"/>
    <xf numFmtId="167" fontId="7" fillId="0" borderId="23" xfId="28" applyNumberFormat="1" applyFont="1" applyFill="1" applyBorder="1"/>
    <xf numFmtId="0" fontId="7" fillId="0" borderId="23" xfId="0" applyFont="1" applyFill="1" applyBorder="1"/>
    <xf numFmtId="165" fontId="8" fillId="0" borderId="27" xfId="31" applyFont="1" applyFill="1" applyBorder="1"/>
    <xf numFmtId="0" fontId="8" fillId="0" borderId="84" xfId="0" applyFont="1" applyBorder="1" applyAlignment="1" applyProtection="1">
      <alignment vertical="center"/>
    </xf>
    <xf numFmtId="0" fontId="8" fillId="0" borderId="0" xfId="0" applyFont="1" applyBorder="1" applyAlignment="1" applyProtection="1">
      <alignment vertical="center"/>
    </xf>
    <xf numFmtId="170" fontId="7" fillId="0" borderId="0" xfId="28" applyNumberFormat="1" applyFont="1" applyFill="1"/>
    <xf numFmtId="167" fontId="0" fillId="0" borderId="0" xfId="28" applyNumberFormat="1" applyFont="1" applyBorder="1" applyAlignment="1"/>
    <xf numFmtId="167" fontId="8" fillId="0" borderId="23" xfId="28" applyNumberFormat="1" applyFont="1" applyFill="1" applyBorder="1" applyAlignment="1">
      <alignment horizontal="right"/>
    </xf>
    <xf numFmtId="43" fontId="7" fillId="0" borderId="0" xfId="28" applyNumberFormat="1" applyFont="1" applyFill="1"/>
    <xf numFmtId="168" fontId="7" fillId="55" borderId="0" xfId="50" applyNumberFormat="1" applyFont="1" applyFill="1" applyAlignment="1">
      <alignment horizontal="left"/>
    </xf>
    <xf numFmtId="0" fontId="7" fillId="0" borderId="0" xfId="55" applyFill="1" applyBorder="1"/>
    <xf numFmtId="168" fontId="7" fillId="0" borderId="0" xfId="50" applyNumberFormat="1" applyFont="1" applyBorder="1"/>
    <xf numFmtId="189" fontId="0" fillId="0" borderId="0" xfId="50" applyNumberFormat="1" applyFont="1"/>
    <xf numFmtId="170" fontId="7" fillId="0" borderId="0" xfId="28" applyNumberFormat="1" applyFont="1" applyBorder="1"/>
    <xf numFmtId="167" fontId="0" fillId="0" borderId="0" xfId="28" applyNumberFormat="1" applyFont="1" applyBorder="1" applyAlignment="1" applyProtection="1">
      <alignment horizontal="right" vertical="center"/>
    </xf>
    <xf numFmtId="43" fontId="17" fillId="19" borderId="13" xfId="28" applyNumberFormat="1" applyFont="1" applyFill="1" applyBorder="1"/>
    <xf numFmtId="0" fontId="0" fillId="49" borderId="0" xfId="0" applyFill="1"/>
    <xf numFmtId="43" fontId="0" fillId="0" borderId="0" xfId="28" applyNumberFormat="1" applyFont="1" applyFill="1"/>
    <xf numFmtId="167" fontId="0" fillId="49" borderId="0" xfId="28" applyNumberFormat="1" applyFont="1" applyFill="1"/>
    <xf numFmtId="3" fontId="0" fillId="49" borderId="18" xfId="0" applyNumberFormat="1" applyFill="1" applyBorder="1"/>
    <xf numFmtId="0" fontId="7" fillId="52" borderId="0" xfId="0" applyFont="1" applyFill="1"/>
    <xf numFmtId="167" fontId="7" fillId="0" borderId="0" xfId="28" applyNumberFormat="1" applyFont="1" applyFill="1"/>
    <xf numFmtId="175" fontId="7" fillId="88" borderId="91" xfId="644" applyFill="1" applyBorder="1" applyAlignment="1">
      <alignment horizontal="center"/>
    </xf>
    <xf numFmtId="43" fontId="7" fillId="88" borderId="91" xfId="28" applyFont="1" applyFill="1" applyBorder="1"/>
    <xf numFmtId="0" fontId="0" fillId="53" borderId="91" xfId="0" applyFill="1" applyBorder="1" applyAlignment="1"/>
    <xf numFmtId="0" fontId="0" fillId="48" borderId="91" xfId="0" applyFill="1" applyBorder="1" applyAlignment="1"/>
    <xf numFmtId="167" fontId="0" fillId="53" borderId="91" xfId="28" applyNumberFormat="1" applyFont="1" applyFill="1" applyBorder="1" applyAlignment="1"/>
    <xf numFmtId="167" fontId="0" fillId="48" borderId="91" xfId="28" applyNumberFormat="1" applyFont="1" applyFill="1" applyBorder="1" applyAlignment="1"/>
    <xf numFmtId="168" fontId="0" fillId="53" borderId="91" xfId="50" applyNumberFormat="1" applyFont="1" applyFill="1" applyBorder="1" applyAlignment="1"/>
    <xf numFmtId="168" fontId="0" fillId="48" borderId="91" xfId="50" applyNumberFormat="1" applyFont="1" applyFill="1" applyBorder="1" applyAlignment="1"/>
    <xf numFmtId="167" fontId="7" fillId="26" borderId="0" xfId="28" applyNumberFormat="1" applyFont="1" applyFill="1"/>
    <xf numFmtId="0" fontId="15" fillId="0" borderId="0" xfId="0" applyFont="1" applyFill="1" applyBorder="1" applyAlignment="1" applyProtection="1">
      <alignment vertical="center"/>
    </xf>
    <xf numFmtId="43" fontId="0" fillId="31" borderId="0" xfId="28" applyNumberFormat="1" applyFont="1" applyFill="1"/>
    <xf numFmtId="172" fontId="0" fillId="0" borderId="0" xfId="0" applyNumberFormat="1"/>
    <xf numFmtId="172" fontId="0" fillId="31" borderId="0" xfId="28" applyNumberFormat="1" applyFont="1" applyFill="1"/>
    <xf numFmtId="172" fontId="0" fillId="0" borderId="0" xfId="28" applyNumberFormat="1" applyFont="1" applyFill="1"/>
    <xf numFmtId="0" fontId="7" fillId="0" borderId="29" xfId="0" applyFont="1" applyBorder="1"/>
    <xf numFmtId="171" fontId="0" fillId="0" borderId="0" xfId="29" applyNumberFormat="1" applyFont="1"/>
    <xf numFmtId="171" fontId="0" fillId="0" borderId="0" xfId="29" applyNumberFormat="1" applyFont="1" applyFill="1"/>
    <xf numFmtId="171" fontId="0" fillId="37" borderId="0" xfId="29" applyNumberFormat="1" applyFont="1" applyFill="1"/>
    <xf numFmtId="43" fontId="0" fillId="37" borderId="0" xfId="28" applyFont="1" applyFill="1"/>
    <xf numFmtId="167" fontId="60" fillId="0" borderId="0" xfId="28" applyNumberFormat="1" applyFont="1" applyBorder="1" applyAlignment="1">
      <alignment horizontal="center"/>
    </xf>
    <xf numFmtId="0" fontId="8" fillId="0" borderId="0" xfId="0" quotePrefix="1" applyFont="1"/>
    <xf numFmtId="168" fontId="7" fillId="0" borderId="0" xfId="50" applyNumberFormat="1" applyFont="1" applyFill="1" applyBorder="1" applyAlignment="1">
      <alignment horizontal="right"/>
    </xf>
    <xf numFmtId="168" fontId="7" fillId="0" borderId="23" xfId="50" applyNumberFormat="1" applyFont="1" applyFill="1" applyBorder="1" applyAlignment="1">
      <alignment horizontal="right"/>
    </xf>
    <xf numFmtId="9" fontId="7" fillId="0" borderId="0" xfId="0" applyNumberFormat="1" applyFont="1" applyFill="1" applyBorder="1" applyAlignment="1" applyProtection="1">
      <alignment vertical="center"/>
    </xf>
    <xf numFmtId="9" fontId="0" fillId="89" borderId="56" xfId="0" applyNumberFormat="1" applyFill="1" applyBorder="1" applyAlignment="1" applyProtection="1">
      <alignment horizontal="center" vertical="center"/>
    </xf>
    <xf numFmtId="187" fontId="0" fillId="0" borderId="0" xfId="28" applyNumberFormat="1" applyFont="1"/>
    <xf numFmtId="10" fontId="0" fillId="0" borderId="0" xfId="50" applyNumberFormat="1" applyFont="1"/>
    <xf numFmtId="189" fontId="9" fillId="0" borderId="0" xfId="50" applyNumberFormat="1" applyFont="1"/>
    <xf numFmtId="167" fontId="9" fillId="0" borderId="0" xfId="0" applyNumberFormat="1" applyFont="1"/>
    <xf numFmtId="0" fontId="8" fillId="0" borderId="23" xfId="0" applyFont="1" applyFill="1" applyBorder="1" applyAlignment="1" applyProtection="1">
      <alignment vertical="center"/>
    </xf>
    <xf numFmtId="0" fontId="8" fillId="0" borderId="23" xfId="0" applyFont="1" applyFill="1" applyBorder="1" applyAlignment="1" applyProtection="1">
      <alignment horizontal="right" vertical="center"/>
    </xf>
    <xf numFmtId="0" fontId="0" fillId="0" borderId="23" xfId="0" applyFill="1" applyBorder="1" applyAlignment="1" applyProtection="1">
      <alignment vertical="center"/>
    </xf>
    <xf numFmtId="168" fontId="0" fillId="0" borderId="31" xfId="0" applyNumberFormat="1" applyBorder="1"/>
    <xf numFmtId="0" fontId="0" fillId="0" borderId="0" xfId="0" applyAlignment="1">
      <alignment wrapText="1"/>
    </xf>
    <xf numFmtId="0" fontId="93" fillId="90" borderId="93" xfId="0" applyFont="1" applyFill="1" applyBorder="1" applyAlignment="1">
      <alignment horizontal="centerContinuous"/>
    </xf>
    <xf numFmtId="0" fontId="93" fillId="90" borderId="84" xfId="0" applyFont="1" applyFill="1" applyBorder="1" applyAlignment="1">
      <alignment horizontal="centerContinuous"/>
    </xf>
    <xf numFmtId="14" fontId="0" fillId="0" borderId="0" xfId="0" applyNumberFormat="1" applyBorder="1" applyAlignment="1">
      <alignment wrapText="1"/>
    </xf>
    <xf numFmtId="0" fontId="7" fillId="0" borderId="0" xfId="0" applyFont="1" applyBorder="1" applyAlignment="1">
      <alignment wrapText="1"/>
    </xf>
    <xf numFmtId="0" fontId="0" fillId="0" borderId="0" xfId="0" applyBorder="1" applyAlignment="1">
      <alignment wrapText="1"/>
    </xf>
    <xf numFmtId="187" fontId="7" fillId="0" borderId="0" xfId="28" applyNumberFormat="1" applyFont="1" applyBorder="1" applyAlignment="1">
      <alignment horizontal="center" vertical="center" wrapText="1"/>
    </xf>
    <xf numFmtId="187" fontId="7" fillId="0" borderId="0" xfId="28" applyNumberFormat="1" applyFont="1" applyFill="1" applyBorder="1" applyAlignment="1">
      <alignment horizontal="center" vertical="center" wrapText="1"/>
    </xf>
    <xf numFmtId="0" fontId="7" fillId="0" borderId="0" xfId="0" applyFont="1" applyAlignment="1">
      <alignment horizontal="center" wrapText="1"/>
    </xf>
    <xf numFmtId="0" fontId="80" fillId="59" borderId="83" xfId="0" applyFont="1" applyFill="1" applyBorder="1"/>
    <xf numFmtId="0" fontId="80" fillId="59" borderId="82" xfId="0" applyFont="1" applyFill="1" applyBorder="1"/>
    <xf numFmtId="0" fontId="0" fillId="0" borderId="84" xfId="0" applyBorder="1" applyAlignment="1">
      <alignment wrapText="1"/>
    </xf>
    <xf numFmtId="14" fontId="0" fillId="0" borderId="84" xfId="0" applyNumberFormat="1" applyBorder="1" applyAlignment="1">
      <alignment wrapText="1"/>
    </xf>
    <xf numFmtId="0" fontId="7" fillId="0" borderId="84" xfId="0" applyFont="1" applyBorder="1" applyAlignment="1">
      <alignment wrapText="1"/>
    </xf>
    <xf numFmtId="187" fontId="7" fillId="0" borderId="84" xfId="28" applyNumberFormat="1" applyFont="1" applyBorder="1" applyAlignment="1">
      <alignment horizontal="center" vertical="center" wrapText="1"/>
    </xf>
    <xf numFmtId="10" fontId="0" fillId="0" borderId="41" xfId="50" applyNumberFormat="1" applyFont="1" applyBorder="1"/>
    <xf numFmtId="168" fontId="0" fillId="32" borderId="0" xfId="50" applyNumberFormat="1" applyFont="1" applyFill="1" applyBorder="1"/>
    <xf numFmtId="168" fontId="0" fillId="32" borderId="31" xfId="50" applyNumberFormat="1" applyFont="1" applyFill="1" applyBorder="1"/>
    <xf numFmtId="168" fontId="0" fillId="0" borderId="27" xfId="50" applyNumberFormat="1" applyFont="1" applyBorder="1"/>
    <xf numFmtId="168" fontId="0" fillId="0" borderId="33" xfId="50" applyNumberFormat="1" applyFont="1" applyBorder="1"/>
    <xf numFmtId="0" fontId="0" fillId="53" borderId="96" xfId="0" applyFill="1" applyBorder="1" applyAlignment="1"/>
    <xf numFmtId="0" fontId="0" fillId="53" borderId="17" xfId="0" applyFill="1" applyBorder="1" applyAlignment="1"/>
    <xf numFmtId="0" fontId="0" fillId="53" borderId="97" xfId="0" applyFill="1" applyBorder="1" applyAlignment="1"/>
    <xf numFmtId="0" fontId="0" fillId="48" borderId="96" xfId="0" applyFill="1" applyBorder="1" applyAlignment="1"/>
    <xf numFmtId="0" fontId="0" fillId="48" borderId="17" xfId="0" applyFill="1" applyBorder="1" applyAlignment="1"/>
    <xf numFmtId="0" fontId="0" fillId="48" borderId="97" xfId="0" applyFill="1" applyBorder="1" applyAlignment="1"/>
    <xf numFmtId="167" fontId="0" fillId="53" borderId="96" xfId="28" applyNumberFormat="1" applyFont="1" applyFill="1" applyBorder="1" applyAlignment="1"/>
    <xf numFmtId="167" fontId="0" fillId="53" borderId="17" xfId="28" applyNumberFormat="1" applyFont="1" applyFill="1" applyBorder="1" applyAlignment="1"/>
    <xf numFmtId="167" fontId="0" fillId="53" borderId="97" xfId="28" applyNumberFormat="1" applyFont="1" applyFill="1" applyBorder="1" applyAlignment="1"/>
    <xf numFmtId="167" fontId="0" fillId="48" borderId="96" xfId="28" applyNumberFormat="1" applyFont="1" applyFill="1" applyBorder="1" applyAlignment="1"/>
    <xf numFmtId="167" fontId="0" fillId="48" borderId="17" xfId="28" applyNumberFormat="1" applyFont="1" applyFill="1" applyBorder="1" applyAlignment="1"/>
    <xf numFmtId="167" fontId="0" fillId="48" borderId="97" xfId="28" applyNumberFormat="1" applyFont="1" applyFill="1" applyBorder="1" applyAlignment="1"/>
    <xf numFmtId="3" fontId="7" fillId="49" borderId="56" xfId="0" applyNumberFormat="1" applyFont="1" applyFill="1" applyBorder="1" applyAlignment="1" applyProtection="1">
      <alignment horizontal="center" vertical="center"/>
      <protection locked="0"/>
    </xf>
    <xf numFmtId="0" fontId="8" fillId="0" borderId="41" xfId="0" applyFont="1" applyBorder="1"/>
    <xf numFmtId="0" fontId="8" fillId="0" borderId="42" xfId="0" applyFont="1" applyBorder="1"/>
    <xf numFmtId="167" fontId="0" fillId="0" borderId="41" xfId="28" applyNumberFormat="1" applyFont="1" applyBorder="1"/>
    <xf numFmtId="167" fontId="0" fillId="0" borderId="42" xfId="28" applyNumberFormat="1" applyFont="1" applyBorder="1"/>
    <xf numFmtId="167" fontId="0" fillId="0" borderId="31" xfId="28" applyNumberFormat="1" applyFont="1" applyBorder="1"/>
    <xf numFmtId="167" fontId="0" fillId="0" borderId="27" xfId="28" applyNumberFormat="1" applyFont="1" applyBorder="1"/>
    <xf numFmtId="167" fontId="0" fillId="0" borderId="33" xfId="28" applyNumberFormat="1" applyFont="1" applyBorder="1"/>
    <xf numFmtId="167" fontId="7" fillId="0" borderId="31" xfId="28" applyNumberFormat="1" applyFont="1" applyBorder="1"/>
    <xf numFmtId="167" fontId="7" fillId="0" borderId="11" xfId="28" applyNumberFormat="1" applyFont="1" applyBorder="1"/>
    <xf numFmtId="167" fontId="7" fillId="0" borderId="41" xfId="28" applyNumberFormat="1" applyFont="1" applyBorder="1"/>
    <xf numFmtId="167" fontId="7" fillId="0" borderId="42" xfId="28" applyNumberFormat="1" applyFont="1" applyBorder="1"/>
    <xf numFmtId="167" fontId="7" fillId="0" borderId="32" xfId="28" applyNumberFormat="1" applyFont="1" applyBorder="1"/>
    <xf numFmtId="167" fontId="7" fillId="0" borderId="27" xfId="28" applyNumberFormat="1" applyFont="1" applyBorder="1"/>
    <xf numFmtId="167" fontId="7" fillId="0" borderId="33" xfId="28" applyNumberFormat="1" applyFont="1" applyBorder="1"/>
    <xf numFmtId="168" fontId="0" fillId="0" borderId="91" xfId="50" applyNumberFormat="1" applyFont="1" applyBorder="1"/>
    <xf numFmtId="9" fontId="0" fillId="0" borderId="0" xfId="50" applyFont="1" applyFill="1" applyBorder="1" applyAlignment="1" applyProtection="1">
      <alignment horizontal="right" vertical="center"/>
    </xf>
    <xf numFmtId="9" fontId="0" fillId="0" borderId="0" xfId="50" applyNumberFormat="1" applyFont="1" applyFill="1" applyBorder="1" applyAlignment="1" applyProtection="1">
      <alignment horizontal="right" vertical="center"/>
    </xf>
    <xf numFmtId="41" fontId="0" fillId="49" borderId="0" xfId="29" applyFont="1" applyFill="1"/>
    <xf numFmtId="0" fontId="7" fillId="0" borderId="91" xfId="0" applyFont="1" applyBorder="1" applyAlignment="1">
      <alignment horizontal="right"/>
    </xf>
    <xf numFmtId="168" fontId="0" fillId="0" borderId="91" xfId="50" applyNumberFormat="1" applyFont="1" applyBorder="1" applyAlignment="1">
      <alignment horizontal="right"/>
    </xf>
    <xf numFmtId="9" fontId="0" fillId="0" borderId="91" xfId="0" applyNumberFormat="1" applyBorder="1" applyAlignment="1">
      <alignment horizontal="right"/>
    </xf>
    <xf numFmtId="167" fontId="0" fillId="49" borderId="74" xfId="28" applyNumberFormat="1" applyFont="1" applyFill="1" applyBorder="1" applyAlignment="1"/>
    <xf numFmtId="167" fontId="0" fillId="0" borderId="91" xfId="28" applyNumberFormat="1" applyFont="1" applyFill="1" applyBorder="1" applyAlignment="1"/>
    <xf numFmtId="167" fontId="0" fillId="0" borderId="75" xfId="28" applyNumberFormat="1" applyFont="1" applyFill="1" applyBorder="1" applyAlignment="1"/>
    <xf numFmtId="0" fontId="7" fillId="26" borderId="0" xfId="0" applyFont="1" applyFill="1"/>
    <xf numFmtId="0" fontId="8" fillId="0" borderId="23" xfId="0" applyFont="1" applyFill="1" applyBorder="1" applyAlignment="1">
      <alignment horizontal="left"/>
    </xf>
    <xf numFmtId="0" fontId="7" fillId="0" borderId="0" xfId="0" applyFont="1" applyFill="1" applyBorder="1" applyAlignment="1">
      <alignment horizontal="left"/>
    </xf>
    <xf numFmtId="0" fontId="74" fillId="0" borderId="0" xfId="0" applyFont="1" applyFill="1" applyBorder="1" applyAlignment="1" applyProtection="1">
      <alignment vertical="center"/>
    </xf>
    <xf numFmtId="0" fontId="7" fillId="50" borderId="0" xfId="0" applyFont="1" applyFill="1"/>
    <xf numFmtId="0" fontId="0" fillId="50" borderId="0" xfId="0" applyFill="1"/>
    <xf numFmtId="0" fontId="94" fillId="0" borderId="0" xfId="0" applyFont="1" applyFill="1" applyBorder="1" applyAlignment="1" applyProtection="1">
      <alignment vertical="center"/>
    </xf>
    <xf numFmtId="14" fontId="0" fillId="0" borderId="0" xfId="0" applyNumberFormat="1"/>
    <xf numFmtId="167" fontId="7" fillId="30" borderId="0" xfId="28" applyNumberFormat="1" applyFill="1"/>
    <xf numFmtId="167" fontId="7" fillId="51" borderId="0" xfId="28" applyNumberFormat="1" applyFill="1"/>
    <xf numFmtId="192" fontId="0" fillId="31" borderId="0" xfId="50" applyNumberFormat="1" applyFont="1" applyFill="1"/>
    <xf numFmtId="0" fontId="0" fillId="91" borderId="31" xfId="0" applyFill="1" applyBorder="1" applyAlignment="1">
      <alignment vertical="center"/>
    </xf>
    <xf numFmtId="10" fontId="0" fillId="0" borderId="91" xfId="50" applyNumberFormat="1" applyFont="1" applyBorder="1" applyAlignment="1">
      <alignment horizontal="right"/>
    </xf>
    <xf numFmtId="10" fontId="0" fillId="0" borderId="91" xfId="0" applyNumberFormat="1" applyBorder="1" applyAlignment="1">
      <alignment horizontal="right"/>
    </xf>
    <xf numFmtId="0" fontId="7" fillId="0" borderId="0" xfId="804" applyFont="1"/>
    <xf numFmtId="167" fontId="7" fillId="0" borderId="0" xfId="0" applyNumberFormat="1" applyFont="1" applyFill="1" applyBorder="1" applyAlignment="1" applyProtection="1">
      <alignment vertical="center"/>
    </xf>
    <xf numFmtId="0" fontId="7" fillId="0" borderId="0" xfId="0" applyFont="1" applyAlignment="1">
      <alignment wrapText="1"/>
    </xf>
    <xf numFmtId="0" fontId="93" fillId="90" borderId="94" xfId="0" applyFont="1" applyFill="1" applyBorder="1" applyAlignment="1">
      <alignment horizontal="centerContinuous" wrapText="1"/>
    </xf>
    <xf numFmtId="0" fontId="80" fillId="59" borderId="95" xfId="0" applyFont="1" applyFill="1" applyBorder="1" applyAlignment="1">
      <alignment wrapText="1"/>
    </xf>
    <xf numFmtId="0" fontId="0" fillId="0" borderId="0" xfId="0" applyFill="1" applyBorder="1" applyAlignment="1">
      <alignment wrapText="1"/>
    </xf>
    <xf numFmtId="167" fontId="7" fillId="50" borderId="0" xfId="28" applyNumberFormat="1" applyFill="1"/>
    <xf numFmtId="168" fontId="7" fillId="50" borderId="0" xfId="50" applyNumberFormat="1" applyFill="1"/>
    <xf numFmtId="168" fontId="0" fillId="50" borderId="0" xfId="50" applyNumberFormat="1" applyFont="1" applyFill="1"/>
    <xf numFmtId="0" fontId="7" fillId="0" borderId="0" xfId="0" quotePrefix="1" applyFont="1" applyAlignment="1">
      <alignment wrapText="1"/>
    </xf>
    <xf numFmtId="0" fontId="7" fillId="0" borderId="0" xfId="804" applyFont="1" applyFill="1" applyBorder="1"/>
    <xf numFmtId="43" fontId="7" fillId="0" borderId="0" xfId="28" applyFont="1" applyFill="1" applyBorder="1"/>
    <xf numFmtId="167" fontId="7" fillId="0" borderId="0" xfId="28" applyNumberFormat="1" applyFont="1" applyFill="1" applyBorder="1" applyAlignment="1" applyProtection="1">
      <alignment vertical="center"/>
    </xf>
    <xf numFmtId="0" fontId="7" fillId="0" borderId="0" xfId="804" applyFont="1" applyFill="1" applyBorder="1"/>
    <xf numFmtId="0" fontId="11" fillId="0" borderId="0" xfId="804" applyFont="1" applyFill="1" applyBorder="1"/>
    <xf numFmtId="9" fontId="7" fillId="0" borderId="0" xfId="50" applyFont="1"/>
    <xf numFmtId="0" fontId="7" fillId="0" borderId="0" xfId="0" quotePrefix="1" applyFont="1" applyFill="1" applyBorder="1" applyAlignment="1">
      <alignment horizontal="center"/>
    </xf>
    <xf numFmtId="0" fontId="0" fillId="0" borderId="0" xfId="0" applyNumberFormat="1" applyBorder="1"/>
    <xf numFmtId="167" fontId="0" fillId="0" borderId="0" xfId="28" applyNumberFormat="1" applyFont="1" applyAlignment="1">
      <alignment wrapText="1"/>
    </xf>
    <xf numFmtId="167" fontId="0" fillId="0" borderId="0" xfId="0" applyNumberFormat="1" applyAlignment="1">
      <alignment wrapText="1"/>
    </xf>
    <xf numFmtId="2" fontId="0" fillId="0" borderId="0" xfId="0" applyNumberFormat="1" applyAlignment="1">
      <alignment wrapText="1"/>
    </xf>
    <xf numFmtId="170" fontId="0" fillId="0" borderId="0" xfId="28" applyNumberFormat="1" applyFont="1"/>
    <xf numFmtId="171" fontId="0" fillId="0" borderId="0" xfId="0" applyNumberFormat="1"/>
    <xf numFmtId="0" fontId="0" fillId="92" borderId="0" xfId="0" applyFill="1"/>
    <xf numFmtId="0" fontId="21" fillId="92" borderId="0" xfId="0" applyFont="1" applyFill="1" applyBorder="1"/>
    <xf numFmtId="0" fontId="0" fillId="92" borderId="0" xfId="0" applyFill="1" applyBorder="1"/>
    <xf numFmtId="0" fontId="22" fillId="92" borderId="0" xfId="0" applyFont="1" applyFill="1" applyBorder="1"/>
    <xf numFmtId="0" fontId="24" fillId="92" borderId="0" xfId="0" applyFont="1" applyFill="1"/>
    <xf numFmtId="0" fontId="24" fillId="92" borderId="0" xfId="0" applyFont="1" applyFill="1" applyBorder="1"/>
    <xf numFmtId="0" fontId="13" fillId="92" borderId="0" xfId="0" applyFont="1" applyFill="1" applyBorder="1"/>
    <xf numFmtId="0" fontId="82" fillId="92" borderId="0" xfId="0" applyFont="1" applyFill="1" applyBorder="1"/>
    <xf numFmtId="0" fontId="74" fillId="92" borderId="0" xfId="0" applyFont="1" applyFill="1" applyBorder="1"/>
    <xf numFmtId="0" fontId="84" fillId="92" borderId="0" xfId="0" applyFont="1" applyFill="1" applyBorder="1" applyAlignment="1">
      <alignment horizontal="center" vertical="center"/>
    </xf>
    <xf numFmtId="0" fontId="74" fillId="92" borderId="0" xfId="0" applyFont="1" applyFill="1" applyBorder="1" applyAlignment="1">
      <alignment horizontal="centerContinuous" vertical="center"/>
    </xf>
    <xf numFmtId="0" fontId="68" fillId="92" borderId="0" xfId="0" applyFont="1" applyFill="1" applyBorder="1"/>
    <xf numFmtId="167" fontId="8" fillId="92" borderId="0" xfId="28" applyNumberFormat="1" applyFont="1" applyFill="1" applyBorder="1"/>
    <xf numFmtId="167" fontId="7" fillId="92" borderId="0" xfId="28" applyNumberFormat="1" applyFont="1" applyFill="1" applyBorder="1"/>
    <xf numFmtId="0" fontId="76" fillId="59" borderId="11" xfId="0" applyFont="1" applyFill="1" applyBorder="1" applyAlignment="1"/>
    <xf numFmtId="0" fontId="76" fillId="59" borderId="41" xfId="0" applyFont="1" applyFill="1" applyBorder="1" applyAlignment="1"/>
    <xf numFmtId="0" fontId="76" fillId="59" borderId="42" xfId="0" applyFont="1" applyFill="1" applyBorder="1" applyAlignment="1">
      <alignment horizontal="right"/>
    </xf>
    <xf numFmtId="0" fontId="0" fillId="92" borderId="0" xfId="0" applyFill="1" applyAlignment="1">
      <alignment vertical="center"/>
    </xf>
    <xf numFmtId="0" fontId="0" fillId="92" borderId="0" xfId="0" applyFill="1" applyAlignment="1">
      <alignment wrapText="1"/>
    </xf>
    <xf numFmtId="167" fontId="0" fillId="92" borderId="0" xfId="28" applyNumberFormat="1" applyFont="1" applyFill="1"/>
    <xf numFmtId="0" fontId="7" fillId="92" borderId="0" xfId="0" applyFont="1" applyFill="1"/>
    <xf numFmtId="167" fontId="72" fillId="92" borderId="0" xfId="28" applyNumberFormat="1" applyFont="1" applyFill="1" applyBorder="1"/>
    <xf numFmtId="0" fontId="8" fillId="92" borderId="0" xfId="0" applyFont="1" applyFill="1" applyBorder="1" applyAlignment="1">
      <alignment horizontal="center"/>
    </xf>
    <xf numFmtId="167" fontId="78" fillId="92" borderId="0" xfId="28" applyNumberFormat="1" applyFont="1" applyFill="1" applyBorder="1"/>
    <xf numFmtId="0" fontId="10" fillId="92" borderId="0" xfId="0" applyFont="1" applyFill="1" applyBorder="1"/>
    <xf numFmtId="0" fontId="10" fillId="92" borderId="0" xfId="0" applyFont="1" applyFill="1" applyBorder="1" applyAlignment="1">
      <alignment horizontal="center"/>
    </xf>
    <xf numFmtId="165" fontId="10" fillId="92" borderId="0" xfId="31" applyFont="1" applyFill="1" applyBorder="1"/>
    <xf numFmtId="167" fontId="0" fillId="92" borderId="0" xfId="28" applyNumberFormat="1" applyFont="1" applyFill="1" applyBorder="1"/>
    <xf numFmtId="0" fontId="59" fillId="92" borderId="0" xfId="47" applyFont="1" applyFill="1" applyBorder="1"/>
    <xf numFmtId="167" fontId="59" fillId="92" borderId="0" xfId="28" applyNumberFormat="1" applyFont="1" applyFill="1" applyBorder="1"/>
    <xf numFmtId="41" fontId="61" fillId="92" borderId="0" xfId="29" applyFont="1" applyFill="1" applyBorder="1" applyAlignment="1">
      <alignment horizontal="center"/>
    </xf>
    <xf numFmtId="3" fontId="61" fillId="92" borderId="0" xfId="29" applyNumberFormat="1" applyFont="1" applyFill="1" applyBorder="1" applyAlignment="1">
      <alignment horizontal="center"/>
    </xf>
    <xf numFmtId="41" fontId="59" fillId="92" borderId="0" xfId="29" applyFont="1" applyFill="1" applyBorder="1" applyAlignment="1">
      <alignment horizontal="center"/>
    </xf>
    <xf numFmtId="3" fontId="59" fillId="92" borderId="0" xfId="29" applyNumberFormat="1" applyFont="1" applyFill="1" applyBorder="1" applyAlignment="1">
      <alignment horizontal="center"/>
    </xf>
    <xf numFmtId="0" fontId="61" fillId="92" borderId="0" xfId="47" applyFont="1" applyFill="1" applyBorder="1"/>
    <xf numFmtId="41" fontId="59" fillId="92" borderId="0" xfId="29" applyFont="1" applyFill="1" applyBorder="1"/>
    <xf numFmtId="3" fontId="59" fillId="92" borderId="0" xfId="29" applyNumberFormat="1" applyFont="1" applyFill="1" applyBorder="1"/>
    <xf numFmtId="41" fontId="62" fillId="92" borderId="0" xfId="29" applyFont="1" applyFill="1" applyBorder="1"/>
    <xf numFmtId="167" fontId="76" fillId="59" borderId="41" xfId="28" applyNumberFormat="1" applyFont="1" applyFill="1" applyBorder="1" applyAlignment="1"/>
    <xf numFmtId="167" fontId="7" fillId="92" borderId="0" xfId="28" applyNumberFormat="1" applyFont="1" applyFill="1"/>
    <xf numFmtId="43" fontId="7" fillId="92" borderId="0" xfId="28" applyFont="1" applyFill="1"/>
    <xf numFmtId="43" fontId="72" fillId="92" borderId="0" xfId="28" applyFont="1" applyFill="1" applyBorder="1"/>
    <xf numFmtId="9" fontId="7" fillId="92" borderId="0" xfId="50" applyFont="1" applyFill="1" applyBorder="1" applyAlignment="1">
      <alignment horizontal="right"/>
    </xf>
    <xf numFmtId="43" fontId="78" fillId="92" borderId="0" xfId="28" applyFont="1" applyFill="1" applyBorder="1"/>
    <xf numFmtId="187" fontId="72" fillId="92" borderId="0" xfId="28" applyNumberFormat="1" applyFont="1" applyFill="1" applyBorder="1"/>
    <xf numFmtId="187" fontId="78" fillId="92" borderId="0" xfId="28" applyNumberFormat="1" applyFont="1" applyFill="1" applyBorder="1"/>
    <xf numFmtId="167" fontId="0" fillId="92" borderId="0" xfId="0" applyNumberFormat="1" applyFill="1"/>
    <xf numFmtId="0" fontId="76" fillId="59" borderId="64" xfId="0" applyFont="1" applyFill="1" applyBorder="1" applyAlignment="1"/>
    <xf numFmtId="0" fontId="77" fillId="59" borderId="65" xfId="0" applyFont="1" applyFill="1" applyBorder="1" applyAlignment="1"/>
    <xf numFmtId="0" fontId="78" fillId="0" borderId="0" xfId="0" quotePrefix="1" applyFont="1" applyFill="1" applyBorder="1"/>
    <xf numFmtId="165" fontId="0" fillId="92" borderId="0" xfId="0" applyNumberFormat="1" applyFill="1"/>
    <xf numFmtId="0" fontId="7" fillId="92" borderId="0" xfId="0" applyFont="1" applyFill="1" applyBorder="1"/>
    <xf numFmtId="167" fontId="7" fillId="92" borderId="0" xfId="0" applyNumberFormat="1" applyFont="1" applyFill="1" applyBorder="1"/>
    <xf numFmtId="0" fontId="7" fillId="91" borderId="66" xfId="0" applyFont="1" applyFill="1" applyBorder="1" applyAlignment="1">
      <alignment wrapText="1"/>
    </xf>
    <xf numFmtId="0" fontId="74" fillId="91" borderId="66" xfId="0" applyFont="1" applyFill="1" applyBorder="1"/>
    <xf numFmtId="0" fontId="72" fillId="91" borderId="66" xfId="0" applyFont="1" applyFill="1" applyBorder="1"/>
    <xf numFmtId="0" fontId="80" fillId="91" borderId="66" xfId="0" applyFont="1" applyFill="1" applyBorder="1"/>
    <xf numFmtId="0" fontId="78" fillId="91" borderId="66" xfId="0" applyFont="1" applyFill="1" applyBorder="1"/>
    <xf numFmtId="0" fontId="72" fillId="91" borderId="29" xfId="0" applyFont="1" applyFill="1" applyBorder="1"/>
    <xf numFmtId="0" fontId="74" fillId="91" borderId="29" xfId="0" applyFont="1" applyFill="1" applyBorder="1"/>
    <xf numFmtId="0" fontId="78" fillId="91" borderId="29" xfId="0" applyFont="1" applyFill="1" applyBorder="1"/>
    <xf numFmtId="0" fontId="8" fillId="91" borderId="29" xfId="0" applyFont="1" applyFill="1" applyBorder="1"/>
    <xf numFmtId="0" fontId="72" fillId="91" borderId="23" xfId="0" applyFont="1" applyFill="1" applyBorder="1"/>
    <xf numFmtId="0" fontId="8" fillId="91" borderId="0" xfId="0" applyFont="1" applyFill="1" applyBorder="1"/>
    <xf numFmtId="0" fontId="72" fillId="91" borderId="0" xfId="0" applyFont="1" applyFill="1" applyBorder="1"/>
    <xf numFmtId="0" fontId="7" fillId="91" borderId="29" xfId="0" applyFont="1" applyFill="1" applyBorder="1"/>
    <xf numFmtId="0" fontId="7" fillId="92" borderId="0" xfId="0" applyFont="1" applyFill="1" applyAlignment="1">
      <alignment vertical="center"/>
    </xf>
    <xf numFmtId="0" fontId="0" fillId="92" borderId="0" xfId="0" applyFill="1" applyAlignment="1" applyProtection="1">
      <alignment vertical="center"/>
    </xf>
    <xf numFmtId="0" fontId="67" fillId="92" borderId="0" xfId="0" applyFont="1" applyFill="1" applyAlignment="1" applyProtection="1">
      <alignment vertical="center"/>
    </xf>
    <xf numFmtId="0" fontId="7" fillId="92" borderId="0" xfId="0" applyFont="1" applyFill="1" applyAlignment="1" applyProtection="1">
      <alignment vertical="center"/>
    </xf>
    <xf numFmtId="0" fontId="0" fillId="92" borderId="0" xfId="0" applyFill="1" applyBorder="1" applyAlignment="1" applyProtection="1">
      <alignment horizontal="left" vertical="center"/>
    </xf>
    <xf numFmtId="0" fontId="67" fillId="59" borderId="11" xfId="0" applyFont="1" applyFill="1" applyBorder="1" applyAlignment="1"/>
    <xf numFmtId="0" fontId="67" fillId="59" borderId="41" xfId="0" applyFont="1" applyFill="1" applyBorder="1" applyAlignment="1" applyProtection="1"/>
    <xf numFmtId="0" fontId="67" fillId="92" borderId="0" xfId="0" applyFont="1" applyFill="1" applyAlignment="1">
      <alignment vertical="center"/>
    </xf>
    <xf numFmtId="37" fontId="0" fillId="92" borderId="0" xfId="28" applyNumberFormat="1" applyFont="1" applyFill="1" applyBorder="1" applyAlignment="1">
      <alignment horizontal="left" vertical="center"/>
    </xf>
    <xf numFmtId="0" fontId="7" fillId="92" borderId="0" xfId="0" applyFont="1" applyFill="1" applyBorder="1" applyAlignment="1">
      <alignment vertical="center"/>
    </xf>
    <xf numFmtId="0" fontId="0" fillId="92" borderId="0" xfId="0" applyFill="1" applyBorder="1" applyAlignment="1">
      <alignment vertical="center"/>
    </xf>
    <xf numFmtId="37" fontId="0" fillId="92" borderId="0" xfId="28" applyNumberFormat="1" applyFont="1" applyFill="1" applyBorder="1" applyAlignment="1">
      <alignment horizontal="center" vertical="center"/>
    </xf>
    <xf numFmtId="168" fontId="0" fillId="92" borderId="0" xfId="50" applyNumberFormat="1" applyFont="1" applyFill="1" applyBorder="1" applyAlignment="1">
      <alignment horizontal="left" vertical="center"/>
    </xf>
    <xf numFmtId="43" fontId="0" fillId="92" borderId="0" xfId="28" applyFont="1" applyFill="1" applyBorder="1" applyAlignment="1">
      <alignment horizontal="left" vertical="center"/>
    </xf>
    <xf numFmtId="0" fontId="0" fillId="92" borderId="0" xfId="0" applyFill="1" applyBorder="1" applyAlignment="1">
      <alignment horizontal="left" vertical="center"/>
    </xf>
    <xf numFmtId="43" fontId="7" fillId="92" borderId="0" xfId="28" applyFont="1" applyFill="1" applyBorder="1" applyAlignment="1">
      <alignment horizontal="left" vertical="center"/>
    </xf>
    <xf numFmtId="43" fontId="0" fillId="92" borderId="0" xfId="0" applyNumberFormat="1" applyFill="1" applyAlignment="1">
      <alignment vertical="center"/>
    </xf>
    <xf numFmtId="0" fontId="7" fillId="92" borderId="0" xfId="804" applyFont="1" applyFill="1" applyBorder="1"/>
    <xf numFmtId="0" fontId="0" fillId="92" borderId="0" xfId="0" applyFill="1" applyProtection="1"/>
    <xf numFmtId="0" fontId="7" fillId="92" borderId="0" xfId="0" applyFont="1" applyFill="1" applyProtection="1"/>
    <xf numFmtId="0" fontId="7" fillId="92" borderId="0" xfId="0" applyFont="1" applyFill="1" applyBorder="1" applyAlignment="1" applyProtection="1">
      <alignment horizontal="left" vertical="center"/>
    </xf>
    <xf numFmtId="3" fontId="0" fillId="92" borderId="0" xfId="0" applyNumberFormat="1" applyFill="1" applyBorder="1" applyAlignment="1" applyProtection="1">
      <alignment horizontal="left" vertical="center"/>
    </xf>
    <xf numFmtId="0" fontId="0" fillId="92" borderId="0" xfId="0" applyFill="1" applyAlignment="1" applyProtection="1">
      <alignment horizontal="left" vertical="center"/>
    </xf>
    <xf numFmtId="168" fontId="0" fillId="92" borderId="0" xfId="50" applyNumberFormat="1" applyFont="1" applyFill="1" applyBorder="1" applyAlignment="1" applyProtection="1">
      <alignment horizontal="left" vertical="center"/>
    </xf>
    <xf numFmtId="0" fontId="7" fillId="92" borderId="0" xfId="0" applyFont="1" applyFill="1" applyBorder="1" applyAlignment="1" applyProtection="1">
      <alignment horizontal="right" vertical="center"/>
    </xf>
    <xf numFmtId="167" fontId="0" fillId="92" borderId="0" xfId="28" applyNumberFormat="1" applyFont="1" applyFill="1" applyBorder="1" applyAlignment="1" applyProtection="1">
      <alignment horizontal="left" vertical="center"/>
    </xf>
    <xf numFmtId="168" fontId="7" fillId="92" borderId="0" xfId="50" applyNumberFormat="1" applyFont="1" applyFill="1" applyBorder="1" applyAlignment="1" applyProtection="1">
      <alignment horizontal="left" vertical="center"/>
    </xf>
    <xf numFmtId="1" fontId="0" fillId="92" borderId="0" xfId="50" applyNumberFormat="1" applyFont="1" applyFill="1" applyBorder="1" applyAlignment="1" applyProtection="1">
      <alignment horizontal="left" vertical="center"/>
    </xf>
    <xf numFmtId="43" fontId="0" fillId="92" borderId="0" xfId="28" applyFont="1" applyFill="1" applyBorder="1" applyAlignment="1" applyProtection="1">
      <alignment horizontal="left" vertical="center"/>
    </xf>
    <xf numFmtId="43" fontId="0" fillId="92" borderId="0" xfId="28" applyFont="1" applyFill="1" applyAlignment="1">
      <alignment horizontal="left"/>
    </xf>
    <xf numFmtId="0" fontId="7" fillId="92" borderId="0" xfId="0" applyFont="1" applyFill="1" applyBorder="1" applyAlignment="1" applyProtection="1">
      <alignment vertical="center"/>
    </xf>
    <xf numFmtId="0" fontId="0" fillId="92" borderId="0" xfId="0" applyFill="1" applyBorder="1" applyAlignment="1" applyProtection="1">
      <alignment vertical="center"/>
    </xf>
    <xf numFmtId="0" fontId="7" fillId="92" borderId="0" xfId="0" applyNumberFormat="1" applyFont="1" applyFill="1"/>
    <xf numFmtId="167" fontId="7" fillId="92" borderId="0" xfId="28" applyNumberFormat="1" applyFont="1" applyFill="1" applyBorder="1" applyAlignment="1" applyProtection="1">
      <alignment horizontal="left" vertical="center"/>
    </xf>
    <xf numFmtId="3" fontId="7" fillId="92" borderId="0" xfId="0" applyNumberFormat="1" applyFont="1" applyFill="1" applyBorder="1" applyAlignment="1" applyProtection="1">
      <alignment horizontal="left" vertical="center"/>
    </xf>
    <xf numFmtId="0" fontId="0" fillId="92" borderId="0" xfId="0" applyFill="1" applyBorder="1" applyAlignment="1" applyProtection="1">
      <alignment horizontal="right" vertical="center"/>
    </xf>
    <xf numFmtId="176" fontId="0" fillId="92" borderId="0" xfId="0" applyNumberFormat="1" applyFill="1" applyBorder="1" applyAlignment="1" applyProtection="1">
      <alignment horizontal="left" vertical="center"/>
    </xf>
    <xf numFmtId="37" fontId="0" fillId="92" borderId="0" xfId="28" applyNumberFormat="1" applyFont="1" applyFill="1" applyBorder="1" applyAlignment="1" applyProtection="1">
      <alignment horizontal="left" vertical="center"/>
    </xf>
    <xf numFmtId="0" fontId="0" fillId="91" borderId="62" xfId="0" applyFill="1" applyBorder="1" applyAlignment="1">
      <alignment vertical="center"/>
    </xf>
    <xf numFmtId="0" fontId="0" fillId="91" borderId="0" xfId="0" applyFill="1" applyBorder="1" applyAlignment="1">
      <alignment vertical="center"/>
    </xf>
    <xf numFmtId="0" fontId="8" fillId="91" borderId="62" xfId="0" applyFont="1" applyFill="1" applyBorder="1" applyAlignment="1">
      <alignment horizontal="left" vertical="center"/>
    </xf>
    <xf numFmtId="0" fontId="8" fillId="91" borderId="0" xfId="0" applyFont="1" applyFill="1" applyBorder="1" applyAlignment="1">
      <alignment horizontal="left" vertical="center"/>
    </xf>
    <xf numFmtId="0" fontId="74" fillId="91" borderId="0" xfId="0" applyFont="1" applyFill="1" applyBorder="1"/>
    <xf numFmtId="37" fontId="0" fillId="91" borderId="62" xfId="28" applyNumberFormat="1" applyFont="1" applyFill="1" applyBorder="1" applyAlignment="1">
      <alignment horizontal="left" vertical="center"/>
    </xf>
    <xf numFmtId="37" fontId="0" fillId="91" borderId="0" xfId="28" applyNumberFormat="1" applyFont="1" applyFill="1" applyBorder="1" applyAlignment="1">
      <alignment horizontal="center" vertical="center"/>
    </xf>
    <xf numFmtId="168" fontId="0" fillId="91" borderId="62" xfId="50" applyNumberFormat="1" applyFont="1" applyFill="1" applyBorder="1" applyAlignment="1">
      <alignment horizontal="left" vertical="center"/>
    </xf>
    <xf numFmtId="0" fontId="0" fillId="91" borderId="62" xfId="0" applyFill="1" applyBorder="1" applyAlignment="1">
      <alignment horizontal="left" vertical="center"/>
    </xf>
    <xf numFmtId="168" fontId="0" fillId="91" borderId="0" xfId="50" applyNumberFormat="1" applyFont="1" applyFill="1" applyBorder="1" applyAlignment="1">
      <alignment horizontal="center" vertical="center"/>
    </xf>
    <xf numFmtId="0" fontId="67" fillId="59" borderId="41" xfId="0" applyFont="1" applyFill="1" applyBorder="1" applyAlignment="1"/>
    <xf numFmtId="0" fontId="67" fillId="93" borderId="11" xfId="0" applyFont="1" applyFill="1" applyBorder="1" applyAlignment="1"/>
    <xf numFmtId="0" fontId="67" fillId="93" borderId="41" xfId="0" applyFont="1" applyFill="1" applyBorder="1" applyAlignment="1"/>
    <xf numFmtId="0" fontId="76" fillId="93" borderId="42" xfId="0" applyFont="1" applyFill="1" applyBorder="1" applyAlignment="1">
      <alignment horizontal="right"/>
    </xf>
    <xf numFmtId="0" fontId="67" fillId="59" borderId="11" xfId="0" applyFont="1" applyFill="1" applyBorder="1" applyAlignment="1" applyProtection="1"/>
    <xf numFmtId="0" fontId="67" fillId="93" borderId="11" xfId="0" applyFont="1" applyFill="1" applyBorder="1" applyAlignment="1" applyProtection="1"/>
    <xf numFmtId="0" fontId="67" fillId="93" borderId="41" xfId="0" applyFont="1" applyFill="1" applyBorder="1" applyAlignment="1" applyProtection="1"/>
    <xf numFmtId="0" fontId="96" fillId="0" borderId="0" xfId="0" applyFont="1" applyFill="1" applyBorder="1"/>
    <xf numFmtId="0" fontId="97" fillId="0" borderId="0" xfId="0" applyFont="1" applyFill="1" applyBorder="1" applyAlignment="1">
      <alignment horizontal="left"/>
    </xf>
    <xf numFmtId="0" fontId="98" fillId="0" borderId="0" xfId="0" applyFont="1" applyFill="1" applyBorder="1" applyAlignment="1">
      <alignment horizontal="left"/>
    </xf>
    <xf numFmtId="0" fontId="99" fillId="0" borderId="0" xfId="0" applyFont="1" applyFill="1" applyBorder="1" applyAlignment="1">
      <alignment horizontal="left"/>
    </xf>
    <xf numFmtId="0" fontId="101" fillId="0" borderId="0" xfId="0" applyFont="1" applyFill="1" applyBorder="1" applyAlignment="1">
      <alignment horizontal="left"/>
    </xf>
    <xf numFmtId="168" fontId="0" fillId="0" borderId="0" xfId="0" applyNumberFormat="1" applyFill="1" applyBorder="1" applyAlignment="1" applyProtection="1">
      <alignment horizontal="left" vertical="center"/>
    </xf>
    <xf numFmtId="0" fontId="99" fillId="0" borderId="102" xfId="0" applyFont="1" applyFill="1" applyBorder="1" applyAlignment="1" applyProtection="1">
      <alignment horizontal="left" vertical="center"/>
    </xf>
    <xf numFmtId="0" fontId="100" fillId="49" borderId="102" xfId="0" applyFont="1" applyFill="1" applyBorder="1" applyAlignment="1" applyProtection="1">
      <alignment horizontal="left" vertical="center"/>
      <protection locked="0"/>
    </xf>
    <xf numFmtId="0" fontId="0" fillId="91" borderId="0" xfId="0" applyFill="1" applyBorder="1"/>
    <xf numFmtId="0" fontId="69" fillId="91" borderId="0" xfId="0" applyFont="1" applyFill="1" applyBorder="1"/>
    <xf numFmtId="0" fontId="70" fillId="91" borderId="0" xfId="0" applyFont="1" applyFill="1" applyBorder="1"/>
    <xf numFmtId="0" fontId="69" fillId="91" borderId="0" xfId="0" applyFont="1" applyFill="1" applyBorder="1" applyAlignment="1">
      <alignment horizontal="right"/>
    </xf>
    <xf numFmtId="43" fontId="0" fillId="0" borderId="0" xfId="28" applyNumberFormat="1" applyFont="1"/>
    <xf numFmtId="170" fontId="7" fillId="0" borderId="0" xfId="28" applyNumberFormat="1" applyFont="1"/>
    <xf numFmtId="43" fontId="7" fillId="51" borderId="0" xfId="28" applyFill="1"/>
    <xf numFmtId="0" fontId="78" fillId="0" borderId="103" xfId="0" applyFont="1" applyFill="1" applyBorder="1"/>
    <xf numFmtId="0" fontId="78" fillId="0" borderId="104" xfId="0" applyFont="1" applyFill="1" applyBorder="1"/>
    <xf numFmtId="0" fontId="8" fillId="0" borderId="104" xfId="0" applyFont="1" applyFill="1" applyBorder="1"/>
    <xf numFmtId="0" fontId="7" fillId="0" borderId="104" xfId="0" applyFont="1" applyFill="1" applyBorder="1" applyAlignment="1">
      <alignment horizontal="center"/>
    </xf>
    <xf numFmtId="167" fontId="8" fillId="0" borderId="104" xfId="28" applyNumberFormat="1" applyFont="1" applyFill="1" applyBorder="1" applyAlignment="1">
      <alignment horizontal="center"/>
    </xf>
    <xf numFmtId="0" fontId="8" fillId="0" borderId="104" xfId="0" applyFont="1" applyFill="1" applyBorder="1" applyAlignment="1">
      <alignment horizontal="center"/>
    </xf>
    <xf numFmtId="168" fontId="78" fillId="0" borderId="104" xfId="50" applyNumberFormat="1" applyFont="1" applyFill="1" applyBorder="1"/>
    <xf numFmtId="0" fontId="7" fillId="0" borderId="104" xfId="0" applyFont="1" applyFill="1" applyBorder="1"/>
    <xf numFmtId="9" fontId="8" fillId="0" borderId="104" xfId="50" applyFont="1" applyFill="1" applyBorder="1" applyAlignment="1">
      <alignment horizontal="center"/>
    </xf>
    <xf numFmtId="0" fontId="8" fillId="0" borderId="105" xfId="0" applyFont="1" applyFill="1" applyBorder="1"/>
    <xf numFmtId="0" fontId="0" fillId="95" borderId="91" xfId="0" applyFill="1" applyBorder="1"/>
    <xf numFmtId="9" fontId="0" fillId="95" borderId="91" xfId="0" applyNumberFormat="1" applyFill="1" applyBorder="1"/>
    <xf numFmtId="168" fontId="0" fillId="94" borderId="91" xfId="50" applyNumberFormat="1" applyFont="1" applyFill="1" applyBorder="1"/>
    <xf numFmtId="168" fontId="7" fillId="96" borderId="0" xfId="50" quotePrefix="1" applyNumberFormat="1" applyFont="1" applyFill="1"/>
    <xf numFmtId="168" fontId="7" fillId="52" borderId="0" xfId="50" quotePrefix="1" applyNumberFormat="1" applyFont="1" applyFill="1"/>
    <xf numFmtId="168" fontId="0" fillId="95" borderId="91" xfId="0" applyNumberFormat="1" applyFill="1" applyBorder="1"/>
    <xf numFmtId="168" fontId="0" fillId="49" borderId="31" xfId="50" applyNumberFormat="1" applyFont="1" applyFill="1" applyBorder="1"/>
    <xf numFmtId="168" fontId="0" fillId="49" borderId="0" xfId="50" applyNumberFormat="1" applyFont="1" applyFill="1" applyBorder="1"/>
    <xf numFmtId="168" fontId="0" fillId="49" borderId="42" xfId="50" applyNumberFormat="1" applyFont="1" applyFill="1" applyBorder="1"/>
    <xf numFmtId="168" fontId="7" fillId="0" borderId="0" xfId="50" quotePrefix="1" applyNumberFormat="1" applyFont="1" applyFill="1"/>
    <xf numFmtId="168" fontId="0" fillId="52" borderId="0" xfId="50" applyNumberFormat="1" applyFont="1" applyFill="1"/>
    <xf numFmtId="10" fontId="0" fillId="49" borderId="41" xfId="50" applyNumberFormat="1" applyFont="1" applyFill="1" applyBorder="1"/>
    <xf numFmtId="43" fontId="7" fillId="0" borderId="0" xfId="28" applyNumberFormat="1"/>
    <xf numFmtId="0" fontId="0" fillId="0" borderId="106" xfId="0" applyFill="1" applyBorder="1" applyAlignment="1">
      <alignment vertical="center"/>
    </xf>
    <xf numFmtId="0" fontId="7" fillId="0" borderId="106" xfId="0" applyFont="1" applyFill="1" applyBorder="1" applyAlignment="1">
      <alignment horizontal="right" vertical="center"/>
    </xf>
    <xf numFmtId="43" fontId="0" fillId="0" borderId="106" xfId="28" applyFont="1" applyFill="1" applyBorder="1" applyAlignment="1">
      <alignment horizontal="left" vertical="center"/>
    </xf>
    <xf numFmtId="43" fontId="7" fillId="0" borderId="106" xfId="28" applyFont="1" applyFill="1" applyBorder="1" applyAlignment="1">
      <alignment horizontal="left" vertical="center"/>
    </xf>
    <xf numFmtId="0" fontId="0" fillId="0" borderId="107" xfId="0" applyFill="1" applyBorder="1" applyAlignment="1" applyProtection="1">
      <alignment vertical="center"/>
    </xf>
    <xf numFmtId="0" fontId="0" fillId="0" borderId="107" xfId="0" applyFill="1" applyBorder="1" applyAlignment="1" applyProtection="1">
      <alignment horizontal="left" vertical="center"/>
    </xf>
    <xf numFmtId="193" fontId="0" fillId="0" borderId="0" xfId="28" applyNumberFormat="1" applyFont="1" applyFill="1" applyBorder="1" applyAlignment="1" applyProtection="1">
      <alignment horizontal="center" vertical="center"/>
    </xf>
    <xf numFmtId="0" fontId="78" fillId="91" borderId="0" xfId="0" applyFont="1" applyFill="1" applyBorder="1"/>
    <xf numFmtId="170" fontId="0" fillId="0" borderId="0" xfId="28" applyNumberFormat="1" applyFont="1" applyFill="1" applyBorder="1" applyAlignment="1" applyProtection="1">
      <alignment vertical="center"/>
    </xf>
    <xf numFmtId="168" fontId="7" fillId="0" borderId="0" xfId="50" applyNumberFormat="1" applyFont="1" applyFill="1" applyBorder="1"/>
    <xf numFmtId="0" fontId="7" fillId="0" borderId="0" xfId="50" applyNumberFormat="1" applyFont="1"/>
    <xf numFmtId="0" fontId="7" fillId="0" borderId="0" xfId="0" quotePrefix="1" applyFont="1"/>
    <xf numFmtId="0" fontId="0" fillId="49" borderId="11" xfId="0" applyFill="1" applyBorder="1"/>
    <xf numFmtId="0" fontId="104" fillId="97" borderId="42" xfId="0" applyFont="1" applyFill="1" applyBorder="1"/>
    <xf numFmtId="0" fontId="0" fillId="49" borderId="29" xfId="0" applyFill="1" applyBorder="1"/>
    <xf numFmtId="0" fontId="104" fillId="97" borderId="31" xfId="0" applyFont="1" applyFill="1" applyBorder="1"/>
    <xf numFmtId="0" fontId="104" fillId="97" borderId="33" xfId="0" applyFont="1" applyFill="1" applyBorder="1"/>
    <xf numFmtId="0" fontId="7" fillId="49" borderId="32" xfId="0" applyFont="1" applyFill="1" applyBorder="1"/>
    <xf numFmtId="43" fontId="0" fillId="0" borderId="0" xfId="28" applyFont="1" applyFill="1" applyBorder="1" applyAlignment="1" applyProtection="1">
      <alignment vertical="center"/>
    </xf>
    <xf numFmtId="167" fontId="7" fillId="25" borderId="0" xfId="28" applyNumberFormat="1" applyFont="1" applyFill="1"/>
    <xf numFmtId="0" fontId="1" fillId="0" borderId="0" xfId="6454"/>
    <xf numFmtId="0" fontId="8" fillId="0" borderId="23" xfId="6454" applyFont="1" applyFill="1" applyBorder="1" applyAlignment="1">
      <alignment horizontal="right"/>
    </xf>
    <xf numFmtId="170" fontId="0" fillId="0" borderId="0" xfId="6455" applyNumberFormat="1" applyFont="1" applyBorder="1" applyAlignment="1">
      <alignment horizontal="right"/>
    </xf>
    <xf numFmtId="167" fontId="0" fillId="0" borderId="0" xfId="6455" applyNumberFormat="1" applyFont="1" applyBorder="1" applyAlignment="1">
      <alignment horizontal="right"/>
    </xf>
    <xf numFmtId="168" fontId="0" fillId="0" borderId="0" xfId="6456" applyNumberFormat="1" applyFont="1" applyBorder="1" applyAlignment="1">
      <alignment horizontal="right"/>
    </xf>
    <xf numFmtId="0" fontId="1" fillId="0" borderId="0" xfId="6454" applyBorder="1" applyAlignment="1">
      <alignment horizontal="right"/>
    </xf>
    <xf numFmtId="167" fontId="0" fillId="0" borderId="0" xfId="6455" applyNumberFormat="1" applyFont="1" applyFill="1" applyAlignment="1">
      <alignment horizontal="right"/>
    </xf>
    <xf numFmtId="167" fontId="7" fillId="0" borderId="0" xfId="6455" applyNumberFormat="1" applyFont="1" applyFill="1" applyAlignment="1">
      <alignment horizontal="right"/>
    </xf>
    <xf numFmtId="168" fontId="7" fillId="0" borderId="0" xfId="6456" applyNumberFormat="1" applyFont="1" applyFill="1" applyAlignment="1">
      <alignment horizontal="right"/>
    </xf>
    <xf numFmtId="168" fontId="0" fillId="0" borderId="0" xfId="6456" applyNumberFormat="1" applyFont="1" applyFill="1" applyAlignment="1">
      <alignment horizontal="right"/>
    </xf>
    <xf numFmtId="167" fontId="8" fillId="0" borderId="23" xfId="6455" applyNumberFormat="1" applyFont="1" applyFill="1" applyBorder="1" applyAlignment="1">
      <alignment horizontal="right"/>
    </xf>
    <xf numFmtId="170" fontId="7" fillId="0" borderId="0" xfId="6455" applyNumberFormat="1" applyFont="1" applyFill="1" applyAlignment="1">
      <alignment horizontal="right"/>
    </xf>
    <xf numFmtId="43" fontId="7" fillId="0" borderId="0" xfId="6455" applyNumberFormat="1" applyFont="1" applyFill="1" applyAlignment="1">
      <alignment horizontal="right"/>
    </xf>
    <xf numFmtId="0" fontId="7" fillId="0" borderId="0" xfId="6454" quotePrefix="1" applyFont="1" applyBorder="1" applyAlignment="1">
      <alignment horizontal="right"/>
    </xf>
    <xf numFmtId="188" fontId="1" fillId="0" borderId="0" xfId="6454" applyNumberFormat="1" applyBorder="1" applyAlignment="1">
      <alignment horizontal="right"/>
    </xf>
    <xf numFmtId="176" fontId="1" fillId="0" borderId="0" xfId="6454" applyNumberFormat="1" applyBorder="1" applyAlignment="1" applyProtection="1">
      <alignment horizontal="right" vertical="center"/>
    </xf>
    <xf numFmtId="1" fontId="1" fillId="0" borderId="0" xfId="6454" applyNumberFormat="1" applyBorder="1" applyAlignment="1">
      <alignment horizontal="right"/>
    </xf>
    <xf numFmtId="168" fontId="7" fillId="0" borderId="0" xfId="6456" applyNumberFormat="1" applyFont="1" applyBorder="1" applyAlignment="1">
      <alignment horizontal="right"/>
    </xf>
    <xf numFmtId="9" fontId="7" fillId="0" borderId="0" xfId="6456" applyFont="1" applyBorder="1" applyAlignment="1">
      <alignment horizontal="right"/>
    </xf>
    <xf numFmtId="170" fontId="7" fillId="0" borderId="0" xfId="6455" applyNumberFormat="1" applyFont="1" applyBorder="1" applyAlignment="1">
      <alignment horizontal="right"/>
    </xf>
    <xf numFmtId="168" fontId="0" fillId="0" borderId="82" xfId="6456" applyNumberFormat="1" applyFont="1" applyBorder="1" applyAlignment="1">
      <alignment horizontal="right"/>
    </xf>
    <xf numFmtId="10" fontId="0" fillId="0" borderId="0" xfId="6456" applyNumberFormat="1" applyFont="1" applyBorder="1" applyAlignment="1">
      <alignment horizontal="right"/>
    </xf>
    <xf numFmtId="10" fontId="0" fillId="0" borderId="23" xfId="6456" applyNumberFormat="1" applyFont="1" applyBorder="1" applyAlignment="1">
      <alignment horizontal="right"/>
    </xf>
    <xf numFmtId="167" fontId="0" fillId="0" borderId="0" xfId="6455" applyNumberFormat="1" applyFont="1" applyBorder="1" applyAlignment="1" applyProtection="1">
      <alignment horizontal="right" vertical="center"/>
    </xf>
    <xf numFmtId="167" fontId="7" fillId="0" borderId="0" xfId="6455" applyNumberFormat="1" applyFont="1" applyBorder="1"/>
    <xf numFmtId="167" fontId="7" fillId="0" borderId="0" xfId="6455" applyNumberFormat="1" applyFont="1" applyAlignment="1">
      <alignment horizontal="left"/>
    </xf>
    <xf numFmtId="167" fontId="0" fillId="0" borderId="0" xfId="6455" applyNumberFormat="1" applyFont="1" applyAlignment="1">
      <alignment horizontal="left"/>
    </xf>
    <xf numFmtId="167" fontId="72" fillId="0" borderId="0" xfId="6455" applyNumberFormat="1" applyFont="1" applyFill="1" applyBorder="1" applyAlignment="1">
      <alignment horizontal="left"/>
    </xf>
    <xf numFmtId="167" fontId="0" fillId="0" borderId="0" xfId="6455" applyNumberFormat="1" applyFont="1" applyBorder="1" applyAlignment="1">
      <alignment horizontal="left"/>
    </xf>
    <xf numFmtId="0" fontId="83" fillId="92" borderId="0" xfId="0" applyFont="1" applyFill="1" applyBorder="1" applyAlignment="1">
      <alignment horizontal="center" vertical="center"/>
    </xf>
    <xf numFmtId="0" fontId="95" fillId="59" borderId="15" xfId="0" applyFont="1" applyFill="1" applyBorder="1" applyAlignment="1">
      <alignment horizontal="center" vertical="center"/>
    </xf>
    <xf numFmtId="0" fontId="95" fillId="59" borderId="16" xfId="0" applyFont="1" applyFill="1" applyBorder="1" applyAlignment="1">
      <alignment horizontal="center" vertical="center"/>
    </xf>
    <xf numFmtId="0" fontId="95" fillId="59" borderId="28" xfId="0" applyFont="1" applyFill="1" applyBorder="1" applyAlignment="1">
      <alignment horizontal="center" vertical="center"/>
    </xf>
    <xf numFmtId="0" fontId="95" fillId="59" borderId="15" xfId="0" applyFont="1" applyFill="1" applyBorder="1" applyAlignment="1" applyProtection="1">
      <alignment horizontal="center" vertical="center"/>
    </xf>
    <xf numFmtId="0" fontId="95" fillId="59" borderId="16" xfId="0" applyFont="1" applyFill="1" applyBorder="1" applyAlignment="1" applyProtection="1">
      <alignment horizontal="center" vertical="center"/>
    </xf>
    <xf numFmtId="0" fontId="95" fillId="59" borderId="28" xfId="0" applyFont="1" applyFill="1" applyBorder="1" applyAlignment="1" applyProtection="1">
      <alignment horizontal="center" vertical="center"/>
    </xf>
    <xf numFmtId="0" fontId="7" fillId="0" borderId="50" xfId="0" applyFont="1" applyFill="1" applyBorder="1" applyAlignment="1">
      <alignment horizontal="center"/>
    </xf>
    <xf numFmtId="0" fontId="7" fillId="0" borderId="53" xfId="0" applyFont="1" applyFill="1" applyBorder="1" applyAlignment="1">
      <alignment horizontal="center"/>
    </xf>
  </cellXfs>
  <cellStyles count="6457">
    <cellStyle name="000" xfId="56"/>
    <cellStyle name="000 2" xfId="646"/>
    <cellStyle name="000 3" xfId="438"/>
    <cellStyle name="20% - Accent1" xfId="1" builtinId="30" customBuiltin="1"/>
    <cellStyle name="20% - Accent1 2" xfId="508" hidden="1"/>
    <cellStyle name="20% - Accent1 2" xfId="823" hidden="1"/>
    <cellStyle name="20% - Accent1 2" xfId="1007" hidden="1"/>
    <cellStyle name="20% - Accent1 2" xfId="1189" hidden="1"/>
    <cellStyle name="20% - Accent1 2" xfId="1598" hidden="1"/>
    <cellStyle name="20% - Accent1 2" xfId="1813" hidden="1"/>
    <cellStyle name="20% - Accent1 2" xfId="1996" hidden="1"/>
    <cellStyle name="20% - Accent1 2" xfId="2178" hidden="1"/>
    <cellStyle name="20% - Accent1 2" xfId="2358" hidden="1"/>
    <cellStyle name="20% - Accent1 2" xfId="2519" hidden="1"/>
    <cellStyle name="20% - Accent1 2" xfId="2651" hidden="1"/>
    <cellStyle name="20% - Accent1 2" xfId="2781" hidden="1"/>
    <cellStyle name="20% - Accent1 2" xfId="1432" hidden="1"/>
    <cellStyle name="20% - Accent1 2" xfId="1403" hidden="1"/>
    <cellStyle name="20% - Accent1 2" xfId="2988" hidden="1"/>
    <cellStyle name="20% - Accent1 2" xfId="3110" hidden="1"/>
    <cellStyle name="20% - Accent1 2" xfId="3579" hidden="1"/>
    <cellStyle name="20% - Accent1 2" xfId="3852" hidden="1"/>
    <cellStyle name="20% - Accent1 2" xfId="4034" hidden="1"/>
    <cellStyle name="20% - Accent1 2" xfId="4216" hidden="1"/>
    <cellStyle name="20% - Accent1 2" xfId="3343" hidden="1"/>
    <cellStyle name="20% - Accent1 2" xfId="4551" hidden="1"/>
    <cellStyle name="20% - Accent1 2" xfId="4712" hidden="1"/>
    <cellStyle name="20% - Accent1 2" xfId="4864" hidden="1"/>
    <cellStyle name="20% - Accent1 2" xfId="3536" hidden="1"/>
    <cellStyle name="20% - Accent1 2" xfId="3374" hidden="1"/>
    <cellStyle name="20% - Accent1 2" xfId="5123" hidden="1"/>
    <cellStyle name="20% - Accent1 2" xfId="5273" hidden="1"/>
    <cellStyle name="20% - Accent1 2" xfId="4829" hidden="1"/>
    <cellStyle name="20% - Accent1 2" xfId="3468" hidden="1"/>
    <cellStyle name="20% - Accent1 2" xfId="5521" hidden="1"/>
    <cellStyle name="20% - Accent1 2" xfId="5658" hidden="1"/>
    <cellStyle name="20% - Accent1 2" xfId="5004" hidden="1"/>
    <cellStyle name="20% - Accent1 2" xfId="4485" hidden="1"/>
    <cellStyle name="20% - Accent1 2" xfId="5879" hidden="1"/>
    <cellStyle name="20% - Accent1 2" xfId="6009" hidden="1"/>
    <cellStyle name="20% - Accent1 2" xfId="5638" hidden="1"/>
    <cellStyle name="20% - Accent1 2" xfId="3401" hidden="1"/>
    <cellStyle name="20% - Accent1 2" xfId="6216" hidden="1"/>
    <cellStyle name="20% - Accent1 2" xfId="6338" hidden="1"/>
    <cellStyle name="20% - Accent1 3" xfId="539" hidden="1"/>
    <cellStyle name="20% - Accent1 3" xfId="854" hidden="1"/>
    <cellStyle name="20% - Accent1 3" xfId="1038" hidden="1"/>
    <cellStyle name="20% - Accent1 3" xfId="1220" hidden="1"/>
    <cellStyle name="20% - Accent1 3" xfId="1629" hidden="1"/>
    <cellStyle name="20% - Accent1 3" xfId="1844" hidden="1"/>
    <cellStyle name="20% - Accent1 3" xfId="2027" hidden="1"/>
    <cellStyle name="20% - Accent1 3" xfId="2209" hidden="1"/>
    <cellStyle name="20% - Accent1 3" xfId="2389" hidden="1"/>
    <cellStyle name="20% - Accent1 3" xfId="2550" hidden="1"/>
    <cellStyle name="20% - Accent1 3" xfId="2682" hidden="1"/>
    <cellStyle name="20% - Accent1 3" xfId="2812" hidden="1"/>
    <cellStyle name="20% - Accent1 3" xfId="2835" hidden="1"/>
    <cellStyle name="20% - Accent1 3" xfId="1574" hidden="1"/>
    <cellStyle name="20% - Accent1 3" xfId="3019" hidden="1"/>
    <cellStyle name="20% - Accent1 3" xfId="3141" hidden="1"/>
    <cellStyle name="20% - Accent1 3" xfId="3610" hidden="1"/>
    <cellStyle name="20% - Accent1 3" xfId="3883" hidden="1"/>
    <cellStyle name="20% - Accent1 3" xfId="4065" hidden="1"/>
    <cellStyle name="20% - Accent1 3" xfId="4247" hidden="1"/>
    <cellStyle name="20% - Accent1 3" xfId="3244" hidden="1"/>
    <cellStyle name="20% - Accent1 3" xfId="4582" hidden="1"/>
    <cellStyle name="20% - Accent1 3" xfId="4743" hidden="1"/>
    <cellStyle name="20% - Accent1 3" xfId="4895" hidden="1"/>
    <cellStyle name="20% - Accent1 3" xfId="4481" hidden="1"/>
    <cellStyle name="20% - Accent1 3" xfId="3382" hidden="1"/>
    <cellStyle name="20% - Accent1 3" xfId="5154" hidden="1"/>
    <cellStyle name="20% - Accent1 3" xfId="5304" hidden="1"/>
    <cellStyle name="20% - Accent1 3" xfId="5328" hidden="1"/>
    <cellStyle name="20% - Accent1 3" xfId="3535" hidden="1"/>
    <cellStyle name="20% - Accent1 3" xfId="5552" hidden="1"/>
    <cellStyle name="20% - Accent1 3" xfId="5689" hidden="1"/>
    <cellStyle name="20% - Accent1 3" xfId="3762" hidden="1"/>
    <cellStyle name="20% - Accent1 3" xfId="4535" hidden="1"/>
    <cellStyle name="20% - Accent1 3" xfId="5910" hidden="1"/>
    <cellStyle name="20% - Accent1 3" xfId="6040" hidden="1"/>
    <cellStyle name="20% - Accent1 3" xfId="6063" hidden="1"/>
    <cellStyle name="20% - Accent1 3" xfId="3372" hidden="1"/>
    <cellStyle name="20% - Accent1 3" xfId="6247" hidden="1"/>
    <cellStyle name="20% - Accent1 3" xfId="6369" hidden="1"/>
    <cellStyle name="20% - Accent1 4" xfId="574" hidden="1"/>
    <cellStyle name="20% - Accent1 4" xfId="889" hidden="1"/>
    <cellStyle name="20% - Accent1 4" xfId="1073" hidden="1"/>
    <cellStyle name="20% - Accent1 4" xfId="1255" hidden="1"/>
    <cellStyle name="20% - Accent1 4" xfId="1664" hidden="1"/>
    <cellStyle name="20% - Accent1 4" xfId="1879" hidden="1"/>
    <cellStyle name="20% - Accent1 4" xfId="2062" hidden="1"/>
    <cellStyle name="20% - Accent1 4" xfId="2244" hidden="1"/>
    <cellStyle name="20% - Accent1 4" xfId="2421" hidden="1"/>
    <cellStyle name="20% - Accent1 4" xfId="2582" hidden="1"/>
    <cellStyle name="20% - Accent1 4" xfId="2714" hidden="1"/>
    <cellStyle name="20% - Accent1 4" xfId="2844" hidden="1"/>
    <cellStyle name="20% - Accent1 4" xfId="1577" hidden="1"/>
    <cellStyle name="20% - Accent1 4" xfId="2928" hidden="1"/>
    <cellStyle name="20% - Accent1 4" xfId="3050" hidden="1"/>
    <cellStyle name="20% - Accent1 4" xfId="3172" hidden="1"/>
    <cellStyle name="20% - Accent1 4" xfId="3645" hidden="1"/>
    <cellStyle name="20% - Accent1 4" xfId="3918" hidden="1"/>
    <cellStyle name="20% - Accent1 4" xfId="4100" hidden="1"/>
    <cellStyle name="20% - Accent1 4" xfId="4282" hidden="1"/>
    <cellStyle name="20% - Accent1 4" xfId="3228" hidden="1"/>
    <cellStyle name="20% - Accent1 4" xfId="4615" hidden="1"/>
    <cellStyle name="20% - Accent1 4" xfId="4775" hidden="1"/>
    <cellStyle name="20% - Accent1 4" xfId="4928" hidden="1"/>
    <cellStyle name="20% - Accent1 4" xfId="3368" hidden="1"/>
    <cellStyle name="20% - Accent1 4" xfId="5032" hidden="1"/>
    <cellStyle name="20% - Accent1 4" xfId="5186" hidden="1"/>
    <cellStyle name="20% - Accent1 4" xfId="5337" hidden="1"/>
    <cellStyle name="20% - Accent1 4" xfId="3362" hidden="1"/>
    <cellStyle name="20% - Accent1 4" xfId="5441" hidden="1"/>
    <cellStyle name="20% - Accent1 4" xfId="5584" hidden="1"/>
    <cellStyle name="20% - Accent1 4" xfId="5721" hidden="1"/>
    <cellStyle name="20% - Accent1 4" xfId="3731" hidden="1"/>
    <cellStyle name="20% - Accent1 4" xfId="5810" hidden="1"/>
    <cellStyle name="20% - Accent1 4" xfId="5942" hidden="1"/>
    <cellStyle name="20% - Accent1 4" xfId="6072" hidden="1"/>
    <cellStyle name="20% - Accent1 4" xfId="5394" hidden="1"/>
    <cellStyle name="20% - Accent1 4" xfId="6156" hidden="1"/>
    <cellStyle name="20% - Accent1 4" xfId="6278" hidden="1"/>
    <cellStyle name="20% - Accent1 4" xfId="6400" hidden="1"/>
    <cellStyle name="20% - Accent1 5" xfId="605" hidden="1"/>
    <cellStyle name="20% - Accent1 5" xfId="920" hidden="1"/>
    <cellStyle name="20% - Accent1 5" xfId="1104" hidden="1"/>
    <cellStyle name="20% - Accent1 5" xfId="1286" hidden="1"/>
    <cellStyle name="20% - Accent1 5" xfId="1695" hidden="1"/>
    <cellStyle name="20% - Accent1 5" xfId="1910" hidden="1"/>
    <cellStyle name="20% - Accent1 5" xfId="2093" hidden="1"/>
    <cellStyle name="20% - Accent1 5" xfId="2275" hidden="1"/>
    <cellStyle name="20% - Accent1 5" xfId="2452" hidden="1"/>
    <cellStyle name="20% - Accent1 5" xfId="2613" hidden="1"/>
    <cellStyle name="20% - Accent1 5" xfId="2745" hidden="1"/>
    <cellStyle name="20% - Accent1 5" xfId="2875" hidden="1"/>
    <cellStyle name="20% - Accent1 5" xfId="1413" hidden="1"/>
    <cellStyle name="20% - Accent1 5" xfId="2959" hidden="1"/>
    <cellStyle name="20% - Accent1 5" xfId="3081" hidden="1"/>
    <cellStyle name="20% - Accent1 5" xfId="3203" hidden="1"/>
    <cellStyle name="20% - Accent1 5" xfId="3676" hidden="1"/>
    <cellStyle name="20% - Accent1 5" xfId="3949" hidden="1"/>
    <cellStyle name="20% - Accent1 5" xfId="4131" hidden="1"/>
    <cellStyle name="20% - Accent1 5" xfId="4313" hidden="1"/>
    <cellStyle name="20% - Accent1 5" xfId="4406" hidden="1"/>
    <cellStyle name="20% - Accent1 5" xfId="4646" hidden="1"/>
    <cellStyle name="20% - Accent1 5" xfId="4806" hidden="1"/>
    <cellStyle name="20% - Accent1 5" xfId="4959" hidden="1"/>
    <cellStyle name="20% - Accent1 5" xfId="4538" hidden="1"/>
    <cellStyle name="20% - Accent1 5" xfId="5063" hidden="1"/>
    <cellStyle name="20% - Accent1 5" xfId="5217" hidden="1"/>
    <cellStyle name="20% - Accent1 5" xfId="5368" hidden="1"/>
    <cellStyle name="20% - Accent1 5" xfId="3355" hidden="1"/>
    <cellStyle name="20% - Accent1 5" xfId="5472" hidden="1"/>
    <cellStyle name="20% - Accent1 5" xfId="5615" hidden="1"/>
    <cellStyle name="20% - Accent1 5" xfId="5752" hidden="1"/>
    <cellStyle name="20% - Accent1 5" xfId="4703" hidden="1"/>
    <cellStyle name="20% - Accent1 5" xfId="5841" hidden="1"/>
    <cellStyle name="20% - Accent1 5" xfId="5973" hidden="1"/>
    <cellStyle name="20% - Accent1 5" xfId="6103" hidden="1"/>
    <cellStyle name="20% - Accent1 5" xfId="3465" hidden="1"/>
    <cellStyle name="20% - Accent1 5" xfId="6187" hidden="1"/>
    <cellStyle name="20% - Accent1 5" xfId="6309" hidden="1"/>
    <cellStyle name="20% - Accent1 5" xfId="6431" hidden="1"/>
    <cellStyle name="20% - Accent2" xfId="2" builtinId="34" customBuiltin="1"/>
    <cellStyle name="20% - Accent2 2" xfId="512" hidden="1"/>
    <cellStyle name="20% - Accent2 2" xfId="827" hidden="1"/>
    <cellStyle name="20% - Accent2 2" xfId="1011" hidden="1"/>
    <cellStyle name="20% - Accent2 2" xfId="1193" hidden="1"/>
    <cellStyle name="20% - Accent2 2" xfId="1602" hidden="1"/>
    <cellStyle name="20% - Accent2 2" xfId="1817" hidden="1"/>
    <cellStyle name="20% - Accent2 2" xfId="2000" hidden="1"/>
    <cellStyle name="20% - Accent2 2" xfId="2182" hidden="1"/>
    <cellStyle name="20% - Accent2 2" xfId="2362" hidden="1"/>
    <cellStyle name="20% - Accent2 2" xfId="2523" hidden="1"/>
    <cellStyle name="20% - Accent2 2" xfId="2655" hidden="1"/>
    <cellStyle name="20% - Accent2 2" xfId="2785" hidden="1"/>
    <cellStyle name="20% - Accent2 2" xfId="1389" hidden="1"/>
    <cellStyle name="20% - Accent2 2" xfId="1399" hidden="1"/>
    <cellStyle name="20% - Accent2 2" xfId="2992" hidden="1"/>
    <cellStyle name="20% - Accent2 2" xfId="3114" hidden="1"/>
    <cellStyle name="20% - Accent2 2" xfId="3583" hidden="1"/>
    <cellStyle name="20% - Accent2 2" xfId="3856" hidden="1"/>
    <cellStyle name="20% - Accent2 2" xfId="4038" hidden="1"/>
    <cellStyle name="20% - Accent2 2" xfId="4220" hidden="1"/>
    <cellStyle name="20% - Accent2 2" xfId="3379" hidden="1"/>
    <cellStyle name="20% - Accent2 2" xfId="4555" hidden="1"/>
    <cellStyle name="20% - Accent2 2" xfId="4716" hidden="1"/>
    <cellStyle name="20% - Accent2 2" xfId="4868" hidden="1"/>
    <cellStyle name="20% - Accent2 2" xfId="3469" hidden="1"/>
    <cellStyle name="20% - Accent2 2" xfId="3314" hidden="1"/>
    <cellStyle name="20% - Accent2 2" xfId="5127" hidden="1"/>
    <cellStyle name="20% - Accent2 2" xfId="5277" hidden="1"/>
    <cellStyle name="20% - Accent2 2" xfId="3305" hidden="1"/>
    <cellStyle name="20% - Accent2 2" xfId="3452" hidden="1"/>
    <cellStyle name="20% - Accent2 2" xfId="5525" hidden="1"/>
    <cellStyle name="20% - Accent2 2" xfId="5662" hidden="1"/>
    <cellStyle name="20% - Accent2 2" xfId="5241" hidden="1"/>
    <cellStyle name="20% - Accent2 2" xfId="4986" hidden="1"/>
    <cellStyle name="20% - Accent2 2" xfId="5883" hidden="1"/>
    <cellStyle name="20% - Accent2 2" xfId="6013" hidden="1"/>
    <cellStyle name="20% - Accent2 2" xfId="4527" hidden="1"/>
    <cellStyle name="20% - Accent2 2" xfId="4993" hidden="1"/>
    <cellStyle name="20% - Accent2 2" xfId="6220" hidden="1"/>
    <cellStyle name="20% - Accent2 2" xfId="6342" hidden="1"/>
    <cellStyle name="20% - Accent2 3" xfId="543" hidden="1"/>
    <cellStyle name="20% - Accent2 3" xfId="858" hidden="1"/>
    <cellStyle name="20% - Accent2 3" xfId="1042" hidden="1"/>
    <cellStyle name="20% - Accent2 3" xfId="1224" hidden="1"/>
    <cellStyle name="20% - Accent2 3" xfId="1633" hidden="1"/>
    <cellStyle name="20% - Accent2 3" xfId="1848" hidden="1"/>
    <cellStyle name="20% - Accent2 3" xfId="2031" hidden="1"/>
    <cellStyle name="20% - Accent2 3" xfId="2213" hidden="1"/>
    <cellStyle name="20% - Accent2 3" xfId="2393" hidden="1"/>
    <cellStyle name="20% - Accent2 3" xfId="2554" hidden="1"/>
    <cellStyle name="20% - Accent2 3" xfId="2686" hidden="1"/>
    <cellStyle name="20% - Accent2 3" xfId="2816" hidden="1"/>
    <cellStyle name="20% - Accent2 3" xfId="2349" hidden="1"/>
    <cellStyle name="20% - Accent2 3" xfId="2901" hidden="1"/>
    <cellStyle name="20% - Accent2 3" xfId="3023" hidden="1"/>
    <cellStyle name="20% - Accent2 3" xfId="3145" hidden="1"/>
    <cellStyle name="20% - Accent2 3" xfId="3614" hidden="1"/>
    <cellStyle name="20% - Accent2 3" xfId="3887" hidden="1"/>
    <cellStyle name="20% - Accent2 3" xfId="4069" hidden="1"/>
    <cellStyle name="20% - Accent2 3" xfId="4251" hidden="1"/>
    <cellStyle name="20% - Accent2 3" xfId="3240" hidden="1"/>
    <cellStyle name="20% - Accent2 3" xfId="4586" hidden="1"/>
    <cellStyle name="20% - Accent2 3" xfId="4747" hidden="1"/>
    <cellStyle name="20% - Accent2 3" xfId="4899" hidden="1"/>
    <cellStyle name="20% - Accent2 3" xfId="4919" hidden="1"/>
    <cellStyle name="20% - Accent2 3" xfId="3338" hidden="1"/>
    <cellStyle name="20% - Accent2 3" xfId="5158" hidden="1"/>
    <cellStyle name="20% - Accent2 3" xfId="5308" hidden="1"/>
    <cellStyle name="20% - Accent2 3" xfId="3423" hidden="1"/>
    <cellStyle name="20% - Accent2 3" xfId="5413" hidden="1"/>
    <cellStyle name="20% - Accent2 3" xfId="5556" hidden="1"/>
    <cellStyle name="20% - Accent2 3" xfId="5693" hidden="1"/>
    <cellStyle name="20% - Accent2 3" xfId="5712" hidden="1"/>
    <cellStyle name="20% - Accent2 3" xfId="3298" hidden="1"/>
    <cellStyle name="20% - Accent2 3" xfId="5914" hidden="1"/>
    <cellStyle name="20% - Accent2 3" xfId="6044" hidden="1"/>
    <cellStyle name="20% - Accent2 3" xfId="5114" hidden="1"/>
    <cellStyle name="20% - Accent2 3" xfId="6129" hidden="1"/>
    <cellStyle name="20% - Accent2 3" xfId="6251" hidden="1"/>
    <cellStyle name="20% - Accent2 3" xfId="6373" hidden="1"/>
    <cellStyle name="20% - Accent2 4" xfId="578" hidden="1"/>
    <cellStyle name="20% - Accent2 4" xfId="893" hidden="1"/>
    <cellStyle name="20% - Accent2 4" xfId="1077" hidden="1"/>
    <cellStyle name="20% - Accent2 4" xfId="1259" hidden="1"/>
    <cellStyle name="20% - Accent2 4" xfId="1668" hidden="1"/>
    <cellStyle name="20% - Accent2 4" xfId="1883" hidden="1"/>
    <cellStyle name="20% - Accent2 4" xfId="2066" hidden="1"/>
    <cellStyle name="20% - Accent2 4" xfId="2248" hidden="1"/>
    <cellStyle name="20% - Accent2 4" xfId="2425" hidden="1"/>
    <cellStyle name="20% - Accent2 4" xfId="2586" hidden="1"/>
    <cellStyle name="20% - Accent2 4" xfId="2718" hidden="1"/>
    <cellStyle name="20% - Accent2 4" xfId="2848" hidden="1"/>
    <cellStyle name="20% - Accent2 4" xfId="2495" hidden="1"/>
    <cellStyle name="20% - Accent2 4" xfId="2932" hidden="1"/>
    <cellStyle name="20% - Accent2 4" xfId="3054" hidden="1"/>
    <cellStyle name="20% - Accent2 4" xfId="3176" hidden="1"/>
    <cellStyle name="20% - Accent2 4" xfId="3649" hidden="1"/>
    <cellStyle name="20% - Accent2 4" xfId="3922" hidden="1"/>
    <cellStyle name="20% - Accent2 4" xfId="4104" hidden="1"/>
    <cellStyle name="20% - Accent2 4" xfId="4286" hidden="1"/>
    <cellStyle name="20% - Accent2 4" xfId="3716" hidden="1"/>
    <cellStyle name="20% - Accent2 4" xfId="4619" hidden="1"/>
    <cellStyle name="20% - Accent2 4" xfId="4779" hidden="1"/>
    <cellStyle name="20% - Accent2 4" xfId="4932" hidden="1"/>
    <cellStyle name="20% - Accent2 4" xfId="3496" hidden="1"/>
    <cellStyle name="20% - Accent2 4" xfId="5036" hidden="1"/>
    <cellStyle name="20% - Accent2 4" xfId="5190" hidden="1"/>
    <cellStyle name="20% - Accent2 4" xfId="5341" hidden="1"/>
    <cellStyle name="20% - Accent2 4" xfId="5002" hidden="1"/>
    <cellStyle name="20% - Accent2 4" xfId="5445" hidden="1"/>
    <cellStyle name="20% - Accent2 4" xfId="5588" hidden="1"/>
    <cellStyle name="20% - Accent2 4" xfId="5725" hidden="1"/>
    <cellStyle name="20% - Accent2 4" xfId="5011" hidden="1"/>
    <cellStyle name="20% - Accent2 4" xfId="5814" hidden="1"/>
    <cellStyle name="20% - Accent2 4" xfId="5946" hidden="1"/>
    <cellStyle name="20% - Accent2 4" xfId="6076" hidden="1"/>
    <cellStyle name="20% - Accent2 4" xfId="5784" hidden="1"/>
    <cellStyle name="20% - Accent2 4" xfId="6160" hidden="1"/>
    <cellStyle name="20% - Accent2 4" xfId="6282" hidden="1"/>
    <cellStyle name="20% - Accent2 4" xfId="6404" hidden="1"/>
    <cellStyle name="20% - Accent2 5" xfId="609" hidden="1"/>
    <cellStyle name="20% - Accent2 5" xfId="924" hidden="1"/>
    <cellStyle name="20% - Accent2 5" xfId="1108" hidden="1"/>
    <cellStyle name="20% - Accent2 5" xfId="1290" hidden="1"/>
    <cellStyle name="20% - Accent2 5" xfId="1699" hidden="1"/>
    <cellStyle name="20% - Accent2 5" xfId="1914" hidden="1"/>
    <cellStyle name="20% - Accent2 5" xfId="2097" hidden="1"/>
    <cellStyle name="20% - Accent2 5" xfId="2279" hidden="1"/>
    <cellStyle name="20% - Accent2 5" xfId="2456" hidden="1"/>
    <cellStyle name="20% - Accent2 5" xfId="2617" hidden="1"/>
    <cellStyle name="20% - Accent2 5" xfId="2749" hidden="1"/>
    <cellStyle name="20% - Accent2 5" xfId="2879" hidden="1"/>
    <cellStyle name="20% - Accent2 5" xfId="1365" hidden="1"/>
    <cellStyle name="20% - Accent2 5" xfId="2963" hidden="1"/>
    <cellStyle name="20% - Accent2 5" xfId="3085" hidden="1"/>
    <cellStyle name="20% - Accent2 5" xfId="3207" hidden="1"/>
    <cellStyle name="20% - Accent2 5" xfId="3680" hidden="1"/>
    <cellStyle name="20% - Accent2 5" xfId="3953" hidden="1"/>
    <cellStyle name="20% - Accent2 5" xfId="4135" hidden="1"/>
    <cellStyle name="20% - Accent2 5" xfId="4317" hidden="1"/>
    <cellStyle name="20% - Accent2 5" xfId="4410" hidden="1"/>
    <cellStyle name="20% - Accent2 5" xfId="4650" hidden="1"/>
    <cellStyle name="20% - Accent2 5" xfId="4810" hidden="1"/>
    <cellStyle name="20% - Accent2 5" xfId="4963" hidden="1"/>
    <cellStyle name="20% - Accent2 5" xfId="3810" hidden="1"/>
    <cellStyle name="20% - Accent2 5" xfId="5067" hidden="1"/>
    <cellStyle name="20% - Accent2 5" xfId="5221" hidden="1"/>
    <cellStyle name="20% - Accent2 5" xfId="5372" hidden="1"/>
    <cellStyle name="20% - Accent2 5" xfId="4521" hidden="1"/>
    <cellStyle name="20% - Accent2 5" xfId="5476" hidden="1"/>
    <cellStyle name="20% - Accent2 5" xfId="5619" hidden="1"/>
    <cellStyle name="20% - Accent2 5" xfId="5756" hidden="1"/>
    <cellStyle name="20% - Accent2 5" xfId="3288" hidden="1"/>
    <cellStyle name="20% - Accent2 5" xfId="5845" hidden="1"/>
    <cellStyle name="20% - Accent2 5" xfId="5977" hidden="1"/>
    <cellStyle name="20% - Accent2 5" xfId="6107" hidden="1"/>
    <cellStyle name="20% - Accent2 5" xfId="3263" hidden="1"/>
    <cellStyle name="20% - Accent2 5" xfId="6191" hidden="1"/>
    <cellStyle name="20% - Accent2 5" xfId="6313" hidden="1"/>
    <cellStyle name="20% - Accent2 5" xfId="6435" hidden="1"/>
    <cellStyle name="20% - Accent3" xfId="3" builtinId="38" customBuiltin="1"/>
    <cellStyle name="20% - Accent3 2" xfId="516" hidden="1"/>
    <cellStyle name="20% - Accent3 2" xfId="831" hidden="1"/>
    <cellStyle name="20% - Accent3 2" xfId="1015" hidden="1"/>
    <cellStyle name="20% - Accent3 2" xfId="1197" hidden="1"/>
    <cellStyle name="20% - Accent3 2" xfId="1606" hidden="1"/>
    <cellStyle name="20% - Accent3 2" xfId="1821" hidden="1"/>
    <cellStyle name="20% - Accent3 2" xfId="2004" hidden="1"/>
    <cellStyle name="20% - Accent3 2" xfId="2186" hidden="1"/>
    <cellStyle name="20% - Accent3 2" xfId="2366" hidden="1"/>
    <cellStyle name="20% - Accent3 2" xfId="2527" hidden="1"/>
    <cellStyle name="20% - Accent3 2" xfId="2659" hidden="1"/>
    <cellStyle name="20% - Accent3 2" xfId="2789" hidden="1"/>
    <cellStyle name="20% - Accent3 2" xfId="2496" hidden="1"/>
    <cellStyle name="20% - Accent3 2" xfId="2483" hidden="1"/>
    <cellStyle name="20% - Accent3 2" xfId="2996" hidden="1"/>
    <cellStyle name="20% - Accent3 2" xfId="3118" hidden="1"/>
    <cellStyle name="20% - Accent3 2" xfId="3587" hidden="1"/>
    <cellStyle name="20% - Accent3 2" xfId="3860" hidden="1"/>
    <cellStyle name="20% - Accent3 2" xfId="4042" hidden="1"/>
    <cellStyle name="20% - Accent3 2" xfId="4224" hidden="1"/>
    <cellStyle name="20% - Accent3 2" xfId="3742" hidden="1"/>
    <cellStyle name="20% - Accent3 2" xfId="4559" hidden="1"/>
    <cellStyle name="20% - Accent3 2" xfId="4720" hidden="1"/>
    <cellStyle name="20% - Accent3 2" xfId="4872" hidden="1"/>
    <cellStyle name="20% - Accent3 2" xfId="3400" hidden="1"/>
    <cellStyle name="20% - Accent3 2" xfId="3391" hidden="1"/>
    <cellStyle name="20% - Accent3 2" xfId="5131" hidden="1"/>
    <cellStyle name="20% - Accent3 2" xfId="5281" hidden="1"/>
    <cellStyle name="20% - Accent3 2" xfId="4686" hidden="1"/>
    <cellStyle name="20% - Accent3 2" xfId="3350" hidden="1"/>
    <cellStyle name="20% - Accent3 2" xfId="5529" hidden="1"/>
    <cellStyle name="20% - Accent3 2" xfId="5666" hidden="1"/>
    <cellStyle name="20% - Accent3 2" xfId="4605" hidden="1"/>
    <cellStyle name="20% - Accent3 2" xfId="4483" hidden="1"/>
    <cellStyle name="20% - Accent3 2" xfId="5887" hidden="1"/>
    <cellStyle name="20% - Accent3 2" xfId="6017" hidden="1"/>
    <cellStyle name="20% - Accent3 2" xfId="5504" hidden="1"/>
    <cellStyle name="20% - Accent3 2" xfId="4846" hidden="1"/>
    <cellStyle name="20% - Accent3 2" xfId="6224" hidden="1"/>
    <cellStyle name="20% - Accent3 2" xfId="6346" hidden="1"/>
    <cellStyle name="20% - Accent3 3" xfId="547" hidden="1"/>
    <cellStyle name="20% - Accent3 3" xfId="862" hidden="1"/>
    <cellStyle name="20% - Accent3 3" xfId="1046" hidden="1"/>
    <cellStyle name="20% - Accent3 3" xfId="1228" hidden="1"/>
    <cellStyle name="20% - Accent3 3" xfId="1637" hidden="1"/>
    <cellStyle name="20% - Accent3 3" xfId="1852" hidden="1"/>
    <cellStyle name="20% - Accent3 3" xfId="2035" hidden="1"/>
    <cellStyle name="20% - Accent3 3" xfId="2217" hidden="1"/>
    <cellStyle name="20% - Accent3 3" xfId="2397" hidden="1"/>
    <cellStyle name="20% - Accent3 3" xfId="2558" hidden="1"/>
    <cellStyle name="20% - Accent3 3" xfId="2690" hidden="1"/>
    <cellStyle name="20% - Accent3 3" xfId="2820" hidden="1"/>
    <cellStyle name="20% - Accent3 3" xfId="2500" hidden="1"/>
    <cellStyle name="20% - Accent3 3" xfId="2905" hidden="1"/>
    <cellStyle name="20% - Accent3 3" xfId="3027" hidden="1"/>
    <cellStyle name="20% - Accent3 3" xfId="3149" hidden="1"/>
    <cellStyle name="20% - Accent3 3" xfId="3618" hidden="1"/>
    <cellStyle name="20% - Accent3 3" xfId="3891" hidden="1"/>
    <cellStyle name="20% - Accent3 3" xfId="4073" hidden="1"/>
    <cellStyle name="20% - Accent3 3" xfId="4255" hidden="1"/>
    <cellStyle name="20% - Accent3 3" xfId="3236" hidden="1"/>
    <cellStyle name="20% - Accent3 3" xfId="4590" hidden="1"/>
    <cellStyle name="20% - Accent3 3" xfId="4751" hidden="1"/>
    <cellStyle name="20% - Accent3 3" xfId="4903" hidden="1"/>
    <cellStyle name="20% - Accent3 3" xfId="3755" hidden="1"/>
    <cellStyle name="20% - Accent3 3" xfId="3546" hidden="1"/>
    <cellStyle name="20% - Accent3 3" xfId="5162" hidden="1"/>
    <cellStyle name="20% - Accent3 3" xfId="5312" hidden="1"/>
    <cellStyle name="20% - Accent3 3" xfId="4684" hidden="1"/>
    <cellStyle name="20% - Accent3 3" xfId="5417" hidden="1"/>
    <cellStyle name="20% - Accent3 3" xfId="5560" hidden="1"/>
    <cellStyle name="20% - Accent3 3" xfId="5697" hidden="1"/>
    <cellStyle name="20% - Accent3 3" xfId="4840" hidden="1"/>
    <cellStyle name="20% - Accent3 3" xfId="3518" hidden="1"/>
    <cellStyle name="20% - Accent3 3" xfId="5918" hidden="1"/>
    <cellStyle name="20% - Accent3 3" xfId="6048" hidden="1"/>
    <cellStyle name="20% - Accent3 3" xfId="5503" hidden="1"/>
    <cellStyle name="20% - Accent3 3" xfId="6133" hidden="1"/>
    <cellStyle name="20% - Accent3 3" xfId="6255" hidden="1"/>
    <cellStyle name="20% - Accent3 3" xfId="6377" hidden="1"/>
    <cellStyle name="20% - Accent3 4" xfId="582" hidden="1"/>
    <cellStyle name="20% - Accent3 4" xfId="897" hidden="1"/>
    <cellStyle name="20% - Accent3 4" xfId="1081" hidden="1"/>
    <cellStyle name="20% - Accent3 4" xfId="1263" hidden="1"/>
    <cellStyle name="20% - Accent3 4" xfId="1672" hidden="1"/>
    <cellStyle name="20% - Accent3 4" xfId="1887" hidden="1"/>
    <cellStyle name="20% - Accent3 4" xfId="2070" hidden="1"/>
    <cellStyle name="20% - Accent3 4" xfId="2252" hidden="1"/>
    <cellStyle name="20% - Accent3 4" xfId="2429" hidden="1"/>
    <cellStyle name="20% - Accent3 4" xfId="2590" hidden="1"/>
    <cellStyle name="20% - Accent3 4" xfId="2722" hidden="1"/>
    <cellStyle name="20% - Accent3 4" xfId="2852" hidden="1"/>
    <cellStyle name="20% - Accent3 4" xfId="1746" hidden="1"/>
    <cellStyle name="20% - Accent3 4" xfId="2936" hidden="1"/>
    <cellStyle name="20% - Accent3 4" xfId="3058" hidden="1"/>
    <cellStyle name="20% - Accent3 4" xfId="3180" hidden="1"/>
    <cellStyle name="20% - Accent3 4" xfId="3653" hidden="1"/>
    <cellStyle name="20% - Accent3 4" xfId="3926" hidden="1"/>
    <cellStyle name="20% - Accent3 4" xfId="4108" hidden="1"/>
    <cellStyle name="20% - Accent3 4" xfId="4290" hidden="1"/>
    <cellStyle name="20% - Accent3 4" xfId="4383" hidden="1"/>
    <cellStyle name="20% - Accent3 4" xfId="4623" hidden="1"/>
    <cellStyle name="20% - Accent3 4" xfId="4783" hidden="1"/>
    <cellStyle name="20% - Accent3 4" xfId="4936" hidden="1"/>
    <cellStyle name="20% - Accent3 4" xfId="4466" hidden="1"/>
    <cellStyle name="20% - Accent3 4" xfId="5040" hidden="1"/>
    <cellStyle name="20% - Accent3 4" xfId="5194" hidden="1"/>
    <cellStyle name="20% - Accent3 4" xfId="5345" hidden="1"/>
    <cellStyle name="20% - Accent3 4" xfId="3323" hidden="1"/>
    <cellStyle name="20% - Accent3 4" xfId="5449" hidden="1"/>
    <cellStyle name="20% - Accent3 4" xfId="5592" hidden="1"/>
    <cellStyle name="20% - Accent3 4" xfId="5729" hidden="1"/>
    <cellStyle name="20% - Accent3 4" xfId="5259" hidden="1"/>
    <cellStyle name="20% - Accent3 4" xfId="5818" hidden="1"/>
    <cellStyle name="20% - Accent3 4" xfId="5950" hidden="1"/>
    <cellStyle name="20% - Accent3 4" xfId="6080" hidden="1"/>
    <cellStyle name="20% - Accent3 4" xfId="4670" hidden="1"/>
    <cellStyle name="20% - Accent3 4" xfId="6164" hidden="1"/>
    <cellStyle name="20% - Accent3 4" xfId="6286" hidden="1"/>
    <cellStyle name="20% - Accent3 4" xfId="6408" hidden="1"/>
    <cellStyle name="20% - Accent3 5" xfId="613" hidden="1"/>
    <cellStyle name="20% - Accent3 5" xfId="928" hidden="1"/>
    <cellStyle name="20% - Accent3 5" xfId="1112" hidden="1"/>
    <cellStyle name="20% - Accent3 5" xfId="1294" hidden="1"/>
    <cellStyle name="20% - Accent3 5" xfId="1703" hidden="1"/>
    <cellStyle name="20% - Accent3 5" xfId="1918" hidden="1"/>
    <cellStyle name="20% - Accent3 5" xfId="2101" hidden="1"/>
    <cellStyle name="20% - Accent3 5" xfId="2283" hidden="1"/>
    <cellStyle name="20% - Accent3 5" xfId="2460" hidden="1"/>
    <cellStyle name="20% - Accent3 5" xfId="2621" hidden="1"/>
    <cellStyle name="20% - Accent3 5" xfId="2753" hidden="1"/>
    <cellStyle name="20% - Accent3 5" xfId="2883" hidden="1"/>
    <cellStyle name="20% - Accent3 5" xfId="1571" hidden="1"/>
    <cellStyle name="20% - Accent3 5" xfId="2967" hidden="1"/>
    <cellStyle name="20% - Accent3 5" xfId="3089" hidden="1"/>
    <cellStyle name="20% - Accent3 5" xfId="3211" hidden="1"/>
    <cellStyle name="20% - Accent3 5" xfId="3684" hidden="1"/>
    <cellStyle name="20% - Accent3 5" xfId="3957" hidden="1"/>
    <cellStyle name="20% - Accent3 5" xfId="4139" hidden="1"/>
    <cellStyle name="20% - Accent3 5" xfId="4321" hidden="1"/>
    <cellStyle name="20% - Accent3 5" xfId="4414" hidden="1"/>
    <cellStyle name="20% - Accent3 5" xfId="4654" hidden="1"/>
    <cellStyle name="20% - Accent3 5" xfId="4814" hidden="1"/>
    <cellStyle name="20% - Accent3 5" xfId="4967" hidden="1"/>
    <cellStyle name="20% - Accent3 5" xfId="3726" hidden="1"/>
    <cellStyle name="20% - Accent3 5" xfId="5071" hidden="1"/>
    <cellStyle name="20% - Accent3 5" xfId="5225" hidden="1"/>
    <cellStyle name="20% - Accent3 5" xfId="5376" hidden="1"/>
    <cellStyle name="20% - Accent3 5" xfId="4982" hidden="1"/>
    <cellStyle name="20% - Accent3 5" xfId="5480" hidden="1"/>
    <cellStyle name="20% - Accent3 5" xfId="5623" hidden="1"/>
    <cellStyle name="20% - Accent3 5" xfId="5760" hidden="1"/>
    <cellStyle name="20% - Accent3 5" xfId="3274" hidden="1"/>
    <cellStyle name="20% - Accent3 5" xfId="5849" hidden="1"/>
    <cellStyle name="20% - Accent3 5" xfId="5981" hidden="1"/>
    <cellStyle name="20% - Accent3 5" xfId="6111" hidden="1"/>
    <cellStyle name="20% - Accent3 5" xfId="5775" hidden="1"/>
    <cellStyle name="20% - Accent3 5" xfId="6195" hidden="1"/>
    <cellStyle name="20% - Accent3 5" xfId="6317" hidden="1"/>
    <cellStyle name="20% - Accent3 5" xfId="6439" hidden="1"/>
    <cellStyle name="20% - Accent4" xfId="4" builtinId="42" customBuiltin="1"/>
    <cellStyle name="20% - Accent4 2" xfId="520" hidden="1"/>
    <cellStyle name="20% - Accent4 2" xfId="835" hidden="1"/>
    <cellStyle name="20% - Accent4 2" xfId="1019" hidden="1"/>
    <cellStyle name="20% - Accent4 2" xfId="1201" hidden="1"/>
    <cellStyle name="20% - Accent4 2" xfId="1610" hidden="1"/>
    <cellStyle name="20% - Accent4 2" xfId="1825" hidden="1"/>
    <cellStyle name="20% - Accent4 2" xfId="2008" hidden="1"/>
    <cellStyle name="20% - Accent4 2" xfId="2190" hidden="1"/>
    <cellStyle name="20% - Accent4 2" xfId="2370" hidden="1"/>
    <cellStyle name="20% - Accent4 2" xfId="2531" hidden="1"/>
    <cellStyle name="20% - Accent4 2" xfId="2663" hidden="1"/>
    <cellStyle name="20% - Accent4 2" xfId="2793" hidden="1"/>
    <cellStyle name="20% - Accent4 2" xfId="1575" hidden="1"/>
    <cellStyle name="20% - Accent4 2" xfId="1732" hidden="1"/>
    <cellStyle name="20% - Accent4 2" xfId="3000" hidden="1"/>
    <cellStyle name="20% - Accent4 2" xfId="3122" hidden="1"/>
    <cellStyle name="20% - Accent4 2" xfId="3591" hidden="1"/>
    <cellStyle name="20% - Accent4 2" xfId="3864" hidden="1"/>
    <cellStyle name="20% - Accent4 2" xfId="4046" hidden="1"/>
    <cellStyle name="20% - Accent4 2" xfId="4228" hidden="1"/>
    <cellStyle name="20% - Accent4 2" xfId="3342" hidden="1"/>
    <cellStyle name="20% - Accent4 2" xfId="4563" hidden="1"/>
    <cellStyle name="20% - Accent4 2" xfId="4724" hidden="1"/>
    <cellStyle name="20% - Accent4 2" xfId="4876" hidden="1"/>
    <cellStyle name="20% - Accent4 2" xfId="4467" hidden="1"/>
    <cellStyle name="20% - Accent4 2" xfId="3375" hidden="1"/>
    <cellStyle name="20% - Accent4 2" xfId="5135" hidden="1"/>
    <cellStyle name="20% - Accent4 2" xfId="5285" hidden="1"/>
    <cellStyle name="20% - Accent4 2" xfId="4838" hidden="1"/>
    <cellStyle name="20% - Accent4 2" xfId="3354" hidden="1"/>
    <cellStyle name="20% - Accent4 2" xfId="5533" hidden="1"/>
    <cellStyle name="20% - Accent4 2" xfId="5670" hidden="1"/>
    <cellStyle name="20% - Accent4 2" xfId="5105" hidden="1"/>
    <cellStyle name="20% - Accent4 2" xfId="4432" hidden="1"/>
    <cellStyle name="20% - Accent4 2" xfId="5891" hidden="1"/>
    <cellStyle name="20% - Accent4 2" xfId="6021" hidden="1"/>
    <cellStyle name="20% - Accent4 2" xfId="5643" hidden="1"/>
    <cellStyle name="20% - Accent4 2" xfId="3310" hidden="1"/>
    <cellStyle name="20% - Accent4 2" xfId="6228" hidden="1"/>
    <cellStyle name="20% - Accent4 2" xfId="6350" hidden="1"/>
    <cellStyle name="20% - Accent4 3" xfId="551" hidden="1"/>
    <cellStyle name="20% - Accent4 3" xfId="866" hidden="1"/>
    <cellStyle name="20% - Accent4 3" xfId="1050" hidden="1"/>
    <cellStyle name="20% - Accent4 3" xfId="1232" hidden="1"/>
    <cellStyle name="20% - Accent4 3" xfId="1641" hidden="1"/>
    <cellStyle name="20% - Accent4 3" xfId="1856" hidden="1"/>
    <cellStyle name="20% - Accent4 3" xfId="2039" hidden="1"/>
    <cellStyle name="20% - Accent4 3" xfId="2221" hidden="1"/>
    <cellStyle name="20% - Accent4 3" xfId="2401" hidden="1"/>
    <cellStyle name="20% - Accent4 3" xfId="2562" hidden="1"/>
    <cellStyle name="20% - Accent4 3" xfId="2694" hidden="1"/>
    <cellStyle name="20% - Accent4 3" xfId="2824" hidden="1"/>
    <cellStyle name="20% - Accent4 3" xfId="2638" hidden="1"/>
    <cellStyle name="20% - Accent4 3" xfId="2909" hidden="1"/>
    <cellStyle name="20% - Accent4 3" xfId="3031" hidden="1"/>
    <cellStyle name="20% - Accent4 3" xfId="3153" hidden="1"/>
    <cellStyle name="20% - Accent4 3" xfId="3622" hidden="1"/>
    <cellStyle name="20% - Accent4 3" xfId="3895" hidden="1"/>
    <cellStyle name="20% - Accent4 3" xfId="4077" hidden="1"/>
    <cellStyle name="20% - Accent4 3" xfId="4259" hidden="1"/>
    <cellStyle name="20% - Accent4 3" xfId="3232" hidden="1"/>
    <cellStyle name="20% - Accent4 3" xfId="4594" hidden="1"/>
    <cellStyle name="20% - Accent4 3" xfId="4755" hidden="1"/>
    <cellStyle name="20% - Accent4 3" xfId="4907" hidden="1"/>
    <cellStyle name="20% - Accent4 3" xfId="4478" hidden="1"/>
    <cellStyle name="20% - Accent4 3" xfId="5012" hidden="1"/>
    <cellStyle name="20% - Accent4 3" xfId="5166" hidden="1"/>
    <cellStyle name="20% - Accent4 3" xfId="5316" hidden="1"/>
    <cellStyle name="20% - Accent4 3" xfId="5092" hidden="1"/>
    <cellStyle name="20% - Accent4 3" xfId="5421" hidden="1"/>
    <cellStyle name="20% - Accent4 3" xfId="5564" hidden="1"/>
    <cellStyle name="20% - Accent4 3" xfId="5701" hidden="1"/>
    <cellStyle name="20% - Accent4 3" xfId="5103" hidden="1"/>
    <cellStyle name="20% - Accent4 3" xfId="5790" hidden="1"/>
    <cellStyle name="20% - Accent4 3" xfId="5922" hidden="1"/>
    <cellStyle name="20% - Accent4 3" xfId="6052" hidden="1"/>
    <cellStyle name="20% - Accent4 3" xfId="5866" hidden="1"/>
    <cellStyle name="20% - Accent4 3" xfId="6137" hidden="1"/>
    <cellStyle name="20% - Accent4 3" xfId="6259" hidden="1"/>
    <cellStyle name="20% - Accent4 3" xfId="6381" hidden="1"/>
    <cellStyle name="20% - Accent4 4" xfId="586" hidden="1"/>
    <cellStyle name="20% - Accent4 4" xfId="901" hidden="1"/>
    <cellStyle name="20% - Accent4 4" xfId="1085" hidden="1"/>
    <cellStyle name="20% - Accent4 4" xfId="1267" hidden="1"/>
    <cellStyle name="20% - Accent4 4" xfId="1676" hidden="1"/>
    <cellStyle name="20% - Accent4 4" xfId="1891" hidden="1"/>
    <cellStyle name="20% - Accent4 4" xfId="2074" hidden="1"/>
    <cellStyle name="20% - Accent4 4" xfId="2256" hidden="1"/>
    <cellStyle name="20% - Accent4 4" xfId="2433" hidden="1"/>
    <cellStyle name="20% - Accent4 4" xfId="2594" hidden="1"/>
    <cellStyle name="20% - Accent4 4" xfId="2726" hidden="1"/>
    <cellStyle name="20% - Accent4 4" xfId="2856" hidden="1"/>
    <cellStyle name="20% - Accent4 4" xfId="1385" hidden="1"/>
    <cellStyle name="20% - Accent4 4" xfId="2940" hidden="1"/>
    <cellStyle name="20% - Accent4 4" xfId="3062" hidden="1"/>
    <cellStyle name="20% - Accent4 4" xfId="3184" hidden="1"/>
    <cellStyle name="20% - Accent4 4" xfId="3657" hidden="1"/>
    <cellStyle name="20% - Accent4 4" xfId="3930" hidden="1"/>
    <cellStyle name="20% - Accent4 4" xfId="4112" hidden="1"/>
    <cellStyle name="20% - Accent4 4" xfId="4294" hidden="1"/>
    <cellStyle name="20% - Accent4 4" xfId="4387" hidden="1"/>
    <cellStyle name="20% - Accent4 4" xfId="4627" hidden="1"/>
    <cellStyle name="20% - Accent4 4" xfId="4787" hidden="1"/>
    <cellStyle name="20% - Accent4 4" xfId="4940" hidden="1"/>
    <cellStyle name="20% - Accent4 4" xfId="3767" hidden="1"/>
    <cellStyle name="20% - Accent4 4" xfId="5044" hidden="1"/>
    <cellStyle name="20% - Accent4 4" xfId="5198" hidden="1"/>
    <cellStyle name="20% - Accent4 4" xfId="5349" hidden="1"/>
    <cellStyle name="20% - Accent4 4" xfId="3563" hidden="1"/>
    <cellStyle name="20% - Accent4 4" xfId="5453" hidden="1"/>
    <cellStyle name="20% - Accent4 4" xfId="5596" hidden="1"/>
    <cellStyle name="20% - Accent4 4" xfId="5733" hidden="1"/>
    <cellStyle name="20% - Accent4 4" xfId="3555" hidden="1"/>
    <cellStyle name="20% - Accent4 4" xfId="5822" hidden="1"/>
    <cellStyle name="20% - Accent4 4" xfId="5954" hidden="1"/>
    <cellStyle name="20% - Accent4 4" xfId="6084" hidden="1"/>
    <cellStyle name="20% - Accent4 4" xfId="5087" hidden="1"/>
    <cellStyle name="20% - Accent4 4" xfId="6168" hidden="1"/>
    <cellStyle name="20% - Accent4 4" xfId="6290" hidden="1"/>
    <cellStyle name="20% - Accent4 4" xfId="6412" hidden="1"/>
    <cellStyle name="20% - Accent4 5" xfId="617" hidden="1"/>
    <cellStyle name="20% - Accent4 5" xfId="932" hidden="1"/>
    <cellStyle name="20% - Accent4 5" xfId="1116" hidden="1"/>
    <cellStyle name="20% - Accent4 5" xfId="1298" hidden="1"/>
    <cellStyle name="20% - Accent4 5" xfId="1707" hidden="1"/>
    <cellStyle name="20% - Accent4 5" xfId="1922" hidden="1"/>
    <cellStyle name="20% - Accent4 5" xfId="2105" hidden="1"/>
    <cellStyle name="20% - Accent4 5" xfId="2287" hidden="1"/>
    <cellStyle name="20% - Accent4 5" xfId="2464" hidden="1"/>
    <cellStyle name="20% - Accent4 5" xfId="2625" hidden="1"/>
    <cellStyle name="20% - Accent4 5" xfId="2757" hidden="1"/>
    <cellStyle name="20% - Accent4 5" xfId="2887" hidden="1"/>
    <cellStyle name="20% - Accent4 5" xfId="2485" hidden="1"/>
    <cellStyle name="20% - Accent4 5" xfId="2971" hidden="1"/>
    <cellStyle name="20% - Accent4 5" xfId="3093" hidden="1"/>
    <cellStyle name="20% - Accent4 5" xfId="3215" hidden="1"/>
    <cellStyle name="20% - Accent4 5" xfId="3688" hidden="1"/>
    <cellStyle name="20% - Accent4 5" xfId="3961" hidden="1"/>
    <cellStyle name="20% - Accent4 5" xfId="4143" hidden="1"/>
    <cellStyle name="20% - Accent4 5" xfId="4325" hidden="1"/>
    <cellStyle name="20% - Accent4 5" xfId="4418" hidden="1"/>
    <cellStyle name="20% - Accent4 5" xfId="4658" hidden="1"/>
    <cellStyle name="20% - Accent4 5" xfId="4818" hidden="1"/>
    <cellStyle name="20% - Accent4 5" xfId="4971" hidden="1"/>
    <cellStyle name="20% - Accent4 5" xfId="3791" hidden="1"/>
    <cellStyle name="20% - Accent4 5" xfId="5075" hidden="1"/>
    <cellStyle name="20% - Accent4 5" xfId="5229" hidden="1"/>
    <cellStyle name="20% - Accent4 5" xfId="5380" hidden="1"/>
    <cellStyle name="20% - Accent4 5" xfId="3813" hidden="1"/>
    <cellStyle name="20% - Accent4 5" xfId="5484" hidden="1"/>
    <cellStyle name="20% - Accent4 5" xfId="5627" hidden="1"/>
    <cellStyle name="20% - Accent4 5" xfId="5764" hidden="1"/>
    <cellStyle name="20% - Accent4 5" xfId="4484" hidden="1"/>
    <cellStyle name="20% - Accent4 5" xfId="5853" hidden="1"/>
    <cellStyle name="20% - Accent4 5" xfId="5985" hidden="1"/>
    <cellStyle name="20% - Accent4 5" xfId="6115" hidden="1"/>
    <cellStyle name="20% - Accent4 5" xfId="3520" hidden="1"/>
    <cellStyle name="20% - Accent4 5" xfId="6199" hidden="1"/>
    <cellStyle name="20% - Accent4 5" xfId="6321" hidden="1"/>
    <cellStyle name="20% - Accent4 5" xfId="6443" hidden="1"/>
    <cellStyle name="20% - Accent5" xfId="5" builtinId="46" customBuiltin="1"/>
    <cellStyle name="20% - Accent5 2" xfId="524" hidden="1"/>
    <cellStyle name="20% - Accent5 2" xfId="839" hidden="1"/>
    <cellStyle name="20% - Accent5 2" xfId="1023" hidden="1"/>
    <cellStyle name="20% - Accent5 2" xfId="1205" hidden="1"/>
    <cellStyle name="20% - Accent5 2" xfId="1614" hidden="1"/>
    <cellStyle name="20% - Accent5 2" xfId="1829" hidden="1"/>
    <cellStyle name="20% - Accent5 2" xfId="2012" hidden="1"/>
    <cellStyle name="20% - Accent5 2" xfId="2194" hidden="1"/>
    <cellStyle name="20% - Accent5 2" xfId="2374" hidden="1"/>
    <cellStyle name="20% - Accent5 2" xfId="2535" hidden="1"/>
    <cellStyle name="20% - Accent5 2" xfId="2667" hidden="1"/>
    <cellStyle name="20% - Accent5 2" xfId="2797" hidden="1"/>
    <cellStyle name="20% - Accent5 2" xfId="1427" hidden="1"/>
    <cellStyle name="20% - Accent5 2" xfId="1376" hidden="1"/>
    <cellStyle name="20% - Accent5 2" xfId="3004" hidden="1"/>
    <cellStyle name="20% - Accent5 2" xfId="3126" hidden="1"/>
    <cellStyle name="20% - Accent5 2" xfId="3595" hidden="1"/>
    <cellStyle name="20% - Accent5 2" xfId="3868" hidden="1"/>
    <cellStyle name="20% - Accent5 2" xfId="4050" hidden="1"/>
    <cellStyle name="20% - Accent5 2" xfId="4232" hidden="1"/>
    <cellStyle name="20% - Accent5 2" xfId="3722" hidden="1"/>
    <cellStyle name="20% - Accent5 2" xfId="4567" hidden="1"/>
    <cellStyle name="20% - Accent5 2" xfId="4728" hidden="1"/>
    <cellStyle name="20% - Accent5 2" xfId="4880" hidden="1"/>
    <cellStyle name="20% - Accent5 2" xfId="3367" hidden="1"/>
    <cellStyle name="20% - Accent5 2" xfId="4442" hidden="1"/>
    <cellStyle name="20% - Accent5 2" xfId="5139" hidden="1"/>
    <cellStyle name="20% - Accent5 2" xfId="5289" hidden="1"/>
    <cellStyle name="20% - Accent5 2" xfId="4689" hidden="1"/>
    <cellStyle name="20% - Accent5 2" xfId="4674" hidden="1"/>
    <cellStyle name="20% - Accent5 2" xfId="5537" hidden="1"/>
    <cellStyle name="20% - Accent5 2" xfId="5674" hidden="1"/>
    <cellStyle name="20% - Accent5 2" xfId="5248" hidden="1"/>
    <cellStyle name="20% - Accent5 2" xfId="3330" hidden="1"/>
    <cellStyle name="20% - Accent5 2" xfId="5895" hidden="1"/>
    <cellStyle name="20% - Accent5 2" xfId="6025" hidden="1"/>
    <cellStyle name="20% - Accent5 2" xfId="5505" hidden="1"/>
    <cellStyle name="20% - Accent5 2" xfId="5498" hidden="1"/>
    <cellStyle name="20% - Accent5 2" xfId="6232" hidden="1"/>
    <cellStyle name="20% - Accent5 2" xfId="6354" hidden="1"/>
    <cellStyle name="20% - Accent5 3" xfId="555" hidden="1"/>
    <cellStyle name="20% - Accent5 3" xfId="870" hidden="1"/>
    <cellStyle name="20% - Accent5 3" xfId="1054" hidden="1"/>
    <cellStyle name="20% - Accent5 3" xfId="1236" hidden="1"/>
    <cellStyle name="20% - Accent5 3" xfId="1645" hidden="1"/>
    <cellStyle name="20% - Accent5 3" xfId="1860" hidden="1"/>
    <cellStyle name="20% - Accent5 3" xfId="2043" hidden="1"/>
    <cellStyle name="20% - Accent5 3" xfId="2225" hidden="1"/>
    <cellStyle name="20% - Accent5 3" xfId="2405" hidden="1"/>
    <cellStyle name="20% - Accent5 3" xfId="2566" hidden="1"/>
    <cellStyle name="20% - Accent5 3" xfId="2698" hidden="1"/>
    <cellStyle name="20% - Accent5 3" xfId="2828" hidden="1"/>
    <cellStyle name="20% - Accent5 3" xfId="2768" hidden="1"/>
    <cellStyle name="20% - Accent5 3" xfId="2913" hidden="1"/>
    <cellStyle name="20% - Accent5 3" xfId="3035" hidden="1"/>
    <cellStyle name="20% - Accent5 3" xfId="3157" hidden="1"/>
    <cellStyle name="20% - Accent5 3" xfId="3626" hidden="1"/>
    <cellStyle name="20% - Accent5 3" xfId="3899" hidden="1"/>
    <cellStyle name="20% - Accent5 3" xfId="4081" hidden="1"/>
    <cellStyle name="20% - Accent5 3" xfId="4263" hidden="1"/>
    <cellStyle name="20% - Accent5 3" xfId="3531" hidden="1"/>
    <cellStyle name="20% - Accent5 3" xfId="4598" hidden="1"/>
    <cellStyle name="20% - Accent5 3" xfId="4759" hidden="1"/>
    <cellStyle name="20% - Accent5 3" xfId="4911" hidden="1"/>
    <cellStyle name="20% - Accent5 3" xfId="4676" hidden="1"/>
    <cellStyle name="20% - Accent5 3" xfId="5016" hidden="1"/>
    <cellStyle name="20% - Accent5 3" xfId="5170" hidden="1"/>
    <cellStyle name="20% - Accent5 3" xfId="5320" hidden="1"/>
    <cellStyle name="20% - Accent5 3" xfId="5242" hidden="1"/>
    <cellStyle name="20% - Accent5 3" xfId="5425" hidden="1"/>
    <cellStyle name="20% - Accent5 3" xfId="5568" hidden="1"/>
    <cellStyle name="20% - Accent5 3" xfId="5705" hidden="1"/>
    <cellStyle name="20% - Accent5 3" xfId="5500" hidden="1"/>
    <cellStyle name="20% - Accent5 3" xfId="5794" hidden="1"/>
    <cellStyle name="20% - Accent5 3" xfId="5926" hidden="1"/>
    <cellStyle name="20% - Accent5 3" xfId="6056" hidden="1"/>
    <cellStyle name="20% - Accent5 3" xfId="5996" hidden="1"/>
    <cellStyle name="20% - Accent5 3" xfId="6141" hidden="1"/>
    <cellStyle name="20% - Accent5 3" xfId="6263" hidden="1"/>
    <cellStyle name="20% - Accent5 3" xfId="6385" hidden="1"/>
    <cellStyle name="20% - Accent5 4" xfId="590" hidden="1"/>
    <cellStyle name="20% - Accent5 4" xfId="905" hidden="1"/>
    <cellStyle name="20% - Accent5 4" xfId="1089" hidden="1"/>
    <cellStyle name="20% - Accent5 4" xfId="1271" hidden="1"/>
    <cellStyle name="20% - Accent5 4" xfId="1680" hidden="1"/>
    <cellStyle name="20% - Accent5 4" xfId="1895" hidden="1"/>
    <cellStyle name="20% - Accent5 4" xfId="2078" hidden="1"/>
    <cellStyle name="20% - Accent5 4" xfId="2260" hidden="1"/>
    <cellStyle name="20% - Accent5 4" xfId="2437" hidden="1"/>
    <cellStyle name="20% - Accent5 4" xfId="2598" hidden="1"/>
    <cellStyle name="20% - Accent5 4" xfId="2730" hidden="1"/>
    <cellStyle name="20% - Accent5 4" xfId="2860" hidden="1"/>
    <cellStyle name="20% - Accent5 4" xfId="1747" hidden="1"/>
    <cellStyle name="20% - Accent5 4" xfId="2944" hidden="1"/>
    <cellStyle name="20% - Accent5 4" xfId="3066" hidden="1"/>
    <cellStyle name="20% - Accent5 4" xfId="3188" hidden="1"/>
    <cellStyle name="20% - Accent5 4" xfId="3661" hidden="1"/>
    <cellStyle name="20% - Accent5 4" xfId="3934" hidden="1"/>
    <cellStyle name="20% - Accent5 4" xfId="4116" hidden="1"/>
    <cellStyle name="20% - Accent5 4" xfId="4298" hidden="1"/>
    <cellStyle name="20% - Accent5 4" xfId="4391" hidden="1"/>
    <cellStyle name="20% - Accent5 4" xfId="4631" hidden="1"/>
    <cellStyle name="20% - Accent5 4" xfId="4791" hidden="1"/>
    <cellStyle name="20% - Accent5 4" xfId="4944" hidden="1"/>
    <cellStyle name="20% - Accent5 4" xfId="3467" hidden="1"/>
    <cellStyle name="20% - Accent5 4" xfId="5048" hidden="1"/>
    <cellStyle name="20% - Accent5 4" xfId="5202" hidden="1"/>
    <cellStyle name="20% - Accent5 4" xfId="5353" hidden="1"/>
    <cellStyle name="20% - Accent5 4" xfId="4692" hidden="1"/>
    <cellStyle name="20% - Accent5 4" xfId="5457" hidden="1"/>
    <cellStyle name="20% - Accent5 4" xfId="5600" hidden="1"/>
    <cellStyle name="20% - Accent5 4" xfId="5737" hidden="1"/>
    <cellStyle name="20% - Accent5 4" xfId="3461" hidden="1"/>
    <cellStyle name="20% - Accent5 4" xfId="5826" hidden="1"/>
    <cellStyle name="20% - Accent5 4" xfId="5958" hidden="1"/>
    <cellStyle name="20% - Accent5 4" xfId="6088" hidden="1"/>
    <cellStyle name="20% - Accent5 4" xfId="5508" hidden="1"/>
    <cellStyle name="20% - Accent5 4" xfId="6172" hidden="1"/>
    <cellStyle name="20% - Accent5 4" xfId="6294" hidden="1"/>
    <cellStyle name="20% - Accent5 4" xfId="6416" hidden="1"/>
    <cellStyle name="20% - Accent5 5" xfId="621" hidden="1"/>
    <cellStyle name="20% - Accent5 5" xfId="936" hidden="1"/>
    <cellStyle name="20% - Accent5 5" xfId="1120" hidden="1"/>
    <cellStyle name="20% - Accent5 5" xfId="1302" hidden="1"/>
    <cellStyle name="20% - Accent5 5" xfId="1711" hidden="1"/>
    <cellStyle name="20% - Accent5 5" xfId="1926" hidden="1"/>
    <cellStyle name="20% - Accent5 5" xfId="2109" hidden="1"/>
    <cellStyle name="20% - Accent5 5" xfId="2291" hidden="1"/>
    <cellStyle name="20% - Accent5 5" xfId="2468" hidden="1"/>
    <cellStyle name="20% - Accent5 5" xfId="2629" hidden="1"/>
    <cellStyle name="20% - Accent5 5" xfId="2761" hidden="1"/>
    <cellStyle name="20% - Accent5 5" xfId="2891" hidden="1"/>
    <cellStyle name="20% - Accent5 5" xfId="2343" hidden="1"/>
    <cellStyle name="20% - Accent5 5" xfId="2975" hidden="1"/>
    <cellStyle name="20% - Accent5 5" xfId="3097" hidden="1"/>
    <cellStyle name="20% - Accent5 5" xfId="3219" hidden="1"/>
    <cellStyle name="20% - Accent5 5" xfId="3692" hidden="1"/>
    <cellStyle name="20% - Accent5 5" xfId="3965" hidden="1"/>
    <cellStyle name="20% - Accent5 5" xfId="4147" hidden="1"/>
    <cellStyle name="20% - Accent5 5" xfId="4329" hidden="1"/>
    <cellStyle name="20% - Accent5 5" xfId="4422" hidden="1"/>
    <cellStyle name="20% - Accent5 5" xfId="4662" hidden="1"/>
    <cellStyle name="20% - Accent5 5" xfId="4822" hidden="1"/>
    <cellStyle name="20% - Accent5 5" xfId="4975" hidden="1"/>
    <cellStyle name="20% - Accent5 5" xfId="4447" hidden="1"/>
    <cellStyle name="20% - Accent5 5" xfId="5079" hidden="1"/>
    <cellStyle name="20% - Accent5 5" xfId="5233" hidden="1"/>
    <cellStyle name="20% - Accent5 5" xfId="5384" hidden="1"/>
    <cellStyle name="20% - Accent5 5" xfId="3320" hidden="1"/>
    <cellStyle name="20% - Accent5 5" xfId="5488" hidden="1"/>
    <cellStyle name="20% - Accent5 5" xfId="5631" hidden="1"/>
    <cellStyle name="20% - Accent5 5" xfId="5768" hidden="1"/>
    <cellStyle name="20% - Accent5 5" xfId="4679" hidden="1"/>
    <cellStyle name="20% - Accent5 5" xfId="5857" hidden="1"/>
    <cellStyle name="20% - Accent5 5" xfId="5989" hidden="1"/>
    <cellStyle name="20% - Accent5 5" xfId="6119" hidden="1"/>
    <cellStyle name="20% - Accent5 5" xfId="3289" hidden="1"/>
    <cellStyle name="20% - Accent5 5" xfId="6203" hidden="1"/>
    <cellStyle name="20% - Accent5 5" xfId="6325" hidden="1"/>
    <cellStyle name="20% - Accent5 5" xfId="6447" hidden="1"/>
    <cellStyle name="20% - Accent6" xfId="6" builtinId="50" customBuiltin="1"/>
    <cellStyle name="20% - Accent6 2" xfId="528" hidden="1"/>
    <cellStyle name="20% - Accent6 2" xfId="843" hidden="1"/>
    <cellStyle name="20% - Accent6 2" xfId="1027" hidden="1"/>
    <cellStyle name="20% - Accent6 2" xfId="1209" hidden="1"/>
    <cellStyle name="20% - Accent6 2" xfId="1618" hidden="1"/>
    <cellStyle name="20% - Accent6 2" xfId="1833" hidden="1"/>
    <cellStyle name="20% - Accent6 2" xfId="2016" hidden="1"/>
    <cellStyle name="20% - Accent6 2" xfId="2198" hidden="1"/>
    <cellStyle name="20% - Accent6 2" xfId="2378" hidden="1"/>
    <cellStyle name="20% - Accent6 2" xfId="2539" hidden="1"/>
    <cellStyle name="20% - Accent6 2" xfId="2671" hidden="1"/>
    <cellStyle name="20% - Accent6 2" xfId="2801" hidden="1"/>
    <cellStyle name="20% - Accent6 2" xfId="2771" hidden="1"/>
    <cellStyle name="20% - Accent6 2" xfId="1735" hidden="1"/>
    <cellStyle name="20% - Accent6 2" xfId="3008" hidden="1"/>
    <cellStyle name="20% - Accent6 2" xfId="3130" hidden="1"/>
    <cellStyle name="20% - Accent6 2" xfId="3599" hidden="1"/>
    <cellStyle name="20% - Accent6 2" xfId="3872" hidden="1"/>
    <cellStyle name="20% - Accent6 2" xfId="4054" hidden="1"/>
    <cellStyle name="20% - Accent6 2" xfId="4236" hidden="1"/>
    <cellStyle name="20% - Accent6 2" xfId="3549" hidden="1"/>
    <cellStyle name="20% - Accent6 2" xfId="4571" hidden="1"/>
    <cellStyle name="20% - Accent6 2" xfId="4732" hidden="1"/>
    <cellStyle name="20% - Accent6 2" xfId="4884" hidden="1"/>
    <cellStyle name="20% - Accent6 2" xfId="3463" hidden="1"/>
    <cellStyle name="20% - Accent6 2" xfId="3265" hidden="1"/>
    <cellStyle name="20% - Accent6 2" xfId="5143" hidden="1"/>
    <cellStyle name="20% - Accent6 2" xfId="5293" hidden="1"/>
    <cellStyle name="20% - Accent6 2" xfId="5261" hidden="1"/>
    <cellStyle name="20% - Accent6 2" xfId="3387" hidden="1"/>
    <cellStyle name="20% - Accent6 2" xfId="5541" hidden="1"/>
    <cellStyle name="20% - Accent6 2" xfId="5678" hidden="1"/>
    <cellStyle name="20% - Accent6 2" xfId="3539" hidden="1"/>
    <cellStyle name="20% - Accent6 2" xfId="4503" hidden="1"/>
    <cellStyle name="20% - Accent6 2" xfId="5899" hidden="1"/>
    <cellStyle name="20% - Accent6 2" xfId="6029" hidden="1"/>
    <cellStyle name="20% - Accent6 2" xfId="5999" hidden="1"/>
    <cellStyle name="20% - Accent6 2" xfId="4537" hidden="1"/>
    <cellStyle name="20% - Accent6 2" xfId="6236" hidden="1"/>
    <cellStyle name="20% - Accent6 2" xfId="6358" hidden="1"/>
    <cellStyle name="20% - Accent6 3" xfId="559" hidden="1"/>
    <cellStyle name="20% - Accent6 3" xfId="874" hidden="1"/>
    <cellStyle name="20% - Accent6 3" xfId="1058" hidden="1"/>
    <cellStyle name="20% - Accent6 3" xfId="1240" hidden="1"/>
    <cellStyle name="20% - Accent6 3" xfId="1649" hidden="1"/>
    <cellStyle name="20% - Accent6 3" xfId="1864" hidden="1"/>
    <cellStyle name="20% - Accent6 3" xfId="2047" hidden="1"/>
    <cellStyle name="20% - Accent6 3" xfId="2229" hidden="1"/>
    <cellStyle name="20% - Accent6 3" xfId="2409" hidden="1"/>
    <cellStyle name="20% - Accent6 3" xfId="2570" hidden="1"/>
    <cellStyle name="20% - Accent6 3" xfId="2702" hidden="1"/>
    <cellStyle name="20% - Accent6 3" xfId="2832" hidden="1"/>
    <cellStyle name="20% - Accent6 3" xfId="1778" hidden="1"/>
    <cellStyle name="20% - Accent6 3" xfId="2917" hidden="1"/>
    <cellStyle name="20% - Accent6 3" xfId="3039" hidden="1"/>
    <cellStyle name="20% - Accent6 3" xfId="3161" hidden="1"/>
    <cellStyle name="20% - Accent6 3" xfId="3630" hidden="1"/>
    <cellStyle name="20% - Accent6 3" xfId="3903" hidden="1"/>
    <cellStyle name="20% - Accent6 3" xfId="4085" hidden="1"/>
    <cellStyle name="20% - Accent6 3" xfId="4267" hidden="1"/>
    <cellStyle name="20% - Accent6 3" xfId="3340" hidden="1"/>
    <cellStyle name="20% - Accent6 3" xfId="4602" hidden="1"/>
    <cellStyle name="20% - Accent6 3" xfId="4763" hidden="1"/>
    <cellStyle name="20% - Accent6 3" xfId="4915" hidden="1"/>
    <cellStyle name="20% - Accent6 3" xfId="4830" hidden="1"/>
    <cellStyle name="20% - Accent6 3" xfId="5020" hidden="1"/>
    <cellStyle name="20% - Accent6 3" xfId="5174" hidden="1"/>
    <cellStyle name="20% - Accent6 3" xfId="5324" hidden="1"/>
    <cellStyle name="20% - Accent6 3" xfId="4998" hidden="1"/>
    <cellStyle name="20% - Accent6 3" xfId="5429" hidden="1"/>
    <cellStyle name="20% - Accent6 3" xfId="5572" hidden="1"/>
    <cellStyle name="20% - Accent6 3" xfId="5709" hidden="1"/>
    <cellStyle name="20% - Accent6 3" xfId="5639" hidden="1"/>
    <cellStyle name="20% - Accent6 3" xfId="5798" hidden="1"/>
    <cellStyle name="20% - Accent6 3" xfId="5930" hidden="1"/>
    <cellStyle name="20% - Accent6 3" xfId="6060" hidden="1"/>
    <cellStyle name="20% - Accent6 3" xfId="5782" hidden="1"/>
    <cellStyle name="20% - Accent6 3" xfId="6145" hidden="1"/>
    <cellStyle name="20% - Accent6 3" xfId="6267" hidden="1"/>
    <cellStyle name="20% - Accent6 3" xfId="6389" hidden="1"/>
    <cellStyle name="20% - Accent6 4" xfId="594" hidden="1"/>
    <cellStyle name="20% - Accent6 4" xfId="909" hidden="1"/>
    <cellStyle name="20% - Accent6 4" xfId="1093" hidden="1"/>
    <cellStyle name="20% - Accent6 4" xfId="1275" hidden="1"/>
    <cellStyle name="20% - Accent6 4" xfId="1684" hidden="1"/>
    <cellStyle name="20% - Accent6 4" xfId="1899" hidden="1"/>
    <cellStyle name="20% - Accent6 4" xfId="2082" hidden="1"/>
    <cellStyle name="20% - Accent6 4" xfId="2264" hidden="1"/>
    <cellStyle name="20% - Accent6 4" xfId="2441" hidden="1"/>
    <cellStyle name="20% - Accent6 4" xfId="2602" hidden="1"/>
    <cellStyle name="20% - Accent6 4" xfId="2734" hidden="1"/>
    <cellStyle name="20% - Accent6 4" xfId="2864" hidden="1"/>
    <cellStyle name="20% - Accent6 4" xfId="1391" hidden="1"/>
    <cellStyle name="20% - Accent6 4" xfId="2948" hidden="1"/>
    <cellStyle name="20% - Accent6 4" xfId="3070" hidden="1"/>
    <cellStyle name="20% - Accent6 4" xfId="3192" hidden="1"/>
    <cellStyle name="20% - Accent6 4" xfId="3665" hidden="1"/>
    <cellStyle name="20% - Accent6 4" xfId="3938" hidden="1"/>
    <cellStyle name="20% - Accent6 4" xfId="4120" hidden="1"/>
    <cellStyle name="20% - Accent6 4" xfId="4302" hidden="1"/>
    <cellStyle name="20% - Accent6 4" xfId="4395" hidden="1"/>
    <cellStyle name="20% - Accent6 4" xfId="4635" hidden="1"/>
    <cellStyle name="20% - Accent6 4" xfId="4795" hidden="1"/>
    <cellStyle name="20% - Accent6 4" xfId="4948" hidden="1"/>
    <cellStyle name="20% - Accent6 4" xfId="3770" hidden="1"/>
    <cellStyle name="20% - Accent6 4" xfId="5052" hidden="1"/>
    <cellStyle name="20% - Accent6 4" xfId="5206" hidden="1"/>
    <cellStyle name="20% - Accent6 4" xfId="5357" hidden="1"/>
    <cellStyle name="20% - Accent6 4" xfId="3347" hidden="1"/>
    <cellStyle name="20% - Accent6 4" xfId="5461" hidden="1"/>
    <cellStyle name="20% - Accent6 4" xfId="5604" hidden="1"/>
    <cellStyle name="20% - Accent6 4" xfId="5741" hidden="1"/>
    <cellStyle name="20% - Accent6 4" xfId="5104" hidden="1"/>
    <cellStyle name="20% - Accent6 4" xfId="5830" hidden="1"/>
    <cellStyle name="20% - Accent6 4" xfId="5962" hidden="1"/>
    <cellStyle name="20% - Accent6 4" xfId="6092" hidden="1"/>
    <cellStyle name="20% - Accent6 4" xfId="3759" hidden="1"/>
    <cellStyle name="20% - Accent6 4" xfId="6176" hidden="1"/>
    <cellStyle name="20% - Accent6 4" xfId="6298" hidden="1"/>
    <cellStyle name="20% - Accent6 4" xfId="6420" hidden="1"/>
    <cellStyle name="20% - Accent6 5" xfId="625" hidden="1"/>
    <cellStyle name="20% - Accent6 5" xfId="940" hidden="1"/>
    <cellStyle name="20% - Accent6 5" xfId="1124" hidden="1"/>
    <cellStyle name="20% - Accent6 5" xfId="1306" hidden="1"/>
    <cellStyle name="20% - Accent6 5" xfId="1715" hidden="1"/>
    <cellStyle name="20% - Accent6 5" xfId="1930" hidden="1"/>
    <cellStyle name="20% - Accent6 5" xfId="2113" hidden="1"/>
    <cellStyle name="20% - Accent6 5" xfId="2295" hidden="1"/>
    <cellStyle name="20% - Accent6 5" xfId="2472" hidden="1"/>
    <cellStyle name="20% - Accent6 5" xfId="2633" hidden="1"/>
    <cellStyle name="20% - Accent6 5" xfId="2765" hidden="1"/>
    <cellStyle name="20% - Accent6 5" xfId="2895" hidden="1"/>
    <cellStyle name="20% - Accent6 5" xfId="2484" hidden="1"/>
    <cellStyle name="20% - Accent6 5" xfId="2979" hidden="1"/>
    <cellStyle name="20% - Accent6 5" xfId="3101" hidden="1"/>
    <cellStyle name="20% - Accent6 5" xfId="3223" hidden="1"/>
    <cellStyle name="20% - Accent6 5" xfId="3696" hidden="1"/>
    <cellStyle name="20% - Accent6 5" xfId="3969" hidden="1"/>
    <cellStyle name="20% - Accent6 5" xfId="4151" hidden="1"/>
    <cellStyle name="20% - Accent6 5" xfId="4333" hidden="1"/>
    <cellStyle name="20% - Accent6 5" xfId="4426" hidden="1"/>
    <cellStyle name="20% - Accent6 5" xfId="4666" hidden="1"/>
    <cellStyle name="20% - Accent6 5" xfId="4826" hidden="1"/>
    <cellStyle name="20% - Accent6 5" xfId="4979" hidden="1"/>
    <cellStyle name="20% - Accent6 5" xfId="3724" hidden="1"/>
    <cellStyle name="20% - Accent6 5" xfId="5083" hidden="1"/>
    <cellStyle name="20% - Accent6 5" xfId="5237" hidden="1"/>
    <cellStyle name="20% - Accent6 5" xfId="5388" hidden="1"/>
    <cellStyle name="20% - Accent6 5" xfId="4462" hidden="1"/>
    <cellStyle name="20% - Accent6 5" xfId="5492" hidden="1"/>
    <cellStyle name="20% - Accent6 5" xfId="5635" hidden="1"/>
    <cellStyle name="20% - Accent6 5" xfId="5772" hidden="1"/>
    <cellStyle name="20% - Accent6 5" xfId="4683" hidden="1"/>
    <cellStyle name="20% - Accent6 5" xfId="5861" hidden="1"/>
    <cellStyle name="20% - Accent6 5" xfId="5993" hidden="1"/>
    <cellStyle name="20% - Accent6 5" xfId="6123" hidden="1"/>
    <cellStyle name="20% - Accent6 5" xfId="5253" hidden="1"/>
    <cellStyle name="20% - Accent6 5" xfId="6207" hidden="1"/>
    <cellStyle name="20% - Accent6 5" xfId="6329" hidden="1"/>
    <cellStyle name="20% - Accent6 5" xfId="6451" hidden="1"/>
    <cellStyle name="3_D" xfId="57"/>
    <cellStyle name="3_D 2" xfId="647"/>
    <cellStyle name="3_D 3" xfId="439"/>
    <cellStyle name="3_D_BTS_DTK" xfId="58"/>
    <cellStyle name="3_D_BTS_DTK 2" xfId="648"/>
    <cellStyle name="3_D_BTS_DTK 3" xfId="440"/>
    <cellStyle name="3_D_Tool" xfId="59"/>
    <cellStyle name="3_D_Tool 2" xfId="649"/>
    <cellStyle name="3_D_Tool 3" xfId="441"/>
    <cellStyle name="3_D_Tool_analysis" xfId="226"/>
    <cellStyle name="3_D_Tool_analysis 2" xfId="725"/>
    <cellStyle name="3_D_Tool_DataPage" xfId="153"/>
    <cellStyle name="3_D_Tool_DataPage 2" xfId="695"/>
    <cellStyle name="3_DNoColor" xfId="60"/>
    <cellStyle name="3_DNoColor 2" xfId="650"/>
    <cellStyle name="3_DNoColor 3" xfId="442"/>
    <cellStyle name="3_DNoColor_BTS_DTK" xfId="61"/>
    <cellStyle name="3_DNoColor_BTS_DTK 2" xfId="651"/>
    <cellStyle name="3_DNoColor_BTS_DTK 3" xfId="443"/>
    <cellStyle name="40% - Accent1" xfId="7" builtinId="31" customBuiltin="1"/>
    <cellStyle name="40% - Accent1 2" xfId="509" hidden="1"/>
    <cellStyle name="40% - Accent1 2" xfId="824" hidden="1"/>
    <cellStyle name="40% - Accent1 2" xfId="1008" hidden="1"/>
    <cellStyle name="40% - Accent1 2" xfId="1190" hidden="1"/>
    <cellStyle name="40% - Accent1 2" xfId="1599" hidden="1"/>
    <cellStyle name="40% - Accent1 2" xfId="1814" hidden="1"/>
    <cellStyle name="40% - Accent1 2" xfId="1997" hidden="1"/>
    <cellStyle name="40% - Accent1 2" xfId="2179" hidden="1"/>
    <cellStyle name="40% - Accent1 2" xfId="2359" hidden="1"/>
    <cellStyle name="40% - Accent1 2" xfId="2520" hidden="1"/>
    <cellStyle name="40% - Accent1 2" xfId="2652" hidden="1"/>
    <cellStyle name="40% - Accent1 2" xfId="2782" hidden="1"/>
    <cellStyle name="40% - Accent1 2" xfId="2346" hidden="1"/>
    <cellStyle name="40% - Accent1 2" xfId="1402" hidden="1"/>
    <cellStyle name="40% - Accent1 2" xfId="2989" hidden="1"/>
    <cellStyle name="40% - Accent1 2" xfId="3111" hidden="1"/>
    <cellStyle name="40% - Accent1 2" xfId="3580" hidden="1"/>
    <cellStyle name="40% - Accent1 2" xfId="3853" hidden="1"/>
    <cellStyle name="40% - Accent1 2" xfId="4035" hidden="1"/>
    <cellStyle name="40% - Accent1 2" xfId="4217" hidden="1"/>
    <cellStyle name="40% - Accent1 2" xfId="3254" hidden="1"/>
    <cellStyle name="40% - Accent1 2" xfId="4552" hidden="1"/>
    <cellStyle name="40% - Accent1 2" xfId="4713" hidden="1"/>
    <cellStyle name="40% - Accent1 2" xfId="4865" hidden="1"/>
    <cellStyle name="40% - Accent1 2" xfId="4454" hidden="1"/>
    <cellStyle name="40% - Accent1 2" xfId="3557" hidden="1"/>
    <cellStyle name="40% - Accent1 2" xfId="5124" hidden="1"/>
    <cellStyle name="40% - Accent1 2" xfId="5274" hidden="1"/>
    <cellStyle name="40% - Accent1 2" xfId="3373" hidden="1"/>
    <cellStyle name="40% - Accent1 2" xfId="3297" hidden="1"/>
    <cellStyle name="40% - Accent1 2" xfId="5522" hidden="1"/>
    <cellStyle name="40% - Accent1 2" xfId="5659" hidden="1"/>
    <cellStyle name="40% - Accent1 2" xfId="4475" hidden="1"/>
    <cellStyle name="40% - Accent1 2" xfId="4456" hidden="1"/>
    <cellStyle name="40% - Accent1 2" xfId="5880" hidden="1"/>
    <cellStyle name="40% - Accent1 2" xfId="6010" hidden="1"/>
    <cellStyle name="40% - Accent1 2" xfId="4433" hidden="1"/>
    <cellStyle name="40% - Accent1 2" xfId="5254" hidden="1"/>
    <cellStyle name="40% - Accent1 2" xfId="6217" hidden="1"/>
    <cellStyle name="40% - Accent1 2" xfId="6339" hidden="1"/>
    <cellStyle name="40% - Accent1 3" xfId="540" hidden="1"/>
    <cellStyle name="40% - Accent1 3" xfId="855" hidden="1"/>
    <cellStyle name="40% - Accent1 3" xfId="1039" hidden="1"/>
    <cellStyle name="40% - Accent1 3" xfId="1221" hidden="1"/>
    <cellStyle name="40% - Accent1 3" xfId="1630" hidden="1"/>
    <cellStyle name="40% - Accent1 3" xfId="1845" hidden="1"/>
    <cellStyle name="40% - Accent1 3" xfId="2028" hidden="1"/>
    <cellStyle name="40% - Accent1 3" xfId="2210" hidden="1"/>
    <cellStyle name="40% - Accent1 3" xfId="2390" hidden="1"/>
    <cellStyle name="40% - Accent1 3" xfId="2551" hidden="1"/>
    <cellStyle name="40% - Accent1 3" xfId="2683" hidden="1"/>
    <cellStyle name="40% - Accent1 3" xfId="2813" hidden="1"/>
    <cellStyle name="40% - Accent1 3" xfId="2573" hidden="1"/>
    <cellStyle name="40% - Accent1 3" xfId="1367" hidden="1"/>
    <cellStyle name="40% - Accent1 3" xfId="3020" hidden="1"/>
    <cellStyle name="40% - Accent1 3" xfId="3142" hidden="1"/>
    <cellStyle name="40% - Accent1 3" xfId="3611" hidden="1"/>
    <cellStyle name="40% - Accent1 3" xfId="3884" hidden="1"/>
    <cellStyle name="40% - Accent1 3" xfId="4066" hidden="1"/>
    <cellStyle name="40% - Accent1 3" xfId="4248" hidden="1"/>
    <cellStyle name="40% - Accent1 3" xfId="3243" hidden="1"/>
    <cellStyle name="40% - Accent1 3" xfId="4583" hidden="1"/>
    <cellStyle name="40% - Accent1 3" xfId="4744" hidden="1"/>
    <cellStyle name="40% - Accent1 3" xfId="4896" hidden="1"/>
    <cellStyle name="40% - Accent1 3" xfId="3764" hidden="1"/>
    <cellStyle name="40% - Accent1 3" xfId="4438" hidden="1"/>
    <cellStyle name="40% - Accent1 3" xfId="5155" hidden="1"/>
    <cellStyle name="40% - Accent1 3" xfId="5305" hidden="1"/>
    <cellStyle name="40% - Accent1 3" xfId="5023" hidden="1"/>
    <cellStyle name="40% - Accent1 3" xfId="4482" hidden="1"/>
    <cellStyle name="40% - Accent1 3" xfId="5553" hidden="1"/>
    <cellStyle name="40% - Accent1 3" xfId="5690" hidden="1"/>
    <cellStyle name="40% - Accent1 3" xfId="3748" hidden="1"/>
    <cellStyle name="40% - Accent1 3" xfId="3765" hidden="1"/>
    <cellStyle name="40% - Accent1 3" xfId="5911" hidden="1"/>
    <cellStyle name="40% - Accent1 3" xfId="6041" hidden="1"/>
    <cellStyle name="40% - Accent1 3" xfId="5801" hidden="1"/>
    <cellStyle name="40% - Accent1 3" xfId="3386" hidden="1"/>
    <cellStyle name="40% - Accent1 3" xfId="6248" hidden="1"/>
    <cellStyle name="40% - Accent1 3" xfId="6370" hidden="1"/>
    <cellStyle name="40% - Accent1 4" xfId="575" hidden="1"/>
    <cellStyle name="40% - Accent1 4" xfId="890" hidden="1"/>
    <cellStyle name="40% - Accent1 4" xfId="1074" hidden="1"/>
    <cellStyle name="40% - Accent1 4" xfId="1256" hidden="1"/>
    <cellStyle name="40% - Accent1 4" xfId="1665" hidden="1"/>
    <cellStyle name="40% - Accent1 4" xfId="1880" hidden="1"/>
    <cellStyle name="40% - Accent1 4" xfId="2063" hidden="1"/>
    <cellStyle name="40% - Accent1 4" xfId="2245" hidden="1"/>
    <cellStyle name="40% - Accent1 4" xfId="2422" hidden="1"/>
    <cellStyle name="40% - Accent1 4" xfId="2583" hidden="1"/>
    <cellStyle name="40% - Accent1 4" xfId="2715" hidden="1"/>
    <cellStyle name="40% - Accent1 4" xfId="2845" hidden="1"/>
    <cellStyle name="40% - Accent1 4" xfId="1733" hidden="1"/>
    <cellStyle name="40% - Accent1 4" xfId="2929" hidden="1"/>
    <cellStyle name="40% - Accent1 4" xfId="3051" hidden="1"/>
    <cellStyle name="40% - Accent1 4" xfId="3173" hidden="1"/>
    <cellStyle name="40% - Accent1 4" xfId="3646" hidden="1"/>
    <cellStyle name="40% - Accent1 4" xfId="3919" hidden="1"/>
    <cellStyle name="40% - Accent1 4" xfId="4101" hidden="1"/>
    <cellStyle name="40% - Accent1 4" xfId="4283" hidden="1"/>
    <cellStyle name="40% - Accent1 4" xfId="3227" hidden="1"/>
    <cellStyle name="40% - Accent1 4" xfId="4616" hidden="1"/>
    <cellStyle name="40% - Accent1 4" xfId="4776" hidden="1"/>
    <cellStyle name="40% - Accent1 4" xfId="4929" hidden="1"/>
    <cellStyle name="40% - Accent1 4" xfId="3329" hidden="1"/>
    <cellStyle name="40% - Accent1 4" xfId="5033" hidden="1"/>
    <cellStyle name="40% - Accent1 4" xfId="5187" hidden="1"/>
    <cellStyle name="40% - Accent1 4" xfId="5338" hidden="1"/>
    <cellStyle name="40% - Accent1 4" xfId="3292" hidden="1"/>
    <cellStyle name="40% - Accent1 4" xfId="5442" hidden="1"/>
    <cellStyle name="40% - Accent1 4" xfId="5585" hidden="1"/>
    <cellStyle name="40% - Accent1 4" xfId="5722" hidden="1"/>
    <cellStyle name="40% - Accent1 4" xfId="4489" hidden="1"/>
    <cellStyle name="40% - Accent1 4" xfId="5811" hidden="1"/>
    <cellStyle name="40% - Accent1 4" xfId="5943" hidden="1"/>
    <cellStyle name="40% - Accent1 4" xfId="6073" hidden="1"/>
    <cellStyle name="40% - Accent1 4" xfId="3348" hidden="1"/>
    <cellStyle name="40% - Accent1 4" xfId="6157" hidden="1"/>
    <cellStyle name="40% - Accent1 4" xfId="6279" hidden="1"/>
    <cellStyle name="40% - Accent1 4" xfId="6401" hidden="1"/>
    <cellStyle name="40% - Accent1 5" xfId="606" hidden="1"/>
    <cellStyle name="40% - Accent1 5" xfId="921" hidden="1"/>
    <cellStyle name="40% - Accent1 5" xfId="1105" hidden="1"/>
    <cellStyle name="40% - Accent1 5" xfId="1287" hidden="1"/>
    <cellStyle name="40% - Accent1 5" xfId="1696" hidden="1"/>
    <cellStyle name="40% - Accent1 5" xfId="1911" hidden="1"/>
    <cellStyle name="40% - Accent1 5" xfId="2094" hidden="1"/>
    <cellStyle name="40% - Accent1 5" xfId="2276" hidden="1"/>
    <cellStyle name="40% - Accent1 5" xfId="2453" hidden="1"/>
    <cellStyle name="40% - Accent1 5" xfId="2614" hidden="1"/>
    <cellStyle name="40% - Accent1 5" xfId="2746" hidden="1"/>
    <cellStyle name="40% - Accent1 5" xfId="2876" hidden="1"/>
    <cellStyle name="40% - Accent1 5" xfId="1795" hidden="1"/>
    <cellStyle name="40% - Accent1 5" xfId="2960" hidden="1"/>
    <cellStyle name="40% - Accent1 5" xfId="3082" hidden="1"/>
    <cellStyle name="40% - Accent1 5" xfId="3204" hidden="1"/>
    <cellStyle name="40% - Accent1 5" xfId="3677" hidden="1"/>
    <cellStyle name="40% - Accent1 5" xfId="3950" hidden="1"/>
    <cellStyle name="40% - Accent1 5" xfId="4132" hidden="1"/>
    <cellStyle name="40% - Accent1 5" xfId="4314" hidden="1"/>
    <cellStyle name="40% - Accent1 5" xfId="4407" hidden="1"/>
    <cellStyle name="40% - Accent1 5" xfId="4647" hidden="1"/>
    <cellStyle name="40% - Accent1 5" xfId="4807" hidden="1"/>
    <cellStyle name="40% - Accent1 5" xfId="4960" hidden="1"/>
    <cellStyle name="40% - Accent1 5" xfId="4501" hidden="1"/>
    <cellStyle name="40% - Accent1 5" xfId="5064" hidden="1"/>
    <cellStyle name="40% - Accent1 5" xfId="5218" hidden="1"/>
    <cellStyle name="40% - Accent1 5" xfId="5369" hidden="1"/>
    <cellStyle name="40% - Accent1 5" xfId="3339" hidden="1"/>
    <cellStyle name="40% - Accent1 5" xfId="5473" hidden="1"/>
    <cellStyle name="40% - Accent1 5" xfId="5616" hidden="1"/>
    <cellStyle name="40% - Accent1 5" xfId="5753" hidden="1"/>
    <cellStyle name="40% - Accent1 5" xfId="5110" hidden="1"/>
    <cellStyle name="40% - Accent1 5" xfId="5842" hidden="1"/>
    <cellStyle name="40% - Accent1 5" xfId="5974" hidden="1"/>
    <cellStyle name="40% - Accent1 5" xfId="6104" hidden="1"/>
    <cellStyle name="40% - Accent1 5" xfId="4837" hidden="1"/>
    <cellStyle name="40% - Accent1 5" xfId="6188" hidden="1"/>
    <cellStyle name="40% - Accent1 5" xfId="6310" hidden="1"/>
    <cellStyle name="40% - Accent1 5" xfId="6432" hidden="1"/>
    <cellStyle name="40% - Accent2" xfId="8" builtinId="35" customBuiltin="1"/>
    <cellStyle name="40% - Accent2 2" xfId="513" hidden="1"/>
    <cellStyle name="40% - Accent2 2" xfId="828" hidden="1"/>
    <cellStyle name="40% - Accent2 2" xfId="1012" hidden="1"/>
    <cellStyle name="40% - Accent2 2" xfId="1194" hidden="1"/>
    <cellStyle name="40% - Accent2 2" xfId="1603" hidden="1"/>
    <cellStyle name="40% - Accent2 2" xfId="1818" hidden="1"/>
    <cellStyle name="40% - Accent2 2" xfId="2001" hidden="1"/>
    <cellStyle name="40% - Accent2 2" xfId="2183" hidden="1"/>
    <cellStyle name="40% - Accent2 2" xfId="2363" hidden="1"/>
    <cellStyle name="40% - Accent2 2" xfId="2524" hidden="1"/>
    <cellStyle name="40% - Accent2 2" xfId="2656" hidden="1"/>
    <cellStyle name="40% - Accent2 2" xfId="2786" hidden="1"/>
    <cellStyle name="40% - Accent2 2" xfId="1355" hidden="1"/>
    <cellStyle name="40% - Accent2 2" xfId="1579" hidden="1"/>
    <cellStyle name="40% - Accent2 2" xfId="2993" hidden="1"/>
    <cellStyle name="40% - Accent2 2" xfId="3115" hidden="1"/>
    <cellStyle name="40% - Accent2 2" xfId="3584" hidden="1"/>
    <cellStyle name="40% - Accent2 2" xfId="3857" hidden="1"/>
    <cellStyle name="40% - Accent2 2" xfId="4039" hidden="1"/>
    <cellStyle name="40% - Accent2 2" xfId="4221" hidden="1"/>
    <cellStyle name="40% - Accent2 2" xfId="3534" hidden="1"/>
    <cellStyle name="40% - Accent2 2" xfId="4556" hidden="1"/>
    <cellStyle name="40% - Accent2 2" xfId="4717" hidden="1"/>
    <cellStyle name="40% - Accent2 2" xfId="4869" hidden="1"/>
    <cellStyle name="40% - Accent2 2" xfId="3326" hidden="1"/>
    <cellStyle name="40% - Accent2 2" xfId="3736" hidden="1"/>
    <cellStyle name="40% - Accent2 2" xfId="5128" hidden="1"/>
    <cellStyle name="40% - Accent2 2" xfId="5278" hidden="1"/>
    <cellStyle name="40% - Accent2 2" xfId="3399" hidden="1"/>
    <cellStyle name="40% - Accent2 2" xfId="3258" hidden="1"/>
    <cellStyle name="40% - Accent2 2" xfId="5526" hidden="1"/>
    <cellStyle name="40% - Accent2 2" xfId="5663" hidden="1"/>
    <cellStyle name="40% - Accent2 2" xfId="3426" hidden="1"/>
    <cellStyle name="40% - Accent2 2" xfId="4851" hidden="1"/>
    <cellStyle name="40% - Accent2 2" xfId="5884" hidden="1"/>
    <cellStyle name="40% - Accent2 2" xfId="6014" hidden="1"/>
    <cellStyle name="40% - Accent2 2" xfId="3357" hidden="1"/>
    <cellStyle name="40% - Accent2 2" xfId="4461" hidden="1"/>
    <cellStyle name="40% - Accent2 2" xfId="6221" hidden="1"/>
    <cellStyle name="40% - Accent2 2" xfId="6343" hidden="1"/>
    <cellStyle name="40% - Accent2 3" xfId="544" hidden="1"/>
    <cellStyle name="40% - Accent2 3" xfId="859" hidden="1"/>
    <cellStyle name="40% - Accent2 3" xfId="1043" hidden="1"/>
    <cellStyle name="40% - Accent2 3" xfId="1225" hidden="1"/>
    <cellStyle name="40% - Accent2 3" xfId="1634" hidden="1"/>
    <cellStyle name="40% - Accent2 3" xfId="1849" hidden="1"/>
    <cellStyle name="40% - Accent2 3" xfId="2032" hidden="1"/>
    <cellStyle name="40% - Accent2 3" xfId="2214" hidden="1"/>
    <cellStyle name="40% - Accent2 3" xfId="2394" hidden="1"/>
    <cellStyle name="40% - Accent2 3" xfId="2555" hidden="1"/>
    <cellStyle name="40% - Accent2 3" xfId="2687" hidden="1"/>
    <cellStyle name="40% - Accent2 3" xfId="2817" hidden="1"/>
    <cellStyle name="40% - Accent2 3" xfId="2642" hidden="1"/>
    <cellStyle name="40% - Accent2 3" xfId="2902" hidden="1"/>
    <cellStyle name="40% - Accent2 3" xfId="3024" hidden="1"/>
    <cellStyle name="40% - Accent2 3" xfId="3146" hidden="1"/>
    <cellStyle name="40% - Accent2 3" xfId="3615" hidden="1"/>
    <cellStyle name="40% - Accent2 3" xfId="3888" hidden="1"/>
    <cellStyle name="40% - Accent2 3" xfId="4070" hidden="1"/>
    <cellStyle name="40% - Accent2 3" xfId="4252" hidden="1"/>
    <cellStyle name="40% - Accent2 3" xfId="3239" hidden="1"/>
    <cellStyle name="40% - Accent2 3" xfId="4587" hidden="1"/>
    <cellStyle name="40% - Accent2 3" xfId="4748" hidden="1"/>
    <cellStyle name="40% - Accent2 3" xfId="4900" hidden="1"/>
    <cellStyle name="40% - Accent2 3" xfId="4606" hidden="1"/>
    <cellStyle name="40% - Accent2 3" xfId="3751" hidden="1"/>
    <cellStyle name="40% - Accent2 3" xfId="5159" hidden="1"/>
    <cellStyle name="40% - Accent2 3" xfId="5309" hidden="1"/>
    <cellStyle name="40% - Accent2 3" xfId="5113" hidden="1"/>
    <cellStyle name="40% - Accent2 3" xfId="5414" hidden="1"/>
    <cellStyle name="40% - Accent2 3" xfId="5557" hidden="1"/>
    <cellStyle name="40% - Accent2 3" xfId="5694" hidden="1"/>
    <cellStyle name="40% - Accent2 3" xfId="5432" hidden="1"/>
    <cellStyle name="40% - Accent2 3" xfId="3331" hidden="1"/>
    <cellStyle name="40% - Accent2 3" xfId="5915" hidden="1"/>
    <cellStyle name="40% - Accent2 3" xfId="6045" hidden="1"/>
    <cellStyle name="40% - Accent2 3" xfId="5870" hidden="1"/>
    <cellStyle name="40% - Accent2 3" xfId="6130" hidden="1"/>
    <cellStyle name="40% - Accent2 3" xfId="6252" hidden="1"/>
    <cellStyle name="40% - Accent2 3" xfId="6374" hidden="1"/>
    <cellStyle name="40% - Accent2 4" xfId="579" hidden="1"/>
    <cellStyle name="40% - Accent2 4" xfId="894" hidden="1"/>
    <cellStyle name="40% - Accent2 4" xfId="1078" hidden="1"/>
    <cellStyle name="40% - Accent2 4" xfId="1260" hidden="1"/>
    <cellStyle name="40% - Accent2 4" xfId="1669" hidden="1"/>
    <cellStyle name="40% - Accent2 4" xfId="1884" hidden="1"/>
    <cellStyle name="40% - Accent2 4" xfId="2067" hidden="1"/>
    <cellStyle name="40% - Accent2 4" xfId="2249" hidden="1"/>
    <cellStyle name="40% - Accent2 4" xfId="2426" hidden="1"/>
    <cellStyle name="40% - Accent2 4" xfId="2587" hidden="1"/>
    <cellStyle name="40% - Accent2 4" xfId="2719" hidden="1"/>
    <cellStyle name="40% - Accent2 4" xfId="2849" hidden="1"/>
    <cellStyle name="40% - Accent2 4" xfId="1433" hidden="1"/>
    <cellStyle name="40% - Accent2 4" xfId="2933" hidden="1"/>
    <cellStyle name="40% - Accent2 4" xfId="3055" hidden="1"/>
    <cellStyle name="40% - Accent2 4" xfId="3177" hidden="1"/>
    <cellStyle name="40% - Accent2 4" xfId="3650" hidden="1"/>
    <cellStyle name="40% - Accent2 4" xfId="3923" hidden="1"/>
    <cellStyle name="40% - Accent2 4" xfId="4105" hidden="1"/>
    <cellStyle name="40% - Accent2 4" xfId="4287" hidden="1"/>
    <cellStyle name="40% - Accent2 4" xfId="3271" hidden="1"/>
    <cellStyle name="40% - Accent2 4" xfId="4620" hidden="1"/>
    <cellStyle name="40% - Accent2 4" xfId="4780" hidden="1"/>
    <cellStyle name="40% - Accent2 4" xfId="4933" hidden="1"/>
    <cellStyle name="40% - Accent2 4" xfId="3745" hidden="1"/>
    <cellStyle name="40% - Accent2 4" xfId="5037" hidden="1"/>
    <cellStyle name="40% - Accent2 4" xfId="5191" hidden="1"/>
    <cellStyle name="40% - Accent2 4" xfId="5342" hidden="1"/>
    <cellStyle name="40% - Accent2 4" xfId="3485" hidden="1"/>
    <cellStyle name="40% - Accent2 4" xfId="5446" hidden="1"/>
    <cellStyle name="40% - Accent2 4" xfId="5589" hidden="1"/>
    <cellStyle name="40% - Accent2 4" xfId="5726" hidden="1"/>
    <cellStyle name="40% - Accent2 4" xfId="4515" hidden="1"/>
    <cellStyle name="40% - Accent2 4" xfId="5815" hidden="1"/>
    <cellStyle name="40% - Accent2 4" xfId="5947" hidden="1"/>
    <cellStyle name="40% - Accent2 4" xfId="6077" hidden="1"/>
    <cellStyle name="40% - Accent2 4" xfId="5262" hidden="1"/>
    <cellStyle name="40% - Accent2 4" xfId="6161" hidden="1"/>
    <cellStyle name="40% - Accent2 4" xfId="6283" hidden="1"/>
    <cellStyle name="40% - Accent2 4" xfId="6405" hidden="1"/>
    <cellStyle name="40% - Accent2 5" xfId="610" hidden="1"/>
    <cellStyle name="40% - Accent2 5" xfId="925" hidden="1"/>
    <cellStyle name="40% - Accent2 5" xfId="1109" hidden="1"/>
    <cellStyle name="40% - Accent2 5" xfId="1291" hidden="1"/>
    <cellStyle name="40% - Accent2 5" xfId="1700" hidden="1"/>
    <cellStyle name="40% - Accent2 5" xfId="1915" hidden="1"/>
    <cellStyle name="40% - Accent2 5" xfId="2098" hidden="1"/>
    <cellStyle name="40% - Accent2 5" xfId="2280" hidden="1"/>
    <cellStyle name="40% - Accent2 5" xfId="2457" hidden="1"/>
    <cellStyle name="40% - Accent2 5" xfId="2618" hidden="1"/>
    <cellStyle name="40% - Accent2 5" xfId="2750" hidden="1"/>
    <cellStyle name="40% - Accent2 5" xfId="2880" hidden="1"/>
    <cellStyle name="40% - Accent2 5" xfId="2486" hidden="1"/>
    <cellStyle name="40% - Accent2 5" xfId="2964" hidden="1"/>
    <cellStyle name="40% - Accent2 5" xfId="3086" hidden="1"/>
    <cellStyle name="40% - Accent2 5" xfId="3208" hidden="1"/>
    <cellStyle name="40% - Accent2 5" xfId="3681" hidden="1"/>
    <cellStyle name="40% - Accent2 5" xfId="3954" hidden="1"/>
    <cellStyle name="40% - Accent2 5" xfId="4136" hidden="1"/>
    <cellStyle name="40% - Accent2 5" xfId="4318" hidden="1"/>
    <cellStyle name="40% - Accent2 5" xfId="4411" hidden="1"/>
    <cellStyle name="40% - Accent2 5" xfId="4651" hidden="1"/>
    <cellStyle name="40% - Accent2 5" xfId="4811" hidden="1"/>
    <cellStyle name="40% - Accent2 5" xfId="4964" hidden="1"/>
    <cellStyle name="40% - Accent2 5" xfId="3393" hidden="1"/>
    <cellStyle name="40% - Accent2 5" xfId="5068" hidden="1"/>
    <cellStyle name="40% - Accent2 5" xfId="5222" hidden="1"/>
    <cellStyle name="40% - Accent2 5" xfId="5373" hidden="1"/>
    <cellStyle name="40% - Accent2 5" xfId="3552" hidden="1"/>
    <cellStyle name="40% - Accent2 5" xfId="5477" hidden="1"/>
    <cellStyle name="40% - Accent2 5" xfId="5620" hidden="1"/>
    <cellStyle name="40% - Accent2 5" xfId="5757" hidden="1"/>
    <cellStyle name="40% - Accent2 5" xfId="4507" hidden="1"/>
    <cellStyle name="40% - Accent2 5" xfId="5846" hidden="1"/>
    <cellStyle name="40% - Accent2 5" xfId="5978" hidden="1"/>
    <cellStyle name="40% - Accent2 5" xfId="6108" hidden="1"/>
    <cellStyle name="40% - Accent2 5" xfId="3747" hidden="1"/>
    <cellStyle name="40% - Accent2 5" xfId="6192" hidden="1"/>
    <cellStyle name="40% - Accent2 5" xfId="6314" hidden="1"/>
    <cellStyle name="40% - Accent2 5" xfId="6436" hidden="1"/>
    <cellStyle name="40% - Accent3" xfId="9" builtinId="39" customBuiltin="1"/>
    <cellStyle name="40% - Accent3 2" xfId="517" hidden="1"/>
    <cellStyle name="40% - Accent3 2" xfId="832" hidden="1"/>
    <cellStyle name="40% - Accent3 2" xfId="1016" hidden="1"/>
    <cellStyle name="40% - Accent3 2" xfId="1198" hidden="1"/>
    <cellStyle name="40% - Accent3 2" xfId="1607" hidden="1"/>
    <cellStyle name="40% - Accent3 2" xfId="1822" hidden="1"/>
    <cellStyle name="40% - Accent3 2" xfId="2005" hidden="1"/>
    <cellStyle name="40% - Accent3 2" xfId="2187" hidden="1"/>
    <cellStyle name="40% - Accent3 2" xfId="2367" hidden="1"/>
    <cellStyle name="40% - Accent3 2" xfId="2528" hidden="1"/>
    <cellStyle name="40% - Accent3 2" xfId="2660" hidden="1"/>
    <cellStyle name="40% - Accent3 2" xfId="2790" hidden="1"/>
    <cellStyle name="40% - Accent3 2" xfId="1781" hidden="1"/>
    <cellStyle name="40% - Accent3 2" xfId="1373" hidden="1"/>
    <cellStyle name="40% - Accent3 2" xfId="2997" hidden="1"/>
    <cellStyle name="40% - Accent3 2" xfId="3119" hidden="1"/>
    <cellStyle name="40% - Accent3 2" xfId="3588" hidden="1"/>
    <cellStyle name="40% - Accent3 2" xfId="3861" hidden="1"/>
    <cellStyle name="40% - Accent3 2" xfId="4043" hidden="1"/>
    <cellStyle name="40% - Accent3 2" xfId="4225" hidden="1"/>
    <cellStyle name="40% - Accent3 2" xfId="3325" hidden="1"/>
    <cellStyle name="40% - Accent3 2" xfId="4560" hidden="1"/>
    <cellStyle name="40% - Accent3 2" xfId="4721" hidden="1"/>
    <cellStyle name="40% - Accent3 2" xfId="4873" hidden="1"/>
    <cellStyle name="40% - Accent3 2" xfId="3282" hidden="1"/>
    <cellStyle name="40% - Accent3 2" xfId="3268" hidden="1"/>
    <cellStyle name="40% - Accent3 2" xfId="5132" hidden="1"/>
    <cellStyle name="40% - Accent3 2" xfId="5282" hidden="1"/>
    <cellStyle name="40% - Accent3 2" xfId="4429" hidden="1"/>
    <cellStyle name="40% - Accent3 2" xfId="3294" hidden="1"/>
    <cellStyle name="40% - Accent3 2" xfId="5530" hidden="1"/>
    <cellStyle name="40% - Accent3 2" xfId="5667" hidden="1"/>
    <cellStyle name="40% - Accent3 2" xfId="4857" hidden="1"/>
    <cellStyle name="40% - Accent3 2" xfId="4845" hidden="1"/>
    <cellStyle name="40% - Accent3 2" xfId="5888" hidden="1"/>
    <cellStyle name="40% - Accent3 2" xfId="6018" hidden="1"/>
    <cellStyle name="40% - Accent3 2" xfId="3336" hidden="1"/>
    <cellStyle name="40% - Accent3 2" xfId="3729" hidden="1"/>
    <cellStyle name="40% - Accent3 2" xfId="6225" hidden="1"/>
    <cellStyle name="40% - Accent3 2" xfId="6347" hidden="1"/>
    <cellStyle name="40% - Accent3 3" xfId="548" hidden="1"/>
    <cellStyle name="40% - Accent3 3" xfId="863" hidden="1"/>
    <cellStyle name="40% - Accent3 3" xfId="1047" hidden="1"/>
    <cellStyle name="40% - Accent3 3" xfId="1229" hidden="1"/>
    <cellStyle name="40% - Accent3 3" xfId="1638" hidden="1"/>
    <cellStyle name="40% - Accent3 3" xfId="1853" hidden="1"/>
    <cellStyle name="40% - Accent3 3" xfId="2036" hidden="1"/>
    <cellStyle name="40% - Accent3 3" xfId="2218" hidden="1"/>
    <cellStyle name="40% - Accent3 3" xfId="2398" hidden="1"/>
    <cellStyle name="40% - Accent3 3" xfId="2559" hidden="1"/>
    <cellStyle name="40% - Accent3 3" xfId="2691" hidden="1"/>
    <cellStyle name="40% - Accent3 3" xfId="2821" hidden="1"/>
    <cellStyle name="40% - Accent3 3" xfId="2477" hidden="1"/>
    <cellStyle name="40% - Accent3 3" xfId="2906" hidden="1"/>
    <cellStyle name="40% - Accent3 3" xfId="3028" hidden="1"/>
    <cellStyle name="40% - Accent3 3" xfId="3150" hidden="1"/>
    <cellStyle name="40% - Accent3 3" xfId="3619" hidden="1"/>
    <cellStyle name="40% - Accent3 3" xfId="3892" hidden="1"/>
    <cellStyle name="40% - Accent3 3" xfId="4074" hidden="1"/>
    <cellStyle name="40% - Accent3 3" xfId="4256" hidden="1"/>
    <cellStyle name="40% - Accent3 3" xfId="3235" hidden="1"/>
    <cellStyle name="40% - Accent3 3" xfId="4591" hidden="1"/>
    <cellStyle name="40% - Accent3 3" xfId="4752" hidden="1"/>
    <cellStyle name="40% - Accent3 3" xfId="4904" hidden="1"/>
    <cellStyle name="40% - Accent3 3" xfId="4704" hidden="1"/>
    <cellStyle name="40% - Accent3 3" xfId="3284" hidden="1"/>
    <cellStyle name="40% - Accent3 3" xfId="5163" hidden="1"/>
    <cellStyle name="40% - Accent3 3" xfId="5313" hidden="1"/>
    <cellStyle name="40% - Accent3 3" xfId="3569" hidden="1"/>
    <cellStyle name="40% - Accent3 3" xfId="5418" hidden="1"/>
    <cellStyle name="40% - Accent3 3" xfId="5561" hidden="1"/>
    <cellStyle name="40% - Accent3 3" xfId="5698" hidden="1"/>
    <cellStyle name="40% - Accent3 3" xfId="5513" hidden="1"/>
    <cellStyle name="40% - Accent3 3" xfId="4476" hidden="1"/>
    <cellStyle name="40% - Accent3 3" xfId="5919" hidden="1"/>
    <cellStyle name="40% - Accent3 3" xfId="6049" hidden="1"/>
    <cellStyle name="40% - Accent3 3" xfId="5405" hidden="1"/>
    <cellStyle name="40% - Accent3 3" xfId="6134" hidden="1"/>
    <cellStyle name="40% - Accent3 3" xfId="6256" hidden="1"/>
    <cellStyle name="40% - Accent3 3" xfId="6378" hidden="1"/>
    <cellStyle name="40% - Accent3 4" xfId="583" hidden="1"/>
    <cellStyle name="40% - Accent3 4" xfId="898" hidden="1"/>
    <cellStyle name="40% - Accent3 4" xfId="1082" hidden="1"/>
    <cellStyle name="40% - Accent3 4" xfId="1264" hidden="1"/>
    <cellStyle name="40% - Accent3 4" xfId="1673" hidden="1"/>
    <cellStyle name="40% - Accent3 4" xfId="1888" hidden="1"/>
    <cellStyle name="40% - Accent3 4" xfId="2071" hidden="1"/>
    <cellStyle name="40% - Accent3 4" xfId="2253" hidden="1"/>
    <cellStyle name="40% - Accent3 4" xfId="2430" hidden="1"/>
    <cellStyle name="40% - Accent3 4" xfId="2591" hidden="1"/>
    <cellStyle name="40% - Accent3 4" xfId="2723" hidden="1"/>
    <cellStyle name="40% - Accent3 4" xfId="2853" hidden="1"/>
    <cellStyle name="40% - Accent3 4" xfId="1568" hidden="1"/>
    <cellStyle name="40% - Accent3 4" xfId="2937" hidden="1"/>
    <cellStyle name="40% - Accent3 4" xfId="3059" hidden="1"/>
    <cellStyle name="40% - Accent3 4" xfId="3181" hidden="1"/>
    <cellStyle name="40% - Accent3 4" xfId="3654" hidden="1"/>
    <cellStyle name="40% - Accent3 4" xfId="3927" hidden="1"/>
    <cellStyle name="40% - Accent3 4" xfId="4109" hidden="1"/>
    <cellStyle name="40% - Accent3 4" xfId="4291" hidden="1"/>
    <cellStyle name="40% - Accent3 4" xfId="4384" hidden="1"/>
    <cellStyle name="40% - Accent3 4" xfId="4624" hidden="1"/>
    <cellStyle name="40% - Accent3 4" xfId="4784" hidden="1"/>
    <cellStyle name="40% - Accent3 4" xfId="4937" hidden="1"/>
    <cellStyle name="40% - Accent3 4" xfId="3483" hidden="1"/>
    <cellStyle name="40% - Accent3 4" xfId="5041" hidden="1"/>
    <cellStyle name="40% - Accent3 4" xfId="5195" hidden="1"/>
    <cellStyle name="40% - Accent3 4" xfId="5346" hidden="1"/>
    <cellStyle name="40% - Accent3 4" xfId="3396" hidden="1"/>
    <cellStyle name="40% - Accent3 4" xfId="5450" hidden="1"/>
    <cellStyle name="40% - Accent3 4" xfId="5593" hidden="1"/>
    <cellStyle name="40% - Accent3 4" xfId="5730" hidden="1"/>
    <cellStyle name="40% - Accent3 4" xfId="4488" hidden="1"/>
    <cellStyle name="40% - Accent3 4" xfId="5819" hidden="1"/>
    <cellStyle name="40% - Accent3 4" xfId="5951" hidden="1"/>
    <cellStyle name="40% - Accent3 4" xfId="6081" hidden="1"/>
    <cellStyle name="40% - Accent3 4" xfId="4495" hidden="1"/>
    <cellStyle name="40% - Accent3 4" xfId="6165" hidden="1"/>
    <cellStyle name="40% - Accent3 4" xfId="6287" hidden="1"/>
    <cellStyle name="40% - Accent3 4" xfId="6409" hidden="1"/>
    <cellStyle name="40% - Accent3 5" xfId="614" hidden="1"/>
    <cellStyle name="40% - Accent3 5" xfId="929" hidden="1"/>
    <cellStyle name="40% - Accent3 5" xfId="1113" hidden="1"/>
    <cellStyle name="40% - Accent3 5" xfId="1295" hidden="1"/>
    <cellStyle name="40% - Accent3 5" xfId="1704" hidden="1"/>
    <cellStyle name="40% - Accent3 5" xfId="1919" hidden="1"/>
    <cellStyle name="40% - Accent3 5" xfId="2102" hidden="1"/>
    <cellStyle name="40% - Accent3 5" xfId="2284" hidden="1"/>
    <cellStyle name="40% - Accent3 5" xfId="2461" hidden="1"/>
    <cellStyle name="40% - Accent3 5" xfId="2622" hidden="1"/>
    <cellStyle name="40% - Accent3 5" xfId="2754" hidden="1"/>
    <cellStyle name="40% - Accent3 5" xfId="2884" hidden="1"/>
    <cellStyle name="40% - Accent3 5" xfId="1736" hidden="1"/>
    <cellStyle name="40% - Accent3 5" xfId="2968" hidden="1"/>
    <cellStyle name="40% - Accent3 5" xfId="3090" hidden="1"/>
    <cellStyle name="40% - Accent3 5" xfId="3212" hidden="1"/>
    <cellStyle name="40% - Accent3 5" xfId="3685" hidden="1"/>
    <cellStyle name="40% - Accent3 5" xfId="3958" hidden="1"/>
    <cellStyle name="40% - Accent3 5" xfId="4140" hidden="1"/>
    <cellStyle name="40% - Accent3 5" xfId="4322" hidden="1"/>
    <cellStyle name="40% - Accent3 5" xfId="4415" hidden="1"/>
    <cellStyle name="40% - Accent3 5" xfId="4655" hidden="1"/>
    <cellStyle name="40% - Accent3 5" xfId="4815" hidden="1"/>
    <cellStyle name="40% - Accent3 5" xfId="4968" hidden="1"/>
    <cellStyle name="40% - Accent3 5" xfId="4448" hidden="1"/>
    <cellStyle name="40% - Accent3 5" xfId="5072" hidden="1"/>
    <cellStyle name="40% - Accent3 5" xfId="5226" hidden="1"/>
    <cellStyle name="40% - Accent3 5" xfId="5377" hidden="1"/>
    <cellStyle name="40% - Accent3 5" xfId="4669" hidden="1"/>
    <cellStyle name="40% - Accent3 5" xfId="5481" hidden="1"/>
    <cellStyle name="40% - Accent3 5" xfId="5624" hidden="1"/>
    <cellStyle name="40% - Accent3 5" xfId="5761" hidden="1"/>
    <cellStyle name="40% - Accent3 5" xfId="3444" hidden="1"/>
    <cellStyle name="40% - Accent3 5" xfId="5850" hidden="1"/>
    <cellStyle name="40% - Accent3 5" xfId="5982" hidden="1"/>
    <cellStyle name="40% - Accent3 5" xfId="6112" hidden="1"/>
    <cellStyle name="40% - Accent3 5" xfId="5495" hidden="1"/>
    <cellStyle name="40% - Accent3 5" xfId="6196" hidden="1"/>
    <cellStyle name="40% - Accent3 5" xfId="6318" hidden="1"/>
    <cellStyle name="40% - Accent3 5" xfId="6440" hidden="1"/>
    <cellStyle name="40% - Accent4" xfId="10" builtinId="43" customBuiltin="1"/>
    <cellStyle name="40% - Accent4 2" xfId="521" hidden="1"/>
    <cellStyle name="40% - Accent4 2" xfId="836" hidden="1"/>
    <cellStyle name="40% - Accent4 2" xfId="1020" hidden="1"/>
    <cellStyle name="40% - Accent4 2" xfId="1202" hidden="1"/>
    <cellStyle name="40% - Accent4 2" xfId="1611" hidden="1"/>
    <cellStyle name="40% - Accent4 2" xfId="1826" hidden="1"/>
    <cellStyle name="40% - Accent4 2" xfId="2009" hidden="1"/>
    <cellStyle name="40% - Accent4 2" xfId="2191" hidden="1"/>
    <cellStyle name="40% - Accent4 2" xfId="2371" hidden="1"/>
    <cellStyle name="40% - Accent4 2" xfId="2532" hidden="1"/>
    <cellStyle name="40% - Accent4 2" xfId="2664" hidden="1"/>
    <cellStyle name="40% - Accent4 2" xfId="2794" hidden="1"/>
    <cellStyle name="40% - Accent4 2" xfId="2639" hidden="1"/>
    <cellStyle name="40% - Accent4 2" xfId="2498" hidden="1"/>
    <cellStyle name="40% - Accent4 2" xfId="3001" hidden="1"/>
    <cellStyle name="40% - Accent4 2" xfId="3123" hidden="1"/>
    <cellStyle name="40% - Accent4 2" xfId="3592" hidden="1"/>
    <cellStyle name="40% - Accent4 2" xfId="3865" hidden="1"/>
    <cellStyle name="40% - Accent4 2" xfId="4047" hidden="1"/>
    <cellStyle name="40% - Accent4 2" xfId="4229" hidden="1"/>
    <cellStyle name="40% - Accent4 2" xfId="3278" hidden="1"/>
    <cellStyle name="40% - Accent4 2" xfId="4564" hidden="1"/>
    <cellStyle name="40% - Accent4 2" xfId="4725" hidden="1"/>
    <cellStyle name="40% - Accent4 2" xfId="4877" hidden="1"/>
    <cellStyle name="40% - Accent4 2" xfId="3492" hidden="1"/>
    <cellStyle name="40% - Accent4 2" xfId="3558" hidden="1"/>
    <cellStyle name="40% - Accent4 2" xfId="5136" hidden="1"/>
    <cellStyle name="40% - Accent4 2" xfId="5286" hidden="1"/>
    <cellStyle name="40% - Accent4 2" xfId="5108" hidden="1"/>
    <cellStyle name="40% - Accent4 2" xfId="3733" hidden="1"/>
    <cellStyle name="40% - Accent4 2" xfId="5534" hidden="1"/>
    <cellStyle name="40% - Accent4 2" xfId="5671" hidden="1"/>
    <cellStyle name="40% - Accent4 2" xfId="3449" hidden="1"/>
    <cellStyle name="40% - Accent4 2" xfId="3778" hidden="1"/>
    <cellStyle name="40% - Accent4 2" xfId="5892" hidden="1"/>
    <cellStyle name="40% - Accent4 2" xfId="6022" hidden="1"/>
    <cellStyle name="40% - Accent4 2" xfId="5867" hidden="1"/>
    <cellStyle name="40% - Accent4 2" xfId="4504" hidden="1"/>
    <cellStyle name="40% - Accent4 2" xfId="6229" hidden="1"/>
    <cellStyle name="40% - Accent4 2" xfId="6351" hidden="1"/>
    <cellStyle name="40% - Accent4 3" xfId="552" hidden="1"/>
    <cellStyle name="40% - Accent4 3" xfId="867" hidden="1"/>
    <cellStyle name="40% - Accent4 3" xfId="1051" hidden="1"/>
    <cellStyle name="40% - Accent4 3" xfId="1233" hidden="1"/>
    <cellStyle name="40% - Accent4 3" xfId="1642" hidden="1"/>
    <cellStyle name="40% - Accent4 3" xfId="1857" hidden="1"/>
    <cellStyle name="40% - Accent4 3" xfId="2040" hidden="1"/>
    <cellStyle name="40% - Accent4 3" xfId="2222" hidden="1"/>
    <cellStyle name="40% - Accent4 3" xfId="2402" hidden="1"/>
    <cellStyle name="40% - Accent4 3" xfId="2563" hidden="1"/>
    <cellStyle name="40% - Accent4 3" xfId="2695" hidden="1"/>
    <cellStyle name="40% - Accent4 3" xfId="2825" hidden="1"/>
    <cellStyle name="40% - Accent4 3" xfId="2502" hidden="1"/>
    <cellStyle name="40% - Accent4 3" xfId="2910" hidden="1"/>
    <cellStyle name="40% - Accent4 3" xfId="3032" hidden="1"/>
    <cellStyle name="40% - Accent4 3" xfId="3154" hidden="1"/>
    <cellStyle name="40% - Accent4 3" xfId="3623" hidden="1"/>
    <cellStyle name="40% - Accent4 3" xfId="3896" hidden="1"/>
    <cellStyle name="40% - Accent4 3" xfId="4078" hidden="1"/>
    <cellStyle name="40% - Accent4 3" xfId="4260" hidden="1"/>
    <cellStyle name="40% - Accent4 3" xfId="3532" hidden="1"/>
    <cellStyle name="40% - Accent4 3" xfId="4595" hidden="1"/>
    <cellStyle name="40% - Accent4 3" xfId="4756" hidden="1"/>
    <cellStyle name="40% - Accent4 3" xfId="4908" hidden="1"/>
    <cellStyle name="40% - Accent4 3" xfId="4434" hidden="1"/>
    <cellStyle name="40% - Accent4 3" xfId="5013" hidden="1"/>
    <cellStyle name="40% - Accent4 3" xfId="5167" hidden="1"/>
    <cellStyle name="40% - Accent4 3" xfId="5317" hidden="1"/>
    <cellStyle name="40% - Accent4 3" xfId="4528" hidden="1"/>
    <cellStyle name="40% - Accent4 3" xfId="5422" hidden="1"/>
    <cellStyle name="40% - Accent4 3" xfId="5565" hidden="1"/>
    <cellStyle name="40% - Accent4 3" xfId="5702" hidden="1"/>
    <cellStyle name="40% - Accent4 3" xfId="4444" hidden="1"/>
    <cellStyle name="40% - Accent4 3" xfId="5791" hidden="1"/>
    <cellStyle name="40% - Accent4 3" xfId="5923" hidden="1"/>
    <cellStyle name="40% - Accent4 3" xfId="6053" hidden="1"/>
    <cellStyle name="40% - Accent4 3" xfId="4999" hidden="1"/>
    <cellStyle name="40% - Accent4 3" xfId="6138" hidden="1"/>
    <cellStyle name="40% - Accent4 3" xfId="6260" hidden="1"/>
    <cellStyle name="40% - Accent4 3" xfId="6382" hidden="1"/>
    <cellStyle name="40% - Accent4 4" xfId="587" hidden="1"/>
    <cellStyle name="40% - Accent4 4" xfId="902" hidden="1"/>
    <cellStyle name="40% - Accent4 4" xfId="1086" hidden="1"/>
    <cellStyle name="40% - Accent4 4" xfId="1268" hidden="1"/>
    <cellStyle name="40% - Accent4 4" xfId="1677" hidden="1"/>
    <cellStyle name="40% - Accent4 4" xfId="1892" hidden="1"/>
    <cellStyle name="40% - Accent4 4" xfId="2075" hidden="1"/>
    <cellStyle name="40% - Accent4 4" xfId="2257" hidden="1"/>
    <cellStyle name="40% - Accent4 4" xfId="2434" hidden="1"/>
    <cellStyle name="40% - Accent4 4" xfId="2595" hidden="1"/>
    <cellStyle name="40% - Accent4 4" xfId="2727" hidden="1"/>
    <cellStyle name="40% - Accent4 4" xfId="2857" hidden="1"/>
    <cellStyle name="40% - Accent4 4" xfId="1763" hidden="1"/>
    <cellStyle name="40% - Accent4 4" xfId="2941" hidden="1"/>
    <cellStyle name="40% - Accent4 4" xfId="3063" hidden="1"/>
    <cellStyle name="40% - Accent4 4" xfId="3185" hidden="1"/>
    <cellStyle name="40% - Accent4 4" xfId="3658" hidden="1"/>
    <cellStyle name="40% - Accent4 4" xfId="3931" hidden="1"/>
    <cellStyle name="40% - Accent4 4" xfId="4113" hidden="1"/>
    <cellStyle name="40% - Accent4 4" xfId="4295" hidden="1"/>
    <cellStyle name="40% - Accent4 4" xfId="4388" hidden="1"/>
    <cellStyle name="40% - Accent4 4" xfId="4628" hidden="1"/>
    <cellStyle name="40% - Accent4 4" xfId="4788" hidden="1"/>
    <cellStyle name="40% - Accent4 4" xfId="4941" hidden="1"/>
    <cellStyle name="40% - Accent4 4" xfId="3306" hidden="1"/>
    <cellStyle name="40% - Accent4 4" xfId="5045" hidden="1"/>
    <cellStyle name="40% - Accent4 4" xfId="5199" hidden="1"/>
    <cellStyle name="40% - Accent4 4" xfId="5350" hidden="1"/>
    <cellStyle name="40% - Accent4 4" xfId="3359" hidden="1"/>
    <cellStyle name="40% - Accent4 4" xfId="5454" hidden="1"/>
    <cellStyle name="40% - Accent4 4" xfId="5597" hidden="1"/>
    <cellStyle name="40% - Accent4 4" xfId="5734" hidden="1"/>
    <cellStyle name="40% - Accent4 4" xfId="3352" hidden="1"/>
    <cellStyle name="40% - Accent4 4" xfId="5823" hidden="1"/>
    <cellStyle name="40% - Accent4 4" xfId="5955" hidden="1"/>
    <cellStyle name="40% - Accent4 4" xfId="6085" hidden="1"/>
    <cellStyle name="40% - Accent4 4" xfId="3309" hidden="1"/>
    <cellStyle name="40% - Accent4 4" xfId="6169" hidden="1"/>
    <cellStyle name="40% - Accent4 4" xfId="6291" hidden="1"/>
    <cellStyle name="40% - Accent4 4" xfId="6413" hidden="1"/>
    <cellStyle name="40% - Accent4 5" xfId="618" hidden="1"/>
    <cellStyle name="40% - Accent4 5" xfId="933" hidden="1"/>
    <cellStyle name="40% - Accent4 5" xfId="1117" hidden="1"/>
    <cellStyle name="40% - Accent4 5" xfId="1299" hidden="1"/>
    <cellStyle name="40% - Accent4 5" xfId="1708" hidden="1"/>
    <cellStyle name="40% - Accent4 5" xfId="1923" hidden="1"/>
    <cellStyle name="40% - Accent4 5" xfId="2106" hidden="1"/>
    <cellStyle name="40% - Accent4 5" xfId="2288" hidden="1"/>
    <cellStyle name="40% - Accent4 5" xfId="2465" hidden="1"/>
    <cellStyle name="40% - Accent4 5" xfId="2626" hidden="1"/>
    <cellStyle name="40% - Accent4 5" xfId="2758" hidden="1"/>
    <cellStyle name="40% - Accent4 5" xfId="2888" hidden="1"/>
    <cellStyle name="40% - Accent4 5" xfId="1435" hidden="1"/>
    <cellStyle name="40% - Accent4 5" xfId="2972" hidden="1"/>
    <cellStyle name="40% - Accent4 5" xfId="3094" hidden="1"/>
    <cellStyle name="40% - Accent4 5" xfId="3216" hidden="1"/>
    <cellStyle name="40% - Accent4 5" xfId="3689" hidden="1"/>
    <cellStyle name="40% - Accent4 5" xfId="3962" hidden="1"/>
    <cellStyle name="40% - Accent4 5" xfId="4144" hidden="1"/>
    <cellStyle name="40% - Accent4 5" xfId="4326" hidden="1"/>
    <cellStyle name="40% - Accent4 5" xfId="4419" hidden="1"/>
    <cellStyle name="40% - Accent4 5" xfId="4659" hidden="1"/>
    <cellStyle name="40% - Accent4 5" xfId="4819" hidden="1"/>
    <cellStyle name="40% - Accent4 5" xfId="4972" hidden="1"/>
    <cellStyle name="40% - Accent4 5" xfId="3446" hidden="1"/>
    <cellStyle name="40% - Accent4 5" xfId="5076" hidden="1"/>
    <cellStyle name="40% - Accent4 5" xfId="5230" hidden="1"/>
    <cellStyle name="40% - Accent4 5" xfId="5381" hidden="1"/>
    <cellStyle name="40% - Accent4 5" xfId="5006" hidden="1"/>
    <cellStyle name="40% - Accent4 5" xfId="5485" hidden="1"/>
    <cellStyle name="40% - Accent4 5" xfId="5628" hidden="1"/>
    <cellStyle name="40% - Accent4 5" xfId="5765" hidden="1"/>
    <cellStyle name="40% - Accent4 5" xfId="4539" hidden="1"/>
    <cellStyle name="40% - Accent4 5" xfId="5854" hidden="1"/>
    <cellStyle name="40% - Accent4 5" xfId="5986" hidden="1"/>
    <cellStyle name="40% - Accent4 5" xfId="6116" hidden="1"/>
    <cellStyle name="40% - Accent4 5" xfId="5786" hidden="1"/>
    <cellStyle name="40% - Accent4 5" xfId="6200" hidden="1"/>
    <cellStyle name="40% - Accent4 5" xfId="6322" hidden="1"/>
    <cellStyle name="40% - Accent4 5" xfId="6444" hidden="1"/>
    <cellStyle name="40% - Accent5" xfId="11" builtinId="47" customBuiltin="1"/>
    <cellStyle name="40% - Accent5 2" xfId="525" hidden="1"/>
    <cellStyle name="40% - Accent5 2" xfId="840" hidden="1"/>
    <cellStyle name="40% - Accent5 2" xfId="1024" hidden="1"/>
    <cellStyle name="40% - Accent5 2" xfId="1206" hidden="1"/>
    <cellStyle name="40% - Accent5 2" xfId="1615" hidden="1"/>
    <cellStyle name="40% - Accent5 2" xfId="1830" hidden="1"/>
    <cellStyle name="40% - Accent5 2" xfId="2013" hidden="1"/>
    <cellStyle name="40% - Accent5 2" xfId="2195" hidden="1"/>
    <cellStyle name="40% - Accent5 2" xfId="2375" hidden="1"/>
    <cellStyle name="40% - Accent5 2" xfId="2536" hidden="1"/>
    <cellStyle name="40% - Accent5 2" xfId="2668" hidden="1"/>
    <cellStyle name="40% - Accent5 2" xfId="2798" hidden="1"/>
    <cellStyle name="40% - Accent5 2" xfId="1766" hidden="1"/>
    <cellStyle name="40% - Accent5 2" xfId="1366" hidden="1"/>
    <cellStyle name="40% - Accent5 2" xfId="3005" hidden="1"/>
    <cellStyle name="40% - Accent5 2" xfId="3127" hidden="1"/>
    <cellStyle name="40% - Accent5 2" xfId="3596" hidden="1"/>
    <cellStyle name="40% - Accent5 2" xfId="3869" hidden="1"/>
    <cellStyle name="40% - Accent5 2" xfId="4051" hidden="1"/>
    <cellStyle name="40% - Accent5 2" xfId="4233" hidden="1"/>
    <cellStyle name="40% - Accent5 2" xfId="3302" hidden="1"/>
    <cellStyle name="40% - Accent5 2" xfId="4568" hidden="1"/>
    <cellStyle name="40% - Accent5 2" xfId="4729" hidden="1"/>
    <cellStyle name="40% - Accent5 2" xfId="4881" hidden="1"/>
    <cellStyle name="40% - Accent5 2" xfId="4697" hidden="1"/>
    <cellStyle name="40% - Accent5 2" xfId="3264" hidden="1"/>
    <cellStyle name="40% - Accent5 2" xfId="5140" hidden="1"/>
    <cellStyle name="40% - Accent5 2" xfId="5290" hidden="1"/>
    <cellStyle name="40% - Accent5 2" xfId="4847" hidden="1"/>
    <cellStyle name="40% - Accent5 2" xfId="3730" hidden="1"/>
    <cellStyle name="40% - Accent5 2" xfId="5538" hidden="1"/>
    <cellStyle name="40% - Accent5 2" xfId="5675" hidden="1"/>
    <cellStyle name="40% - Accent5 2" xfId="5510" hidden="1"/>
    <cellStyle name="40% - Accent5 2" xfId="3335" hidden="1"/>
    <cellStyle name="40% - Accent5 2" xfId="5896" hidden="1"/>
    <cellStyle name="40% - Accent5 2" xfId="6026" hidden="1"/>
    <cellStyle name="40% - Accent5 2" xfId="5646" hidden="1"/>
    <cellStyle name="40% - Accent5 2" xfId="4502" hidden="1"/>
    <cellStyle name="40% - Accent5 2" xfId="6233" hidden="1"/>
    <cellStyle name="40% - Accent5 2" xfId="6355" hidden="1"/>
    <cellStyle name="40% - Accent5 3" xfId="556" hidden="1"/>
    <cellStyle name="40% - Accent5 3" xfId="871" hidden="1"/>
    <cellStyle name="40% - Accent5 3" xfId="1055" hidden="1"/>
    <cellStyle name="40% - Accent5 3" xfId="1237" hidden="1"/>
    <cellStyle name="40% - Accent5 3" xfId="1646" hidden="1"/>
    <cellStyle name="40% - Accent5 3" xfId="1861" hidden="1"/>
    <cellStyle name="40% - Accent5 3" xfId="2044" hidden="1"/>
    <cellStyle name="40% - Accent5 3" xfId="2226" hidden="1"/>
    <cellStyle name="40% - Accent5 3" xfId="2406" hidden="1"/>
    <cellStyle name="40% - Accent5 3" xfId="2567" hidden="1"/>
    <cellStyle name="40% - Accent5 3" xfId="2699" hidden="1"/>
    <cellStyle name="40% - Accent5 3" xfId="2829" hidden="1"/>
    <cellStyle name="40% - Accent5 3" xfId="2898" hidden="1"/>
    <cellStyle name="40% - Accent5 3" xfId="2914" hidden="1"/>
    <cellStyle name="40% - Accent5 3" xfId="3036" hidden="1"/>
    <cellStyle name="40% - Accent5 3" xfId="3158" hidden="1"/>
    <cellStyle name="40% - Accent5 3" xfId="3627" hidden="1"/>
    <cellStyle name="40% - Accent5 3" xfId="3900" hidden="1"/>
    <cellStyle name="40% - Accent5 3" xfId="4082" hidden="1"/>
    <cellStyle name="40% - Accent5 3" xfId="4264" hidden="1"/>
    <cellStyle name="40% - Accent5 3" xfId="3720" hidden="1"/>
    <cellStyle name="40% - Accent5 3" xfId="4599" hidden="1"/>
    <cellStyle name="40% - Accent5 3" xfId="4760" hidden="1"/>
    <cellStyle name="40% - Accent5 3" xfId="4912" hidden="1"/>
    <cellStyle name="40% - Accent5 3" xfId="4479" hidden="1"/>
    <cellStyle name="40% - Accent5 3" xfId="5017" hidden="1"/>
    <cellStyle name="40% - Accent5 3" xfId="5171" hidden="1"/>
    <cellStyle name="40% - Accent5 3" xfId="5321" hidden="1"/>
    <cellStyle name="40% - Accent5 3" xfId="5393" hidden="1"/>
    <cellStyle name="40% - Accent5 3" xfId="5426" hidden="1"/>
    <cellStyle name="40% - Accent5 3" xfId="5569" hidden="1"/>
    <cellStyle name="40% - Accent5 3" xfId="5706" hidden="1"/>
    <cellStyle name="40% - Accent5 3" xfId="3761" hidden="1"/>
    <cellStyle name="40% - Accent5 3" xfId="5795" hidden="1"/>
    <cellStyle name="40% - Accent5 3" xfId="5927" hidden="1"/>
    <cellStyle name="40% - Accent5 3" xfId="6057" hidden="1"/>
    <cellStyle name="40% - Accent5 3" xfId="6126" hidden="1"/>
    <cellStyle name="40% - Accent5 3" xfId="6142" hidden="1"/>
    <cellStyle name="40% - Accent5 3" xfId="6264" hidden="1"/>
    <cellStyle name="40% - Accent5 3" xfId="6386" hidden="1"/>
    <cellStyle name="40% - Accent5 4" xfId="591" hidden="1"/>
    <cellStyle name="40% - Accent5 4" xfId="906" hidden="1"/>
    <cellStyle name="40% - Accent5 4" xfId="1090" hidden="1"/>
    <cellStyle name="40% - Accent5 4" xfId="1272" hidden="1"/>
    <cellStyle name="40% - Accent5 4" xfId="1681" hidden="1"/>
    <cellStyle name="40% - Accent5 4" xfId="1896" hidden="1"/>
    <cellStyle name="40% - Accent5 4" xfId="2079" hidden="1"/>
    <cellStyle name="40% - Accent5 4" xfId="2261" hidden="1"/>
    <cellStyle name="40% - Accent5 4" xfId="2438" hidden="1"/>
    <cellStyle name="40% - Accent5 4" xfId="2599" hidden="1"/>
    <cellStyle name="40% - Accent5 4" xfId="2731" hidden="1"/>
    <cellStyle name="40% - Accent5 4" xfId="2861" hidden="1"/>
    <cellStyle name="40% - Accent5 4" xfId="1740" hidden="1"/>
    <cellStyle name="40% - Accent5 4" xfId="2945" hidden="1"/>
    <cellStyle name="40% - Accent5 4" xfId="3067" hidden="1"/>
    <cellStyle name="40% - Accent5 4" xfId="3189" hidden="1"/>
    <cellStyle name="40% - Accent5 4" xfId="3662" hidden="1"/>
    <cellStyle name="40% - Accent5 4" xfId="3935" hidden="1"/>
    <cellStyle name="40% - Accent5 4" xfId="4117" hidden="1"/>
    <cellStyle name="40% - Accent5 4" xfId="4299" hidden="1"/>
    <cellStyle name="40% - Accent5 4" xfId="4392" hidden="1"/>
    <cellStyle name="40% - Accent5 4" xfId="4632" hidden="1"/>
    <cellStyle name="40% - Accent5 4" xfId="4792" hidden="1"/>
    <cellStyle name="40% - Accent5 4" xfId="4945" hidden="1"/>
    <cellStyle name="40% - Accent5 4" xfId="3458" hidden="1"/>
    <cellStyle name="40% - Accent5 4" xfId="5049" hidden="1"/>
    <cellStyle name="40% - Accent5 4" xfId="5203" hidden="1"/>
    <cellStyle name="40% - Accent5 4" xfId="5354" hidden="1"/>
    <cellStyle name="40% - Accent5 4" xfId="3361" hidden="1"/>
    <cellStyle name="40% - Accent5 4" xfId="5458" hidden="1"/>
    <cellStyle name="40% - Accent5 4" xfId="5601" hidden="1"/>
    <cellStyle name="40% - Accent5 4" xfId="5738" hidden="1"/>
    <cellStyle name="40% - Accent5 4" xfId="3317" hidden="1"/>
    <cellStyle name="40% - Accent5 4" xfId="5827" hidden="1"/>
    <cellStyle name="40% - Accent5 4" xfId="5959" hidden="1"/>
    <cellStyle name="40% - Accent5 4" xfId="6089" hidden="1"/>
    <cellStyle name="40% - Accent5 4" xfId="4511" hidden="1"/>
    <cellStyle name="40% - Accent5 4" xfId="6173" hidden="1"/>
    <cellStyle name="40% - Accent5 4" xfId="6295" hidden="1"/>
    <cellStyle name="40% - Accent5 4" xfId="6417" hidden="1"/>
    <cellStyle name="40% - Accent5 5" xfId="622" hidden="1"/>
    <cellStyle name="40% - Accent5 5" xfId="937" hidden="1"/>
    <cellStyle name="40% - Accent5 5" xfId="1121" hidden="1"/>
    <cellStyle name="40% - Accent5 5" xfId="1303" hidden="1"/>
    <cellStyle name="40% - Accent5 5" xfId="1712" hidden="1"/>
    <cellStyle name="40% - Accent5 5" xfId="1927" hidden="1"/>
    <cellStyle name="40% - Accent5 5" xfId="2110" hidden="1"/>
    <cellStyle name="40% - Accent5 5" xfId="2292" hidden="1"/>
    <cellStyle name="40% - Accent5 5" xfId="2469" hidden="1"/>
    <cellStyle name="40% - Accent5 5" xfId="2630" hidden="1"/>
    <cellStyle name="40% - Accent5 5" xfId="2762" hidden="1"/>
    <cellStyle name="40% - Accent5 5" xfId="2892" hidden="1"/>
    <cellStyle name="40% - Accent5 5" xfId="1749" hidden="1"/>
    <cellStyle name="40% - Accent5 5" xfId="2976" hidden="1"/>
    <cellStyle name="40% - Accent5 5" xfId="3098" hidden="1"/>
    <cellStyle name="40% - Accent5 5" xfId="3220" hidden="1"/>
    <cellStyle name="40% - Accent5 5" xfId="3693" hidden="1"/>
    <cellStyle name="40% - Accent5 5" xfId="3966" hidden="1"/>
    <cellStyle name="40% - Accent5 5" xfId="4148" hidden="1"/>
    <cellStyle name="40% - Accent5 5" xfId="4330" hidden="1"/>
    <cellStyle name="40% - Accent5 5" xfId="4423" hidden="1"/>
    <cellStyle name="40% - Accent5 5" xfId="4663" hidden="1"/>
    <cellStyle name="40% - Accent5 5" xfId="4823" hidden="1"/>
    <cellStyle name="40% - Accent5 5" xfId="4976" hidden="1"/>
    <cellStyle name="40% - Accent5 5" xfId="3447" hidden="1"/>
    <cellStyle name="40% - Accent5 5" xfId="5080" hidden="1"/>
    <cellStyle name="40% - Accent5 5" xfId="5234" hidden="1"/>
    <cellStyle name="40% - Accent5 5" xfId="5385" hidden="1"/>
    <cellStyle name="40% - Accent5 5" xfId="3312" hidden="1"/>
    <cellStyle name="40% - Accent5 5" xfId="5489" hidden="1"/>
    <cellStyle name="40% - Accent5 5" xfId="5632" hidden="1"/>
    <cellStyle name="40% - Accent5 5" xfId="5769" hidden="1"/>
    <cellStyle name="40% - Accent5 5" xfId="5409" hidden="1"/>
    <cellStyle name="40% - Accent5 5" xfId="5858" hidden="1"/>
    <cellStyle name="40% - Accent5 5" xfId="5990" hidden="1"/>
    <cellStyle name="40% - Accent5 5" xfId="6120" hidden="1"/>
    <cellStyle name="40% - Accent5 5" xfId="3332" hidden="1"/>
    <cellStyle name="40% - Accent5 5" xfId="6204" hidden="1"/>
    <cellStyle name="40% - Accent5 5" xfId="6326" hidden="1"/>
    <cellStyle name="40% - Accent5 5" xfId="6448" hidden="1"/>
    <cellStyle name="40% - Accent6" xfId="12" builtinId="51" customBuiltin="1"/>
    <cellStyle name="40% - Accent6 2" xfId="529" hidden="1"/>
    <cellStyle name="40% - Accent6 2" xfId="844" hidden="1"/>
    <cellStyle name="40% - Accent6 2" xfId="1028" hidden="1"/>
    <cellStyle name="40% - Accent6 2" xfId="1210" hidden="1"/>
    <cellStyle name="40% - Accent6 2" xfId="1619" hidden="1"/>
    <cellStyle name="40% - Accent6 2" xfId="1834" hidden="1"/>
    <cellStyle name="40% - Accent6 2" xfId="2017" hidden="1"/>
    <cellStyle name="40% - Accent6 2" xfId="2199" hidden="1"/>
    <cellStyle name="40% - Accent6 2" xfId="2379" hidden="1"/>
    <cellStyle name="40% - Accent6 2" xfId="2540" hidden="1"/>
    <cellStyle name="40% - Accent6 2" xfId="2672" hidden="1"/>
    <cellStyle name="40% - Accent6 2" xfId="2802" hidden="1"/>
    <cellStyle name="40% - Accent6 2" xfId="2509" hidden="1"/>
    <cellStyle name="40% - Accent6 2" xfId="2480" hidden="1"/>
    <cellStyle name="40% - Accent6 2" xfId="3009" hidden="1"/>
    <cellStyle name="40% - Accent6 2" xfId="3131" hidden="1"/>
    <cellStyle name="40% - Accent6 2" xfId="3600" hidden="1"/>
    <cellStyle name="40% - Accent6 2" xfId="3873" hidden="1"/>
    <cellStyle name="40% - Accent6 2" xfId="4055" hidden="1"/>
    <cellStyle name="40% - Accent6 2" xfId="4237" hidden="1"/>
    <cellStyle name="40% - Accent6 2" xfId="3753" hidden="1"/>
    <cellStyle name="40% - Accent6 2" xfId="4572" hidden="1"/>
    <cellStyle name="40% - Accent6 2" xfId="4733" hidden="1"/>
    <cellStyle name="40% - Accent6 2" xfId="4885" hidden="1"/>
    <cellStyle name="40% - Accent6 2" xfId="3454" hidden="1"/>
    <cellStyle name="40% - Accent6 2" xfId="4473" hidden="1"/>
    <cellStyle name="40% - Accent6 2" xfId="5144" hidden="1"/>
    <cellStyle name="40% - Accent6 2" xfId="5294" hidden="1"/>
    <cellStyle name="40% - Accent6 2" xfId="3794" hidden="1"/>
    <cellStyle name="40% - Accent6 2" xfId="3501" hidden="1"/>
    <cellStyle name="40% - Accent6 2" xfId="5542" hidden="1"/>
    <cellStyle name="40% - Accent6 2" xfId="5679" hidden="1"/>
    <cellStyle name="40% - Accent6 2" xfId="3385" hidden="1"/>
    <cellStyle name="40% - Accent6 2" xfId="5401" hidden="1"/>
    <cellStyle name="40% - Accent6 2" xfId="5900" hidden="1"/>
    <cellStyle name="40% - Accent6 2" xfId="6030" hidden="1"/>
    <cellStyle name="40% - Accent6 2" xfId="5112" hidden="1"/>
    <cellStyle name="40% - Accent6 2" xfId="3299" hidden="1"/>
    <cellStyle name="40% - Accent6 2" xfId="6237" hidden="1"/>
    <cellStyle name="40% - Accent6 2" xfId="6359" hidden="1"/>
    <cellStyle name="40% - Accent6 3" xfId="560" hidden="1"/>
    <cellStyle name="40% - Accent6 3" xfId="875" hidden="1"/>
    <cellStyle name="40% - Accent6 3" xfId="1059" hidden="1"/>
    <cellStyle name="40% - Accent6 3" xfId="1241" hidden="1"/>
    <cellStyle name="40% - Accent6 3" xfId="1650" hidden="1"/>
    <cellStyle name="40% - Accent6 3" xfId="1865" hidden="1"/>
    <cellStyle name="40% - Accent6 3" xfId="2048" hidden="1"/>
    <cellStyle name="40% - Accent6 3" xfId="2230" hidden="1"/>
    <cellStyle name="40% - Accent6 3" xfId="2410" hidden="1"/>
    <cellStyle name="40% - Accent6 3" xfId="2571" hidden="1"/>
    <cellStyle name="40% - Accent6 3" xfId="2703" hidden="1"/>
    <cellStyle name="40% - Accent6 3" xfId="2833" hidden="1"/>
    <cellStyle name="40% - Accent6 3" xfId="1744" hidden="1"/>
    <cellStyle name="40% - Accent6 3" xfId="2918" hidden="1"/>
    <cellStyle name="40% - Accent6 3" xfId="3040" hidden="1"/>
    <cellStyle name="40% - Accent6 3" xfId="3162" hidden="1"/>
    <cellStyle name="40% - Accent6 3" xfId="3631" hidden="1"/>
    <cellStyle name="40% - Accent6 3" xfId="3904" hidden="1"/>
    <cellStyle name="40% - Accent6 3" xfId="4086" hidden="1"/>
    <cellStyle name="40% - Accent6 3" xfId="4268" hidden="1"/>
    <cellStyle name="40% - Accent6 3" xfId="3776" hidden="1"/>
    <cellStyle name="40% - Accent6 3" xfId="4603" hidden="1"/>
    <cellStyle name="40% - Accent6 3" xfId="4764" hidden="1"/>
    <cellStyle name="40% - Accent6 3" xfId="4916" hidden="1"/>
    <cellStyle name="40% - Accent6 3" xfId="4984" hidden="1"/>
    <cellStyle name="40% - Accent6 3" xfId="5021" hidden="1"/>
    <cellStyle name="40% - Accent6 3" xfId="5175" hidden="1"/>
    <cellStyle name="40% - Accent6 3" xfId="5325" hidden="1"/>
    <cellStyle name="40% - Accent6 3" xfId="4841" hidden="1"/>
    <cellStyle name="40% - Accent6 3" xfId="5430" hidden="1"/>
    <cellStyle name="40% - Accent6 3" xfId="5573" hidden="1"/>
    <cellStyle name="40% - Accent6 3" xfId="5710" hidden="1"/>
    <cellStyle name="40% - Accent6 3" xfId="5776" hidden="1"/>
    <cellStyle name="40% - Accent6 3" xfId="5799" hidden="1"/>
    <cellStyle name="40% - Accent6 3" xfId="5931" hidden="1"/>
    <cellStyle name="40% - Accent6 3" xfId="6061" hidden="1"/>
    <cellStyle name="40% - Accent6 3" xfId="5644" hidden="1"/>
    <cellStyle name="40% - Accent6 3" xfId="6146" hidden="1"/>
    <cellStyle name="40% - Accent6 3" xfId="6268" hidden="1"/>
    <cellStyle name="40% - Accent6 3" xfId="6390" hidden="1"/>
    <cellStyle name="40% - Accent6 4" xfId="595" hidden="1"/>
    <cellStyle name="40% - Accent6 4" xfId="910" hidden="1"/>
    <cellStyle name="40% - Accent6 4" xfId="1094" hidden="1"/>
    <cellStyle name="40% - Accent6 4" xfId="1276" hidden="1"/>
    <cellStyle name="40% - Accent6 4" xfId="1685" hidden="1"/>
    <cellStyle name="40% - Accent6 4" xfId="1900" hidden="1"/>
    <cellStyle name="40% - Accent6 4" xfId="2083" hidden="1"/>
    <cellStyle name="40% - Accent6 4" xfId="2265" hidden="1"/>
    <cellStyle name="40% - Accent6 4" xfId="2442" hidden="1"/>
    <cellStyle name="40% - Accent6 4" xfId="2603" hidden="1"/>
    <cellStyle name="40% - Accent6 4" xfId="2735" hidden="1"/>
    <cellStyle name="40% - Accent6 4" xfId="2865" hidden="1"/>
    <cellStyle name="40% - Accent6 4" xfId="1750" hidden="1"/>
    <cellStyle name="40% - Accent6 4" xfId="2949" hidden="1"/>
    <cellStyle name="40% - Accent6 4" xfId="3071" hidden="1"/>
    <cellStyle name="40% - Accent6 4" xfId="3193" hidden="1"/>
    <cellStyle name="40% - Accent6 4" xfId="3666" hidden="1"/>
    <cellStyle name="40% - Accent6 4" xfId="3939" hidden="1"/>
    <cellStyle name="40% - Accent6 4" xfId="4121" hidden="1"/>
    <cellStyle name="40% - Accent6 4" xfId="4303" hidden="1"/>
    <cellStyle name="40% - Accent6 4" xfId="4396" hidden="1"/>
    <cellStyle name="40% - Accent6 4" xfId="4636" hidden="1"/>
    <cellStyle name="40% - Accent6 4" xfId="4796" hidden="1"/>
    <cellStyle name="40% - Accent6 4" xfId="4949" hidden="1"/>
    <cellStyle name="40% - Accent6 4" xfId="3457" hidden="1"/>
    <cellStyle name="40% - Accent6 4" xfId="5053" hidden="1"/>
    <cellStyle name="40% - Accent6 4" xfId="5207" hidden="1"/>
    <cellStyle name="40% - Accent6 4" xfId="5358" hidden="1"/>
    <cellStyle name="40% - Accent6 4" xfId="4675" hidden="1"/>
    <cellStyle name="40% - Accent6 4" xfId="5462" hidden="1"/>
    <cellStyle name="40% - Accent6 4" xfId="5605" hidden="1"/>
    <cellStyle name="40% - Accent6 4" xfId="5742" hidden="1"/>
    <cellStyle name="40% - Accent6 4" xfId="4853" hidden="1"/>
    <cellStyle name="40% - Accent6 4" xfId="5831" hidden="1"/>
    <cellStyle name="40% - Accent6 4" xfId="5963" hidden="1"/>
    <cellStyle name="40% - Accent6 4" xfId="6093" hidden="1"/>
    <cellStyle name="40% - Accent6 4" xfId="5499" hidden="1"/>
    <cellStyle name="40% - Accent6 4" xfId="6177" hidden="1"/>
    <cellStyle name="40% - Accent6 4" xfId="6299" hidden="1"/>
    <cellStyle name="40% - Accent6 4" xfId="6421" hidden="1"/>
    <cellStyle name="40% - Accent6 5" xfId="626" hidden="1"/>
    <cellStyle name="40% - Accent6 5" xfId="941" hidden="1"/>
    <cellStyle name="40% - Accent6 5" xfId="1125" hidden="1"/>
    <cellStyle name="40% - Accent6 5" xfId="1307" hidden="1"/>
    <cellStyle name="40% - Accent6 5" xfId="1716" hidden="1"/>
    <cellStyle name="40% - Accent6 5" xfId="1931" hidden="1"/>
    <cellStyle name="40% - Accent6 5" xfId="2114" hidden="1"/>
    <cellStyle name="40% - Accent6 5" xfId="2296" hidden="1"/>
    <cellStyle name="40% - Accent6 5" xfId="2473" hidden="1"/>
    <cellStyle name="40% - Accent6 5" xfId="2634" hidden="1"/>
    <cellStyle name="40% - Accent6 5" xfId="2766" hidden="1"/>
    <cellStyle name="40% - Accent6 5" xfId="2896" hidden="1"/>
    <cellStyle name="40% - Accent6 5" xfId="1782" hidden="1"/>
    <cellStyle name="40% - Accent6 5" xfId="2980" hidden="1"/>
    <cellStyle name="40% - Accent6 5" xfId="3102" hidden="1"/>
    <cellStyle name="40% - Accent6 5" xfId="3224" hidden="1"/>
    <cellStyle name="40% - Accent6 5" xfId="3697" hidden="1"/>
    <cellStyle name="40% - Accent6 5" xfId="3970" hidden="1"/>
    <cellStyle name="40% - Accent6 5" xfId="4152" hidden="1"/>
    <cellStyle name="40% - Accent6 5" xfId="4334" hidden="1"/>
    <cellStyle name="40% - Accent6 5" xfId="4427" hidden="1"/>
    <cellStyle name="40% - Accent6 5" xfId="4667" hidden="1"/>
    <cellStyle name="40% - Accent6 5" xfId="4827" hidden="1"/>
    <cellStyle name="40% - Accent6 5" xfId="4980" hidden="1"/>
    <cellStyle name="40% - Accent6 5" xfId="3822" hidden="1"/>
    <cellStyle name="40% - Accent6 5" xfId="5084" hidden="1"/>
    <cellStyle name="40% - Accent6 5" xfId="5238" hidden="1"/>
    <cellStyle name="40% - Accent6 5" xfId="5389" hidden="1"/>
    <cellStyle name="40% - Accent6 5" xfId="4690" hidden="1"/>
    <cellStyle name="40% - Accent6 5" xfId="5493" hidden="1"/>
    <cellStyle name="40% - Accent6 5" xfId="5636" hidden="1"/>
    <cellStyle name="40% - Accent6 5" xfId="5773" hidden="1"/>
    <cellStyle name="40% - Accent6 5" xfId="4510" hidden="1"/>
    <cellStyle name="40% - Accent6 5" xfId="5862" hidden="1"/>
    <cellStyle name="40% - Accent6 5" xfId="5994" hidden="1"/>
    <cellStyle name="40% - Accent6 5" xfId="6124" hidden="1"/>
    <cellStyle name="40% - Accent6 5" xfId="5506" hidden="1"/>
    <cellStyle name="40% - Accent6 5" xfId="6208" hidden="1"/>
    <cellStyle name="40% - Accent6 5" xfId="6330" hidden="1"/>
    <cellStyle name="40% - Accent6 5" xfId="6452" hidden="1"/>
    <cellStyle name="60% - Accent1" xfId="13" builtinId="32" customBuiltin="1"/>
    <cellStyle name="60% - Accent1 2" xfId="510" hidden="1"/>
    <cellStyle name="60% - Accent1 2" xfId="825" hidden="1"/>
    <cellStyle name="60% - Accent1 2" xfId="1009" hidden="1"/>
    <cellStyle name="60% - Accent1 2" xfId="1191" hidden="1"/>
    <cellStyle name="60% - Accent1 2" xfId="1600" hidden="1"/>
    <cellStyle name="60% - Accent1 2" xfId="1815" hidden="1"/>
    <cellStyle name="60% - Accent1 2" xfId="1998" hidden="1"/>
    <cellStyle name="60% - Accent1 2" xfId="2180" hidden="1"/>
    <cellStyle name="60% - Accent1 2" xfId="2360" hidden="1"/>
    <cellStyle name="60% - Accent1 2" xfId="2521" hidden="1"/>
    <cellStyle name="60% - Accent1 2" xfId="2653" hidden="1"/>
    <cellStyle name="60% - Accent1 2" xfId="2783" hidden="1"/>
    <cellStyle name="60% - Accent1 2" xfId="1437" hidden="1"/>
    <cellStyle name="60% - Accent1 2" xfId="1362" hidden="1"/>
    <cellStyle name="60% - Accent1 2" xfId="2990" hidden="1"/>
    <cellStyle name="60% - Accent1 2" xfId="3112" hidden="1"/>
    <cellStyle name="60% - Accent1 2" xfId="3581" hidden="1"/>
    <cellStyle name="60% - Accent1 2" xfId="3854" hidden="1"/>
    <cellStyle name="60% - Accent1 2" xfId="4036" hidden="1"/>
    <cellStyle name="60% - Accent1 2" xfId="4218" hidden="1"/>
    <cellStyle name="60% - Accent1 2" xfId="3253" hidden="1"/>
    <cellStyle name="60% - Accent1 2" xfId="4553" hidden="1"/>
    <cellStyle name="60% - Accent1 2" xfId="4714" hidden="1"/>
    <cellStyle name="60% - Accent1 2" xfId="4866" hidden="1"/>
    <cellStyle name="60% - Accent1 2" xfId="3416" hidden="1"/>
    <cellStyle name="60% - Accent1 2" xfId="3337" hidden="1"/>
    <cellStyle name="60% - Accent1 2" xfId="5125" hidden="1"/>
    <cellStyle name="60% - Accent1 2" xfId="5275" hidden="1"/>
    <cellStyle name="60% - Accent1 2" xfId="3308" hidden="1"/>
    <cellStyle name="60% - Accent1 2" xfId="3266" hidden="1"/>
    <cellStyle name="60% - Accent1 2" xfId="5523" hidden="1"/>
    <cellStyle name="60% - Accent1 2" xfId="5660" hidden="1"/>
    <cellStyle name="60% - Accent1 2" xfId="4701" hidden="1"/>
    <cellStyle name="60% - Accent1 2" xfId="4536" hidden="1"/>
    <cellStyle name="60% - Accent1 2" xfId="5881" hidden="1"/>
    <cellStyle name="60% - Accent1 2" xfId="6011" hidden="1"/>
    <cellStyle name="60% - Accent1 2" xfId="3311" hidden="1"/>
    <cellStyle name="60% - Accent1 2" xfId="5407" hidden="1"/>
    <cellStyle name="60% - Accent1 2" xfId="6218" hidden="1"/>
    <cellStyle name="60% - Accent1 2" xfId="6340" hidden="1"/>
    <cellStyle name="60% - Accent1 3" xfId="541" hidden="1"/>
    <cellStyle name="60% - Accent1 3" xfId="856" hidden="1"/>
    <cellStyle name="60% - Accent1 3" xfId="1040" hidden="1"/>
    <cellStyle name="60% - Accent1 3" xfId="1222" hidden="1"/>
    <cellStyle name="60% - Accent1 3" xfId="1631" hidden="1"/>
    <cellStyle name="60% - Accent1 3" xfId="1846" hidden="1"/>
    <cellStyle name="60% - Accent1 3" xfId="2029" hidden="1"/>
    <cellStyle name="60% - Accent1 3" xfId="2211" hidden="1"/>
    <cellStyle name="60% - Accent1 3" xfId="2391" hidden="1"/>
    <cellStyle name="60% - Accent1 3" xfId="2552" hidden="1"/>
    <cellStyle name="60% - Accent1 3" xfId="2684" hidden="1"/>
    <cellStyle name="60% - Accent1 3" xfId="2814" hidden="1"/>
    <cellStyle name="60% - Accent1 3" xfId="2503" hidden="1"/>
    <cellStyle name="60% - Accent1 3" xfId="2478" hidden="1"/>
    <cellStyle name="60% - Accent1 3" xfId="3021" hidden="1"/>
    <cellStyle name="60% - Accent1 3" xfId="3143" hidden="1"/>
    <cellStyle name="60% - Accent1 3" xfId="3612" hidden="1"/>
    <cellStyle name="60% - Accent1 3" xfId="3885" hidden="1"/>
    <cellStyle name="60% - Accent1 3" xfId="4067" hidden="1"/>
    <cellStyle name="60% - Accent1 3" xfId="4249" hidden="1"/>
    <cellStyle name="60% - Accent1 3" xfId="3242" hidden="1"/>
    <cellStyle name="60% - Accent1 3" xfId="4584" hidden="1"/>
    <cellStyle name="60% - Accent1 3" xfId="4745" hidden="1"/>
    <cellStyle name="60% - Accent1 3" xfId="4897" hidden="1"/>
    <cellStyle name="60% - Accent1 3" xfId="3529" hidden="1"/>
    <cellStyle name="60% - Accent1 3" xfId="3542" hidden="1"/>
    <cellStyle name="60% - Accent1 3" xfId="5156" hidden="1"/>
    <cellStyle name="60% - Accent1 3" xfId="5306" hidden="1"/>
    <cellStyle name="60% - Accent1 3" xfId="4848" hidden="1"/>
    <cellStyle name="60% - Accent1 3" xfId="3554" hidden="1"/>
    <cellStyle name="60% - Accent1 3" xfId="5554" hidden="1"/>
    <cellStyle name="60% - Accent1 3" xfId="5691" hidden="1"/>
    <cellStyle name="60% - Accent1 3" xfId="3327" hidden="1"/>
    <cellStyle name="60% - Accent1 3" xfId="5260" hidden="1"/>
    <cellStyle name="60% - Accent1 3" xfId="5912" hidden="1"/>
    <cellStyle name="60% - Accent1 3" xfId="6042" hidden="1"/>
    <cellStyle name="60% - Accent1 3" xfId="5647" hidden="1"/>
    <cellStyle name="60% - Accent1 3" xfId="3740" hidden="1"/>
    <cellStyle name="60% - Accent1 3" xfId="6249" hidden="1"/>
    <cellStyle name="60% - Accent1 3" xfId="6371" hidden="1"/>
    <cellStyle name="60% - Accent1 4" xfId="576" hidden="1"/>
    <cellStyle name="60% - Accent1 4" xfId="891" hidden="1"/>
    <cellStyle name="60% - Accent1 4" xfId="1075" hidden="1"/>
    <cellStyle name="60% - Accent1 4" xfId="1257" hidden="1"/>
    <cellStyle name="60% - Accent1 4" xfId="1666" hidden="1"/>
    <cellStyle name="60% - Accent1 4" xfId="1881" hidden="1"/>
    <cellStyle name="60% - Accent1 4" xfId="2064" hidden="1"/>
    <cellStyle name="60% - Accent1 4" xfId="2246" hidden="1"/>
    <cellStyle name="60% - Accent1 4" xfId="2423" hidden="1"/>
    <cellStyle name="60% - Accent1 4" xfId="2584" hidden="1"/>
    <cellStyle name="60% - Accent1 4" xfId="2716" hidden="1"/>
    <cellStyle name="60% - Accent1 4" xfId="2846" hidden="1"/>
    <cellStyle name="60% - Accent1 4" xfId="2488" hidden="1"/>
    <cellStyle name="60% - Accent1 4" xfId="2930" hidden="1"/>
    <cellStyle name="60% - Accent1 4" xfId="3052" hidden="1"/>
    <cellStyle name="60% - Accent1 4" xfId="3174" hidden="1"/>
    <cellStyle name="60% - Accent1 4" xfId="3647" hidden="1"/>
    <cellStyle name="60% - Accent1 4" xfId="3920" hidden="1"/>
    <cellStyle name="60% - Accent1 4" xfId="4102" hidden="1"/>
    <cellStyle name="60% - Accent1 4" xfId="4284" hidden="1"/>
    <cellStyle name="60% - Accent1 4" xfId="3226" hidden="1"/>
    <cellStyle name="60% - Accent1 4" xfId="4617" hidden="1"/>
    <cellStyle name="60% - Accent1 4" xfId="4777" hidden="1"/>
    <cellStyle name="60% - Accent1 4" xfId="4930" hidden="1"/>
    <cellStyle name="60% - Accent1 4" xfId="4451" hidden="1"/>
    <cellStyle name="60% - Accent1 4" xfId="5034" hidden="1"/>
    <cellStyle name="60% - Accent1 4" xfId="5188" hidden="1"/>
    <cellStyle name="60% - Accent1 4" xfId="5339" hidden="1"/>
    <cellStyle name="60% - Accent1 4" xfId="3772" hidden="1"/>
    <cellStyle name="60% - Accent1 4" xfId="5443" hidden="1"/>
    <cellStyle name="60% - Accent1 4" xfId="5586" hidden="1"/>
    <cellStyle name="60% - Accent1 4" xfId="5723" hidden="1"/>
    <cellStyle name="60% - Accent1 4" xfId="5250" hidden="1"/>
    <cellStyle name="60% - Accent1 4" xfId="5812" hidden="1"/>
    <cellStyle name="60% - Accent1 4" xfId="5944" hidden="1"/>
    <cellStyle name="60% - Accent1 4" xfId="6074" hidden="1"/>
    <cellStyle name="60% - Accent1 4" xfId="4702" hidden="1"/>
    <cellStyle name="60% - Accent1 4" xfId="6158" hidden="1"/>
    <cellStyle name="60% - Accent1 4" xfId="6280" hidden="1"/>
    <cellStyle name="60% - Accent1 4" xfId="6402" hidden="1"/>
    <cellStyle name="60% - Accent1 5" xfId="607" hidden="1"/>
    <cellStyle name="60% - Accent1 5" xfId="922" hidden="1"/>
    <cellStyle name="60% - Accent1 5" xfId="1106" hidden="1"/>
    <cellStyle name="60% - Accent1 5" xfId="1288" hidden="1"/>
    <cellStyle name="60% - Accent1 5" xfId="1697" hidden="1"/>
    <cellStyle name="60% - Accent1 5" xfId="1912" hidden="1"/>
    <cellStyle name="60% - Accent1 5" xfId="2095" hidden="1"/>
    <cellStyle name="60% - Accent1 5" xfId="2277" hidden="1"/>
    <cellStyle name="60% - Accent1 5" xfId="2454" hidden="1"/>
    <cellStyle name="60% - Accent1 5" xfId="2615" hidden="1"/>
    <cellStyle name="60% - Accent1 5" xfId="2747" hidden="1"/>
    <cellStyle name="60% - Accent1 5" xfId="2877" hidden="1"/>
    <cellStyle name="60% - Accent1 5" xfId="1374" hidden="1"/>
    <cellStyle name="60% - Accent1 5" xfId="2961" hidden="1"/>
    <cellStyle name="60% - Accent1 5" xfId="3083" hidden="1"/>
    <cellStyle name="60% - Accent1 5" xfId="3205" hidden="1"/>
    <cellStyle name="60% - Accent1 5" xfId="3678" hidden="1"/>
    <cellStyle name="60% - Accent1 5" xfId="3951" hidden="1"/>
    <cellStyle name="60% - Accent1 5" xfId="4133" hidden="1"/>
    <cellStyle name="60% - Accent1 5" xfId="4315" hidden="1"/>
    <cellStyle name="60% - Accent1 5" xfId="4408" hidden="1"/>
    <cellStyle name="60% - Accent1 5" xfId="4648" hidden="1"/>
    <cellStyle name="60% - Accent1 5" xfId="4808" hidden="1"/>
    <cellStyle name="60% - Accent1 5" xfId="4961" hidden="1"/>
    <cellStyle name="60% - Accent1 5" xfId="3704" hidden="1"/>
    <cellStyle name="60% - Accent1 5" xfId="5065" hidden="1"/>
    <cellStyle name="60% - Accent1 5" xfId="5219" hidden="1"/>
    <cellStyle name="60% - Accent1 5" xfId="5370" hidden="1"/>
    <cellStyle name="60% - Accent1 5" xfId="3371" hidden="1"/>
    <cellStyle name="60% - Accent1 5" xfId="5474" hidden="1"/>
    <cellStyle name="60% - Accent1 5" xfId="5617" hidden="1"/>
    <cellStyle name="60% - Accent1 5" xfId="5754" hidden="1"/>
    <cellStyle name="60% - Accent1 5" xfId="3389" hidden="1"/>
    <cellStyle name="60% - Accent1 5" xfId="5843" hidden="1"/>
    <cellStyle name="60% - Accent1 5" xfId="5975" hidden="1"/>
    <cellStyle name="60% - Accent1 5" xfId="6105" hidden="1"/>
    <cellStyle name="60% - Accent1 5" xfId="5107" hidden="1"/>
    <cellStyle name="60% - Accent1 5" xfId="6189" hidden="1"/>
    <cellStyle name="60% - Accent1 5" xfId="6311" hidden="1"/>
    <cellStyle name="60% - Accent1 5" xfId="6433" hidden="1"/>
    <cellStyle name="60% - Accent2" xfId="14" builtinId="36" customBuiltin="1"/>
    <cellStyle name="60% - Accent2 2" xfId="514" hidden="1"/>
    <cellStyle name="60% - Accent2 2" xfId="829" hidden="1"/>
    <cellStyle name="60% - Accent2 2" xfId="1013" hidden="1"/>
    <cellStyle name="60% - Accent2 2" xfId="1195" hidden="1"/>
    <cellStyle name="60% - Accent2 2" xfId="1604" hidden="1"/>
    <cellStyle name="60% - Accent2 2" xfId="1819" hidden="1"/>
    <cellStyle name="60% - Accent2 2" xfId="2002" hidden="1"/>
    <cellStyle name="60% - Accent2 2" xfId="2184" hidden="1"/>
    <cellStyle name="60% - Accent2 2" xfId="2364" hidden="1"/>
    <cellStyle name="60% - Accent2 2" xfId="2525" hidden="1"/>
    <cellStyle name="60% - Accent2 2" xfId="2657" hidden="1"/>
    <cellStyle name="60% - Accent2 2" xfId="2787" hidden="1"/>
    <cellStyle name="60% - Accent2 2" xfId="2491" hidden="1"/>
    <cellStyle name="60% - Accent2 2" xfId="1400" hidden="1"/>
    <cellStyle name="60% - Accent2 2" xfId="2994" hidden="1"/>
    <cellStyle name="60% - Accent2 2" xfId="3116" hidden="1"/>
    <cellStyle name="60% - Accent2 2" xfId="3585" hidden="1"/>
    <cellStyle name="60% - Accent2 2" xfId="3858" hidden="1"/>
    <cellStyle name="60% - Accent2 2" xfId="4040" hidden="1"/>
    <cellStyle name="60% - Accent2 2" xfId="4222" hidden="1"/>
    <cellStyle name="60% - Accent2 2" xfId="3723" hidden="1"/>
    <cellStyle name="60% - Accent2 2" xfId="4557" hidden="1"/>
    <cellStyle name="60% - Accent2 2" xfId="4718" hidden="1"/>
    <cellStyle name="60% - Accent2 2" xfId="4870" hidden="1"/>
    <cellStyle name="60% - Accent2 2" xfId="3814" hidden="1"/>
    <cellStyle name="60% - Accent2 2" xfId="3545" hidden="1"/>
    <cellStyle name="60% - Accent2 2" xfId="5129" hidden="1"/>
    <cellStyle name="60% - Accent2 2" xfId="5279" hidden="1"/>
    <cellStyle name="60% - Accent2 2" xfId="3773" hidden="1"/>
    <cellStyle name="60% - Accent2 2" xfId="3503" hidden="1"/>
    <cellStyle name="60% - Accent2 2" xfId="5527" hidden="1"/>
    <cellStyle name="60% - Accent2 2" xfId="5664" hidden="1"/>
    <cellStyle name="60% - Accent2 2" xfId="3494" hidden="1"/>
    <cellStyle name="60% - Accent2 2" xfId="3486" hidden="1"/>
    <cellStyle name="60% - Accent2 2" xfId="5885" hidden="1"/>
    <cellStyle name="60% - Accent2 2" xfId="6015" hidden="1"/>
    <cellStyle name="60% - Accent2 2" xfId="5403" hidden="1"/>
    <cellStyle name="60% - Accent2 2" xfId="4831" hidden="1"/>
    <cellStyle name="60% - Accent2 2" xfId="6222" hidden="1"/>
    <cellStyle name="60% - Accent2 2" xfId="6344" hidden="1"/>
    <cellStyle name="60% - Accent2 3" xfId="545" hidden="1"/>
    <cellStyle name="60% - Accent2 3" xfId="860" hidden="1"/>
    <cellStyle name="60% - Accent2 3" xfId="1044" hidden="1"/>
    <cellStyle name="60% - Accent2 3" xfId="1226" hidden="1"/>
    <cellStyle name="60% - Accent2 3" xfId="1635" hidden="1"/>
    <cellStyle name="60% - Accent2 3" xfId="1850" hidden="1"/>
    <cellStyle name="60% - Accent2 3" xfId="2033" hidden="1"/>
    <cellStyle name="60% - Accent2 3" xfId="2215" hidden="1"/>
    <cellStyle name="60% - Accent2 3" xfId="2395" hidden="1"/>
    <cellStyle name="60% - Accent2 3" xfId="2556" hidden="1"/>
    <cellStyle name="60% - Accent2 3" xfId="2688" hidden="1"/>
    <cellStyle name="60% - Accent2 3" xfId="2818" hidden="1"/>
    <cellStyle name="60% - Accent2 3" xfId="2772" hidden="1"/>
    <cellStyle name="60% - Accent2 3" xfId="2903" hidden="1"/>
    <cellStyle name="60% - Accent2 3" xfId="3025" hidden="1"/>
    <cellStyle name="60% - Accent2 3" xfId="3147" hidden="1"/>
    <cellStyle name="60% - Accent2 3" xfId="3616" hidden="1"/>
    <cellStyle name="60% - Accent2 3" xfId="3889" hidden="1"/>
    <cellStyle name="60% - Accent2 3" xfId="4071" hidden="1"/>
    <cellStyle name="60% - Accent2 3" xfId="4253" hidden="1"/>
    <cellStyle name="60% - Accent2 3" xfId="3238" hidden="1"/>
    <cellStyle name="60% - Accent2 3" xfId="4588" hidden="1"/>
    <cellStyle name="60% - Accent2 3" xfId="4749" hidden="1"/>
    <cellStyle name="60% - Accent2 3" xfId="4901" hidden="1"/>
    <cellStyle name="60% - Accent2 3" xfId="4480" hidden="1"/>
    <cellStyle name="60% - Accent2 3" xfId="3315" hidden="1"/>
    <cellStyle name="60% - Accent2 3" xfId="5160" hidden="1"/>
    <cellStyle name="60% - Accent2 3" xfId="5310" hidden="1"/>
    <cellStyle name="60% - Accent2 3" xfId="5263" hidden="1"/>
    <cellStyle name="60% - Accent2 3" xfId="5415" hidden="1"/>
    <cellStyle name="60% - Accent2 3" xfId="5558" hidden="1"/>
    <cellStyle name="60% - Accent2 3" xfId="5695" hidden="1"/>
    <cellStyle name="60% - Accent2 3" xfId="3834" hidden="1"/>
    <cellStyle name="60% - Accent2 3" xfId="4672" hidden="1"/>
    <cellStyle name="60% - Accent2 3" xfId="5916" hidden="1"/>
    <cellStyle name="60% - Accent2 3" xfId="6046" hidden="1"/>
    <cellStyle name="60% - Accent2 3" xfId="6000" hidden="1"/>
    <cellStyle name="60% - Accent2 3" xfId="6131" hidden="1"/>
    <cellStyle name="60% - Accent2 3" xfId="6253" hidden="1"/>
    <cellStyle name="60% - Accent2 3" xfId="6375" hidden="1"/>
    <cellStyle name="60% - Accent2 4" xfId="580" hidden="1"/>
    <cellStyle name="60% - Accent2 4" xfId="895" hidden="1"/>
    <cellStyle name="60% - Accent2 4" xfId="1079" hidden="1"/>
    <cellStyle name="60% - Accent2 4" xfId="1261" hidden="1"/>
    <cellStyle name="60% - Accent2 4" xfId="1670" hidden="1"/>
    <cellStyle name="60% - Accent2 4" xfId="1885" hidden="1"/>
    <cellStyle name="60% - Accent2 4" xfId="2068" hidden="1"/>
    <cellStyle name="60% - Accent2 4" xfId="2250" hidden="1"/>
    <cellStyle name="60% - Accent2 4" xfId="2427" hidden="1"/>
    <cellStyle name="60% - Accent2 4" xfId="2588" hidden="1"/>
    <cellStyle name="60% - Accent2 4" xfId="2720" hidden="1"/>
    <cellStyle name="60% - Accent2 4" xfId="2850" hidden="1"/>
    <cellStyle name="60% - Accent2 4" xfId="2344" hidden="1"/>
    <cellStyle name="60% - Accent2 4" xfId="2934" hidden="1"/>
    <cellStyle name="60% - Accent2 4" xfId="3056" hidden="1"/>
    <cellStyle name="60% - Accent2 4" xfId="3178" hidden="1"/>
    <cellStyle name="60% - Accent2 4" xfId="3651" hidden="1"/>
    <cellStyle name="60% - Accent2 4" xfId="3924" hidden="1"/>
    <cellStyle name="60% - Accent2 4" xfId="4106" hidden="1"/>
    <cellStyle name="60% - Accent2 4" xfId="4288" hidden="1"/>
    <cellStyle name="60% - Accent2 4" xfId="4381" hidden="1"/>
    <cellStyle name="60% - Accent2 4" xfId="4621" hidden="1"/>
    <cellStyle name="60% - Accent2 4" xfId="4781" hidden="1"/>
    <cellStyle name="60% - Accent2 4" xfId="4934" hidden="1"/>
    <cellStyle name="60% - Accent2 4" xfId="4450" hidden="1"/>
    <cellStyle name="60% - Accent2 4" xfId="5038" hidden="1"/>
    <cellStyle name="60% - Accent2 4" xfId="5192" hidden="1"/>
    <cellStyle name="60% - Accent2 4" xfId="5343" hidden="1"/>
    <cellStyle name="60% - Accent2 4" xfId="3774" hidden="1"/>
    <cellStyle name="60% - Accent2 4" xfId="5447" hidden="1"/>
    <cellStyle name="60% - Accent2 4" xfId="5590" hidden="1"/>
    <cellStyle name="60% - Accent2 4" xfId="5727" hidden="1"/>
    <cellStyle name="60% - Accent2 4" xfId="3403" hidden="1"/>
    <cellStyle name="60% - Accent2 4" xfId="5816" hidden="1"/>
    <cellStyle name="60% - Accent2 4" xfId="5948" hidden="1"/>
    <cellStyle name="60% - Accent2 4" xfId="6078" hidden="1"/>
    <cellStyle name="60% - Accent2 4" xfId="5256" hidden="1"/>
    <cellStyle name="60% - Accent2 4" xfId="6162" hidden="1"/>
    <cellStyle name="60% - Accent2 4" xfId="6284" hidden="1"/>
    <cellStyle name="60% - Accent2 4" xfId="6406" hidden="1"/>
    <cellStyle name="60% - Accent2 5" xfId="611" hidden="1"/>
    <cellStyle name="60% - Accent2 5" xfId="926" hidden="1"/>
    <cellStyle name="60% - Accent2 5" xfId="1110" hidden="1"/>
    <cellStyle name="60% - Accent2 5" xfId="1292" hidden="1"/>
    <cellStyle name="60% - Accent2 5" xfId="1701" hidden="1"/>
    <cellStyle name="60% - Accent2 5" xfId="1916" hidden="1"/>
    <cellStyle name="60% - Accent2 5" xfId="2099" hidden="1"/>
    <cellStyle name="60% - Accent2 5" xfId="2281" hidden="1"/>
    <cellStyle name="60% - Accent2 5" xfId="2458" hidden="1"/>
    <cellStyle name="60% - Accent2 5" xfId="2619" hidden="1"/>
    <cellStyle name="60% - Accent2 5" xfId="2751" hidden="1"/>
    <cellStyle name="60% - Accent2 5" xfId="2881" hidden="1"/>
    <cellStyle name="60% - Accent2 5" xfId="1745" hidden="1"/>
    <cellStyle name="60% - Accent2 5" xfId="2965" hidden="1"/>
    <cellStyle name="60% - Accent2 5" xfId="3087" hidden="1"/>
    <cellStyle name="60% - Accent2 5" xfId="3209" hidden="1"/>
    <cellStyle name="60% - Accent2 5" xfId="3682" hidden="1"/>
    <cellStyle name="60% - Accent2 5" xfId="3955" hidden="1"/>
    <cellStyle name="60% - Accent2 5" xfId="4137" hidden="1"/>
    <cellStyle name="60% - Accent2 5" xfId="4319" hidden="1"/>
    <cellStyle name="60% - Accent2 5" xfId="4412" hidden="1"/>
    <cellStyle name="60% - Accent2 5" xfId="4652" hidden="1"/>
    <cellStyle name="60% - Accent2 5" xfId="4812" hidden="1"/>
    <cellStyle name="60% - Accent2 5" xfId="4965" hidden="1"/>
    <cellStyle name="60% - Accent2 5" xfId="3402" hidden="1"/>
    <cellStyle name="60% - Accent2 5" xfId="5069" hidden="1"/>
    <cellStyle name="60% - Accent2 5" xfId="5223" hidden="1"/>
    <cellStyle name="60% - Accent2 5" xfId="5374" hidden="1"/>
    <cellStyle name="60% - Accent2 5" xfId="4849" hidden="1"/>
    <cellStyle name="60% - Accent2 5" xfId="5478" hidden="1"/>
    <cellStyle name="60% - Accent2 5" xfId="5621" hidden="1"/>
    <cellStyle name="60% - Accent2 5" xfId="5758" hidden="1"/>
    <cellStyle name="60% - Accent2 5" xfId="4688" hidden="1"/>
    <cellStyle name="60% - Accent2 5" xfId="5847" hidden="1"/>
    <cellStyle name="60% - Accent2 5" xfId="5979" hidden="1"/>
    <cellStyle name="60% - Accent2 5" xfId="6109" hidden="1"/>
    <cellStyle name="60% - Accent2 5" xfId="5648" hidden="1"/>
    <cellStyle name="60% - Accent2 5" xfId="6193" hidden="1"/>
    <cellStyle name="60% - Accent2 5" xfId="6315" hidden="1"/>
    <cellStyle name="60% - Accent2 5" xfId="6437" hidden="1"/>
    <cellStyle name="60% - Accent3" xfId="15" builtinId="40" customBuiltin="1"/>
    <cellStyle name="60% - Accent3 2" xfId="518" hidden="1"/>
    <cellStyle name="60% - Accent3 2" xfId="833" hidden="1"/>
    <cellStyle name="60% - Accent3 2" xfId="1017" hidden="1"/>
    <cellStyle name="60% - Accent3 2" xfId="1199" hidden="1"/>
    <cellStyle name="60% - Accent3 2" xfId="1608" hidden="1"/>
    <cellStyle name="60% - Accent3 2" xfId="1823" hidden="1"/>
    <cellStyle name="60% - Accent3 2" xfId="2006" hidden="1"/>
    <cellStyle name="60% - Accent3 2" xfId="2188" hidden="1"/>
    <cellStyle name="60% - Accent3 2" xfId="2368" hidden="1"/>
    <cellStyle name="60% - Accent3 2" xfId="2529" hidden="1"/>
    <cellStyle name="60% - Accent3 2" xfId="2661" hidden="1"/>
    <cellStyle name="60% - Accent3 2" xfId="2791" hidden="1"/>
    <cellStyle name="60% - Accent3 2" xfId="2345" hidden="1"/>
    <cellStyle name="60% - Accent3 2" xfId="1743" hidden="1"/>
    <cellStyle name="60% - Accent3 2" xfId="2998" hidden="1"/>
    <cellStyle name="60% - Accent3 2" xfId="3120" hidden="1"/>
    <cellStyle name="60% - Accent3 2" xfId="3589" hidden="1"/>
    <cellStyle name="60% - Accent3 2" xfId="3862" hidden="1"/>
    <cellStyle name="60% - Accent3 2" xfId="4044" hidden="1"/>
    <cellStyle name="60% - Accent3 2" xfId="4226" hidden="1"/>
    <cellStyle name="60% - Accent3 2" xfId="3550" hidden="1"/>
    <cellStyle name="60% - Accent3 2" xfId="4561" hidden="1"/>
    <cellStyle name="60% - Accent3 2" xfId="4722" hidden="1"/>
    <cellStyle name="60% - Accent3 2" xfId="4874" hidden="1"/>
    <cellStyle name="60% - Accent3 2" xfId="4453" hidden="1"/>
    <cellStyle name="60% - Accent3 2" xfId="3269" hidden="1"/>
    <cellStyle name="60% - Accent3 2" xfId="5133" hidden="1"/>
    <cellStyle name="60% - Accent3 2" xfId="5283" hidden="1"/>
    <cellStyle name="60% - Accent3 2" xfId="4457" hidden="1"/>
    <cellStyle name="60% - Accent3 2" xfId="4516" hidden="1"/>
    <cellStyle name="60% - Accent3 2" xfId="5531" hidden="1"/>
    <cellStyle name="60% - Accent3 2" xfId="5668" hidden="1"/>
    <cellStyle name="60% - Accent3 2" xfId="5097" hidden="1"/>
    <cellStyle name="60% - Accent3 2" xfId="5003" hidden="1"/>
    <cellStyle name="60% - Accent3 2" xfId="5889" hidden="1"/>
    <cellStyle name="60% - Accent3 2" xfId="6019" hidden="1"/>
    <cellStyle name="60% - Accent3 2" xfId="5101" hidden="1"/>
    <cellStyle name="60% - Accent3 2" xfId="5391" hidden="1"/>
    <cellStyle name="60% - Accent3 2" xfId="6226" hidden="1"/>
    <cellStyle name="60% - Accent3 2" xfId="6348" hidden="1"/>
    <cellStyle name="60% - Accent3 3" xfId="549" hidden="1"/>
    <cellStyle name="60% - Accent3 3" xfId="864" hidden="1"/>
    <cellStyle name="60% - Accent3 3" xfId="1048" hidden="1"/>
    <cellStyle name="60% - Accent3 3" xfId="1230" hidden="1"/>
    <cellStyle name="60% - Accent3 3" xfId="1639" hidden="1"/>
    <cellStyle name="60% - Accent3 3" xfId="1854" hidden="1"/>
    <cellStyle name="60% - Accent3 3" xfId="2037" hidden="1"/>
    <cellStyle name="60% - Accent3 3" xfId="2219" hidden="1"/>
    <cellStyle name="60% - Accent3 3" xfId="2399" hidden="1"/>
    <cellStyle name="60% - Accent3 3" xfId="2560" hidden="1"/>
    <cellStyle name="60% - Accent3 3" xfId="2692" hidden="1"/>
    <cellStyle name="60% - Accent3 3" xfId="2822" hidden="1"/>
    <cellStyle name="60% - Accent3 3" xfId="2770" hidden="1"/>
    <cellStyle name="60% - Accent3 3" xfId="2907" hidden="1"/>
    <cellStyle name="60% - Accent3 3" xfId="3029" hidden="1"/>
    <cellStyle name="60% - Accent3 3" xfId="3151" hidden="1"/>
    <cellStyle name="60% - Accent3 3" xfId="3620" hidden="1"/>
    <cellStyle name="60% - Accent3 3" xfId="3893" hidden="1"/>
    <cellStyle name="60% - Accent3 3" xfId="4075" hidden="1"/>
    <cellStyle name="60% - Accent3 3" xfId="4257" hidden="1"/>
    <cellStyle name="60% - Accent3 3" xfId="3234" hidden="1"/>
    <cellStyle name="60% - Accent3 3" xfId="4592" hidden="1"/>
    <cellStyle name="60% - Accent3 3" xfId="4753" hidden="1"/>
    <cellStyle name="60% - Accent3 3" xfId="4905" hidden="1"/>
    <cellStyle name="60% - Accent3 3" xfId="4856" hidden="1"/>
    <cellStyle name="60% - Accent3 3" xfId="4437" hidden="1"/>
    <cellStyle name="60% - Accent3 3" xfId="5164" hidden="1"/>
    <cellStyle name="60% - Accent3 3" xfId="5314" hidden="1"/>
    <cellStyle name="60% - Accent3 3" xfId="5246" hidden="1"/>
    <cellStyle name="60% - Accent3 3" xfId="5419" hidden="1"/>
    <cellStyle name="60% - Accent3 3" xfId="5562" hidden="1"/>
    <cellStyle name="60% - Accent3 3" xfId="5699" hidden="1"/>
    <cellStyle name="60% - Accent3 3" xfId="5651" hidden="1"/>
    <cellStyle name="60% - Accent3 3" xfId="4490" hidden="1"/>
    <cellStyle name="60% - Accent3 3" xfId="5920" hidden="1"/>
    <cellStyle name="60% - Accent3 3" xfId="6050" hidden="1"/>
    <cellStyle name="60% - Accent3 3" xfId="5998" hidden="1"/>
    <cellStyle name="60% - Accent3 3" xfId="6135" hidden="1"/>
    <cellStyle name="60% - Accent3 3" xfId="6257" hidden="1"/>
    <cellStyle name="60% - Accent3 3" xfId="6379" hidden="1"/>
    <cellStyle name="60% - Accent3 4" xfId="584" hidden="1"/>
    <cellStyle name="60% - Accent3 4" xfId="899" hidden="1"/>
    <cellStyle name="60% - Accent3 4" xfId="1083" hidden="1"/>
    <cellStyle name="60% - Accent3 4" xfId="1265" hidden="1"/>
    <cellStyle name="60% - Accent3 4" xfId="1674" hidden="1"/>
    <cellStyle name="60% - Accent3 4" xfId="1889" hidden="1"/>
    <cellStyle name="60% - Accent3 4" xfId="2072" hidden="1"/>
    <cellStyle name="60% - Accent3 4" xfId="2254" hidden="1"/>
    <cellStyle name="60% - Accent3 4" xfId="2431" hidden="1"/>
    <cellStyle name="60% - Accent3 4" xfId="2592" hidden="1"/>
    <cellStyle name="60% - Accent3 4" xfId="2724" hidden="1"/>
    <cellStyle name="60% - Accent3 4" xfId="2854" hidden="1"/>
    <cellStyle name="60% - Accent3 4" xfId="2487" hidden="1"/>
    <cellStyle name="60% - Accent3 4" xfId="2938" hidden="1"/>
    <cellStyle name="60% - Accent3 4" xfId="3060" hidden="1"/>
    <cellStyle name="60% - Accent3 4" xfId="3182" hidden="1"/>
    <cellStyle name="60% - Accent3 4" xfId="3655" hidden="1"/>
    <cellStyle name="60% - Accent3 4" xfId="3928" hidden="1"/>
    <cellStyle name="60% - Accent3 4" xfId="4110" hidden="1"/>
    <cellStyle name="60% - Accent3 4" xfId="4292" hidden="1"/>
    <cellStyle name="60% - Accent3 4" xfId="4385" hidden="1"/>
    <cellStyle name="60% - Accent3 4" xfId="4625" hidden="1"/>
    <cellStyle name="60% - Accent3 4" xfId="4785" hidden="1"/>
    <cellStyle name="60% - Accent3 4" xfId="4938" hidden="1"/>
    <cellStyle name="60% - Accent3 4" xfId="3304" hidden="1"/>
    <cellStyle name="60% - Accent3 4" xfId="5042" hidden="1"/>
    <cellStyle name="60% - Accent3 4" xfId="5196" hidden="1"/>
    <cellStyle name="60% - Accent3 4" xfId="5347" hidden="1"/>
    <cellStyle name="60% - Accent3 4" xfId="3491" hidden="1"/>
    <cellStyle name="60% - Accent3 4" xfId="5451" hidden="1"/>
    <cellStyle name="60% - Accent3 4" xfId="5594" hidden="1"/>
    <cellStyle name="60% - Accent3 4" xfId="5731" hidden="1"/>
    <cellStyle name="60% - Accent3 4" xfId="5000" hidden="1"/>
    <cellStyle name="60% - Accent3 4" xfId="5820" hidden="1"/>
    <cellStyle name="60% - Accent3 4" xfId="5952" hidden="1"/>
    <cellStyle name="60% - Accent3 4" xfId="6082" hidden="1"/>
    <cellStyle name="60% - Accent3 4" xfId="4499" hidden="1"/>
    <cellStyle name="60% - Accent3 4" xfId="6166" hidden="1"/>
    <cellStyle name="60% - Accent3 4" xfId="6288" hidden="1"/>
    <cellStyle name="60% - Accent3 4" xfId="6410" hidden="1"/>
    <cellStyle name="60% - Accent3 5" xfId="615" hidden="1"/>
    <cellStyle name="60% - Accent3 5" xfId="930" hidden="1"/>
    <cellStyle name="60% - Accent3 5" xfId="1114" hidden="1"/>
    <cellStyle name="60% - Accent3 5" xfId="1296" hidden="1"/>
    <cellStyle name="60% - Accent3 5" xfId="1705" hidden="1"/>
    <cellStyle name="60% - Accent3 5" xfId="1920" hidden="1"/>
    <cellStyle name="60% - Accent3 5" xfId="2103" hidden="1"/>
    <cellStyle name="60% - Accent3 5" xfId="2285" hidden="1"/>
    <cellStyle name="60% - Accent3 5" xfId="2462" hidden="1"/>
    <cellStyle name="60% - Accent3 5" xfId="2623" hidden="1"/>
    <cellStyle name="60% - Accent3 5" xfId="2755" hidden="1"/>
    <cellStyle name="60% - Accent3 5" xfId="2885" hidden="1"/>
    <cellStyle name="60% - Accent3 5" xfId="1375" hidden="1"/>
    <cellStyle name="60% - Accent3 5" xfId="2969" hidden="1"/>
    <cellStyle name="60% - Accent3 5" xfId="3091" hidden="1"/>
    <cellStyle name="60% - Accent3 5" xfId="3213" hidden="1"/>
    <cellStyle name="60% - Accent3 5" xfId="3686" hidden="1"/>
    <cellStyle name="60% - Accent3 5" xfId="3959" hidden="1"/>
    <cellStyle name="60% - Accent3 5" xfId="4141" hidden="1"/>
    <cellStyle name="60% - Accent3 5" xfId="4323" hidden="1"/>
    <cellStyle name="60% - Accent3 5" xfId="4416" hidden="1"/>
    <cellStyle name="60% - Accent3 5" xfId="4656" hidden="1"/>
    <cellStyle name="60% - Accent3 5" xfId="4816" hidden="1"/>
    <cellStyle name="60% - Accent3 5" xfId="4969" hidden="1"/>
    <cellStyle name="60% - Accent3 5" xfId="3370" hidden="1"/>
    <cellStyle name="60% - Accent3 5" xfId="5073" hidden="1"/>
    <cellStyle name="60% - Accent3 5" xfId="5227" hidden="1"/>
    <cellStyle name="60% - Accent3 5" xfId="5378" hidden="1"/>
    <cellStyle name="60% - Accent3 5" xfId="4486" hidden="1"/>
    <cellStyle name="60% - Accent3 5" xfId="5482" hidden="1"/>
    <cellStyle name="60% - Accent3 5" xfId="5625" hidden="1"/>
    <cellStyle name="60% - Accent3 5" xfId="5762" hidden="1"/>
    <cellStyle name="60% - Accent3 5" xfId="5258" hidden="1"/>
    <cellStyle name="60% - Accent3 5" xfId="5851" hidden="1"/>
    <cellStyle name="60% - Accent3 5" xfId="5983" hidden="1"/>
    <cellStyle name="60% - Accent3 5" xfId="6113" hidden="1"/>
    <cellStyle name="60% - Accent3 5" xfId="5252" hidden="1"/>
    <cellStyle name="60% - Accent3 5" xfId="6197" hidden="1"/>
    <cellStyle name="60% - Accent3 5" xfId="6319" hidden="1"/>
    <cellStyle name="60% - Accent3 5" xfId="6441" hidden="1"/>
    <cellStyle name="60% - Accent4" xfId="16" builtinId="44" customBuiltin="1"/>
    <cellStyle name="60% - Accent4 2" xfId="522" hidden="1"/>
    <cellStyle name="60% - Accent4 2" xfId="837" hidden="1"/>
    <cellStyle name="60% - Accent4 2" xfId="1021" hidden="1"/>
    <cellStyle name="60% - Accent4 2" xfId="1203" hidden="1"/>
    <cellStyle name="60% - Accent4 2" xfId="1612" hidden="1"/>
    <cellStyle name="60% - Accent4 2" xfId="1827" hidden="1"/>
    <cellStyle name="60% - Accent4 2" xfId="2010" hidden="1"/>
    <cellStyle name="60% - Accent4 2" xfId="2192" hidden="1"/>
    <cellStyle name="60% - Accent4 2" xfId="2372" hidden="1"/>
    <cellStyle name="60% - Accent4 2" xfId="2533" hidden="1"/>
    <cellStyle name="60% - Accent4 2" xfId="2665" hidden="1"/>
    <cellStyle name="60% - Accent4 2" xfId="2795" hidden="1"/>
    <cellStyle name="60% - Accent4 2" xfId="2507" hidden="1"/>
    <cellStyle name="60% - Accent4 2" xfId="1436" hidden="1"/>
    <cellStyle name="60% - Accent4 2" xfId="3002" hidden="1"/>
    <cellStyle name="60% - Accent4 2" xfId="3124" hidden="1"/>
    <cellStyle name="60% - Accent4 2" xfId="3593" hidden="1"/>
    <cellStyle name="60% - Accent4 2" xfId="3866" hidden="1"/>
    <cellStyle name="60% - Accent4 2" xfId="4048" hidden="1"/>
    <cellStyle name="60% - Accent4 2" xfId="4230" hidden="1"/>
    <cellStyle name="60% - Accent4 2" xfId="3378" hidden="1"/>
    <cellStyle name="60% - Accent4 2" xfId="4565" hidden="1"/>
    <cellStyle name="60% - Accent4 2" xfId="4726" hidden="1"/>
    <cellStyle name="60% - Accent4 2" xfId="4878" hidden="1"/>
    <cellStyle name="60% - Accent4 2" xfId="3743" hidden="1"/>
    <cellStyle name="60% - Accent4 2" xfId="3376" hidden="1"/>
    <cellStyle name="60% - Accent4 2" xfId="5137" hidden="1"/>
    <cellStyle name="60% - Accent4 2" xfId="5287" hidden="1"/>
    <cellStyle name="60% - Accent4 2" xfId="4474" hidden="1"/>
    <cellStyle name="60% - Accent4 2" xfId="3495" hidden="1"/>
    <cellStyle name="60% - Accent4 2" xfId="5535" hidden="1"/>
    <cellStyle name="60% - Accent4 2" xfId="5672" hidden="1"/>
    <cellStyle name="60% - Accent4 2" xfId="3522" hidden="1"/>
    <cellStyle name="60% - Accent4 2" xfId="4834" hidden="1"/>
    <cellStyle name="60% - Accent4 2" xfId="5893" hidden="1"/>
    <cellStyle name="60% - Accent4 2" xfId="6023" hidden="1"/>
    <cellStyle name="60% - Accent4 2" xfId="3758" hidden="1"/>
    <cellStyle name="60% - Accent4 2" xfId="4678" hidden="1"/>
    <cellStyle name="60% - Accent4 2" xfId="6230" hidden="1"/>
    <cellStyle name="60% - Accent4 2" xfId="6352" hidden="1"/>
    <cellStyle name="60% - Accent4 3" xfId="553" hidden="1"/>
    <cellStyle name="60% - Accent4 3" xfId="868" hidden="1"/>
    <cellStyle name="60% - Accent4 3" xfId="1052" hidden="1"/>
    <cellStyle name="60% - Accent4 3" xfId="1234" hidden="1"/>
    <cellStyle name="60% - Accent4 3" xfId="1643" hidden="1"/>
    <cellStyle name="60% - Accent4 3" xfId="1858" hidden="1"/>
    <cellStyle name="60% - Accent4 3" xfId="2041" hidden="1"/>
    <cellStyle name="60% - Accent4 3" xfId="2223" hidden="1"/>
    <cellStyle name="60% - Accent4 3" xfId="2403" hidden="1"/>
    <cellStyle name="60% - Accent4 3" xfId="2564" hidden="1"/>
    <cellStyle name="60% - Accent4 3" xfId="2696" hidden="1"/>
    <cellStyle name="60% - Accent4 3" xfId="2826" hidden="1"/>
    <cellStyle name="60% - Accent4 3" xfId="1410" hidden="1"/>
    <cellStyle name="60% - Accent4 3" xfId="2911" hidden="1"/>
    <cellStyle name="60% - Accent4 3" xfId="3033" hidden="1"/>
    <cellStyle name="60% - Accent4 3" xfId="3155" hidden="1"/>
    <cellStyle name="60% - Accent4 3" xfId="3624" hidden="1"/>
    <cellStyle name="60% - Accent4 3" xfId="3897" hidden="1"/>
    <cellStyle name="60% - Accent4 3" xfId="4079" hidden="1"/>
    <cellStyle name="60% - Accent4 3" xfId="4261" hidden="1"/>
    <cellStyle name="60% - Accent4 3" xfId="3721" hidden="1"/>
    <cellStyle name="60% - Accent4 3" xfId="4596" hidden="1"/>
    <cellStyle name="60% - Accent4 3" xfId="4757" hidden="1"/>
    <cellStyle name="60% - Accent4 3" xfId="4909" hidden="1"/>
    <cellStyle name="60% - Accent4 3" xfId="4835" hidden="1"/>
    <cellStyle name="60% - Accent4 3" xfId="5014" hidden="1"/>
    <cellStyle name="60% - Accent4 3" xfId="5168" hidden="1"/>
    <cellStyle name="60% - Accent4 3" xfId="5318" hidden="1"/>
    <cellStyle name="60% - Accent4 3" xfId="4680" hidden="1"/>
    <cellStyle name="60% - Accent4 3" xfId="5423" hidden="1"/>
    <cellStyle name="60% - Accent4 3" xfId="5566" hidden="1"/>
    <cellStyle name="60% - Accent4 3" xfId="5703" hidden="1"/>
    <cellStyle name="60% - Accent4 3" xfId="5641" hidden="1"/>
    <cellStyle name="60% - Accent4 3" xfId="5792" hidden="1"/>
    <cellStyle name="60% - Accent4 3" xfId="5924" hidden="1"/>
    <cellStyle name="60% - Accent4 3" xfId="6054" hidden="1"/>
    <cellStyle name="60% - Accent4 3" xfId="5501" hidden="1"/>
    <cellStyle name="60% - Accent4 3" xfId="6139" hidden="1"/>
    <cellStyle name="60% - Accent4 3" xfId="6261" hidden="1"/>
    <cellStyle name="60% - Accent4 3" xfId="6383" hidden="1"/>
    <cellStyle name="60% - Accent4 4" xfId="588" hidden="1"/>
    <cellStyle name="60% - Accent4 4" xfId="903" hidden="1"/>
    <cellStyle name="60% - Accent4 4" xfId="1087" hidden="1"/>
    <cellStyle name="60% - Accent4 4" xfId="1269" hidden="1"/>
    <cellStyle name="60% - Accent4 4" xfId="1678" hidden="1"/>
    <cellStyle name="60% - Accent4 4" xfId="1893" hidden="1"/>
    <cellStyle name="60% - Accent4 4" xfId="2076" hidden="1"/>
    <cellStyle name="60% - Accent4 4" xfId="2258" hidden="1"/>
    <cellStyle name="60% - Accent4 4" xfId="2435" hidden="1"/>
    <cellStyle name="60% - Accent4 4" xfId="2596" hidden="1"/>
    <cellStyle name="60% - Accent4 4" xfId="2728" hidden="1"/>
    <cellStyle name="60% - Accent4 4" xfId="2858" hidden="1"/>
    <cellStyle name="60% - Accent4 4" xfId="1765" hidden="1"/>
    <cellStyle name="60% - Accent4 4" xfId="2942" hidden="1"/>
    <cellStyle name="60% - Accent4 4" xfId="3064" hidden="1"/>
    <cellStyle name="60% - Accent4 4" xfId="3186" hidden="1"/>
    <cellStyle name="60% - Accent4 4" xfId="3659" hidden="1"/>
    <cellStyle name="60% - Accent4 4" xfId="3932" hidden="1"/>
    <cellStyle name="60% - Accent4 4" xfId="4114" hidden="1"/>
    <cellStyle name="60% - Accent4 4" xfId="4296" hidden="1"/>
    <cellStyle name="60% - Accent4 4" xfId="4389" hidden="1"/>
    <cellStyle name="60% - Accent4 4" xfId="4629" hidden="1"/>
    <cellStyle name="60% - Accent4 4" xfId="4789" hidden="1"/>
    <cellStyle name="60% - Accent4 4" xfId="4942" hidden="1"/>
    <cellStyle name="60% - Accent4 4" xfId="4449" hidden="1"/>
    <cellStyle name="60% - Accent4 4" xfId="5046" hidden="1"/>
    <cellStyle name="60% - Accent4 4" xfId="5200" hidden="1"/>
    <cellStyle name="60% - Accent4 4" xfId="5351" hidden="1"/>
    <cellStyle name="60% - Accent4 4" xfId="4491" hidden="1"/>
    <cellStyle name="60% - Accent4 4" xfId="5455" hidden="1"/>
    <cellStyle name="60% - Accent4 4" xfId="5598" hidden="1"/>
    <cellStyle name="60% - Accent4 4" xfId="5735" hidden="1"/>
    <cellStyle name="60% - Accent4 4" xfId="4997" hidden="1"/>
    <cellStyle name="60% - Accent4 4" xfId="5824" hidden="1"/>
    <cellStyle name="60% - Accent4 4" xfId="5956" hidden="1"/>
    <cellStyle name="60% - Accent4 4" xfId="6086" hidden="1"/>
    <cellStyle name="60% - Accent4 4" xfId="3812" hidden="1"/>
    <cellStyle name="60% - Accent4 4" xfId="6170" hidden="1"/>
    <cellStyle name="60% - Accent4 4" xfId="6292" hidden="1"/>
    <cellStyle name="60% - Accent4 4" xfId="6414" hidden="1"/>
    <cellStyle name="60% - Accent4 5" xfId="619" hidden="1"/>
    <cellStyle name="60% - Accent4 5" xfId="934" hidden="1"/>
    <cellStyle name="60% - Accent4 5" xfId="1118" hidden="1"/>
    <cellStyle name="60% - Accent4 5" xfId="1300" hidden="1"/>
    <cellStyle name="60% - Accent4 5" xfId="1709" hidden="1"/>
    <cellStyle name="60% - Accent4 5" xfId="1924" hidden="1"/>
    <cellStyle name="60% - Accent4 5" xfId="2107" hidden="1"/>
    <cellStyle name="60% - Accent4 5" xfId="2289" hidden="1"/>
    <cellStyle name="60% - Accent4 5" xfId="2466" hidden="1"/>
    <cellStyle name="60% - Accent4 5" xfId="2627" hidden="1"/>
    <cellStyle name="60% - Accent4 5" xfId="2759" hidden="1"/>
    <cellStyle name="60% - Accent4 5" xfId="2889" hidden="1"/>
    <cellStyle name="60% - Accent4 5" xfId="2494" hidden="1"/>
    <cellStyle name="60% - Accent4 5" xfId="2973" hidden="1"/>
    <cellStyle name="60% - Accent4 5" xfId="3095" hidden="1"/>
    <cellStyle name="60% - Accent4 5" xfId="3217" hidden="1"/>
    <cellStyle name="60% - Accent4 5" xfId="3690" hidden="1"/>
    <cellStyle name="60% - Accent4 5" xfId="3963" hidden="1"/>
    <cellStyle name="60% - Accent4 5" xfId="4145" hidden="1"/>
    <cellStyle name="60% - Accent4 5" xfId="4327" hidden="1"/>
    <cellStyle name="60% - Accent4 5" xfId="4420" hidden="1"/>
    <cellStyle name="60% - Accent4 5" xfId="4660" hidden="1"/>
    <cellStyle name="60% - Accent4 5" xfId="4820" hidden="1"/>
    <cellStyle name="60% - Accent4 5" xfId="4973" hidden="1"/>
    <cellStyle name="60% - Accent4 5" xfId="3811" hidden="1"/>
    <cellStyle name="60% - Accent4 5" xfId="5077" hidden="1"/>
    <cellStyle name="60% - Accent4 5" xfId="5231" hidden="1"/>
    <cellStyle name="60% - Accent4 5" xfId="5382" hidden="1"/>
    <cellStyle name="60% - Accent4 5" xfId="4844" hidden="1"/>
    <cellStyle name="60% - Accent4 5" xfId="5486" hidden="1"/>
    <cellStyle name="60% - Accent4 5" xfId="5629" hidden="1"/>
    <cellStyle name="60% - Accent4 5" xfId="5766" hidden="1"/>
    <cellStyle name="60% - Accent4 5" xfId="3364" hidden="1"/>
    <cellStyle name="60% - Accent4 5" xfId="5855" hidden="1"/>
    <cellStyle name="60% - Accent4 5" xfId="5987" hidden="1"/>
    <cellStyle name="60% - Accent4 5" xfId="6117" hidden="1"/>
    <cellStyle name="60% - Accent4 5" xfId="5645" hidden="1"/>
    <cellStyle name="60% - Accent4 5" xfId="6201" hidden="1"/>
    <cellStyle name="60% - Accent4 5" xfId="6323" hidden="1"/>
    <cellStyle name="60% - Accent4 5" xfId="6445" hidden="1"/>
    <cellStyle name="60% - Accent5" xfId="17" builtinId="48" customBuiltin="1"/>
    <cellStyle name="60% - Accent5 2" xfId="526" hidden="1"/>
    <cellStyle name="60% - Accent5 2" xfId="841" hidden="1"/>
    <cellStyle name="60% - Accent5 2" xfId="1025" hidden="1"/>
    <cellStyle name="60% - Accent5 2" xfId="1207" hidden="1"/>
    <cellStyle name="60% - Accent5 2" xfId="1616" hidden="1"/>
    <cellStyle name="60% - Accent5 2" xfId="1831" hidden="1"/>
    <cellStyle name="60% - Accent5 2" xfId="2014" hidden="1"/>
    <cellStyle name="60% - Accent5 2" xfId="2196" hidden="1"/>
    <cellStyle name="60% - Accent5 2" xfId="2376" hidden="1"/>
    <cellStyle name="60% - Accent5 2" xfId="2537" hidden="1"/>
    <cellStyle name="60% - Accent5 2" xfId="2669" hidden="1"/>
    <cellStyle name="60% - Accent5 2" xfId="2799" hidden="1"/>
    <cellStyle name="60% - Accent5 2" xfId="2348" hidden="1"/>
    <cellStyle name="60% - Accent5 2" xfId="2481" hidden="1"/>
    <cellStyle name="60% - Accent5 2" xfId="3006" hidden="1"/>
    <cellStyle name="60% - Accent5 2" xfId="3128" hidden="1"/>
    <cellStyle name="60% - Accent5 2" xfId="3597" hidden="1"/>
    <cellStyle name="60% - Accent5 2" xfId="3870" hidden="1"/>
    <cellStyle name="60% - Accent5 2" xfId="4052" hidden="1"/>
    <cellStyle name="60% - Accent5 2" xfId="4234" hidden="1"/>
    <cellStyle name="60% - Accent5 2" xfId="3741" hidden="1"/>
    <cellStyle name="60% - Accent5 2" xfId="4569" hidden="1"/>
    <cellStyle name="60% - Accent5 2" xfId="4730" hidden="1"/>
    <cellStyle name="60% - Accent5 2" xfId="4882" hidden="1"/>
    <cellStyle name="60% - Accent5 2" xfId="4534" hidden="1"/>
    <cellStyle name="60% - Accent5 2" xfId="3538" hidden="1"/>
    <cellStyle name="60% - Accent5 2" xfId="5141" hidden="1"/>
    <cellStyle name="60% - Accent5 2" xfId="5291" hidden="1"/>
    <cellStyle name="60% - Accent5 2" xfId="3777" hidden="1"/>
    <cellStyle name="60% - Accent5 2" xfId="4463" hidden="1"/>
    <cellStyle name="60% - Accent5 2" xfId="5539" hidden="1"/>
    <cellStyle name="60% - Accent5 2" xfId="5676" hidden="1"/>
    <cellStyle name="60% - Accent5 2" xfId="3497" hidden="1"/>
    <cellStyle name="60% - Accent5 2" xfId="3728" hidden="1"/>
    <cellStyle name="60% - Accent5 2" xfId="5897" hidden="1"/>
    <cellStyle name="60% - Accent5 2" xfId="6027" hidden="1"/>
    <cellStyle name="60% - Accent5 2" xfId="5264" hidden="1"/>
    <cellStyle name="60% - Accent5 2" xfId="5406" hidden="1"/>
    <cellStyle name="60% - Accent5 2" xfId="6234" hidden="1"/>
    <cellStyle name="60% - Accent5 2" xfId="6356" hidden="1"/>
    <cellStyle name="60% - Accent5 3" xfId="557" hidden="1"/>
    <cellStyle name="60% - Accent5 3" xfId="872" hidden="1"/>
    <cellStyle name="60% - Accent5 3" xfId="1056" hidden="1"/>
    <cellStyle name="60% - Accent5 3" xfId="1238" hidden="1"/>
    <cellStyle name="60% - Accent5 3" xfId="1647" hidden="1"/>
    <cellStyle name="60% - Accent5 3" xfId="1862" hidden="1"/>
    <cellStyle name="60% - Accent5 3" xfId="2045" hidden="1"/>
    <cellStyle name="60% - Accent5 3" xfId="2227" hidden="1"/>
    <cellStyle name="60% - Accent5 3" xfId="2407" hidden="1"/>
    <cellStyle name="60% - Accent5 3" xfId="2568" hidden="1"/>
    <cellStyle name="60% - Accent5 3" xfId="2700" hidden="1"/>
    <cellStyle name="60% - Accent5 3" xfId="2830" hidden="1"/>
    <cellStyle name="60% - Accent5 3" xfId="2636" hidden="1"/>
    <cellStyle name="60% - Accent5 3" xfId="2915" hidden="1"/>
    <cellStyle name="60% - Accent5 3" xfId="3037" hidden="1"/>
    <cellStyle name="60% - Accent5 3" xfId="3159" hidden="1"/>
    <cellStyle name="60% - Accent5 3" xfId="3628" hidden="1"/>
    <cellStyle name="60% - Accent5 3" xfId="3901" hidden="1"/>
    <cellStyle name="60% - Accent5 3" xfId="4083" hidden="1"/>
    <cellStyle name="60% - Accent5 3" xfId="4265" hidden="1"/>
    <cellStyle name="60% - Accent5 3" xfId="3275" hidden="1"/>
    <cellStyle name="60% - Accent5 3" xfId="4600" hidden="1"/>
    <cellStyle name="60% - Accent5 3" xfId="4761" hidden="1"/>
    <cellStyle name="60% - Accent5 3" xfId="4913" hidden="1"/>
    <cellStyle name="60% - Accent5 3" xfId="3795" hidden="1"/>
    <cellStyle name="60% - Accent5 3" xfId="5018" hidden="1"/>
    <cellStyle name="60% - Accent5 3" xfId="5172" hidden="1"/>
    <cellStyle name="60% - Accent5 3" xfId="5322" hidden="1"/>
    <cellStyle name="60% - Accent5 3" xfId="5086" hidden="1"/>
    <cellStyle name="60% - Accent5 3" xfId="5427" hidden="1"/>
    <cellStyle name="60% - Accent5 3" xfId="5570" hidden="1"/>
    <cellStyle name="60% - Accent5 3" xfId="5707" hidden="1"/>
    <cellStyle name="60% - Accent5 3" xfId="5102" hidden="1"/>
    <cellStyle name="60% - Accent5 3" xfId="5796" hidden="1"/>
    <cellStyle name="60% - Accent5 3" xfId="5928" hidden="1"/>
    <cellStyle name="60% - Accent5 3" xfId="6058" hidden="1"/>
    <cellStyle name="60% - Accent5 3" xfId="5864" hidden="1"/>
    <cellStyle name="60% - Accent5 3" xfId="6143" hidden="1"/>
    <cellStyle name="60% - Accent5 3" xfId="6265" hidden="1"/>
    <cellStyle name="60% - Accent5 3" xfId="6387" hidden="1"/>
    <cellStyle name="60% - Accent5 4" xfId="592" hidden="1"/>
    <cellStyle name="60% - Accent5 4" xfId="907" hidden="1"/>
    <cellStyle name="60% - Accent5 4" xfId="1091" hidden="1"/>
    <cellStyle name="60% - Accent5 4" xfId="1273" hidden="1"/>
    <cellStyle name="60% - Accent5 4" xfId="1682" hidden="1"/>
    <cellStyle name="60% - Accent5 4" xfId="1897" hidden="1"/>
    <cellStyle name="60% - Accent5 4" xfId="2080" hidden="1"/>
    <cellStyle name="60% - Accent5 4" xfId="2262" hidden="1"/>
    <cellStyle name="60% - Accent5 4" xfId="2439" hidden="1"/>
    <cellStyle name="60% - Accent5 4" xfId="2600" hidden="1"/>
    <cellStyle name="60% - Accent5 4" xfId="2732" hidden="1"/>
    <cellStyle name="60% - Accent5 4" xfId="2862" hidden="1"/>
    <cellStyle name="60% - Accent5 4" xfId="1401" hidden="1"/>
    <cellStyle name="60% - Accent5 4" xfId="2946" hidden="1"/>
    <cellStyle name="60% - Accent5 4" xfId="3068" hidden="1"/>
    <cellStyle name="60% - Accent5 4" xfId="3190" hidden="1"/>
    <cellStyle name="60% - Accent5 4" xfId="3663" hidden="1"/>
    <cellStyle name="60% - Accent5 4" xfId="3936" hidden="1"/>
    <cellStyle name="60% - Accent5 4" xfId="4118" hidden="1"/>
    <cellStyle name="60% - Accent5 4" xfId="4300" hidden="1"/>
    <cellStyle name="60% - Accent5 4" xfId="4393" hidden="1"/>
    <cellStyle name="60% - Accent5 4" xfId="4633" hidden="1"/>
    <cellStyle name="60% - Accent5 4" xfId="4793" hidden="1"/>
    <cellStyle name="60% - Accent5 4" xfId="4946" hidden="1"/>
    <cellStyle name="60% - Accent5 4" xfId="3779" hidden="1"/>
    <cellStyle name="60% - Accent5 4" xfId="5050" hidden="1"/>
    <cellStyle name="60% - Accent5 4" xfId="5204" hidden="1"/>
    <cellStyle name="60% - Accent5 4" xfId="5355" hidden="1"/>
    <cellStyle name="60% - Accent5 4" xfId="3833" hidden="1"/>
    <cellStyle name="60% - Accent5 4" xfId="5459" hidden="1"/>
    <cellStyle name="60% - Accent5 4" xfId="5602" hidden="1"/>
    <cellStyle name="60% - Accent5 4" xfId="5739" hidden="1"/>
    <cellStyle name="60% - Accent5 4" xfId="4526" hidden="1"/>
    <cellStyle name="60% - Accent5 4" xfId="5828" hidden="1"/>
    <cellStyle name="60% - Accent5 4" xfId="5960" hidden="1"/>
    <cellStyle name="60% - Accent5 4" xfId="6090" hidden="1"/>
    <cellStyle name="60% - Accent5 4" xfId="3540" hidden="1"/>
    <cellStyle name="60% - Accent5 4" xfId="6174" hidden="1"/>
    <cellStyle name="60% - Accent5 4" xfId="6296" hidden="1"/>
    <cellStyle name="60% - Accent5 4" xfId="6418" hidden="1"/>
    <cellStyle name="60% - Accent5 5" xfId="623" hidden="1"/>
    <cellStyle name="60% - Accent5 5" xfId="938" hidden="1"/>
    <cellStyle name="60% - Accent5 5" xfId="1122" hidden="1"/>
    <cellStyle name="60% - Accent5 5" xfId="1304" hidden="1"/>
    <cellStyle name="60% - Accent5 5" xfId="1713" hidden="1"/>
    <cellStyle name="60% - Accent5 5" xfId="1928" hidden="1"/>
    <cellStyle name="60% - Accent5 5" xfId="2111" hidden="1"/>
    <cellStyle name="60% - Accent5 5" xfId="2293" hidden="1"/>
    <cellStyle name="60% - Accent5 5" xfId="2470" hidden="1"/>
    <cellStyle name="60% - Accent5 5" xfId="2631" hidden="1"/>
    <cellStyle name="60% - Accent5 5" xfId="2763" hidden="1"/>
    <cellStyle name="60% - Accent5 5" xfId="2893" hidden="1"/>
    <cellStyle name="60% - Accent5 5" xfId="1748" hidden="1"/>
    <cellStyle name="60% - Accent5 5" xfId="2977" hidden="1"/>
    <cellStyle name="60% - Accent5 5" xfId="3099" hidden="1"/>
    <cellStyle name="60% - Accent5 5" xfId="3221" hidden="1"/>
    <cellStyle name="60% - Accent5 5" xfId="3694" hidden="1"/>
    <cellStyle name="60% - Accent5 5" xfId="3967" hidden="1"/>
    <cellStyle name="60% - Accent5 5" xfId="4149" hidden="1"/>
    <cellStyle name="60% - Accent5 5" xfId="4331" hidden="1"/>
    <cellStyle name="60% - Accent5 5" xfId="4424" hidden="1"/>
    <cellStyle name="60% - Accent5 5" xfId="4664" hidden="1"/>
    <cellStyle name="60% - Accent5 5" xfId="4824" hidden="1"/>
    <cellStyle name="60% - Accent5 5" xfId="4977" hidden="1"/>
    <cellStyle name="60% - Accent5 5" xfId="4465" hidden="1"/>
    <cellStyle name="60% - Accent5 5" xfId="5081" hidden="1"/>
    <cellStyle name="60% - Accent5 5" xfId="5235" hidden="1"/>
    <cellStyle name="60% - Accent5 5" xfId="5386" hidden="1"/>
    <cellStyle name="60% - Accent5 5" xfId="3556" hidden="1"/>
    <cellStyle name="60% - Accent5 5" xfId="5490" hidden="1"/>
    <cellStyle name="60% - Accent5 5" xfId="5633" hidden="1"/>
    <cellStyle name="60% - Accent5 5" xfId="5770" hidden="1"/>
    <cellStyle name="60% - Accent5 5" xfId="3746" hidden="1"/>
    <cellStyle name="60% - Accent5 5" xfId="5859" hidden="1"/>
    <cellStyle name="60% - Accent5 5" xfId="5991" hidden="1"/>
    <cellStyle name="60% - Accent5 5" xfId="6121" hidden="1"/>
    <cellStyle name="60% - Accent5 5" xfId="3523" hidden="1"/>
    <cellStyle name="60% - Accent5 5" xfId="6205" hidden="1"/>
    <cellStyle name="60% - Accent5 5" xfId="6327" hidden="1"/>
    <cellStyle name="60% - Accent5 5" xfId="6449" hidden="1"/>
    <cellStyle name="60% - Accent6" xfId="18" builtinId="52" customBuiltin="1"/>
    <cellStyle name="60% - Accent6 2" xfId="530" hidden="1"/>
    <cellStyle name="60% - Accent6 2" xfId="845" hidden="1"/>
    <cellStyle name="60% - Accent6 2" xfId="1029" hidden="1"/>
    <cellStyle name="60% - Accent6 2" xfId="1211" hidden="1"/>
    <cellStyle name="60% - Accent6 2" xfId="1620" hidden="1"/>
    <cellStyle name="60% - Accent6 2" xfId="1835" hidden="1"/>
    <cellStyle name="60% - Accent6 2" xfId="2018" hidden="1"/>
    <cellStyle name="60% - Accent6 2" xfId="2200" hidden="1"/>
    <cellStyle name="60% - Accent6 2" xfId="2380" hidden="1"/>
    <cellStyle name="60% - Accent6 2" xfId="2541" hidden="1"/>
    <cellStyle name="60% - Accent6 2" xfId="2673" hidden="1"/>
    <cellStyle name="60% - Accent6 2" xfId="2803" hidden="1"/>
    <cellStyle name="60% - Accent6 2" xfId="2499" hidden="1"/>
    <cellStyle name="60% - Accent6 2" xfId="1370" hidden="1"/>
    <cellStyle name="60% - Accent6 2" xfId="3010" hidden="1"/>
    <cellStyle name="60% - Accent6 2" xfId="3132" hidden="1"/>
    <cellStyle name="60% - Accent6 2" xfId="3601" hidden="1"/>
    <cellStyle name="60% - Accent6 2" xfId="3874" hidden="1"/>
    <cellStyle name="60% - Accent6 2" xfId="4056" hidden="1"/>
    <cellStyle name="60% - Accent6 2" xfId="4238" hidden="1"/>
    <cellStyle name="60% - Accent6 2" xfId="3341" hidden="1"/>
    <cellStyle name="60% - Accent6 2" xfId="4573" hidden="1"/>
    <cellStyle name="60% - Accent6 2" xfId="4734" hidden="1"/>
    <cellStyle name="60% - Accent6 2" xfId="4886" hidden="1"/>
    <cellStyle name="60% - Accent6 2" xfId="3739" hidden="1"/>
    <cellStyle name="60% - Accent6 2" xfId="3487" hidden="1"/>
    <cellStyle name="60% - Accent6 2" xfId="5145" hidden="1"/>
    <cellStyle name="60% - Accent6 2" xfId="5295" hidden="1"/>
    <cellStyle name="60% - Accent6 2" xfId="5001" hidden="1"/>
    <cellStyle name="60% - Accent6 2" xfId="4694" hidden="1"/>
    <cellStyle name="60% - Accent6 2" xfId="5543" hidden="1"/>
    <cellStyle name="60% - Accent6 2" xfId="5680" hidden="1"/>
    <cellStyle name="60% - Accent6 2" xfId="4699" hidden="1"/>
    <cellStyle name="60% - Accent6 2" xfId="3530" hidden="1"/>
    <cellStyle name="60% - Accent6 2" xfId="5901" hidden="1"/>
    <cellStyle name="60% - Accent6 2" xfId="6031" hidden="1"/>
    <cellStyle name="60% - Accent6 2" xfId="5783" hidden="1"/>
    <cellStyle name="60% - Accent6 2" xfId="5509" hidden="1"/>
    <cellStyle name="60% - Accent6 2" xfId="6238" hidden="1"/>
    <cellStyle name="60% - Accent6 2" xfId="6360" hidden="1"/>
    <cellStyle name="60% - Accent6 3" xfId="561" hidden="1"/>
    <cellStyle name="60% - Accent6 3" xfId="876" hidden="1"/>
    <cellStyle name="60% - Accent6 3" xfId="1060" hidden="1"/>
    <cellStyle name="60% - Accent6 3" xfId="1242" hidden="1"/>
    <cellStyle name="60% - Accent6 3" xfId="1651" hidden="1"/>
    <cellStyle name="60% - Accent6 3" xfId="1866" hidden="1"/>
    <cellStyle name="60% - Accent6 3" xfId="2049" hidden="1"/>
    <cellStyle name="60% - Accent6 3" xfId="2231" hidden="1"/>
    <cellStyle name="60% - Accent6 3" xfId="2411" hidden="1"/>
    <cellStyle name="60% - Accent6 3" xfId="2572" hidden="1"/>
    <cellStyle name="60% - Accent6 3" xfId="2704" hidden="1"/>
    <cellStyle name="60% - Accent6 3" xfId="2834" hidden="1"/>
    <cellStyle name="60% - Accent6 3" xfId="1450" hidden="1"/>
    <cellStyle name="60% - Accent6 3" xfId="2919" hidden="1"/>
    <cellStyle name="60% - Accent6 3" xfId="3041" hidden="1"/>
    <cellStyle name="60% - Accent6 3" xfId="3163" hidden="1"/>
    <cellStyle name="60% - Accent6 3" xfId="3632" hidden="1"/>
    <cellStyle name="60% - Accent6 3" xfId="3905" hidden="1"/>
    <cellStyle name="60% - Accent6 3" xfId="4087" hidden="1"/>
    <cellStyle name="60% - Accent6 3" xfId="4269" hidden="1"/>
    <cellStyle name="60% - Accent6 3" xfId="3377" hidden="1"/>
    <cellStyle name="60% - Accent6 3" xfId="4604" hidden="1"/>
    <cellStyle name="60% - Accent6 3" xfId="4765" hidden="1"/>
    <cellStyle name="60% - Accent6 3" xfId="4917" hidden="1"/>
    <cellStyle name="60% - Accent6 3" xfId="4671" hidden="1"/>
    <cellStyle name="60% - Accent6 3" xfId="5022" hidden="1"/>
    <cellStyle name="60% - Accent6 3" xfId="5176" hidden="1"/>
    <cellStyle name="60% - Accent6 3" xfId="5326" hidden="1"/>
    <cellStyle name="60% - Accent6 3" xfId="4508" hidden="1"/>
    <cellStyle name="60% - Accent6 3" xfId="5431" hidden="1"/>
    <cellStyle name="60% - Accent6 3" xfId="5574" hidden="1"/>
    <cellStyle name="60% - Accent6 3" xfId="5711" hidden="1"/>
    <cellStyle name="60% - Accent6 3" xfId="5496" hidden="1"/>
    <cellStyle name="60% - Accent6 3" xfId="5800" hidden="1"/>
    <cellStyle name="60% - Accent6 3" xfId="5932" hidden="1"/>
    <cellStyle name="60% - Accent6 3" xfId="6062" hidden="1"/>
    <cellStyle name="60% - Accent6 3" xfId="4512" hidden="1"/>
    <cellStyle name="60% - Accent6 3" xfId="6147" hidden="1"/>
    <cellStyle name="60% - Accent6 3" xfId="6269" hidden="1"/>
    <cellStyle name="60% - Accent6 3" xfId="6391" hidden="1"/>
    <cellStyle name="60% - Accent6 4" xfId="596" hidden="1"/>
    <cellStyle name="60% - Accent6 4" xfId="911" hidden="1"/>
    <cellStyle name="60% - Accent6 4" xfId="1095" hidden="1"/>
    <cellStyle name="60% - Accent6 4" xfId="1277" hidden="1"/>
    <cellStyle name="60% - Accent6 4" xfId="1686" hidden="1"/>
    <cellStyle name="60% - Accent6 4" xfId="1901" hidden="1"/>
    <cellStyle name="60% - Accent6 4" xfId="2084" hidden="1"/>
    <cellStyle name="60% - Accent6 4" xfId="2266" hidden="1"/>
    <cellStyle name="60% - Accent6 4" xfId="2443" hidden="1"/>
    <cellStyle name="60% - Accent6 4" xfId="2604" hidden="1"/>
    <cellStyle name="60% - Accent6 4" xfId="2736" hidden="1"/>
    <cellStyle name="60% - Accent6 4" xfId="2866" hidden="1"/>
    <cellStyle name="60% - Accent6 4" xfId="1431" hidden="1"/>
    <cellStyle name="60% - Accent6 4" xfId="2950" hidden="1"/>
    <cellStyle name="60% - Accent6 4" xfId="3072" hidden="1"/>
    <cellStyle name="60% - Accent6 4" xfId="3194" hidden="1"/>
    <cellStyle name="60% - Accent6 4" xfId="3667" hidden="1"/>
    <cellStyle name="60% - Accent6 4" xfId="3940" hidden="1"/>
    <cellStyle name="60% - Accent6 4" xfId="4122" hidden="1"/>
    <cellStyle name="60% - Accent6 4" xfId="4304" hidden="1"/>
    <cellStyle name="60% - Accent6 4" xfId="4397" hidden="1"/>
    <cellStyle name="60% - Accent6 4" xfId="4637" hidden="1"/>
    <cellStyle name="60% - Accent6 4" xfId="4797" hidden="1"/>
    <cellStyle name="60% - Accent6 4" xfId="4950" hidden="1"/>
    <cellStyle name="60% - Accent6 4" xfId="3504" hidden="1"/>
    <cellStyle name="60% - Accent6 4" xfId="5054" hidden="1"/>
    <cellStyle name="60% - Accent6 4" xfId="5208" hidden="1"/>
    <cellStyle name="60% - Accent6 4" xfId="5359" hidden="1"/>
    <cellStyle name="60% - Accent6 4" xfId="3261" hidden="1"/>
    <cellStyle name="60% - Accent6 4" xfId="5463" hidden="1"/>
    <cellStyle name="60% - Accent6 4" xfId="5606" hidden="1"/>
    <cellStyle name="60% - Accent6 4" xfId="5743" hidden="1"/>
    <cellStyle name="60% - Accent6 4" xfId="4852" hidden="1"/>
    <cellStyle name="60% - Accent6 4" xfId="5832" hidden="1"/>
    <cellStyle name="60% - Accent6 4" xfId="5964" hidden="1"/>
    <cellStyle name="60% - Accent6 4" xfId="6094" hidden="1"/>
    <cellStyle name="60% - Accent6 4" xfId="4918" hidden="1"/>
    <cellStyle name="60% - Accent6 4" xfId="6178" hidden="1"/>
    <cellStyle name="60% - Accent6 4" xfId="6300" hidden="1"/>
    <cellStyle name="60% - Accent6 4" xfId="6422" hidden="1"/>
    <cellStyle name="60% - Accent6 5" xfId="627" hidden="1"/>
    <cellStyle name="60% - Accent6 5" xfId="942" hidden="1"/>
    <cellStyle name="60% - Accent6 5" xfId="1126" hidden="1"/>
    <cellStyle name="60% - Accent6 5" xfId="1308" hidden="1"/>
    <cellStyle name="60% - Accent6 5" xfId="1717" hidden="1"/>
    <cellStyle name="60% - Accent6 5" xfId="1932" hidden="1"/>
    <cellStyle name="60% - Accent6 5" xfId="2115" hidden="1"/>
    <cellStyle name="60% - Accent6 5" xfId="2297" hidden="1"/>
    <cellStyle name="60% - Accent6 5" xfId="2474" hidden="1"/>
    <cellStyle name="60% - Accent6 5" xfId="2635" hidden="1"/>
    <cellStyle name="60% - Accent6 5" xfId="2767" hidden="1"/>
    <cellStyle name="60% - Accent6 5" xfId="2897" hidden="1"/>
    <cellStyle name="60% - Accent6 5" xfId="2493" hidden="1"/>
    <cellStyle name="60% - Accent6 5" xfId="2981" hidden="1"/>
    <cellStyle name="60% - Accent6 5" xfId="3103" hidden="1"/>
    <cellStyle name="60% - Accent6 5" xfId="3225" hidden="1"/>
    <cellStyle name="60% - Accent6 5" xfId="3698" hidden="1"/>
    <cellStyle name="60% - Accent6 5" xfId="3971" hidden="1"/>
    <cellStyle name="60% - Accent6 5" xfId="4153" hidden="1"/>
    <cellStyle name="60% - Accent6 5" xfId="4335" hidden="1"/>
    <cellStyle name="60% - Accent6 5" xfId="4428" hidden="1"/>
    <cellStyle name="60% - Accent6 5" xfId="4668" hidden="1"/>
    <cellStyle name="60% - Accent6 5" xfId="4828" hidden="1"/>
    <cellStyle name="60% - Accent6 5" xfId="4981" hidden="1"/>
    <cellStyle name="60% - Accent6 5" xfId="3766" hidden="1"/>
    <cellStyle name="60% - Accent6 5" xfId="5085" hidden="1"/>
    <cellStyle name="60% - Accent6 5" xfId="5239" hidden="1"/>
    <cellStyle name="60% - Accent6 5" xfId="5390" hidden="1"/>
    <cellStyle name="60% - Accent6 5" xfId="4513" hidden="1"/>
    <cellStyle name="60% - Accent6 5" xfId="5494" hidden="1"/>
    <cellStyle name="60% - Accent6 5" xfId="5637" hidden="1"/>
    <cellStyle name="60% - Accent6 5" xfId="5774" hidden="1"/>
    <cellStyle name="60% - Accent6 5" xfId="3456" hidden="1"/>
    <cellStyle name="60% - Accent6 5" xfId="5863" hidden="1"/>
    <cellStyle name="60% - Accent6 5" xfId="5995" hidden="1"/>
    <cellStyle name="60% - Accent6 5" xfId="6125" hidden="1"/>
    <cellStyle name="60% - Accent6 5" xfId="5245" hidden="1"/>
    <cellStyle name="60% - Accent6 5" xfId="6209" hidden="1"/>
    <cellStyle name="60% - Accent6 5" xfId="6331" hidden="1"/>
    <cellStyle name="60% - Accent6 5" xfId="6453" hidden="1"/>
    <cellStyle name="Accent1" xfId="19" builtinId="29" customBuiltin="1"/>
    <cellStyle name="Accent1 2" xfId="507" hidden="1"/>
    <cellStyle name="Accent1 2" xfId="822" hidden="1"/>
    <cellStyle name="Accent1 2" xfId="1006" hidden="1"/>
    <cellStyle name="Accent1 2" xfId="1188" hidden="1"/>
    <cellStyle name="Accent1 2" xfId="1597" hidden="1"/>
    <cellStyle name="Accent1 2" xfId="1812" hidden="1"/>
    <cellStyle name="Accent1 2" xfId="1995" hidden="1"/>
    <cellStyle name="Accent1 2" xfId="2177" hidden="1"/>
    <cellStyle name="Accent1 2" xfId="2357" hidden="1"/>
    <cellStyle name="Accent1 2" xfId="2518" hidden="1"/>
    <cellStyle name="Accent1 2" xfId="2650" hidden="1"/>
    <cellStyle name="Accent1 2" xfId="2780" hidden="1"/>
    <cellStyle name="Accent1 2" xfId="2497" hidden="1"/>
    <cellStyle name="Accent1 2" xfId="1573" hidden="1"/>
    <cellStyle name="Accent1 2" xfId="2987" hidden="1"/>
    <cellStyle name="Accent1 2" xfId="3109" hidden="1"/>
    <cellStyle name="Accent1 2" xfId="3578" hidden="1"/>
    <cellStyle name="Accent1 2" xfId="3851" hidden="1"/>
    <cellStyle name="Accent1 2" xfId="4033" hidden="1"/>
    <cellStyle name="Accent1 2" xfId="4215" hidden="1"/>
    <cellStyle name="Accent1 2" xfId="3255" hidden="1"/>
    <cellStyle name="Accent1 2" xfId="4550" hidden="1"/>
    <cellStyle name="Accent1 2" xfId="4711" hidden="1"/>
    <cellStyle name="Accent1 2" xfId="4863" hidden="1"/>
    <cellStyle name="Accent1 2" xfId="3421" hidden="1"/>
    <cellStyle name="Accent1 2" xfId="3300" hidden="1"/>
    <cellStyle name="Accent1 2" xfId="5122" hidden="1"/>
    <cellStyle name="Accent1 2" xfId="5272" hidden="1"/>
    <cellStyle name="Accent1 2" xfId="3356" hidden="1"/>
    <cellStyle name="Accent1 2" xfId="3797" hidden="1"/>
    <cellStyle name="Accent1 2" xfId="5520" hidden="1"/>
    <cellStyle name="Accent1 2" xfId="5657" hidden="1"/>
    <cellStyle name="Accent1 2" xfId="3260" hidden="1"/>
    <cellStyle name="Accent1 2" xfId="4992" hidden="1"/>
    <cellStyle name="Accent1 2" xfId="5878" hidden="1"/>
    <cellStyle name="Accent1 2" xfId="6008" hidden="1"/>
    <cellStyle name="Accent1 2" xfId="4985" hidden="1"/>
    <cellStyle name="Accent1 2" xfId="3543" hidden="1"/>
    <cellStyle name="Accent1 2" xfId="6215" hidden="1"/>
    <cellStyle name="Accent1 2" xfId="6337" hidden="1"/>
    <cellStyle name="Accent1 3" xfId="538" hidden="1"/>
    <cellStyle name="Accent1 3" xfId="853" hidden="1"/>
    <cellStyle name="Accent1 3" xfId="1037" hidden="1"/>
    <cellStyle name="Accent1 3" xfId="1219" hidden="1"/>
    <cellStyle name="Accent1 3" xfId="1628" hidden="1"/>
    <cellStyle name="Accent1 3" xfId="1843" hidden="1"/>
    <cellStyle name="Accent1 3" xfId="2026" hidden="1"/>
    <cellStyle name="Accent1 3" xfId="2208" hidden="1"/>
    <cellStyle name="Accent1 3" xfId="2388" hidden="1"/>
    <cellStyle name="Accent1 3" xfId="2549" hidden="1"/>
    <cellStyle name="Accent1 3" xfId="2681" hidden="1"/>
    <cellStyle name="Accent1 3" xfId="2811" hidden="1"/>
    <cellStyle name="Accent1 3" xfId="2705" hidden="1"/>
    <cellStyle name="Accent1 3" xfId="1739" hidden="1"/>
    <cellStyle name="Accent1 3" xfId="3018" hidden="1"/>
    <cellStyle name="Accent1 3" xfId="3140" hidden="1"/>
    <cellStyle name="Accent1 3" xfId="3609" hidden="1"/>
    <cellStyle name="Accent1 3" xfId="3882" hidden="1"/>
    <cellStyle name="Accent1 3" xfId="4064" hidden="1"/>
    <cellStyle name="Accent1 3" xfId="4246" hidden="1"/>
    <cellStyle name="Accent1 3" xfId="3245" hidden="1"/>
    <cellStyle name="Accent1 3" xfId="4581" hidden="1"/>
    <cellStyle name="Accent1 3" xfId="4742" hidden="1"/>
    <cellStyle name="Accent1 3" xfId="4894" hidden="1"/>
    <cellStyle name="Accent1 3" xfId="4673" hidden="1"/>
    <cellStyle name="Accent1 3" xfId="3734" hidden="1"/>
    <cellStyle name="Accent1 3" xfId="5153" hidden="1"/>
    <cellStyle name="Accent1 3" xfId="5303" hidden="1"/>
    <cellStyle name="Accent1 3" xfId="5177" hidden="1"/>
    <cellStyle name="Accent1 3" xfId="4460" hidden="1"/>
    <cellStyle name="Accent1 3" xfId="5551" hidden="1"/>
    <cellStyle name="Accent1 3" xfId="5688" hidden="1"/>
    <cellStyle name="Accent1 3" xfId="5497" hidden="1"/>
    <cellStyle name="Accent1 3" xfId="5106" hidden="1"/>
    <cellStyle name="Accent1 3" xfId="5909" hidden="1"/>
    <cellStyle name="Accent1 3" xfId="6039" hidden="1"/>
    <cellStyle name="Accent1 3" xfId="5933" hidden="1"/>
    <cellStyle name="Accent1 3" xfId="3484" hidden="1"/>
    <cellStyle name="Accent1 3" xfId="6246" hidden="1"/>
    <cellStyle name="Accent1 3" xfId="6368" hidden="1"/>
    <cellStyle name="Accent1 4" xfId="573" hidden="1"/>
    <cellStyle name="Accent1 4" xfId="888" hidden="1"/>
    <cellStyle name="Accent1 4" xfId="1072" hidden="1"/>
    <cellStyle name="Accent1 4" xfId="1254" hidden="1"/>
    <cellStyle name="Accent1 4" xfId="1663" hidden="1"/>
    <cellStyle name="Accent1 4" xfId="1878" hidden="1"/>
    <cellStyle name="Accent1 4" xfId="2061" hidden="1"/>
    <cellStyle name="Accent1 4" xfId="2243" hidden="1"/>
    <cellStyle name="Accent1 4" xfId="2420" hidden="1"/>
    <cellStyle name="Accent1 4" xfId="2581" hidden="1"/>
    <cellStyle name="Accent1 4" xfId="2713" hidden="1"/>
    <cellStyle name="Accent1 4" xfId="2843" hidden="1"/>
    <cellStyle name="Accent1 4" xfId="1395" hidden="1"/>
    <cellStyle name="Accent1 4" xfId="2927" hidden="1"/>
    <cellStyle name="Accent1 4" xfId="3049" hidden="1"/>
    <cellStyle name="Accent1 4" xfId="3171" hidden="1"/>
    <cellStyle name="Accent1 4" xfId="3644" hidden="1"/>
    <cellStyle name="Accent1 4" xfId="3917" hidden="1"/>
    <cellStyle name="Accent1 4" xfId="4099" hidden="1"/>
    <cellStyle name="Accent1 4" xfId="4281" hidden="1"/>
    <cellStyle name="Accent1 4" xfId="3229" hidden="1"/>
    <cellStyle name="Accent1 4" xfId="4614" hidden="1"/>
    <cellStyle name="Accent1 4" xfId="4774" hidden="1"/>
    <cellStyle name="Accent1 4" xfId="4927" hidden="1"/>
    <cellStyle name="Accent1 4" xfId="4452" hidden="1"/>
    <cellStyle name="Accent1 4" xfId="5031" hidden="1"/>
    <cellStyle name="Accent1 4" xfId="5185" hidden="1"/>
    <cellStyle name="Accent1 4" xfId="5336" hidden="1"/>
    <cellStyle name="Accent1 4" xfId="3541" hidden="1"/>
    <cellStyle name="Accent1 4" xfId="5440" hidden="1"/>
    <cellStyle name="Accent1 4" xfId="5583" hidden="1"/>
    <cellStyle name="Accent1 4" xfId="5720" hidden="1"/>
    <cellStyle name="Accent1 4" xfId="5402" hidden="1"/>
    <cellStyle name="Accent1 4" xfId="5809" hidden="1"/>
    <cellStyle name="Accent1 4" xfId="5941" hidden="1"/>
    <cellStyle name="Accent1 4" xfId="6071" hidden="1"/>
    <cellStyle name="Accent1 4" xfId="3460" hidden="1"/>
    <cellStyle name="Accent1 4" xfId="6155" hidden="1"/>
    <cellStyle name="Accent1 4" xfId="6277" hidden="1"/>
    <cellStyle name="Accent1 4" xfId="6399" hidden="1"/>
    <cellStyle name="Accent1 5" xfId="604" hidden="1"/>
    <cellStyle name="Accent1 5" xfId="919" hidden="1"/>
    <cellStyle name="Accent1 5" xfId="1103" hidden="1"/>
    <cellStyle name="Accent1 5" xfId="1285" hidden="1"/>
    <cellStyle name="Accent1 5" xfId="1694" hidden="1"/>
    <cellStyle name="Accent1 5" xfId="1909" hidden="1"/>
    <cellStyle name="Accent1 5" xfId="2092" hidden="1"/>
    <cellStyle name="Accent1 5" xfId="2274" hidden="1"/>
    <cellStyle name="Accent1 5" xfId="2451" hidden="1"/>
    <cellStyle name="Accent1 5" xfId="2612" hidden="1"/>
    <cellStyle name="Accent1 5" xfId="2744" hidden="1"/>
    <cellStyle name="Accent1 5" xfId="2874" hidden="1"/>
    <cellStyle name="Accent1 5" xfId="1377" hidden="1"/>
    <cellStyle name="Accent1 5" xfId="2958" hidden="1"/>
    <cellStyle name="Accent1 5" xfId="3080" hidden="1"/>
    <cellStyle name="Accent1 5" xfId="3202" hidden="1"/>
    <cellStyle name="Accent1 5" xfId="3675" hidden="1"/>
    <cellStyle name="Accent1 5" xfId="3948" hidden="1"/>
    <cellStyle name="Accent1 5" xfId="4130" hidden="1"/>
    <cellStyle name="Accent1 5" xfId="4312" hidden="1"/>
    <cellStyle name="Accent1 5" xfId="4405" hidden="1"/>
    <cellStyle name="Accent1 5" xfId="4645" hidden="1"/>
    <cellStyle name="Accent1 5" xfId="4805" hidden="1"/>
    <cellStyle name="Accent1 5" xfId="4958" hidden="1"/>
    <cellStyle name="Accent1 5" xfId="4698" hidden="1"/>
    <cellStyle name="Accent1 5" xfId="5062" hidden="1"/>
    <cellStyle name="Accent1 5" xfId="5216" hidden="1"/>
    <cellStyle name="Accent1 5" xfId="5367" hidden="1"/>
    <cellStyle name="Accent1 5" xfId="4681" hidden="1"/>
    <cellStyle name="Accent1 5" xfId="5471" hidden="1"/>
    <cellStyle name="Accent1 5" xfId="5614" hidden="1"/>
    <cellStyle name="Accent1 5" xfId="5751" hidden="1"/>
    <cellStyle name="Accent1 5" xfId="5511" hidden="1"/>
    <cellStyle name="Accent1 5" xfId="5840" hidden="1"/>
    <cellStyle name="Accent1 5" xfId="5972" hidden="1"/>
    <cellStyle name="Accent1 5" xfId="6102" hidden="1"/>
    <cellStyle name="Accent1 5" xfId="5502" hidden="1"/>
    <cellStyle name="Accent1 5" xfId="6186" hidden="1"/>
    <cellStyle name="Accent1 5" xfId="6308" hidden="1"/>
    <cellStyle name="Accent1 5" xfId="6430" hidden="1"/>
    <cellStyle name="Accent2" xfId="20" builtinId="33" customBuiltin="1"/>
    <cellStyle name="Accent2 2" xfId="511" hidden="1"/>
    <cellStyle name="Accent2 2" xfId="826" hidden="1"/>
    <cellStyle name="Accent2 2" xfId="1010" hidden="1"/>
    <cellStyle name="Accent2 2" xfId="1192" hidden="1"/>
    <cellStyle name="Accent2 2" xfId="1601" hidden="1"/>
    <cellStyle name="Accent2 2" xfId="1816" hidden="1"/>
    <cellStyle name="Accent2 2" xfId="1999" hidden="1"/>
    <cellStyle name="Accent2 2" xfId="2181" hidden="1"/>
    <cellStyle name="Accent2 2" xfId="2361" hidden="1"/>
    <cellStyle name="Accent2 2" xfId="2522" hidden="1"/>
    <cellStyle name="Accent2 2" xfId="2654" hidden="1"/>
    <cellStyle name="Accent2 2" xfId="2784" hidden="1"/>
    <cellStyle name="Accent2 2" xfId="1392" hidden="1"/>
    <cellStyle name="Accent2 2" xfId="1372" hidden="1"/>
    <cellStyle name="Accent2 2" xfId="2991" hidden="1"/>
    <cellStyle name="Accent2 2" xfId="3113" hidden="1"/>
    <cellStyle name="Accent2 2" xfId="3582" hidden="1"/>
    <cellStyle name="Accent2 2" xfId="3855" hidden="1"/>
    <cellStyle name="Accent2 2" xfId="4037" hidden="1"/>
    <cellStyle name="Accent2 2" xfId="4219" hidden="1"/>
    <cellStyle name="Accent2 2" xfId="3252" hidden="1"/>
    <cellStyle name="Accent2 2" xfId="4554" hidden="1"/>
    <cellStyle name="Accent2 2" xfId="4715" hidden="1"/>
    <cellStyle name="Accent2 2" xfId="4867" hidden="1"/>
    <cellStyle name="Accent2 2" xfId="4468" hidden="1"/>
    <cellStyle name="Accent2 2" xfId="3750" hidden="1"/>
    <cellStyle name="Accent2 2" xfId="5126" hidden="1"/>
    <cellStyle name="Accent2 2" xfId="5276" hidden="1"/>
    <cellStyle name="Accent2 2" xfId="4994" hidden="1"/>
    <cellStyle name="Accent2 2" xfId="3262" hidden="1"/>
    <cellStyle name="Accent2 2" xfId="5524" hidden="1"/>
    <cellStyle name="Accent2 2" xfId="5661" hidden="1"/>
    <cellStyle name="Accent2 2" xfId="5411" hidden="1"/>
    <cellStyle name="Accent2 2" xfId="5009" hidden="1"/>
    <cellStyle name="Accent2 2" xfId="5882" hidden="1"/>
    <cellStyle name="Accent2 2" xfId="6012" hidden="1"/>
    <cellStyle name="Accent2 2" xfId="5781" hidden="1"/>
    <cellStyle name="Accent2 2" xfId="5094" hidden="1"/>
    <cellStyle name="Accent2 2" xfId="6219" hidden="1"/>
    <cellStyle name="Accent2 2" xfId="6341" hidden="1"/>
    <cellStyle name="Accent2 3" xfId="542" hidden="1"/>
    <cellStyle name="Accent2 3" xfId="857" hidden="1"/>
    <cellStyle name="Accent2 3" xfId="1041" hidden="1"/>
    <cellStyle name="Accent2 3" xfId="1223" hidden="1"/>
    <cellStyle name="Accent2 3" xfId="1632" hidden="1"/>
    <cellStyle name="Accent2 3" xfId="1847" hidden="1"/>
    <cellStyle name="Accent2 3" xfId="2030" hidden="1"/>
    <cellStyle name="Accent2 3" xfId="2212" hidden="1"/>
    <cellStyle name="Accent2 3" xfId="2392" hidden="1"/>
    <cellStyle name="Accent2 3" xfId="2553" hidden="1"/>
    <cellStyle name="Accent2 3" xfId="2685" hidden="1"/>
    <cellStyle name="Accent2 3" xfId="2815" hidden="1"/>
    <cellStyle name="Accent2 3" xfId="1428" hidden="1"/>
    <cellStyle name="Accent2 3" xfId="1572" hidden="1"/>
    <cellStyle name="Accent2 3" xfId="3022" hidden="1"/>
    <cellStyle name="Accent2 3" xfId="3144" hidden="1"/>
    <cellStyle name="Accent2 3" xfId="3613" hidden="1"/>
    <cellStyle name="Accent2 3" xfId="3886" hidden="1"/>
    <cellStyle name="Accent2 3" xfId="4068" hidden="1"/>
    <cellStyle name="Accent2 3" xfId="4250" hidden="1"/>
    <cellStyle name="Accent2 3" xfId="3241" hidden="1"/>
    <cellStyle name="Accent2 3" xfId="4585" hidden="1"/>
    <cellStyle name="Accent2 3" xfId="4746" hidden="1"/>
    <cellStyle name="Accent2 3" xfId="4898" hidden="1"/>
    <cellStyle name="Accent2 3" xfId="4766" hidden="1"/>
    <cellStyle name="Accent2 3" xfId="3570" hidden="1"/>
    <cellStyle name="Accent2 3" xfId="5157" hidden="1"/>
    <cellStyle name="Accent2 3" xfId="5307" hidden="1"/>
    <cellStyle name="Accent2 3" xfId="3290" hidden="1"/>
    <cellStyle name="Accent2 3" xfId="4530" hidden="1"/>
    <cellStyle name="Accent2 3" xfId="5555" hidden="1"/>
    <cellStyle name="Accent2 3" xfId="5692" hidden="1"/>
    <cellStyle name="Accent2 3" xfId="5575" hidden="1"/>
    <cellStyle name="Accent2 3" xfId="3725" hidden="1"/>
    <cellStyle name="Accent2 3" xfId="5913" hidden="1"/>
    <cellStyle name="Accent2 3" xfId="6043" hidden="1"/>
    <cellStyle name="Accent2 3" xfId="3318" hidden="1"/>
    <cellStyle name="Accent2 3" xfId="3328" hidden="1"/>
    <cellStyle name="Accent2 3" xfId="6250" hidden="1"/>
    <cellStyle name="Accent2 3" xfId="6372" hidden="1"/>
    <cellStyle name="Accent2 4" xfId="577" hidden="1"/>
    <cellStyle name="Accent2 4" xfId="892" hidden="1"/>
    <cellStyle name="Accent2 4" xfId="1076" hidden="1"/>
    <cellStyle name="Accent2 4" xfId="1258" hidden="1"/>
    <cellStyle name="Accent2 4" xfId="1667" hidden="1"/>
    <cellStyle name="Accent2 4" xfId="1882" hidden="1"/>
    <cellStyle name="Accent2 4" xfId="2065" hidden="1"/>
    <cellStyle name="Accent2 4" xfId="2247" hidden="1"/>
    <cellStyle name="Accent2 4" xfId="2424" hidden="1"/>
    <cellStyle name="Accent2 4" xfId="2585" hidden="1"/>
    <cellStyle name="Accent2 4" xfId="2717" hidden="1"/>
    <cellStyle name="Accent2 4" xfId="2847" hidden="1"/>
    <cellStyle name="Accent2 4" xfId="1449" hidden="1"/>
    <cellStyle name="Accent2 4" xfId="2931" hidden="1"/>
    <cellStyle name="Accent2 4" xfId="3053" hidden="1"/>
    <cellStyle name="Accent2 4" xfId="3175" hidden="1"/>
    <cellStyle name="Accent2 4" xfId="3648" hidden="1"/>
    <cellStyle name="Accent2 4" xfId="3921" hidden="1"/>
    <cellStyle name="Accent2 4" xfId="4103" hidden="1"/>
    <cellStyle name="Accent2 4" xfId="4285" hidden="1"/>
    <cellStyle name="Accent2 4" xfId="3527" hidden="1"/>
    <cellStyle name="Accent2 4" xfId="4618" hidden="1"/>
    <cellStyle name="Accent2 4" xfId="4778" hidden="1"/>
    <cellStyle name="Accent2 4" xfId="4931" hidden="1"/>
    <cellStyle name="Accent2 4" xfId="3769" hidden="1"/>
    <cellStyle name="Accent2 4" xfId="5035" hidden="1"/>
    <cellStyle name="Accent2 4" xfId="5189" hidden="1"/>
    <cellStyle name="Accent2 4" xfId="5340" hidden="1"/>
    <cellStyle name="Accent2 4" xfId="3500" hidden="1"/>
    <cellStyle name="Accent2 4" xfId="5444" hidden="1"/>
    <cellStyle name="Accent2 4" xfId="5587" hidden="1"/>
    <cellStyle name="Accent2 4" xfId="5724" hidden="1"/>
    <cellStyle name="Accent2 4" xfId="3388" hidden="1"/>
    <cellStyle name="Accent2 4" xfId="5813" hidden="1"/>
    <cellStyle name="Accent2 4" xfId="5945" hidden="1"/>
    <cellStyle name="Accent2 4" xfId="6075" hidden="1"/>
    <cellStyle name="Accent2 4" xfId="3427" hidden="1"/>
    <cellStyle name="Accent2 4" xfId="6159" hidden="1"/>
    <cellStyle name="Accent2 4" xfId="6281" hidden="1"/>
    <cellStyle name="Accent2 4" xfId="6403" hidden="1"/>
    <cellStyle name="Accent2 5" xfId="608" hidden="1"/>
    <cellStyle name="Accent2 5" xfId="923" hidden="1"/>
    <cellStyle name="Accent2 5" xfId="1107" hidden="1"/>
    <cellStyle name="Accent2 5" xfId="1289" hidden="1"/>
    <cellStyle name="Accent2 5" xfId="1698" hidden="1"/>
    <cellStyle name="Accent2 5" xfId="1913" hidden="1"/>
    <cellStyle name="Accent2 5" xfId="2096" hidden="1"/>
    <cellStyle name="Accent2 5" xfId="2278" hidden="1"/>
    <cellStyle name="Accent2 5" xfId="2455" hidden="1"/>
    <cellStyle name="Accent2 5" xfId="2616" hidden="1"/>
    <cellStyle name="Accent2 5" xfId="2748" hidden="1"/>
    <cellStyle name="Accent2 5" xfId="2878" hidden="1"/>
    <cellStyle name="Accent2 5" xfId="1369" hidden="1"/>
    <cellStyle name="Accent2 5" xfId="2962" hidden="1"/>
    <cellStyle name="Accent2 5" xfId="3084" hidden="1"/>
    <cellStyle name="Accent2 5" xfId="3206" hidden="1"/>
    <cellStyle name="Accent2 5" xfId="3679" hidden="1"/>
    <cellStyle name="Accent2 5" xfId="3952" hidden="1"/>
    <cellStyle name="Accent2 5" xfId="4134" hidden="1"/>
    <cellStyle name="Accent2 5" xfId="4316" hidden="1"/>
    <cellStyle name="Accent2 5" xfId="4409" hidden="1"/>
    <cellStyle name="Accent2 5" xfId="4649" hidden="1"/>
    <cellStyle name="Accent2 5" xfId="4809" hidden="1"/>
    <cellStyle name="Accent2 5" xfId="4962" hidden="1"/>
    <cellStyle name="Accent2 5" xfId="3832" hidden="1"/>
    <cellStyle name="Accent2 5" xfId="5066" hidden="1"/>
    <cellStyle name="Accent2 5" xfId="5220" hidden="1"/>
    <cellStyle name="Accent2 5" xfId="5371" hidden="1"/>
    <cellStyle name="Accent2 5" xfId="3270" hidden="1"/>
    <cellStyle name="Accent2 5" xfId="5475" hidden="1"/>
    <cellStyle name="Accent2 5" xfId="5618" hidden="1"/>
    <cellStyle name="Accent2 5" xfId="5755" hidden="1"/>
    <cellStyle name="Accent2 5" xfId="5099" hidden="1"/>
    <cellStyle name="Accent2 5" xfId="5844" hidden="1"/>
    <cellStyle name="Accent2 5" xfId="5976" hidden="1"/>
    <cellStyle name="Accent2 5" xfId="6106" hidden="1"/>
    <cellStyle name="Accent2 5" xfId="4687" hidden="1"/>
    <cellStyle name="Accent2 5" xfId="6190" hidden="1"/>
    <cellStyle name="Accent2 5" xfId="6312" hidden="1"/>
    <cellStyle name="Accent2 5" xfId="6434" hidden="1"/>
    <cellStyle name="Accent3" xfId="21" builtinId="37" customBuiltin="1"/>
    <cellStyle name="Accent3 2" xfId="515" hidden="1"/>
    <cellStyle name="Accent3 2" xfId="830" hidden="1"/>
    <cellStyle name="Accent3 2" xfId="1014" hidden="1"/>
    <cellStyle name="Accent3 2" xfId="1196" hidden="1"/>
    <cellStyle name="Accent3 2" xfId="1605" hidden="1"/>
    <cellStyle name="Accent3 2" xfId="1820" hidden="1"/>
    <cellStyle name="Accent3 2" xfId="2003" hidden="1"/>
    <cellStyle name="Accent3 2" xfId="2185" hidden="1"/>
    <cellStyle name="Accent3 2" xfId="2365" hidden="1"/>
    <cellStyle name="Accent3 2" xfId="2526" hidden="1"/>
    <cellStyle name="Accent3 2" xfId="2658" hidden="1"/>
    <cellStyle name="Accent3 2" xfId="2788" hidden="1"/>
    <cellStyle name="Accent3 2" xfId="1779" hidden="1"/>
    <cellStyle name="Accent3 2" xfId="1388" hidden="1"/>
    <cellStyle name="Accent3 2" xfId="2995" hidden="1"/>
    <cellStyle name="Accent3 2" xfId="3117" hidden="1"/>
    <cellStyle name="Accent3 2" xfId="3586" hidden="1"/>
    <cellStyle name="Accent3 2" xfId="3859" hidden="1"/>
    <cellStyle name="Accent3 2" xfId="4041" hidden="1"/>
    <cellStyle name="Accent3 2" xfId="4223" hidden="1"/>
    <cellStyle name="Accent3 2" xfId="3303" hidden="1"/>
    <cellStyle name="Accent3 2" xfId="4558" hidden="1"/>
    <cellStyle name="Accent3 2" xfId="4719" hidden="1"/>
    <cellStyle name="Accent3 2" xfId="4871" hidden="1"/>
    <cellStyle name="Accent3 2" xfId="3366" hidden="1"/>
    <cellStyle name="Accent3 2" xfId="3392" hidden="1"/>
    <cellStyle name="Accent3 2" xfId="5130" hidden="1"/>
    <cellStyle name="Accent3 2" xfId="5280" hidden="1"/>
    <cellStyle name="Accent3 2" xfId="3419" hidden="1"/>
    <cellStyle name="Accent3 2" xfId="3793" hidden="1"/>
    <cellStyle name="Accent3 2" xfId="5528" hidden="1"/>
    <cellStyle name="Accent3 2" xfId="5665" hidden="1"/>
    <cellStyle name="Accent3 2" xfId="5400" hidden="1"/>
    <cellStyle name="Accent3 2" xfId="3425" hidden="1"/>
    <cellStyle name="Accent3 2" xfId="5886" hidden="1"/>
    <cellStyle name="Accent3 2" xfId="6016" hidden="1"/>
    <cellStyle name="Accent3 2" xfId="5244" hidden="1"/>
    <cellStyle name="Accent3 2" xfId="4525" hidden="1"/>
    <cellStyle name="Accent3 2" xfId="6223" hidden="1"/>
    <cellStyle name="Accent3 2" xfId="6345" hidden="1"/>
    <cellStyle name="Accent3 3" xfId="546" hidden="1"/>
    <cellStyle name="Accent3 3" xfId="861" hidden="1"/>
    <cellStyle name="Accent3 3" xfId="1045" hidden="1"/>
    <cellStyle name="Accent3 3" xfId="1227" hidden="1"/>
    <cellStyle name="Accent3 3" xfId="1636" hidden="1"/>
    <cellStyle name="Accent3 3" xfId="1851" hidden="1"/>
    <cellStyle name="Accent3 3" xfId="2034" hidden="1"/>
    <cellStyle name="Accent3 3" xfId="2216" hidden="1"/>
    <cellStyle name="Accent3 3" xfId="2396" hidden="1"/>
    <cellStyle name="Accent3 3" xfId="2557" hidden="1"/>
    <cellStyle name="Accent3 3" xfId="2689" hidden="1"/>
    <cellStyle name="Accent3 3" xfId="2819" hidden="1"/>
    <cellStyle name="Accent3 3" xfId="2510" hidden="1"/>
    <cellStyle name="Accent3 3" xfId="2904" hidden="1"/>
    <cellStyle name="Accent3 3" xfId="3026" hidden="1"/>
    <cellStyle name="Accent3 3" xfId="3148" hidden="1"/>
    <cellStyle name="Accent3 3" xfId="3617" hidden="1"/>
    <cellStyle name="Accent3 3" xfId="3890" hidden="1"/>
    <cellStyle name="Accent3 3" xfId="4072" hidden="1"/>
    <cellStyle name="Accent3 3" xfId="4254" hidden="1"/>
    <cellStyle name="Accent3 3" xfId="3237" hidden="1"/>
    <cellStyle name="Accent3 3" xfId="4589" hidden="1"/>
    <cellStyle name="Accent3 3" xfId="4750" hidden="1"/>
    <cellStyle name="Accent3 3" xfId="4902" hidden="1"/>
    <cellStyle name="Accent3 3" xfId="3443" hidden="1"/>
    <cellStyle name="Accent3 3" xfId="3737" hidden="1"/>
    <cellStyle name="Accent3 3" xfId="5161" hidden="1"/>
    <cellStyle name="Accent3 3" xfId="5311" hidden="1"/>
    <cellStyle name="Accent3 3" xfId="3715" hidden="1"/>
    <cellStyle name="Accent3 3" xfId="5416" hidden="1"/>
    <cellStyle name="Accent3 3" xfId="5559" hidden="1"/>
    <cellStyle name="Accent3 3" xfId="5696" hidden="1"/>
    <cellStyle name="Accent3 3" xfId="5408" hidden="1"/>
    <cellStyle name="Accent3 3" xfId="4695" hidden="1"/>
    <cellStyle name="Accent3 3" xfId="5917" hidden="1"/>
    <cellStyle name="Accent3 3" xfId="6047" hidden="1"/>
    <cellStyle name="Accent3 3" xfId="4505" hidden="1"/>
    <cellStyle name="Accent3 3" xfId="6132" hidden="1"/>
    <cellStyle name="Accent3 3" xfId="6254" hidden="1"/>
    <cellStyle name="Accent3 3" xfId="6376" hidden="1"/>
    <cellStyle name="Accent3 4" xfId="581" hidden="1"/>
    <cellStyle name="Accent3 4" xfId="896" hidden="1"/>
    <cellStyle name="Accent3 4" xfId="1080" hidden="1"/>
    <cellStyle name="Accent3 4" xfId="1262" hidden="1"/>
    <cellStyle name="Accent3 4" xfId="1671" hidden="1"/>
    <cellStyle name="Accent3 4" xfId="1886" hidden="1"/>
    <cellStyle name="Accent3 4" xfId="2069" hidden="1"/>
    <cellStyle name="Accent3 4" xfId="2251" hidden="1"/>
    <cellStyle name="Accent3 4" xfId="2428" hidden="1"/>
    <cellStyle name="Accent3 4" xfId="2589" hidden="1"/>
    <cellStyle name="Accent3 4" xfId="2721" hidden="1"/>
    <cellStyle name="Accent3 4" xfId="2851" hidden="1"/>
    <cellStyle name="Accent3 4" xfId="1390" hidden="1"/>
    <cellStyle name="Accent3 4" xfId="2935" hidden="1"/>
    <cellStyle name="Accent3 4" xfId="3057" hidden="1"/>
    <cellStyle name="Accent3 4" xfId="3179" hidden="1"/>
    <cellStyle name="Accent3 4" xfId="3652" hidden="1"/>
    <cellStyle name="Accent3 4" xfId="3925" hidden="1"/>
    <cellStyle name="Accent3 4" xfId="4107" hidden="1"/>
    <cellStyle name="Accent3 4" xfId="4289" hidden="1"/>
    <cellStyle name="Accent3 4" xfId="4382" hidden="1"/>
    <cellStyle name="Accent3 4" xfId="4622" hidden="1"/>
    <cellStyle name="Accent3 4" xfId="4782" hidden="1"/>
    <cellStyle name="Accent3 4" xfId="4935" hidden="1"/>
    <cellStyle name="Accent3 4" xfId="3481" hidden="1"/>
    <cellStyle name="Accent3 4" xfId="5039" hidden="1"/>
    <cellStyle name="Accent3 4" xfId="5193" hidden="1"/>
    <cellStyle name="Accent3 4" xfId="5344" hidden="1"/>
    <cellStyle name="Accent3 4" xfId="4836" hidden="1"/>
    <cellStyle name="Accent3 4" xfId="5448" hidden="1"/>
    <cellStyle name="Accent3 4" xfId="5591" hidden="1"/>
    <cellStyle name="Accent3 4" xfId="5728" hidden="1"/>
    <cellStyle name="Accent3 4" xfId="3360" hidden="1"/>
    <cellStyle name="Accent3 4" xfId="5817" hidden="1"/>
    <cellStyle name="Accent3 4" xfId="5949" hidden="1"/>
    <cellStyle name="Accent3 4" xfId="6079" hidden="1"/>
    <cellStyle name="Accent3 4" xfId="5642" hidden="1"/>
    <cellStyle name="Accent3 4" xfId="6163" hidden="1"/>
    <cellStyle name="Accent3 4" xfId="6285" hidden="1"/>
    <cellStyle name="Accent3 4" xfId="6407" hidden="1"/>
    <cellStyle name="Accent3 5" xfId="612" hidden="1"/>
    <cellStyle name="Accent3 5" xfId="927" hidden="1"/>
    <cellStyle name="Accent3 5" xfId="1111" hidden="1"/>
    <cellStyle name="Accent3 5" xfId="1293" hidden="1"/>
    <cellStyle name="Accent3 5" xfId="1702" hidden="1"/>
    <cellStyle name="Accent3 5" xfId="1917" hidden="1"/>
    <cellStyle name="Accent3 5" xfId="2100" hidden="1"/>
    <cellStyle name="Accent3 5" xfId="2282" hidden="1"/>
    <cellStyle name="Accent3 5" xfId="2459" hidden="1"/>
    <cellStyle name="Accent3 5" xfId="2620" hidden="1"/>
    <cellStyle name="Accent3 5" xfId="2752" hidden="1"/>
    <cellStyle name="Accent3 5" xfId="2882" hidden="1"/>
    <cellStyle name="Accent3 5" xfId="1397" hidden="1"/>
    <cellStyle name="Accent3 5" xfId="2966" hidden="1"/>
    <cellStyle name="Accent3 5" xfId="3088" hidden="1"/>
    <cellStyle name="Accent3 5" xfId="3210" hidden="1"/>
    <cellStyle name="Accent3 5" xfId="3683" hidden="1"/>
    <cellStyle name="Accent3 5" xfId="3956" hidden="1"/>
    <cellStyle name="Accent3 5" xfId="4138" hidden="1"/>
    <cellStyle name="Accent3 5" xfId="4320" hidden="1"/>
    <cellStyle name="Accent3 5" xfId="4413" hidden="1"/>
    <cellStyle name="Accent3 5" xfId="4653" hidden="1"/>
    <cellStyle name="Accent3 5" xfId="4813" hidden="1"/>
    <cellStyle name="Accent3 5" xfId="4966" hidden="1"/>
    <cellStyle name="Accent3 5" xfId="3451" hidden="1"/>
    <cellStyle name="Accent3 5" xfId="5070" hidden="1"/>
    <cellStyle name="Accent3 5" xfId="5224" hidden="1"/>
    <cellStyle name="Accent3 5" xfId="5375" hidden="1"/>
    <cellStyle name="Accent3 5" xfId="4529" hidden="1"/>
    <cellStyle name="Accent3 5" xfId="5479" hidden="1"/>
    <cellStyle name="Accent3 5" xfId="5622" hidden="1"/>
    <cellStyle name="Accent3 5" xfId="5759" hidden="1"/>
    <cellStyle name="Accent3 5" xfId="4696" hidden="1"/>
    <cellStyle name="Accent3 5" xfId="5848" hidden="1"/>
    <cellStyle name="Accent3 5" xfId="5980" hidden="1"/>
    <cellStyle name="Accent3 5" xfId="6110" hidden="1"/>
    <cellStyle name="Accent3 5" xfId="4498" hidden="1"/>
    <cellStyle name="Accent3 5" xfId="6194" hidden="1"/>
    <cellStyle name="Accent3 5" xfId="6316" hidden="1"/>
    <cellStyle name="Accent3 5" xfId="6438" hidden="1"/>
    <cellStyle name="Accent4" xfId="22" builtinId="41" customBuiltin="1"/>
    <cellStyle name="Accent4 2" xfId="519" hidden="1"/>
    <cellStyle name="Accent4 2" xfId="834" hidden="1"/>
    <cellStyle name="Accent4 2" xfId="1018" hidden="1"/>
    <cellStyle name="Accent4 2" xfId="1200" hidden="1"/>
    <cellStyle name="Accent4 2" xfId="1609" hidden="1"/>
    <cellStyle name="Accent4 2" xfId="1824" hidden="1"/>
    <cellStyle name="Accent4 2" xfId="2007" hidden="1"/>
    <cellStyle name="Accent4 2" xfId="2189" hidden="1"/>
    <cellStyle name="Accent4 2" xfId="2369" hidden="1"/>
    <cellStyle name="Accent4 2" xfId="2530" hidden="1"/>
    <cellStyle name="Accent4 2" xfId="2662" hidden="1"/>
    <cellStyle name="Accent4 2" xfId="2792" hidden="1"/>
    <cellStyle name="Accent4 2" xfId="1783" hidden="1"/>
    <cellStyle name="Accent4 2" xfId="2482" hidden="1"/>
    <cellStyle name="Accent4 2" xfId="2999" hidden="1"/>
    <cellStyle name="Accent4 2" xfId="3121" hidden="1"/>
    <cellStyle name="Accent4 2" xfId="3590" hidden="1"/>
    <cellStyle name="Accent4 2" xfId="3863" hidden="1"/>
    <cellStyle name="Accent4 2" xfId="4045" hidden="1"/>
    <cellStyle name="Accent4 2" xfId="4227" hidden="1"/>
    <cellStyle name="Accent4 2" xfId="3754" hidden="1"/>
    <cellStyle name="Accent4 2" xfId="4562" hidden="1"/>
    <cellStyle name="Accent4 2" xfId="4723" hidden="1"/>
    <cellStyle name="Accent4 2" xfId="4875" hidden="1"/>
    <cellStyle name="Accent4 2" xfId="3490" hidden="1"/>
    <cellStyle name="Accent4 2" xfId="3301" hidden="1"/>
    <cellStyle name="Accent4 2" xfId="5134" hidden="1"/>
    <cellStyle name="Accent4 2" xfId="5284" hidden="1"/>
    <cellStyle name="Accent4 2" xfId="5005" hidden="1"/>
    <cellStyle name="Accent4 2" xfId="3455" hidden="1"/>
    <cellStyle name="Accent4 2" xfId="5532" hidden="1"/>
    <cellStyle name="Accent4 2" xfId="5669" hidden="1"/>
    <cellStyle name="Accent4 2" xfId="4855" hidden="1"/>
    <cellStyle name="Accent4 2" xfId="4677" hidden="1"/>
    <cellStyle name="Accent4 2" xfId="5890" hidden="1"/>
    <cellStyle name="Accent4 2" xfId="6020" hidden="1"/>
    <cellStyle name="Accent4 2" xfId="5785" hidden="1"/>
    <cellStyle name="Accent4 2" xfId="4682" hidden="1"/>
    <cellStyle name="Accent4 2" xfId="6227" hidden="1"/>
    <cellStyle name="Accent4 2" xfId="6349" hidden="1"/>
    <cellStyle name="Accent4 3" xfId="550" hidden="1"/>
    <cellStyle name="Accent4 3" xfId="865" hidden="1"/>
    <cellStyle name="Accent4 3" xfId="1049" hidden="1"/>
    <cellStyle name="Accent4 3" xfId="1231" hidden="1"/>
    <cellStyle name="Accent4 3" xfId="1640" hidden="1"/>
    <cellStyle name="Accent4 3" xfId="1855" hidden="1"/>
    <cellStyle name="Accent4 3" xfId="2038" hidden="1"/>
    <cellStyle name="Accent4 3" xfId="2220" hidden="1"/>
    <cellStyle name="Accent4 3" xfId="2400" hidden="1"/>
    <cellStyle name="Accent4 3" xfId="2561" hidden="1"/>
    <cellStyle name="Accent4 3" xfId="2693" hidden="1"/>
    <cellStyle name="Accent4 3" xfId="2823" hidden="1"/>
    <cellStyle name="Accent4 3" xfId="2900" hidden="1"/>
    <cellStyle name="Accent4 3" xfId="2908" hidden="1"/>
    <cellStyle name="Accent4 3" xfId="3030" hidden="1"/>
    <cellStyle name="Accent4 3" xfId="3152" hidden="1"/>
    <cellStyle name="Accent4 3" xfId="3621" hidden="1"/>
    <cellStyle name="Accent4 3" xfId="3894" hidden="1"/>
    <cellStyle name="Accent4 3" xfId="4076" hidden="1"/>
    <cellStyle name="Accent4 3" xfId="4258" hidden="1"/>
    <cellStyle name="Accent4 3" xfId="3233" hidden="1"/>
    <cellStyle name="Accent4 3" xfId="4593" hidden="1"/>
    <cellStyle name="Accent4 3" xfId="4754" hidden="1"/>
    <cellStyle name="Accent4 3" xfId="4906" hidden="1"/>
    <cellStyle name="Accent4 3" xfId="4541" hidden="1"/>
    <cellStyle name="Accent4 3" xfId="3296" hidden="1"/>
    <cellStyle name="Accent4 3" xfId="5165" hidden="1"/>
    <cellStyle name="Accent4 3" xfId="5315" hidden="1"/>
    <cellStyle name="Accent4 3" xfId="5398" hidden="1"/>
    <cellStyle name="Accent4 3" xfId="5420" hidden="1"/>
    <cellStyle name="Accent4 3" xfId="5563" hidden="1"/>
    <cellStyle name="Accent4 3" xfId="5700" hidden="1"/>
    <cellStyle name="Accent4 3" xfId="3380" hidden="1"/>
    <cellStyle name="Accent4 3" xfId="4443" hidden="1"/>
    <cellStyle name="Accent4 3" xfId="5921" hidden="1"/>
    <cellStyle name="Accent4 3" xfId="6051" hidden="1"/>
    <cellStyle name="Accent4 3" xfId="6128" hidden="1"/>
    <cellStyle name="Accent4 3" xfId="6136" hidden="1"/>
    <cellStyle name="Accent4 3" xfId="6258" hidden="1"/>
    <cellStyle name="Accent4 3" xfId="6380" hidden="1"/>
    <cellStyle name="Accent4 4" xfId="585" hidden="1"/>
    <cellStyle name="Accent4 4" xfId="900" hidden="1"/>
    <cellStyle name="Accent4 4" xfId="1084" hidden="1"/>
    <cellStyle name="Accent4 4" xfId="1266" hidden="1"/>
    <cellStyle name="Accent4 4" xfId="1675" hidden="1"/>
    <cellStyle name="Accent4 4" xfId="1890" hidden="1"/>
    <cellStyle name="Accent4 4" xfId="2073" hidden="1"/>
    <cellStyle name="Accent4 4" xfId="2255" hidden="1"/>
    <cellStyle name="Accent4 4" xfId="2432" hidden="1"/>
    <cellStyle name="Accent4 4" xfId="2593" hidden="1"/>
    <cellStyle name="Accent4 4" xfId="2725" hidden="1"/>
    <cellStyle name="Accent4 4" xfId="2855" hidden="1"/>
    <cellStyle name="Accent4 4" xfId="1396" hidden="1"/>
    <cellStyle name="Accent4 4" xfId="2939" hidden="1"/>
    <cellStyle name="Accent4 4" xfId="3061" hidden="1"/>
    <cellStyle name="Accent4 4" xfId="3183" hidden="1"/>
    <cellStyle name="Accent4 4" xfId="3656" hidden="1"/>
    <cellStyle name="Accent4 4" xfId="3929" hidden="1"/>
    <cellStyle name="Accent4 4" xfId="4111" hidden="1"/>
    <cellStyle name="Accent4 4" xfId="4293" hidden="1"/>
    <cellStyle name="Accent4 4" xfId="4386" hidden="1"/>
    <cellStyle name="Accent4 4" xfId="4626" hidden="1"/>
    <cellStyle name="Accent4 4" xfId="4786" hidden="1"/>
    <cellStyle name="Accent4 4" xfId="4939" hidden="1"/>
    <cellStyle name="Accent4 4" xfId="3407" hidden="1"/>
    <cellStyle name="Accent4 4" xfId="5043" hidden="1"/>
    <cellStyle name="Accent4 4" xfId="5197" hidden="1"/>
    <cellStyle name="Accent4 4" xfId="5348" hidden="1"/>
    <cellStyle name="Accent4 4" xfId="5008" hidden="1"/>
    <cellStyle name="Accent4 4" xfId="5452" hidden="1"/>
    <cellStyle name="Accent4 4" xfId="5595" hidden="1"/>
    <cellStyle name="Accent4 4" xfId="5732" hidden="1"/>
    <cellStyle name="Accent4 4" xfId="5251" hidden="1"/>
    <cellStyle name="Accent4 4" xfId="5821" hidden="1"/>
    <cellStyle name="Accent4 4" xfId="5953" hidden="1"/>
    <cellStyle name="Accent4 4" xfId="6083" hidden="1"/>
    <cellStyle name="Accent4 4" xfId="5788" hidden="1"/>
    <cellStyle name="Accent4 4" xfId="6167" hidden="1"/>
    <cellStyle name="Accent4 4" xfId="6289" hidden="1"/>
    <cellStyle name="Accent4 4" xfId="6411" hidden="1"/>
    <cellStyle name="Accent4 5" xfId="616" hidden="1"/>
    <cellStyle name="Accent4 5" xfId="931" hidden="1"/>
    <cellStyle name="Accent4 5" xfId="1115" hidden="1"/>
    <cellStyle name="Accent4 5" xfId="1297" hidden="1"/>
    <cellStyle name="Accent4 5" xfId="1706" hidden="1"/>
    <cellStyle name="Accent4 5" xfId="1921" hidden="1"/>
    <cellStyle name="Accent4 5" xfId="2104" hidden="1"/>
    <cellStyle name="Accent4 5" xfId="2286" hidden="1"/>
    <cellStyle name="Accent4 5" xfId="2463" hidden="1"/>
    <cellStyle name="Accent4 5" xfId="2624" hidden="1"/>
    <cellStyle name="Accent4 5" xfId="2756" hidden="1"/>
    <cellStyle name="Accent4 5" xfId="2886" hidden="1"/>
    <cellStyle name="Accent4 5" xfId="1734" hidden="1"/>
    <cellStyle name="Accent4 5" xfId="2970" hidden="1"/>
    <cellStyle name="Accent4 5" xfId="3092" hidden="1"/>
    <cellStyle name="Accent4 5" xfId="3214" hidden="1"/>
    <cellStyle name="Accent4 5" xfId="3687" hidden="1"/>
    <cellStyle name="Accent4 5" xfId="3960" hidden="1"/>
    <cellStyle name="Accent4 5" xfId="4142" hidden="1"/>
    <cellStyle name="Accent4 5" xfId="4324" hidden="1"/>
    <cellStyle name="Accent4 5" xfId="4417" hidden="1"/>
    <cellStyle name="Accent4 5" xfId="4657" hidden="1"/>
    <cellStyle name="Accent4 5" xfId="4817" hidden="1"/>
    <cellStyle name="Accent4 5" xfId="4970" hidden="1"/>
    <cellStyle name="Accent4 5" xfId="3771" hidden="1"/>
    <cellStyle name="Accent4 5" xfId="5074" hidden="1"/>
    <cellStyle name="Accent4 5" xfId="5228" hidden="1"/>
    <cellStyle name="Accent4 5" xfId="5379" hidden="1"/>
    <cellStyle name="Accent4 5" xfId="3792" hidden="1"/>
    <cellStyle name="Accent4 5" xfId="5483" hidden="1"/>
    <cellStyle name="Accent4 5" xfId="5626" hidden="1"/>
    <cellStyle name="Accent4 5" xfId="5763" hidden="1"/>
    <cellStyle name="Accent4 5" xfId="3489" hidden="1"/>
    <cellStyle name="Accent4 5" xfId="5852" hidden="1"/>
    <cellStyle name="Accent4 5" xfId="5984" hidden="1"/>
    <cellStyle name="Accent4 5" xfId="6114" hidden="1"/>
    <cellStyle name="Accent4 5" xfId="3710" hidden="1"/>
    <cellStyle name="Accent4 5" xfId="6198" hidden="1"/>
    <cellStyle name="Accent4 5" xfId="6320" hidden="1"/>
    <cellStyle name="Accent4 5" xfId="6442" hidden="1"/>
    <cellStyle name="Accent5" xfId="23" builtinId="45" customBuiltin="1"/>
    <cellStyle name="Accent5 2" xfId="523" hidden="1"/>
    <cellStyle name="Accent5 2" xfId="838" hidden="1"/>
    <cellStyle name="Accent5 2" xfId="1022" hidden="1"/>
    <cellStyle name="Accent5 2" xfId="1204" hidden="1"/>
    <cellStyle name="Accent5 2" xfId="1613" hidden="1"/>
    <cellStyle name="Accent5 2" xfId="1828" hidden="1"/>
    <cellStyle name="Accent5 2" xfId="2011" hidden="1"/>
    <cellStyle name="Accent5 2" xfId="2193" hidden="1"/>
    <cellStyle name="Accent5 2" xfId="2373" hidden="1"/>
    <cellStyle name="Accent5 2" xfId="2534" hidden="1"/>
    <cellStyle name="Accent5 2" xfId="2666" hidden="1"/>
    <cellStyle name="Accent5 2" xfId="2796" hidden="1"/>
    <cellStyle name="Accent5 2" xfId="1356" hidden="1"/>
    <cellStyle name="Accent5 2" xfId="2505" hidden="1"/>
    <cellStyle name="Accent5 2" xfId="3003" hidden="1"/>
    <cellStyle name="Accent5 2" xfId="3125" hidden="1"/>
    <cellStyle name="Accent5 2" xfId="3594" hidden="1"/>
    <cellStyle name="Accent5 2" xfId="3867" hidden="1"/>
    <cellStyle name="Accent5 2" xfId="4049" hidden="1"/>
    <cellStyle name="Accent5 2" xfId="4231" hidden="1"/>
    <cellStyle name="Accent5 2" xfId="3533" hidden="1"/>
    <cellStyle name="Accent5 2" xfId="4566" hidden="1"/>
    <cellStyle name="Accent5 2" xfId="4727" hidden="1"/>
    <cellStyle name="Accent5 2" xfId="4879" hidden="1"/>
    <cellStyle name="Accent5 2" xfId="3498" hidden="1"/>
    <cellStyle name="Accent5 2" xfId="3727" hidden="1"/>
    <cellStyle name="Accent5 2" xfId="5138" hidden="1"/>
    <cellStyle name="Accent5 2" xfId="5288" hidden="1"/>
    <cellStyle name="Accent5 2" xfId="3505" hidden="1"/>
    <cellStyle name="Accent5 2" xfId="5007" hidden="1"/>
    <cellStyle name="Accent5 2" xfId="5536" hidden="1"/>
    <cellStyle name="Accent5 2" xfId="5673" hidden="1"/>
    <cellStyle name="Accent5 2" xfId="3390" hidden="1"/>
    <cellStyle name="Accent5 2" xfId="3466" hidden="1"/>
    <cellStyle name="Accent5 2" xfId="5894" hidden="1"/>
    <cellStyle name="Accent5 2" xfId="6024" hidden="1"/>
    <cellStyle name="Accent5 2" xfId="3259" hidden="1"/>
    <cellStyle name="Accent5 2" xfId="5787" hidden="1"/>
    <cellStyle name="Accent5 2" xfId="6231" hidden="1"/>
    <cellStyle name="Accent5 2" xfId="6353" hidden="1"/>
    <cellStyle name="Accent5 3" xfId="554" hidden="1"/>
    <cellStyle name="Accent5 3" xfId="869" hidden="1"/>
    <cellStyle name="Accent5 3" xfId="1053" hidden="1"/>
    <cellStyle name="Accent5 3" xfId="1235" hidden="1"/>
    <cellStyle name="Accent5 3" xfId="1644" hidden="1"/>
    <cellStyle name="Accent5 3" xfId="1859" hidden="1"/>
    <cellStyle name="Accent5 3" xfId="2042" hidden="1"/>
    <cellStyle name="Accent5 3" xfId="2224" hidden="1"/>
    <cellStyle name="Accent5 3" xfId="2404" hidden="1"/>
    <cellStyle name="Accent5 3" xfId="2565" hidden="1"/>
    <cellStyle name="Accent5 3" xfId="2697" hidden="1"/>
    <cellStyle name="Accent5 3" xfId="2827" hidden="1"/>
    <cellStyle name="Accent5 3" xfId="2475" hidden="1"/>
    <cellStyle name="Accent5 3" xfId="2912" hidden="1"/>
    <cellStyle name="Accent5 3" xfId="3034" hidden="1"/>
    <cellStyle name="Accent5 3" xfId="3156" hidden="1"/>
    <cellStyle name="Accent5 3" xfId="3625" hidden="1"/>
    <cellStyle name="Accent5 3" xfId="3898" hidden="1"/>
    <cellStyle name="Accent5 3" xfId="4080" hidden="1"/>
    <cellStyle name="Accent5 3" xfId="4262" hidden="1"/>
    <cellStyle name="Accent5 3" xfId="3276" hidden="1"/>
    <cellStyle name="Accent5 3" xfId="4597" hidden="1"/>
    <cellStyle name="Accent5 3" xfId="4758" hidden="1"/>
    <cellStyle name="Accent5 3" xfId="4910" hidden="1"/>
    <cellStyle name="Accent5 3" xfId="4989" hidden="1"/>
    <cellStyle name="Accent5 3" xfId="5015" hidden="1"/>
    <cellStyle name="Accent5 3" xfId="5169" hidden="1"/>
    <cellStyle name="Accent5 3" xfId="5319" hidden="1"/>
    <cellStyle name="Accent5 3" xfId="4464" hidden="1"/>
    <cellStyle name="Accent5 3" xfId="5424" hidden="1"/>
    <cellStyle name="Accent5 3" xfId="5567" hidden="1"/>
    <cellStyle name="Accent5 3" xfId="5704" hidden="1"/>
    <cellStyle name="Accent5 3" xfId="5779" hidden="1"/>
    <cellStyle name="Accent5 3" xfId="5793" hidden="1"/>
    <cellStyle name="Accent5 3" xfId="5925" hidden="1"/>
    <cellStyle name="Accent5 3" xfId="6055" hidden="1"/>
    <cellStyle name="Accent5 3" xfId="4493" hidden="1"/>
    <cellStyle name="Accent5 3" xfId="6140" hidden="1"/>
    <cellStyle name="Accent5 3" xfId="6262" hidden="1"/>
    <cellStyle name="Accent5 3" xfId="6384" hidden="1"/>
    <cellStyle name="Accent5 4" xfId="589" hidden="1"/>
    <cellStyle name="Accent5 4" xfId="904" hidden="1"/>
    <cellStyle name="Accent5 4" xfId="1088" hidden="1"/>
    <cellStyle name="Accent5 4" xfId="1270" hidden="1"/>
    <cellStyle name="Accent5 4" xfId="1679" hidden="1"/>
    <cellStyle name="Accent5 4" xfId="1894" hidden="1"/>
    <cellStyle name="Accent5 4" xfId="2077" hidden="1"/>
    <cellStyle name="Accent5 4" xfId="2259" hidden="1"/>
    <cellStyle name="Accent5 4" xfId="2436" hidden="1"/>
    <cellStyle name="Accent5 4" xfId="2597" hidden="1"/>
    <cellStyle name="Accent5 4" xfId="2729" hidden="1"/>
    <cellStyle name="Accent5 4" xfId="2859" hidden="1"/>
    <cellStyle name="Accent5 4" xfId="1404" hidden="1"/>
    <cellStyle name="Accent5 4" xfId="2943" hidden="1"/>
    <cellStyle name="Accent5 4" xfId="3065" hidden="1"/>
    <cellStyle name="Accent5 4" xfId="3187" hidden="1"/>
    <cellStyle name="Accent5 4" xfId="3660" hidden="1"/>
    <cellStyle name="Accent5 4" xfId="3933" hidden="1"/>
    <cellStyle name="Accent5 4" xfId="4115" hidden="1"/>
    <cellStyle name="Accent5 4" xfId="4297" hidden="1"/>
    <cellStyle name="Accent5 4" xfId="4390" hidden="1"/>
    <cellStyle name="Accent5 4" xfId="4630" hidden="1"/>
    <cellStyle name="Accent5 4" xfId="4790" hidden="1"/>
    <cellStyle name="Accent5 4" xfId="4943" hidden="1"/>
    <cellStyle name="Accent5 4" xfId="3369" hidden="1"/>
    <cellStyle name="Accent5 4" xfId="5047" hidden="1"/>
    <cellStyle name="Accent5 4" xfId="5201" hidden="1"/>
    <cellStyle name="Accent5 4" xfId="5352" hidden="1"/>
    <cellStyle name="Accent5 4" xfId="4494" hidden="1"/>
    <cellStyle name="Accent5 4" xfId="5456" hidden="1"/>
    <cellStyle name="Accent5 4" xfId="5599" hidden="1"/>
    <cellStyle name="Accent5 4" xfId="5736" hidden="1"/>
    <cellStyle name="Accent5 4" xfId="5410" hidden="1"/>
    <cellStyle name="Accent5 4" xfId="5825" hidden="1"/>
    <cellStyle name="Accent5 4" xfId="5957" hidden="1"/>
    <cellStyle name="Accent5 4" xfId="6087" hidden="1"/>
    <cellStyle name="Accent5 4" xfId="3293" hidden="1"/>
    <cellStyle name="Accent5 4" xfId="6171" hidden="1"/>
    <cellStyle name="Accent5 4" xfId="6293" hidden="1"/>
    <cellStyle name="Accent5 4" xfId="6415" hidden="1"/>
    <cellStyle name="Accent5 5" xfId="620" hidden="1"/>
    <cellStyle name="Accent5 5" xfId="935" hidden="1"/>
    <cellStyle name="Accent5 5" xfId="1119" hidden="1"/>
    <cellStyle name="Accent5 5" xfId="1301" hidden="1"/>
    <cellStyle name="Accent5 5" xfId="1710" hidden="1"/>
    <cellStyle name="Accent5 5" xfId="1925" hidden="1"/>
    <cellStyle name="Accent5 5" xfId="2108" hidden="1"/>
    <cellStyle name="Accent5 5" xfId="2290" hidden="1"/>
    <cellStyle name="Accent5 5" xfId="2467" hidden="1"/>
    <cellStyle name="Accent5 5" xfId="2628" hidden="1"/>
    <cellStyle name="Accent5 5" xfId="2760" hidden="1"/>
    <cellStyle name="Accent5 5" xfId="2890" hidden="1"/>
    <cellStyle name="Accent5 5" xfId="1430" hidden="1"/>
    <cellStyle name="Accent5 5" xfId="2974" hidden="1"/>
    <cellStyle name="Accent5 5" xfId="3096" hidden="1"/>
    <cellStyle name="Accent5 5" xfId="3218" hidden="1"/>
    <cellStyle name="Accent5 5" xfId="3691" hidden="1"/>
    <cellStyle name="Accent5 5" xfId="3964" hidden="1"/>
    <cellStyle name="Accent5 5" xfId="4146" hidden="1"/>
    <cellStyle name="Accent5 5" xfId="4328" hidden="1"/>
    <cellStyle name="Accent5 5" xfId="4421" hidden="1"/>
    <cellStyle name="Accent5 5" xfId="4661" hidden="1"/>
    <cellStyle name="Accent5 5" xfId="4821" hidden="1"/>
    <cellStyle name="Accent5 5" xfId="4974" hidden="1"/>
    <cellStyle name="Accent5 5" xfId="3537" hidden="1"/>
    <cellStyle name="Accent5 5" xfId="5078" hidden="1"/>
    <cellStyle name="Accent5 5" xfId="5232" hidden="1"/>
    <cellStyle name="Accent5 5" xfId="5383" hidden="1"/>
    <cellStyle name="Accent5 5" xfId="4988" hidden="1"/>
    <cellStyle name="Accent5 5" xfId="5487" hidden="1"/>
    <cellStyle name="Accent5 5" xfId="5630" hidden="1"/>
    <cellStyle name="Accent5 5" xfId="5767" hidden="1"/>
    <cellStyle name="Accent5 5" xfId="3358" hidden="1"/>
    <cellStyle name="Accent5 5" xfId="5856" hidden="1"/>
    <cellStyle name="Accent5 5" xfId="5988" hidden="1"/>
    <cellStyle name="Accent5 5" xfId="6118" hidden="1"/>
    <cellStyle name="Accent5 5" xfId="5778" hidden="1"/>
    <cellStyle name="Accent5 5" xfId="6202" hidden="1"/>
    <cellStyle name="Accent5 5" xfId="6324" hidden="1"/>
    <cellStyle name="Accent5 5" xfId="6446" hidden="1"/>
    <cellStyle name="Accent6" xfId="24" builtinId="49" customBuiltin="1"/>
    <cellStyle name="Accent6 2" xfId="527" hidden="1"/>
    <cellStyle name="Accent6 2" xfId="842" hidden="1"/>
    <cellStyle name="Accent6 2" xfId="1026" hidden="1"/>
    <cellStyle name="Accent6 2" xfId="1208" hidden="1"/>
    <cellStyle name="Accent6 2" xfId="1617" hidden="1"/>
    <cellStyle name="Accent6 2" xfId="1832" hidden="1"/>
    <cellStyle name="Accent6 2" xfId="2015" hidden="1"/>
    <cellStyle name="Accent6 2" xfId="2197" hidden="1"/>
    <cellStyle name="Accent6 2" xfId="2377" hidden="1"/>
    <cellStyle name="Accent6 2" xfId="2538" hidden="1"/>
    <cellStyle name="Accent6 2" xfId="2670" hidden="1"/>
    <cellStyle name="Accent6 2" xfId="2800" hidden="1"/>
    <cellStyle name="Accent6 2" xfId="2641" hidden="1"/>
    <cellStyle name="Accent6 2" xfId="1731" hidden="1"/>
    <cellStyle name="Accent6 2" xfId="3007" hidden="1"/>
    <cellStyle name="Accent6 2" xfId="3129" hidden="1"/>
    <cellStyle name="Accent6 2" xfId="3598" hidden="1"/>
    <cellStyle name="Accent6 2" xfId="3871" hidden="1"/>
    <cellStyle name="Accent6 2" xfId="4053" hidden="1"/>
    <cellStyle name="Accent6 2" xfId="4235" hidden="1"/>
    <cellStyle name="Accent6 2" xfId="3324" hidden="1"/>
    <cellStyle name="Accent6 2" xfId="4570" hidden="1"/>
    <cellStyle name="Accent6 2" xfId="4731" hidden="1"/>
    <cellStyle name="Accent6 2" xfId="4883" hidden="1"/>
    <cellStyle name="Accent6 2" xfId="3351" hidden="1"/>
    <cellStyle name="Accent6 2" xfId="4441" hidden="1"/>
    <cellStyle name="Accent6 2" xfId="5142" hidden="1"/>
    <cellStyle name="Accent6 2" xfId="5292" hidden="1"/>
    <cellStyle name="Accent6 2" xfId="5111" hidden="1"/>
    <cellStyle name="Accent6 2" xfId="5010" hidden="1"/>
    <cellStyle name="Accent6 2" xfId="5540" hidden="1"/>
    <cellStyle name="Accent6 2" xfId="5677" hidden="1"/>
    <cellStyle name="Accent6 2" xfId="4542" hidden="1"/>
    <cellStyle name="Accent6 2" xfId="3760" hidden="1"/>
    <cellStyle name="Accent6 2" xfId="5898" hidden="1"/>
    <cellStyle name="Accent6 2" xfId="6028" hidden="1"/>
    <cellStyle name="Accent6 2" xfId="5869" hidden="1"/>
    <cellStyle name="Accent6 2" xfId="5789" hidden="1"/>
    <cellStyle name="Accent6 2" xfId="6235" hidden="1"/>
    <cellStyle name="Accent6 2" xfId="6357" hidden="1"/>
    <cellStyle name="Accent6 3" xfId="558" hidden="1"/>
    <cellStyle name="Accent6 3" xfId="873" hidden="1"/>
    <cellStyle name="Accent6 3" xfId="1057" hidden="1"/>
    <cellStyle name="Accent6 3" xfId="1239" hidden="1"/>
    <cellStyle name="Accent6 3" xfId="1648" hidden="1"/>
    <cellStyle name="Accent6 3" xfId="1863" hidden="1"/>
    <cellStyle name="Accent6 3" xfId="2046" hidden="1"/>
    <cellStyle name="Accent6 3" xfId="2228" hidden="1"/>
    <cellStyle name="Accent6 3" xfId="2408" hidden="1"/>
    <cellStyle name="Accent6 3" xfId="2569" hidden="1"/>
    <cellStyle name="Accent6 3" xfId="2701" hidden="1"/>
    <cellStyle name="Accent6 3" xfId="2831" hidden="1"/>
    <cellStyle name="Accent6 3" xfId="2501" hidden="1"/>
    <cellStyle name="Accent6 3" xfId="2916" hidden="1"/>
    <cellStyle name="Accent6 3" xfId="3038" hidden="1"/>
    <cellStyle name="Accent6 3" xfId="3160" hidden="1"/>
    <cellStyle name="Accent6 3" xfId="3629" hidden="1"/>
    <cellStyle name="Accent6 3" xfId="3902" hidden="1"/>
    <cellStyle name="Accent6 3" xfId="4084" hidden="1"/>
    <cellStyle name="Accent6 3" xfId="4266" hidden="1"/>
    <cellStyle name="Accent6 3" xfId="3752" hidden="1"/>
    <cellStyle name="Accent6 3" xfId="4601" hidden="1"/>
    <cellStyle name="Accent6 3" xfId="4762" hidden="1"/>
    <cellStyle name="Accent6 3" xfId="4914" hidden="1"/>
    <cellStyle name="Accent6 3" xfId="4430" hidden="1"/>
    <cellStyle name="Accent6 3" xfId="5019" hidden="1"/>
    <cellStyle name="Accent6 3" xfId="5173" hidden="1"/>
    <cellStyle name="Accent6 3" xfId="5323" hidden="1"/>
    <cellStyle name="Accent6 3" xfId="3333" hidden="1"/>
    <cellStyle name="Accent6 3" xfId="5428" hidden="1"/>
    <cellStyle name="Accent6 3" xfId="5571" hidden="1"/>
    <cellStyle name="Accent6 3" xfId="5708" hidden="1"/>
    <cellStyle name="Accent6 3" xfId="4685" hidden="1"/>
    <cellStyle name="Accent6 3" xfId="5797" hidden="1"/>
    <cellStyle name="Accent6 3" xfId="5929" hidden="1"/>
    <cellStyle name="Accent6 3" xfId="6059" hidden="1"/>
    <cellStyle name="Accent6 3" xfId="3763" hidden="1"/>
    <cellStyle name="Accent6 3" xfId="6144" hidden="1"/>
    <cellStyle name="Accent6 3" xfId="6266" hidden="1"/>
    <cellStyle name="Accent6 3" xfId="6388" hidden="1"/>
    <cellStyle name="Accent6 4" xfId="593" hidden="1"/>
    <cellStyle name="Accent6 4" xfId="908" hidden="1"/>
    <cellStyle name="Accent6 4" xfId="1092" hidden="1"/>
    <cellStyle name="Accent6 4" xfId="1274" hidden="1"/>
    <cellStyle name="Accent6 4" xfId="1683" hidden="1"/>
    <cellStyle name="Accent6 4" xfId="1898" hidden="1"/>
    <cellStyle name="Accent6 4" xfId="2081" hidden="1"/>
    <cellStyle name="Accent6 4" xfId="2263" hidden="1"/>
    <cellStyle name="Accent6 4" xfId="2440" hidden="1"/>
    <cellStyle name="Accent6 4" xfId="2601" hidden="1"/>
    <cellStyle name="Accent6 4" xfId="2733" hidden="1"/>
    <cellStyle name="Accent6 4" xfId="2863" hidden="1"/>
    <cellStyle name="Accent6 4" xfId="1576" hidden="1"/>
    <cellStyle name="Accent6 4" xfId="2947" hidden="1"/>
    <cellStyle name="Accent6 4" xfId="3069" hidden="1"/>
    <cellStyle name="Accent6 4" xfId="3191" hidden="1"/>
    <cellStyle name="Accent6 4" xfId="3664" hidden="1"/>
    <cellStyle name="Accent6 4" xfId="3937" hidden="1"/>
    <cellStyle name="Accent6 4" xfId="4119" hidden="1"/>
    <cellStyle name="Accent6 4" xfId="4301" hidden="1"/>
    <cellStyle name="Accent6 4" xfId="4394" hidden="1"/>
    <cellStyle name="Accent6 4" xfId="4634" hidden="1"/>
    <cellStyle name="Accent6 4" xfId="4794" hidden="1"/>
    <cellStyle name="Accent6 4" xfId="4947" hidden="1"/>
    <cellStyle name="Accent6 4" xfId="3434" hidden="1"/>
    <cellStyle name="Accent6 4" xfId="5051" hidden="1"/>
    <cellStyle name="Accent6 4" xfId="5205" hidden="1"/>
    <cellStyle name="Accent6 4" xfId="5356" hidden="1"/>
    <cellStyle name="Accent6 4" xfId="3285" hidden="1"/>
    <cellStyle name="Accent6 4" xfId="5460" hidden="1"/>
    <cellStyle name="Accent6 4" xfId="5603" hidden="1"/>
    <cellStyle name="Accent6 4" xfId="5740" hidden="1"/>
    <cellStyle name="Accent6 4" xfId="3719" hidden="1"/>
    <cellStyle name="Accent6 4" xfId="5829" hidden="1"/>
    <cellStyle name="Accent6 4" xfId="5961" hidden="1"/>
    <cellStyle name="Accent6 4" xfId="6091" hidden="1"/>
    <cellStyle name="Accent6 4" xfId="3445" hidden="1"/>
    <cellStyle name="Accent6 4" xfId="6175" hidden="1"/>
    <cellStyle name="Accent6 4" xfId="6297" hidden="1"/>
    <cellStyle name="Accent6 4" xfId="6419" hidden="1"/>
    <cellStyle name="Accent6 5" xfId="624" hidden="1"/>
    <cellStyle name="Accent6 5" xfId="939" hidden="1"/>
    <cellStyle name="Accent6 5" xfId="1123" hidden="1"/>
    <cellStyle name="Accent6 5" xfId="1305" hidden="1"/>
    <cellStyle name="Accent6 5" xfId="1714" hidden="1"/>
    <cellStyle name="Accent6 5" xfId="1929" hidden="1"/>
    <cellStyle name="Accent6 5" xfId="2112" hidden="1"/>
    <cellStyle name="Accent6 5" xfId="2294" hidden="1"/>
    <cellStyle name="Accent6 5" xfId="2471" hidden="1"/>
    <cellStyle name="Accent6 5" xfId="2632" hidden="1"/>
    <cellStyle name="Accent6 5" xfId="2764" hidden="1"/>
    <cellStyle name="Accent6 5" xfId="2894" hidden="1"/>
    <cellStyle name="Accent6 5" xfId="1569" hidden="1"/>
    <cellStyle name="Accent6 5" xfId="2978" hidden="1"/>
    <cellStyle name="Accent6 5" xfId="3100" hidden="1"/>
    <cellStyle name="Accent6 5" xfId="3222" hidden="1"/>
    <cellStyle name="Accent6 5" xfId="3695" hidden="1"/>
    <cellStyle name="Accent6 5" xfId="3968" hidden="1"/>
    <cellStyle name="Accent6 5" xfId="4150" hidden="1"/>
    <cellStyle name="Accent6 5" xfId="4332" hidden="1"/>
    <cellStyle name="Accent6 5" xfId="4425" hidden="1"/>
    <cellStyle name="Accent6 5" xfId="4665" hidden="1"/>
    <cellStyle name="Accent6 5" xfId="4825" hidden="1"/>
    <cellStyle name="Accent6 5" xfId="4978" hidden="1"/>
    <cellStyle name="Accent6 5" xfId="3398" hidden="1"/>
    <cellStyle name="Accent6 5" xfId="5082" hidden="1"/>
    <cellStyle name="Accent6 5" xfId="5236" hidden="1"/>
    <cellStyle name="Accent6 5" xfId="5387" hidden="1"/>
    <cellStyle name="Accent6 5" xfId="4506" hidden="1"/>
    <cellStyle name="Accent6 5" xfId="5491" hidden="1"/>
    <cellStyle name="Accent6 5" xfId="5634" hidden="1"/>
    <cellStyle name="Accent6 5" xfId="5771" hidden="1"/>
    <cellStyle name="Accent6 5" xfId="5397" hidden="1"/>
    <cellStyle name="Accent6 5" xfId="5860" hidden="1"/>
    <cellStyle name="Accent6 5" xfId="5992" hidden="1"/>
    <cellStyle name="Accent6 5" xfId="6122" hidden="1"/>
    <cellStyle name="Accent6 5" xfId="5327" hidden="1"/>
    <cellStyle name="Accent6 5" xfId="6206" hidden="1"/>
    <cellStyle name="Accent6 5" xfId="6328" hidden="1"/>
    <cellStyle name="Accent6 5" xfId="6450" hidden="1"/>
    <cellStyle name="Bad" xfId="25" builtinId="27" customBuiltin="1"/>
    <cellStyle name="Bad 2" xfId="501" hidden="1"/>
    <cellStyle name="Bad 2" xfId="816" hidden="1"/>
    <cellStyle name="Bad 2" xfId="1000" hidden="1"/>
    <cellStyle name="Bad 2" xfId="1182" hidden="1"/>
    <cellStyle name="Bad 2" xfId="1591" hidden="1"/>
    <cellStyle name="Bad 2" xfId="1806" hidden="1"/>
    <cellStyle name="Bad 2" xfId="1989" hidden="1"/>
    <cellStyle name="Bad 2" xfId="2171" hidden="1"/>
    <cellStyle name="Bad 2" xfId="2351" hidden="1"/>
    <cellStyle name="Bad 2" xfId="2512" hidden="1"/>
    <cellStyle name="Bad 2" xfId="2644" hidden="1"/>
    <cellStyle name="Bad 2" xfId="2774" hidden="1"/>
    <cellStyle name="Bad 2" xfId="1414" hidden="1"/>
    <cellStyle name="Bad 2" xfId="1398" hidden="1"/>
    <cellStyle name="Bad 2" xfId="2983" hidden="1"/>
    <cellStyle name="Bad 2" xfId="3105" hidden="1"/>
    <cellStyle name="Bad 2" xfId="3572" hidden="1"/>
    <cellStyle name="Bad 2" xfId="3845" hidden="1"/>
    <cellStyle name="Bad 2" xfId="4027" hidden="1"/>
    <cellStyle name="Bad 2" xfId="4209" hidden="1"/>
    <cellStyle name="Bad 2" xfId="3345" hidden="1"/>
    <cellStyle name="Bad 2" xfId="4544" hidden="1"/>
    <cellStyle name="Bad 2" xfId="4706" hidden="1"/>
    <cellStyle name="Bad 2" xfId="4859" hidden="1"/>
    <cellStyle name="Bad 2" xfId="3417" hidden="1"/>
    <cellStyle name="Bad 2" xfId="4546" hidden="1"/>
    <cellStyle name="Bad 2" xfId="5116" hidden="1"/>
    <cellStyle name="Bad 2" xfId="5266" hidden="1"/>
    <cellStyle name="Bad 2" xfId="3429" hidden="1"/>
    <cellStyle name="Bad 2" xfId="3831" hidden="1"/>
    <cellStyle name="Bad 2" xfId="5515" hidden="1"/>
    <cellStyle name="Bad 2" xfId="5653" hidden="1"/>
    <cellStyle name="Bad 2" xfId="3349" hidden="1"/>
    <cellStyle name="Bad 2" xfId="4471" hidden="1"/>
    <cellStyle name="Bad 2" xfId="5872" hidden="1"/>
    <cellStyle name="Bad 2" xfId="6002" hidden="1"/>
    <cellStyle name="Bad 2" xfId="3524" hidden="1"/>
    <cellStyle name="Bad 2" xfId="3547" hidden="1"/>
    <cellStyle name="Bad 2" xfId="6211" hidden="1"/>
    <cellStyle name="Bad 2" xfId="6333" hidden="1"/>
    <cellStyle name="Bad 3" xfId="532" hidden="1"/>
    <cellStyle name="Bad 3" xfId="847" hidden="1"/>
    <cellStyle name="Bad 3" xfId="1031" hidden="1"/>
    <cellStyle name="Bad 3" xfId="1213" hidden="1"/>
    <cellStyle name="Bad 3" xfId="1622" hidden="1"/>
    <cellStyle name="Bad 3" xfId="1837" hidden="1"/>
    <cellStyle name="Bad 3" xfId="2020" hidden="1"/>
    <cellStyle name="Bad 3" xfId="2202" hidden="1"/>
    <cellStyle name="Bad 3" xfId="2382" hidden="1"/>
    <cellStyle name="Bad 3" xfId="2543" hidden="1"/>
    <cellStyle name="Bad 3" xfId="2675" hidden="1"/>
    <cellStyle name="Bad 3" xfId="2805" hidden="1"/>
    <cellStyle name="Bad 3" xfId="2769" hidden="1"/>
    <cellStyle name="Bad 3" xfId="2479" hidden="1"/>
    <cellStyle name="Bad 3" xfId="3012" hidden="1"/>
    <cellStyle name="Bad 3" xfId="3134" hidden="1"/>
    <cellStyle name="Bad 3" xfId="3603" hidden="1"/>
    <cellStyle name="Bad 3" xfId="3876" hidden="1"/>
    <cellStyle name="Bad 3" xfId="4058" hidden="1"/>
    <cellStyle name="Bad 3" xfId="4240" hidden="1"/>
    <cellStyle name="Bad 3" xfId="3251" hidden="1"/>
    <cellStyle name="Bad 3" xfId="4575" hidden="1"/>
    <cellStyle name="Bad 3" xfId="4736" hidden="1"/>
    <cellStyle name="Bad 3" xfId="4888" hidden="1"/>
    <cellStyle name="Bad 3" xfId="4854" hidden="1"/>
    <cellStyle name="Bad 3" xfId="3428" hidden="1"/>
    <cellStyle name="Bad 3" xfId="5147" hidden="1"/>
    <cellStyle name="Bad 3" xfId="5297" hidden="1"/>
    <cellStyle name="Bad 3" xfId="5243" hidden="1"/>
    <cellStyle name="Bad 3" xfId="4445" hidden="1"/>
    <cellStyle name="Bad 3" xfId="5545" hidden="1"/>
    <cellStyle name="Bad 3" xfId="5682" hidden="1"/>
    <cellStyle name="Bad 3" xfId="5650" hidden="1"/>
    <cellStyle name="Bad 3" xfId="5240" hidden="1"/>
    <cellStyle name="Bad 3" xfId="5903" hidden="1"/>
    <cellStyle name="Bad 3" xfId="6033" hidden="1"/>
    <cellStyle name="Bad 3" xfId="5997" hidden="1"/>
    <cellStyle name="Bad 3" xfId="4458" hidden="1"/>
    <cellStyle name="Bad 3" xfId="6240" hidden="1"/>
    <cellStyle name="Bad 3" xfId="6362" hidden="1"/>
    <cellStyle name="Bad 4" xfId="567" hidden="1"/>
    <cellStyle name="Bad 4" xfId="882" hidden="1"/>
    <cellStyle name="Bad 4" xfId="1066" hidden="1"/>
    <cellStyle name="Bad 4" xfId="1248" hidden="1"/>
    <cellStyle name="Bad 4" xfId="1657" hidden="1"/>
    <cellStyle name="Bad 4" xfId="1872" hidden="1"/>
    <cellStyle name="Bad 4" xfId="2055" hidden="1"/>
    <cellStyle name="Bad 4" xfId="2237" hidden="1"/>
    <cellStyle name="Bad 4" xfId="2414" hidden="1"/>
    <cellStyle name="Bad 4" xfId="2575" hidden="1"/>
    <cellStyle name="Bad 4" xfId="2707" hidden="1"/>
    <cellStyle name="Bad 4" xfId="2837" hidden="1"/>
    <cellStyle name="Bad 4" xfId="1393" hidden="1"/>
    <cellStyle name="Bad 4" xfId="2921" hidden="1"/>
    <cellStyle name="Bad 4" xfId="3043" hidden="1"/>
    <cellStyle name="Bad 4" xfId="3165" hidden="1"/>
    <cellStyle name="Bad 4" xfId="3638" hidden="1"/>
    <cellStyle name="Bad 4" xfId="3911" hidden="1"/>
    <cellStyle name="Bad 4" xfId="4093" hidden="1"/>
    <cellStyle name="Bad 4" xfId="4275" hidden="1"/>
    <cellStyle name="Bad 4" xfId="3273" hidden="1"/>
    <cellStyle name="Bad 4" xfId="4608" hidden="1"/>
    <cellStyle name="Bad 4" xfId="4768" hidden="1"/>
    <cellStyle name="Bad 4" xfId="4921" hidden="1"/>
    <cellStyle name="Bad 4" xfId="3709" hidden="1"/>
    <cellStyle name="Bad 4" xfId="5025" hidden="1"/>
    <cellStyle name="Bad 4" xfId="5179" hidden="1"/>
    <cellStyle name="Bad 4" xfId="5330" hidden="1"/>
    <cellStyle name="Bad 4" xfId="4496" hidden="1"/>
    <cellStyle name="Bad 4" xfId="5434" hidden="1"/>
    <cellStyle name="Bad 4" xfId="5577" hidden="1"/>
    <cellStyle name="Bad 4" xfId="5714" hidden="1"/>
    <cellStyle name="Bad 4" xfId="3420" hidden="1"/>
    <cellStyle name="Bad 4" xfId="5803" hidden="1"/>
    <cellStyle name="Bad 4" xfId="5935" hidden="1"/>
    <cellStyle name="Bad 4" xfId="6065" hidden="1"/>
    <cellStyle name="Bad 4" xfId="3291" hidden="1"/>
    <cellStyle name="Bad 4" xfId="6149" hidden="1"/>
    <cellStyle name="Bad 4" xfId="6271" hidden="1"/>
    <cellStyle name="Bad 4" xfId="6393" hidden="1"/>
    <cellStyle name="Bad 5" xfId="598" hidden="1"/>
    <cellStyle name="Bad 5" xfId="913" hidden="1"/>
    <cellStyle name="Bad 5" xfId="1097" hidden="1"/>
    <cellStyle name="Bad 5" xfId="1279" hidden="1"/>
    <cellStyle name="Bad 5" xfId="1688" hidden="1"/>
    <cellStyle name="Bad 5" xfId="1903" hidden="1"/>
    <cellStyle name="Bad 5" xfId="2086" hidden="1"/>
    <cellStyle name="Bad 5" xfId="2268" hidden="1"/>
    <cellStyle name="Bad 5" xfId="2445" hidden="1"/>
    <cellStyle name="Bad 5" xfId="2606" hidden="1"/>
    <cellStyle name="Bad 5" xfId="2738" hidden="1"/>
    <cellStyle name="Bad 5" xfId="2868" hidden="1"/>
    <cellStyle name="Bad 5" xfId="1434" hidden="1"/>
    <cellStyle name="Bad 5" xfId="2952" hidden="1"/>
    <cellStyle name="Bad 5" xfId="3074" hidden="1"/>
    <cellStyle name="Bad 5" xfId="3196" hidden="1"/>
    <cellStyle name="Bad 5" xfId="3669" hidden="1"/>
    <cellStyle name="Bad 5" xfId="3942" hidden="1"/>
    <cellStyle name="Bad 5" xfId="4124" hidden="1"/>
    <cellStyle name="Bad 5" xfId="4306" hidden="1"/>
    <cellStyle name="Bad 5" xfId="4399" hidden="1"/>
    <cellStyle name="Bad 5" xfId="4639" hidden="1"/>
    <cellStyle name="Bad 5" xfId="4799" hidden="1"/>
    <cellStyle name="Bad 5" xfId="4952" hidden="1"/>
    <cellStyle name="Bad 5" xfId="3459" hidden="1"/>
    <cellStyle name="Bad 5" xfId="5056" hidden="1"/>
    <cellStyle name="Bad 5" xfId="5210" hidden="1"/>
    <cellStyle name="Bad 5" xfId="5361" hidden="1"/>
    <cellStyle name="Bad 5" xfId="4435" hidden="1"/>
    <cellStyle name="Bad 5" xfId="5465" hidden="1"/>
    <cellStyle name="Bad 5" xfId="5608" hidden="1"/>
    <cellStyle name="Bad 5" xfId="5745" hidden="1"/>
    <cellStyle name="Bad 5" xfId="3418" hidden="1"/>
    <cellStyle name="Bad 5" xfId="5834" hidden="1"/>
    <cellStyle name="Bad 5" xfId="5966" hidden="1"/>
    <cellStyle name="Bad 5" xfId="6096" hidden="1"/>
    <cellStyle name="Bad 5" xfId="4524" hidden="1"/>
    <cellStyle name="Bad 5" xfId="6180" hidden="1"/>
    <cellStyle name="Bad 5" xfId="6302" hidden="1"/>
    <cellStyle name="Bad 5" xfId="6424" hidden="1"/>
    <cellStyle name="Calculation" xfId="26" builtinId="22" customBuiltin="1"/>
    <cellStyle name="Calculation 2" xfId="503" hidden="1"/>
    <cellStyle name="Calculation 2" xfId="818" hidden="1"/>
    <cellStyle name="Calculation 2" xfId="1002" hidden="1"/>
    <cellStyle name="Calculation 2" xfId="1184" hidden="1"/>
    <cellStyle name="Calculation 2" xfId="1593" hidden="1"/>
    <cellStyle name="Calculation 2" xfId="1808" hidden="1"/>
    <cellStyle name="Calculation 2" xfId="1991" hidden="1"/>
    <cellStyle name="Calculation 2" xfId="2173" hidden="1"/>
    <cellStyle name="Calculation 2" xfId="1358"/>
    <cellStyle name="Calculation 2 2" xfId="2353" hidden="1"/>
    <cellStyle name="Calculation 2 2" xfId="3574" hidden="1"/>
    <cellStyle name="Calculation 2 2" xfId="3798" hidden="1"/>
    <cellStyle name="Calculation 2 2" xfId="5392" hidden="1"/>
    <cellStyle name="Calculation 2 3" xfId="2514" hidden="1"/>
    <cellStyle name="Calculation 2 3" xfId="3847" hidden="1"/>
    <cellStyle name="Calculation 2 3" xfId="3749" hidden="1"/>
    <cellStyle name="Calculation 2 3" xfId="4693" hidden="1"/>
    <cellStyle name="Calculation 2 4" xfId="2646" hidden="1"/>
    <cellStyle name="Calculation 2 4" xfId="4029" hidden="1"/>
    <cellStyle name="Calculation 2 4" xfId="5118" hidden="1"/>
    <cellStyle name="Calculation 2 4" xfId="5874" hidden="1"/>
    <cellStyle name="Calculation 2 5" xfId="2776" hidden="1"/>
    <cellStyle name="Calculation 2 5" xfId="4211" hidden="1"/>
    <cellStyle name="Calculation 2 5" xfId="5268" hidden="1"/>
    <cellStyle name="Calculation 2 5" xfId="6004" hidden="1"/>
    <cellStyle name="Calculation 3" xfId="534" hidden="1"/>
    <cellStyle name="Calculation 3" xfId="849" hidden="1"/>
    <cellStyle name="Calculation 3" xfId="1033" hidden="1"/>
    <cellStyle name="Calculation 3" xfId="1215" hidden="1"/>
    <cellStyle name="Calculation 3" xfId="1624" hidden="1"/>
    <cellStyle name="Calculation 3" xfId="1839" hidden="1"/>
    <cellStyle name="Calculation 3" xfId="2022" hidden="1"/>
    <cellStyle name="Calculation 3" xfId="2204" hidden="1"/>
    <cellStyle name="Calculation 3" xfId="2384" hidden="1"/>
    <cellStyle name="Calculation 3" xfId="2545" hidden="1"/>
    <cellStyle name="Calculation 3" xfId="2677" hidden="1"/>
    <cellStyle name="Calculation 3" xfId="2807" hidden="1"/>
    <cellStyle name="Calculation 3" xfId="2637" hidden="1"/>
    <cellStyle name="Calculation 3" xfId="1589" hidden="1"/>
    <cellStyle name="Calculation 3" xfId="3014" hidden="1"/>
    <cellStyle name="Calculation 3" xfId="3136" hidden="1"/>
    <cellStyle name="Calculation 3" xfId="3605" hidden="1"/>
    <cellStyle name="Calculation 3" xfId="3878" hidden="1"/>
    <cellStyle name="Calculation 3" xfId="4060" hidden="1"/>
    <cellStyle name="Calculation 3" xfId="4242" hidden="1"/>
    <cellStyle name="Calculation 3" xfId="3249" hidden="1"/>
    <cellStyle name="Calculation 3" xfId="4577" hidden="1"/>
    <cellStyle name="Calculation 3" xfId="4738" hidden="1"/>
    <cellStyle name="Calculation 3" xfId="4890" hidden="1"/>
    <cellStyle name="Calculation 3" xfId="4477" hidden="1"/>
    <cellStyle name="Calculation 3" xfId="4440" hidden="1"/>
    <cellStyle name="Calculation 3" xfId="5149" hidden="1"/>
    <cellStyle name="Calculation 3" xfId="5299" hidden="1"/>
    <cellStyle name="Calculation 3" xfId="5089" hidden="1"/>
    <cellStyle name="Calculation 3" xfId="3756" hidden="1"/>
    <cellStyle name="Calculation 3" xfId="5547" hidden="1"/>
    <cellStyle name="Calculation 3" xfId="5684" hidden="1"/>
    <cellStyle name="Calculation 3" xfId="5257" hidden="1"/>
    <cellStyle name="Calculation 3" xfId="4843" hidden="1"/>
    <cellStyle name="Calculation 3" xfId="5905" hidden="1"/>
    <cellStyle name="Calculation 3" xfId="6035" hidden="1"/>
    <cellStyle name="Calculation 3" xfId="5865" hidden="1"/>
    <cellStyle name="Calculation 3" xfId="4983" hidden="1"/>
    <cellStyle name="Calculation 3" xfId="6242" hidden="1"/>
    <cellStyle name="Calculation 3" xfId="6364" hidden="1"/>
    <cellStyle name="Calculation 4" xfId="569" hidden="1"/>
    <cellStyle name="Calculation 4" xfId="884" hidden="1"/>
    <cellStyle name="Calculation 4" xfId="1068" hidden="1"/>
    <cellStyle name="Calculation 4" xfId="1250" hidden="1"/>
    <cellStyle name="Calculation 4" xfId="1659" hidden="1"/>
    <cellStyle name="Calculation 4" xfId="1874" hidden="1"/>
    <cellStyle name="Calculation 4" xfId="2057" hidden="1"/>
    <cellStyle name="Calculation 4" xfId="2239" hidden="1"/>
    <cellStyle name="Calculation 4" xfId="2416" hidden="1"/>
    <cellStyle name="Calculation 4" xfId="2577" hidden="1"/>
    <cellStyle name="Calculation 4" xfId="2709" hidden="1"/>
    <cellStyle name="Calculation 4" xfId="2839" hidden="1"/>
    <cellStyle name="Calculation 4" xfId="2490" hidden="1"/>
    <cellStyle name="Calculation 4" xfId="2923" hidden="1"/>
    <cellStyle name="Calculation 4" xfId="3045" hidden="1"/>
    <cellStyle name="Calculation 4" xfId="3167" hidden="1"/>
    <cellStyle name="Calculation 4" xfId="3640" hidden="1"/>
    <cellStyle name="Calculation 4" xfId="3913" hidden="1"/>
    <cellStyle name="Calculation 4" xfId="4095" hidden="1"/>
    <cellStyle name="Calculation 4" xfId="4277" hidden="1"/>
    <cellStyle name="Calculation 4" xfId="3717" hidden="1"/>
    <cellStyle name="Calculation 4" xfId="4610" hidden="1"/>
    <cellStyle name="Calculation 4" xfId="4770" hidden="1"/>
    <cellStyle name="Calculation 4" xfId="4923" hidden="1"/>
    <cellStyle name="Calculation 4" xfId="4533" hidden="1"/>
    <cellStyle name="Calculation 4" xfId="5027" hidden="1"/>
    <cellStyle name="Calculation 4" xfId="5181" hidden="1"/>
    <cellStyle name="Calculation 4" xfId="5332" hidden="1"/>
    <cellStyle name="Calculation 4" xfId="4532" hidden="1"/>
    <cellStyle name="Calculation 4" xfId="5436" hidden="1"/>
    <cellStyle name="Calculation 4" xfId="5579" hidden="1"/>
    <cellStyle name="Calculation 4" xfId="5716" hidden="1"/>
    <cellStyle name="Calculation 4" xfId="4487" hidden="1"/>
    <cellStyle name="Calculation 4" xfId="5805" hidden="1"/>
    <cellStyle name="Calculation 4" xfId="5937" hidden="1"/>
    <cellStyle name="Calculation 4" xfId="6067" hidden="1"/>
    <cellStyle name="Calculation 4" xfId="4497" hidden="1"/>
    <cellStyle name="Calculation 4" xfId="6151" hidden="1"/>
    <cellStyle name="Calculation 4" xfId="6273" hidden="1"/>
    <cellStyle name="Calculation 4" xfId="6395" hidden="1"/>
    <cellStyle name="Calculation 5" xfId="600" hidden="1"/>
    <cellStyle name="Calculation 5" xfId="915" hidden="1"/>
    <cellStyle name="Calculation 5" xfId="1099" hidden="1"/>
    <cellStyle name="Calculation 5" xfId="1281" hidden="1"/>
    <cellStyle name="Calculation 5" xfId="1690" hidden="1"/>
    <cellStyle name="Calculation 5" xfId="1905" hidden="1"/>
    <cellStyle name="Calculation 5" xfId="2088" hidden="1"/>
    <cellStyle name="Calculation 5" xfId="2270" hidden="1"/>
    <cellStyle name="Calculation 5" xfId="2447" hidden="1"/>
    <cellStyle name="Calculation 5" xfId="2608" hidden="1"/>
    <cellStyle name="Calculation 5" xfId="2740" hidden="1"/>
    <cellStyle name="Calculation 5" xfId="2870" hidden="1"/>
    <cellStyle name="Calculation 5" xfId="2640" hidden="1"/>
    <cellStyle name="Calculation 5" xfId="2954" hidden="1"/>
    <cellStyle name="Calculation 5" xfId="3076" hidden="1"/>
    <cellStyle name="Calculation 5" xfId="3198" hidden="1"/>
    <cellStyle name="Calculation 5" xfId="3671" hidden="1"/>
    <cellStyle name="Calculation 5" xfId="3944" hidden="1"/>
    <cellStyle name="Calculation 5" xfId="4126" hidden="1"/>
    <cellStyle name="Calculation 5" xfId="4308" hidden="1"/>
    <cellStyle name="Calculation 5" xfId="4401" hidden="1"/>
    <cellStyle name="Calculation 5" xfId="4641" hidden="1"/>
    <cellStyle name="Calculation 5" xfId="4801" hidden="1"/>
    <cellStyle name="Calculation 5" xfId="4954" hidden="1"/>
    <cellStyle name="Calculation 5" xfId="3316" hidden="1"/>
    <cellStyle name="Calculation 5" xfId="5058" hidden="1"/>
    <cellStyle name="Calculation 5" xfId="5212" hidden="1"/>
    <cellStyle name="Calculation 5" xfId="5363" hidden="1"/>
    <cellStyle name="Calculation 5" xfId="5109" hidden="1"/>
    <cellStyle name="Calculation 5" xfId="5467" hidden="1"/>
    <cellStyle name="Calculation 5" xfId="5610" hidden="1"/>
    <cellStyle name="Calculation 5" xfId="5747" hidden="1"/>
    <cellStyle name="Calculation 5" xfId="5093" hidden="1"/>
    <cellStyle name="Calculation 5" xfId="5836" hidden="1"/>
    <cellStyle name="Calculation 5" xfId="5968" hidden="1"/>
    <cellStyle name="Calculation 5" xfId="6098" hidden="1"/>
    <cellStyle name="Calculation 5" xfId="5868" hidden="1"/>
    <cellStyle name="Calculation 5" xfId="6182" hidden="1"/>
    <cellStyle name="Calculation 5" xfId="6304" hidden="1"/>
    <cellStyle name="Calculation 5" xfId="6426" hidden="1"/>
    <cellStyle name="CellLock" xfId="62"/>
    <cellStyle name="CellLock 2" xfId="154"/>
    <cellStyle name="CellLock 2 2" xfId="696"/>
    <cellStyle name="CellLock 2 3" xfId="471"/>
    <cellStyle name="CellLock 3" xfId="131"/>
    <cellStyle name="CellLock 3 2" xfId="680"/>
    <cellStyle name="CellLock 4" xfId="100"/>
    <cellStyle name="CellLock 4 2" xfId="652"/>
    <cellStyle name="CellLock 5" xfId="444"/>
    <cellStyle name="CellLock_analysis" xfId="227"/>
    <cellStyle name="CellUnlock" xfId="63"/>
    <cellStyle name="CellUnlock 2" xfId="155"/>
    <cellStyle name="CellUnlock 2 2" xfId="697"/>
    <cellStyle name="CellUnlock 2 3" xfId="472"/>
    <cellStyle name="CellUnlock 3" xfId="132"/>
    <cellStyle name="CellUnlock 3 2" xfId="681"/>
    <cellStyle name="CellUnlock 4" xfId="101"/>
    <cellStyle name="CellUnlock 4 2" xfId="653"/>
    <cellStyle name="CellUnlock 5" xfId="445"/>
    <cellStyle name="CellUnlock_analysis" xfId="228"/>
    <cellStyle name="Check Cell" xfId="27" builtinId="23" customBuiltin="1"/>
    <cellStyle name="Check Cell 2" xfId="505" hidden="1"/>
    <cellStyle name="Check Cell 2" xfId="820" hidden="1"/>
    <cellStyle name="Check Cell 2" xfId="1004" hidden="1"/>
    <cellStyle name="Check Cell 2" xfId="1186" hidden="1"/>
    <cellStyle name="Check Cell 2" xfId="1595" hidden="1"/>
    <cellStyle name="Check Cell 2" xfId="1810" hidden="1"/>
    <cellStyle name="Check Cell 2" xfId="1993" hidden="1"/>
    <cellStyle name="Check Cell 2" xfId="2175" hidden="1"/>
    <cellStyle name="Check Cell 2" xfId="2355" hidden="1"/>
    <cellStyle name="Check Cell 2" xfId="2516" hidden="1"/>
    <cellStyle name="Check Cell 2" xfId="2648" hidden="1"/>
    <cellStyle name="Check Cell 2" xfId="2778" hidden="1"/>
    <cellStyle name="Check Cell 2" xfId="2492" hidden="1"/>
    <cellStyle name="Check Cell 2" xfId="1378" hidden="1"/>
    <cellStyle name="Check Cell 2" xfId="2985" hidden="1"/>
    <cellStyle name="Check Cell 2" xfId="3107" hidden="1"/>
    <cellStyle name="Check Cell 2" xfId="3576" hidden="1"/>
    <cellStyle name="Check Cell 2" xfId="3849" hidden="1"/>
    <cellStyle name="Check Cell 2" xfId="4031" hidden="1"/>
    <cellStyle name="Check Cell 2" xfId="4213" hidden="1"/>
    <cellStyle name="Check Cell 2" xfId="3279" hidden="1"/>
    <cellStyle name="Check Cell 2" xfId="4548" hidden="1"/>
    <cellStyle name="Check Cell 2" xfId="4709" hidden="1"/>
    <cellStyle name="Check Cell 2" xfId="4861" hidden="1"/>
    <cellStyle name="Check Cell 2" xfId="3397" hidden="1"/>
    <cellStyle name="Check Cell 2" xfId="3735" hidden="1"/>
    <cellStyle name="Check Cell 2" xfId="5120" hidden="1"/>
    <cellStyle name="Check Cell 2" xfId="5270" hidden="1"/>
    <cellStyle name="Check Cell 2" xfId="4500" hidden="1"/>
    <cellStyle name="Check Cell 2" xfId="4459" hidden="1"/>
    <cellStyle name="Check Cell 2" xfId="5518" hidden="1"/>
    <cellStyle name="Check Cell 2" xfId="5655" hidden="1"/>
    <cellStyle name="Check Cell 2" xfId="3548" hidden="1"/>
    <cellStyle name="Check Cell 2" xfId="4531" hidden="1"/>
    <cellStyle name="Check Cell 2" xfId="5876" hidden="1"/>
    <cellStyle name="Check Cell 2" xfId="6006" hidden="1"/>
    <cellStyle name="Check Cell 2" xfId="3526" hidden="1"/>
    <cellStyle name="Check Cell 2" xfId="4518" hidden="1"/>
    <cellStyle name="Check Cell 2" xfId="6213" hidden="1"/>
    <cellStyle name="Check Cell 2" xfId="6335" hidden="1"/>
    <cellStyle name="Check Cell 3" xfId="536" hidden="1"/>
    <cellStyle name="Check Cell 3" xfId="851" hidden="1"/>
    <cellStyle name="Check Cell 3" xfId="1035" hidden="1"/>
    <cellStyle name="Check Cell 3" xfId="1217" hidden="1"/>
    <cellStyle name="Check Cell 3" xfId="1626" hidden="1"/>
    <cellStyle name="Check Cell 3" xfId="1841" hidden="1"/>
    <cellStyle name="Check Cell 3" xfId="2024" hidden="1"/>
    <cellStyle name="Check Cell 3" xfId="2206" hidden="1"/>
    <cellStyle name="Check Cell 3" xfId="2386" hidden="1"/>
    <cellStyle name="Check Cell 3" xfId="2547" hidden="1"/>
    <cellStyle name="Check Cell 3" xfId="2679" hidden="1"/>
    <cellStyle name="Check Cell 3" xfId="2809" hidden="1"/>
    <cellStyle name="Check Cell 3" xfId="1751" hidden="1"/>
    <cellStyle name="Check Cell 3" xfId="1742" hidden="1"/>
    <cellStyle name="Check Cell 3" xfId="3016" hidden="1"/>
    <cellStyle name="Check Cell 3" xfId="3138" hidden="1"/>
    <cellStyle name="Check Cell 3" xfId="3607" hidden="1"/>
    <cellStyle name="Check Cell 3" xfId="3880" hidden="1"/>
    <cellStyle name="Check Cell 3" xfId="4062" hidden="1"/>
    <cellStyle name="Check Cell 3" xfId="4244" hidden="1"/>
    <cellStyle name="Check Cell 3" xfId="3247" hidden="1"/>
    <cellStyle name="Check Cell 3" xfId="4579" hidden="1"/>
    <cellStyle name="Check Cell 3" xfId="4740" hidden="1"/>
    <cellStyle name="Check Cell 3" xfId="4892" hidden="1"/>
    <cellStyle name="Check Cell 3" xfId="4833" hidden="1"/>
    <cellStyle name="Check Cell 3" xfId="3383" hidden="1"/>
    <cellStyle name="Check Cell 3" xfId="5151" hidden="1"/>
    <cellStyle name="Check Cell 3" xfId="5301" hidden="1"/>
    <cellStyle name="Check Cell 3" xfId="4522" hidden="1"/>
    <cellStyle name="Check Cell 3" xfId="4472" hidden="1"/>
    <cellStyle name="Check Cell 3" xfId="5549" hidden="1"/>
    <cellStyle name="Check Cell 3" xfId="5686" hidden="1"/>
    <cellStyle name="Check Cell 3" xfId="5640" hidden="1"/>
    <cellStyle name="Check Cell 3" xfId="4517" hidden="1"/>
    <cellStyle name="Check Cell 3" xfId="5907" hidden="1"/>
    <cellStyle name="Check Cell 3" xfId="6037" hidden="1"/>
    <cellStyle name="Check Cell 3" xfId="3817" hidden="1"/>
    <cellStyle name="Check Cell 3" xfId="5249" hidden="1"/>
    <cellStyle name="Check Cell 3" xfId="6244" hidden="1"/>
    <cellStyle name="Check Cell 3" xfId="6366" hidden="1"/>
    <cellStyle name="Check Cell 4" xfId="571" hidden="1"/>
    <cellStyle name="Check Cell 4" xfId="886" hidden="1"/>
    <cellStyle name="Check Cell 4" xfId="1070" hidden="1"/>
    <cellStyle name="Check Cell 4" xfId="1252" hidden="1"/>
    <cellStyle name="Check Cell 4" xfId="1661" hidden="1"/>
    <cellStyle name="Check Cell 4" xfId="1876" hidden="1"/>
    <cellStyle name="Check Cell 4" xfId="2059" hidden="1"/>
    <cellStyle name="Check Cell 4" xfId="2241" hidden="1"/>
    <cellStyle name="Check Cell 4" xfId="2418" hidden="1"/>
    <cellStyle name="Check Cell 4" xfId="2579" hidden="1"/>
    <cellStyle name="Check Cell 4" xfId="2711" hidden="1"/>
    <cellStyle name="Check Cell 4" xfId="2841" hidden="1"/>
    <cellStyle name="Check Cell 4" xfId="1364" hidden="1"/>
    <cellStyle name="Check Cell 4" xfId="2925" hidden="1"/>
    <cellStyle name="Check Cell 4" xfId="3047" hidden="1"/>
    <cellStyle name="Check Cell 4" xfId="3169" hidden="1"/>
    <cellStyle name="Check Cell 4" xfId="3642" hidden="1"/>
    <cellStyle name="Check Cell 4" xfId="3915" hidden="1"/>
    <cellStyle name="Check Cell 4" xfId="4097" hidden="1"/>
    <cellStyle name="Check Cell 4" xfId="4279" hidden="1"/>
    <cellStyle name="Check Cell 4" xfId="3231" hidden="1"/>
    <cellStyle name="Check Cell 4" xfId="4612" hidden="1"/>
    <cellStyle name="Check Cell 4" xfId="4772" hidden="1"/>
    <cellStyle name="Check Cell 4" xfId="4925" hidden="1"/>
    <cellStyle name="Check Cell 4" xfId="3768" hidden="1"/>
    <cellStyle name="Check Cell 4" xfId="5029" hidden="1"/>
    <cellStyle name="Check Cell 4" xfId="5183" hidden="1"/>
    <cellStyle name="Check Cell 4" xfId="5334" hidden="1"/>
    <cellStyle name="Check Cell 4" xfId="3286" hidden="1"/>
    <cellStyle name="Check Cell 4" xfId="5438" hidden="1"/>
    <cellStyle name="Check Cell 4" xfId="5581" hidden="1"/>
    <cellStyle name="Check Cell 4" xfId="5718" hidden="1"/>
    <cellStyle name="Check Cell 4" xfId="4523" hidden="1"/>
    <cellStyle name="Check Cell 4" xfId="5807" hidden="1"/>
    <cellStyle name="Check Cell 4" xfId="5939" hidden="1"/>
    <cellStyle name="Check Cell 4" xfId="6069" hidden="1"/>
    <cellStyle name="Check Cell 4" xfId="4520" hidden="1"/>
    <cellStyle name="Check Cell 4" xfId="6153" hidden="1"/>
    <cellStyle name="Check Cell 4" xfId="6275" hidden="1"/>
    <cellStyle name="Check Cell 4" xfId="6397" hidden="1"/>
    <cellStyle name="Check Cell 5" xfId="602" hidden="1"/>
    <cellStyle name="Check Cell 5" xfId="917" hidden="1"/>
    <cellStyle name="Check Cell 5" xfId="1101" hidden="1"/>
    <cellStyle name="Check Cell 5" xfId="1283" hidden="1"/>
    <cellStyle name="Check Cell 5" xfId="1692" hidden="1"/>
    <cellStyle name="Check Cell 5" xfId="1907" hidden="1"/>
    <cellStyle name="Check Cell 5" xfId="2090" hidden="1"/>
    <cellStyle name="Check Cell 5" xfId="2272" hidden="1"/>
    <cellStyle name="Check Cell 5" xfId="2449" hidden="1"/>
    <cellStyle name="Check Cell 5" xfId="2610" hidden="1"/>
    <cellStyle name="Check Cell 5" xfId="2742" hidden="1"/>
    <cellStyle name="Check Cell 5" xfId="2872" hidden="1"/>
    <cellStyle name="Check Cell 5" xfId="2506" hidden="1"/>
    <cellStyle name="Check Cell 5" xfId="2956" hidden="1"/>
    <cellStyle name="Check Cell 5" xfId="3078" hidden="1"/>
    <cellStyle name="Check Cell 5" xfId="3200" hidden="1"/>
    <cellStyle name="Check Cell 5" xfId="3673" hidden="1"/>
    <cellStyle name="Check Cell 5" xfId="3946" hidden="1"/>
    <cellStyle name="Check Cell 5" xfId="4128" hidden="1"/>
    <cellStyle name="Check Cell 5" xfId="4310" hidden="1"/>
    <cellStyle name="Check Cell 5" xfId="4403" hidden="1"/>
    <cellStyle name="Check Cell 5" xfId="4643" hidden="1"/>
    <cellStyle name="Check Cell 5" xfId="4803" hidden="1"/>
    <cellStyle name="Check Cell 5" xfId="4956" hidden="1"/>
    <cellStyle name="Check Cell 5" xfId="3450" hidden="1"/>
    <cellStyle name="Check Cell 5" xfId="5060" hidden="1"/>
    <cellStyle name="Check Cell 5" xfId="5214" hidden="1"/>
    <cellStyle name="Check Cell 5" xfId="5365" hidden="1"/>
    <cellStyle name="Check Cell 5" xfId="3482" hidden="1"/>
    <cellStyle name="Check Cell 5" xfId="5469" hidden="1"/>
    <cellStyle name="Check Cell 5" xfId="5612" hidden="1"/>
    <cellStyle name="Check Cell 5" xfId="5749" hidden="1"/>
    <cellStyle name="Check Cell 5" xfId="5247" hidden="1"/>
    <cellStyle name="Check Cell 5" xfId="5838" hidden="1"/>
    <cellStyle name="Check Cell 5" xfId="5970" hidden="1"/>
    <cellStyle name="Check Cell 5" xfId="6100" hidden="1"/>
    <cellStyle name="Check Cell 5" xfId="4839" hidden="1"/>
    <cellStyle name="Check Cell 5" xfId="6184" hidden="1"/>
    <cellStyle name="Check Cell 5" xfId="6306" hidden="1"/>
    <cellStyle name="Check Cell 5" xfId="6428" hidden="1"/>
    <cellStyle name="Comma" xfId="28" builtinId="3"/>
    <cellStyle name="Comma [0]" xfId="29" builtinId="6"/>
    <cellStyle name="Comma [0] 2" xfId="156"/>
    <cellStyle name="Comma [0] Centered" xfId="30"/>
    <cellStyle name="Comma 000" xfId="31"/>
    <cellStyle name="Comma 000,0" xfId="64"/>
    <cellStyle name="Comma 000,000" xfId="32"/>
    <cellStyle name="Comma 1" xfId="65"/>
    <cellStyle name="Comma 10" xfId="6455"/>
    <cellStyle name="Comma 2" xfId="128"/>
    <cellStyle name="Comma 2 2" xfId="158"/>
    <cellStyle name="Comma 2 2 2" xfId="159"/>
    <cellStyle name="Comma 2 2 2 2" xfId="699"/>
    <cellStyle name="Comma 2 2 2 3" xfId="944"/>
    <cellStyle name="Comma 2 2 2 3 2" xfId="1310"/>
    <cellStyle name="Comma 2 2 2 3 2 2" xfId="2299"/>
    <cellStyle name="Comma 2 2 2 3 2 3" xfId="4337"/>
    <cellStyle name="Comma 2 2 2 3 3" xfId="1934"/>
    <cellStyle name="Comma 2 2 2 3 4" xfId="3973"/>
    <cellStyle name="Comma 2 2 2 4" xfId="1128"/>
    <cellStyle name="Comma 2 2 2 4 2" xfId="2117"/>
    <cellStyle name="Comma 2 2 2 4 3" xfId="4155"/>
    <cellStyle name="Comma 2 2 2 5" xfId="629"/>
    <cellStyle name="Comma 2 2 2 5 2" xfId="1719"/>
    <cellStyle name="Comma 2 2 2 5 3" xfId="3700"/>
    <cellStyle name="Comma 2 2 3" xfId="160"/>
    <cellStyle name="Comma 2 2 3 2" xfId="700"/>
    <cellStyle name="Comma 2 2 3 3" xfId="952"/>
    <cellStyle name="Comma 2 2 3 3 2" xfId="1318"/>
    <cellStyle name="Comma 2 2 3 3 2 2" xfId="2307"/>
    <cellStyle name="Comma 2 2 3 3 2 3" xfId="4345"/>
    <cellStyle name="Comma 2 2 3 3 3" xfId="1942"/>
    <cellStyle name="Comma 2 2 3 3 4" xfId="3981"/>
    <cellStyle name="Comma 2 2 3 4" xfId="1136"/>
    <cellStyle name="Comma 2 2 3 4 2" xfId="2125"/>
    <cellStyle name="Comma 2 2 3 4 3" xfId="4163"/>
    <cellStyle name="Comma 2 2 3 5" xfId="641"/>
    <cellStyle name="Comma 2 2 3 5 2" xfId="1728"/>
    <cellStyle name="Comma 2 2 3 5 3" xfId="3712"/>
    <cellStyle name="Comma 2 2 4" xfId="698"/>
    <cellStyle name="Comma 2 2 5" xfId="811"/>
    <cellStyle name="Comma 2 2 5 2" xfId="1177"/>
    <cellStyle name="Comma 2 2 5 2 2" xfId="2166"/>
    <cellStyle name="Comma 2 2 5 2 3" xfId="4204"/>
    <cellStyle name="Comma 2 2 5 3" xfId="1801"/>
    <cellStyle name="Comma 2 2 5 4" xfId="3840"/>
    <cellStyle name="Comma 2 2 6" xfId="995"/>
    <cellStyle name="Comma 2 2 6 2" xfId="1984"/>
    <cellStyle name="Comma 2 2 6 3" xfId="4022"/>
    <cellStyle name="Comma 2 2 7" xfId="494"/>
    <cellStyle name="Comma 2 2 7 2" xfId="1585"/>
    <cellStyle name="Comma 2 2 7 3" xfId="3565"/>
    <cellStyle name="Comma 2 3" xfId="161"/>
    <cellStyle name="Comma 2 3 2" xfId="701"/>
    <cellStyle name="Comma 2 3 3" xfId="878"/>
    <cellStyle name="Comma 2 3 3 2" xfId="1244"/>
    <cellStyle name="Comma 2 3 3 2 2" xfId="2233"/>
    <cellStyle name="Comma 2 3 3 2 3" xfId="4271"/>
    <cellStyle name="Comma 2 3 3 3" xfId="1868"/>
    <cellStyle name="Comma 2 3 3 4" xfId="3907"/>
    <cellStyle name="Comma 2 3 4" xfId="1062"/>
    <cellStyle name="Comma 2 3 4 2" xfId="2051"/>
    <cellStyle name="Comma 2 3 4 3" xfId="4089"/>
    <cellStyle name="Comma 2 3 5" xfId="563"/>
    <cellStyle name="Comma 2 3 5 2" xfId="1653"/>
    <cellStyle name="Comma 2 3 5 3" xfId="3634"/>
    <cellStyle name="Comma 2 4" xfId="162"/>
    <cellStyle name="Comma 2 4 2" xfId="702"/>
    <cellStyle name="Comma 2 4 3" xfId="948"/>
    <cellStyle name="Comma 2 4 3 2" xfId="1314"/>
    <cellStyle name="Comma 2 4 3 2 2" xfId="2303"/>
    <cellStyle name="Comma 2 4 3 2 3" xfId="4341"/>
    <cellStyle name="Comma 2 4 3 3" xfId="1938"/>
    <cellStyle name="Comma 2 4 3 4" xfId="3977"/>
    <cellStyle name="Comma 2 4 4" xfId="1132"/>
    <cellStyle name="Comma 2 4 4 2" xfId="2121"/>
    <cellStyle name="Comma 2 4 4 3" xfId="4159"/>
    <cellStyle name="Comma 2 4 5" xfId="635"/>
    <cellStyle name="Comma 2 4 5 2" xfId="1724"/>
    <cellStyle name="Comma 2 4 5 3" xfId="3706"/>
    <cellStyle name="Comma 2 5" xfId="157"/>
    <cellStyle name="Comma 2 6" xfId="678"/>
    <cellStyle name="Comma 2 7" xfId="807"/>
    <cellStyle name="Comma 2 7 2" xfId="1173"/>
    <cellStyle name="Comma 2 7 2 2" xfId="2162"/>
    <cellStyle name="Comma 2 7 2 3" xfId="4200"/>
    <cellStyle name="Comma 2 7 3" xfId="1797"/>
    <cellStyle name="Comma 2 7 4" xfId="3836"/>
    <cellStyle name="Comma 2 8" xfId="991"/>
    <cellStyle name="Comma 2 8 2" xfId="1980"/>
    <cellStyle name="Comma 2 8 3" xfId="4018"/>
    <cellStyle name="Comma 2 9" xfId="488"/>
    <cellStyle name="Comma 2 9 2" xfId="1581"/>
    <cellStyle name="Comma 2 9 3" xfId="3560"/>
    <cellStyle name="Comma 3" xfId="163"/>
    <cellStyle name="Comma 3Zero" xfId="164"/>
    <cellStyle name="Comma 4" xfId="165"/>
    <cellStyle name="Comma 5" xfId="265"/>
    <cellStyle name="Comma 5 2" xfId="303"/>
    <cellStyle name="Comma 5 2 2" xfId="414"/>
    <cellStyle name="Comma 5 2 2 2" xfId="1344"/>
    <cellStyle name="Comma 5 2 2 2 2" xfId="2333"/>
    <cellStyle name="Comma 5 2 2 2 3" xfId="4371"/>
    <cellStyle name="Comma 5 2 2 3" xfId="978"/>
    <cellStyle name="Comma 5 2 2 3 2" xfId="1968"/>
    <cellStyle name="Comma 5 2 2 3 3" xfId="4007"/>
    <cellStyle name="Comma 5 2 2 4" xfId="1545"/>
    <cellStyle name="Comma 5 2 2 5" xfId="3507"/>
    <cellStyle name="Comma 5 2 3" xfId="1162"/>
    <cellStyle name="Comma 5 2 3 2" xfId="2151"/>
    <cellStyle name="Comma 5 2 3 3" xfId="4189"/>
    <cellStyle name="Comma 5 2 4" xfId="788"/>
    <cellStyle name="Comma 5 2 4 2" xfId="1785"/>
    <cellStyle name="Comma 5 2 4 3" xfId="3820"/>
    <cellStyle name="Comma 5 2 5" xfId="1439"/>
    <cellStyle name="Comma 5 2 6" xfId="3432"/>
    <cellStyle name="Comma 5 3" xfId="362"/>
    <cellStyle name="Comma 5 3 2" xfId="967"/>
    <cellStyle name="Comma 5 3 2 2" xfId="1333"/>
    <cellStyle name="Comma 5 3 2 2 2" xfId="2322"/>
    <cellStyle name="Comma 5 3 2 2 3" xfId="4360"/>
    <cellStyle name="Comma 5 3 2 3" xfId="1957"/>
    <cellStyle name="Comma 5 3 2 4" xfId="3996"/>
    <cellStyle name="Comma 5 3 3" xfId="1151"/>
    <cellStyle name="Comma 5 3 3 2" xfId="2140"/>
    <cellStyle name="Comma 5 3 3 3" xfId="4178"/>
    <cellStyle name="Comma 5 3 4" xfId="761"/>
    <cellStyle name="Comma 5 3 4 2" xfId="1768"/>
    <cellStyle name="Comma 5 3 4 3" xfId="3800"/>
    <cellStyle name="Comma 5 3 5" xfId="1493"/>
    <cellStyle name="Comma 5 3 6" xfId="3471"/>
    <cellStyle name="Comma 5 4" xfId="956"/>
    <cellStyle name="Comma 5 4 2" xfId="1322"/>
    <cellStyle name="Comma 5 4 2 2" xfId="2311"/>
    <cellStyle name="Comma 5 4 2 3" xfId="4349"/>
    <cellStyle name="Comma 5 4 3" xfId="1946"/>
    <cellStyle name="Comma 5 4 4" xfId="3985"/>
    <cellStyle name="Comma 5 5" xfId="1140"/>
    <cellStyle name="Comma 5 5 2" xfId="2129"/>
    <cellStyle name="Comma 5 5 3" xfId="4167"/>
    <cellStyle name="Comma 5 6" xfId="734"/>
    <cellStyle name="Comma 5 6 2" xfId="1753"/>
    <cellStyle name="Comma 5 6 3" xfId="3781"/>
    <cellStyle name="Comma 5 7" xfId="1416"/>
    <cellStyle name="Comma 5 8" xfId="3405"/>
    <cellStyle name="Comma 6" xfId="268"/>
    <cellStyle name="Comma 6 2" xfId="306"/>
    <cellStyle name="Comma 6 2 2" xfId="417"/>
    <cellStyle name="Comma 6 2 2 2" xfId="1346"/>
    <cellStyle name="Comma 6 2 2 2 2" xfId="2335"/>
    <cellStyle name="Comma 6 2 2 2 3" xfId="4373"/>
    <cellStyle name="Comma 6 2 2 3" xfId="980"/>
    <cellStyle name="Comma 6 2 2 3 2" xfId="1970"/>
    <cellStyle name="Comma 6 2 2 3 3" xfId="4009"/>
    <cellStyle name="Comma 6 2 2 4" xfId="1548"/>
    <cellStyle name="Comma 6 2 2 5" xfId="3510"/>
    <cellStyle name="Comma 6 2 3" xfId="1164"/>
    <cellStyle name="Comma 6 2 3 2" xfId="2153"/>
    <cellStyle name="Comma 6 2 3 3" xfId="4191"/>
    <cellStyle name="Comma 6 2 4" xfId="791"/>
    <cellStyle name="Comma 6 2 4 2" xfId="1787"/>
    <cellStyle name="Comma 6 2 4 3" xfId="3823"/>
    <cellStyle name="Comma 6 2 5" xfId="1441"/>
    <cellStyle name="Comma 6 2 6" xfId="3435"/>
    <cellStyle name="Comma 6 3" xfId="365"/>
    <cellStyle name="Comma 6 3 2" xfId="969"/>
    <cellStyle name="Comma 6 3 2 2" xfId="1335"/>
    <cellStyle name="Comma 6 3 2 2 2" xfId="2324"/>
    <cellStyle name="Comma 6 3 2 2 3" xfId="4362"/>
    <cellStyle name="Comma 6 3 2 3" xfId="1959"/>
    <cellStyle name="Comma 6 3 2 4" xfId="3998"/>
    <cellStyle name="Comma 6 3 3" xfId="1153"/>
    <cellStyle name="Comma 6 3 3 2" xfId="2142"/>
    <cellStyle name="Comma 6 3 3 3" xfId="4180"/>
    <cellStyle name="Comma 6 3 4" xfId="764"/>
    <cellStyle name="Comma 6 3 4 2" xfId="1770"/>
    <cellStyle name="Comma 6 3 4 3" xfId="3802"/>
    <cellStyle name="Comma 6 3 5" xfId="1496"/>
    <cellStyle name="Comma 6 3 6" xfId="3473"/>
    <cellStyle name="Comma 6 4" xfId="958"/>
    <cellStyle name="Comma 6 4 2" xfId="1324"/>
    <cellStyle name="Comma 6 4 2 2" xfId="2313"/>
    <cellStyle name="Comma 6 4 2 3" xfId="4351"/>
    <cellStyle name="Comma 6 4 3" xfId="1948"/>
    <cellStyle name="Comma 6 4 4" xfId="3987"/>
    <cellStyle name="Comma 6 5" xfId="1142"/>
    <cellStyle name="Comma 6 5 2" xfId="2131"/>
    <cellStyle name="Comma 6 5 3" xfId="4169"/>
    <cellStyle name="Comma 6 6" xfId="737"/>
    <cellStyle name="Comma 6 6 2" xfId="1755"/>
    <cellStyle name="Comma 6 6 3" xfId="3783"/>
    <cellStyle name="Comma 6 7" xfId="1418"/>
    <cellStyle name="Comma 6 8" xfId="3408"/>
    <cellStyle name="Comma 7" xfId="270"/>
    <cellStyle name="Comma 7 2" xfId="308"/>
    <cellStyle name="Comma 7 2 2" xfId="419"/>
    <cellStyle name="Comma 7 2 2 2" xfId="1348"/>
    <cellStyle name="Comma 7 2 2 2 2" xfId="2337"/>
    <cellStyle name="Comma 7 2 2 2 3" xfId="4375"/>
    <cellStyle name="Comma 7 2 2 3" xfId="982"/>
    <cellStyle name="Comma 7 2 2 3 2" xfId="1972"/>
    <cellStyle name="Comma 7 2 2 3 3" xfId="4011"/>
    <cellStyle name="Comma 7 2 2 4" xfId="1550"/>
    <cellStyle name="Comma 7 2 2 5" xfId="3512"/>
    <cellStyle name="Comma 7 2 3" xfId="1166"/>
    <cellStyle name="Comma 7 2 3 2" xfId="2155"/>
    <cellStyle name="Comma 7 2 3 3" xfId="4193"/>
    <cellStyle name="Comma 7 2 4" xfId="793"/>
    <cellStyle name="Comma 7 2 4 2" xfId="1789"/>
    <cellStyle name="Comma 7 2 4 3" xfId="3825"/>
    <cellStyle name="Comma 7 2 5" xfId="1443"/>
    <cellStyle name="Comma 7 2 6" xfId="3437"/>
    <cellStyle name="Comma 7 3" xfId="367"/>
    <cellStyle name="Comma 7 3 2" xfId="971"/>
    <cellStyle name="Comma 7 3 2 2" xfId="1337"/>
    <cellStyle name="Comma 7 3 2 2 2" xfId="2326"/>
    <cellStyle name="Comma 7 3 2 2 3" xfId="4364"/>
    <cellStyle name="Comma 7 3 2 3" xfId="1961"/>
    <cellStyle name="Comma 7 3 2 4" xfId="4000"/>
    <cellStyle name="Comma 7 3 3" xfId="1155"/>
    <cellStyle name="Comma 7 3 3 2" xfId="2144"/>
    <cellStyle name="Comma 7 3 3 3" xfId="4182"/>
    <cellStyle name="Comma 7 3 4" xfId="766"/>
    <cellStyle name="Comma 7 3 4 2" xfId="1772"/>
    <cellStyle name="Comma 7 3 4 3" xfId="3804"/>
    <cellStyle name="Comma 7 3 5" xfId="1498"/>
    <cellStyle name="Comma 7 3 6" xfId="3475"/>
    <cellStyle name="Comma 7 4" xfId="960"/>
    <cellStyle name="Comma 7 4 2" xfId="1326"/>
    <cellStyle name="Comma 7 4 2 2" xfId="2315"/>
    <cellStyle name="Comma 7 4 2 3" xfId="4353"/>
    <cellStyle name="Comma 7 4 3" xfId="1950"/>
    <cellStyle name="Comma 7 4 4" xfId="3989"/>
    <cellStyle name="Comma 7 5" xfId="1144"/>
    <cellStyle name="Comma 7 5 2" xfId="2133"/>
    <cellStyle name="Comma 7 5 3" xfId="4171"/>
    <cellStyle name="Comma 7 6" xfId="739"/>
    <cellStyle name="Comma 7 6 2" xfId="1757"/>
    <cellStyle name="Comma 7 6 3" xfId="3785"/>
    <cellStyle name="Comma 7 7" xfId="1420"/>
    <cellStyle name="Comma 7 8" xfId="3410"/>
    <cellStyle name="Comma 8" xfId="272"/>
    <cellStyle name="Comma 8 2" xfId="310"/>
    <cellStyle name="Comma 8 2 2" xfId="421"/>
    <cellStyle name="Comma 8 2 2 2" xfId="1350"/>
    <cellStyle name="Comma 8 2 2 2 2" xfId="2339"/>
    <cellStyle name="Comma 8 2 2 2 3" xfId="4377"/>
    <cellStyle name="Comma 8 2 2 3" xfId="984"/>
    <cellStyle name="Comma 8 2 2 3 2" xfId="1974"/>
    <cellStyle name="Comma 8 2 2 3 3" xfId="4013"/>
    <cellStyle name="Comma 8 2 2 4" xfId="1552"/>
    <cellStyle name="Comma 8 2 2 5" xfId="3514"/>
    <cellStyle name="Comma 8 2 3" xfId="1168"/>
    <cellStyle name="Comma 8 2 3 2" xfId="2157"/>
    <cellStyle name="Comma 8 2 3 3" xfId="4195"/>
    <cellStyle name="Comma 8 2 4" xfId="795"/>
    <cellStyle name="Comma 8 2 4 2" xfId="1791"/>
    <cellStyle name="Comma 8 2 4 3" xfId="3827"/>
    <cellStyle name="Comma 8 2 5" xfId="1445"/>
    <cellStyle name="Comma 8 2 6" xfId="3439"/>
    <cellStyle name="Comma 8 3" xfId="369"/>
    <cellStyle name="Comma 8 3 2" xfId="973"/>
    <cellStyle name="Comma 8 3 2 2" xfId="1339"/>
    <cellStyle name="Comma 8 3 2 2 2" xfId="2328"/>
    <cellStyle name="Comma 8 3 2 2 3" xfId="4366"/>
    <cellStyle name="Comma 8 3 2 3" xfId="1963"/>
    <cellStyle name="Comma 8 3 2 4" xfId="4002"/>
    <cellStyle name="Comma 8 3 3" xfId="1157"/>
    <cellStyle name="Comma 8 3 3 2" xfId="2146"/>
    <cellStyle name="Comma 8 3 3 3" xfId="4184"/>
    <cellStyle name="Comma 8 3 4" xfId="768"/>
    <cellStyle name="Comma 8 3 4 2" xfId="1774"/>
    <cellStyle name="Comma 8 3 4 3" xfId="3806"/>
    <cellStyle name="Comma 8 3 5" xfId="1500"/>
    <cellStyle name="Comma 8 3 6" xfId="3477"/>
    <cellStyle name="Comma 8 4" xfId="962"/>
    <cellStyle name="Comma 8 4 2" xfId="1328"/>
    <cellStyle name="Comma 8 4 2 2" xfId="2317"/>
    <cellStyle name="Comma 8 4 2 3" xfId="4355"/>
    <cellStyle name="Comma 8 4 3" xfId="1952"/>
    <cellStyle name="Comma 8 4 4" xfId="3991"/>
    <cellStyle name="Comma 8 5" xfId="1146"/>
    <cellStyle name="Comma 8 5 2" xfId="2135"/>
    <cellStyle name="Comma 8 5 3" xfId="4173"/>
    <cellStyle name="Comma 8 6" xfId="741"/>
    <cellStyle name="Comma 8 6 2" xfId="1759"/>
    <cellStyle name="Comma 8 6 3" xfId="3787"/>
    <cellStyle name="Comma 8 7" xfId="1422"/>
    <cellStyle name="Comma 8 8" xfId="3412"/>
    <cellStyle name="Comma 9" xfId="274"/>
    <cellStyle name="Comma 9 2" xfId="312"/>
    <cellStyle name="Comma 9 2 2" xfId="423"/>
    <cellStyle name="Comma 9 2 2 2" xfId="1352"/>
    <cellStyle name="Comma 9 2 2 2 2" xfId="2341"/>
    <cellStyle name="Comma 9 2 2 2 3" xfId="4379"/>
    <cellStyle name="Comma 9 2 2 3" xfId="986"/>
    <cellStyle name="Comma 9 2 2 3 2" xfId="1976"/>
    <cellStyle name="Comma 9 2 2 3 3" xfId="4015"/>
    <cellStyle name="Comma 9 2 2 4" xfId="1554"/>
    <cellStyle name="Comma 9 2 2 5" xfId="3516"/>
    <cellStyle name="Comma 9 2 3" xfId="1170"/>
    <cellStyle name="Comma 9 2 3 2" xfId="2159"/>
    <cellStyle name="Comma 9 2 3 3" xfId="4197"/>
    <cellStyle name="Comma 9 2 4" xfId="797"/>
    <cellStyle name="Comma 9 2 4 2" xfId="1793"/>
    <cellStyle name="Comma 9 2 4 3" xfId="3829"/>
    <cellStyle name="Comma 9 2 5" xfId="1447"/>
    <cellStyle name="Comma 9 2 6" xfId="3441"/>
    <cellStyle name="Comma 9 3" xfId="371"/>
    <cellStyle name="Comma 9 3 2" xfId="975"/>
    <cellStyle name="Comma 9 3 2 2" xfId="1341"/>
    <cellStyle name="Comma 9 3 2 2 2" xfId="2330"/>
    <cellStyle name="Comma 9 3 2 2 3" xfId="4368"/>
    <cellStyle name="Comma 9 3 2 3" xfId="1965"/>
    <cellStyle name="Comma 9 3 2 4" xfId="4004"/>
    <cellStyle name="Comma 9 3 3" xfId="1159"/>
    <cellStyle name="Comma 9 3 3 2" xfId="2148"/>
    <cellStyle name="Comma 9 3 3 3" xfId="4186"/>
    <cellStyle name="Comma 9 3 4" xfId="770"/>
    <cellStyle name="Comma 9 3 4 2" xfId="1776"/>
    <cellStyle name="Comma 9 3 4 3" xfId="3808"/>
    <cellStyle name="Comma 9 3 5" xfId="1502"/>
    <cellStyle name="Comma 9 3 6" xfId="3479"/>
    <cellStyle name="Comma 9 4" xfId="964"/>
    <cellStyle name="Comma 9 4 2" xfId="1330"/>
    <cellStyle name="Comma 9 4 2 2" xfId="2319"/>
    <cellStyle name="Comma 9 4 2 3" xfId="4357"/>
    <cellStyle name="Comma 9 4 3" xfId="1954"/>
    <cellStyle name="Comma 9 4 4" xfId="3993"/>
    <cellStyle name="Comma 9 5" xfId="1148"/>
    <cellStyle name="Comma 9 5 2" xfId="2137"/>
    <cellStyle name="Comma 9 5 3" xfId="4175"/>
    <cellStyle name="Comma 9 6" xfId="743"/>
    <cellStyle name="Comma 9 6 2" xfId="1761"/>
    <cellStyle name="Comma 9 6 3" xfId="3789"/>
    <cellStyle name="Comma 9 7" xfId="1424"/>
    <cellStyle name="Comma 9 8" xfId="3414"/>
    <cellStyle name="Comma Centered" xfId="33"/>
    <cellStyle name="Comma Centered 2" xfId="799"/>
    <cellStyle name="Comma, Centered" xfId="66"/>
    <cellStyle name="Comma, No Dec" xfId="67"/>
    <cellStyle name="Comma, No Dec 2" xfId="166"/>
    <cellStyle name="Comma, No Dec 2 2" xfId="473"/>
    <cellStyle name="Comma, No Dec 3" xfId="133"/>
    <cellStyle name="Comma, No Dec 3 2" xfId="682"/>
    <cellStyle name="Comma, No Dec 4" xfId="103"/>
    <cellStyle name="Comma, No Dec 4 2" xfId="654"/>
    <cellStyle name="Comma, No Dec 5" xfId="446"/>
    <cellStyle name="Comma, No Dec No 0" xfId="68"/>
    <cellStyle name="Comma, No Dec No 0 2" xfId="167"/>
    <cellStyle name="Comma, No Dec No 0 2 2" xfId="474"/>
    <cellStyle name="Comma, No Dec No 0 3" xfId="134"/>
    <cellStyle name="Comma, No Dec No 0 3 2" xfId="683"/>
    <cellStyle name="Comma, No Dec No 0 4" xfId="104"/>
    <cellStyle name="Comma, No Dec No 0 4 2" xfId="655"/>
    <cellStyle name="Comma, No Dec No 0 5" xfId="447"/>
    <cellStyle name="Comma, No Dec No 0_analysis" xfId="230"/>
    <cellStyle name="Comma, No Dec_analysis" xfId="229"/>
    <cellStyle name="Comma, Pos" xfId="69"/>
    <cellStyle name="Comma, Pos 2" xfId="168"/>
    <cellStyle name="Comma, Pos 2 2" xfId="475"/>
    <cellStyle name="Comma, Pos 3" xfId="135"/>
    <cellStyle name="Comma, Pos 3 2" xfId="684"/>
    <cellStyle name="Comma, Pos 4" xfId="105"/>
    <cellStyle name="Comma, Pos 4 2" xfId="656"/>
    <cellStyle name="Comma, Pos 5" xfId="448"/>
    <cellStyle name="Comma, Pos, No Dec" xfId="70"/>
    <cellStyle name="Comma, Pos, No Dec 2" xfId="169"/>
    <cellStyle name="Comma, Pos, No Dec 2 2" xfId="476"/>
    <cellStyle name="Comma, Pos, No Dec 3" xfId="136"/>
    <cellStyle name="Comma, Pos, No Dec 3 2" xfId="685"/>
    <cellStyle name="Comma, Pos, No Dec 4" xfId="106"/>
    <cellStyle name="Comma, Pos, No Dec 4 2" xfId="657"/>
    <cellStyle name="Comma, Pos, No Dec 5" xfId="449"/>
    <cellStyle name="Comma, Pos, No Dec, No 0" xfId="71"/>
    <cellStyle name="Comma, Pos, No Dec, No 0 2" xfId="170"/>
    <cellStyle name="Comma, Pos, No Dec, No 0 2 2" xfId="477"/>
    <cellStyle name="Comma, Pos, No Dec, No 0 3" xfId="137"/>
    <cellStyle name="Comma, Pos, No Dec, No 0 3 2" xfId="686"/>
    <cellStyle name="Comma, Pos, No Dec, No 0 4" xfId="107"/>
    <cellStyle name="Comma, Pos, No Dec, No 0 4 2" xfId="658"/>
    <cellStyle name="Comma, Pos, No Dec, No 0 5" xfId="450"/>
    <cellStyle name="Comma, Pos, No Dec, No 0_analysis" xfId="233"/>
    <cellStyle name="Comma, Pos, No Dec_analysis" xfId="232"/>
    <cellStyle name="Comma, Pos_analysis" xfId="231"/>
    <cellStyle name="Comma0" xfId="72"/>
    <cellStyle name="Comma0 - Style4" xfId="73"/>
    <cellStyle name="Comma0 - Style4 2" xfId="659"/>
    <cellStyle name="Comma0 - Style4 3" xfId="451"/>
    <cellStyle name="Comma0 10" xfId="247"/>
    <cellStyle name="Comma0 11" xfId="251"/>
    <cellStyle name="Comma0 12" xfId="276"/>
    <cellStyle name="Comma0 13" xfId="108"/>
    <cellStyle name="Comma0 14" xfId="102"/>
    <cellStyle name="Comma0 15" xfId="278"/>
    <cellStyle name="Comma0 16" xfId="745"/>
    <cellStyle name="Comma0 17" xfId="805"/>
    <cellStyle name="Comma0 18" xfId="989"/>
    <cellStyle name="Comma0 2" xfId="171"/>
    <cellStyle name="Comma0 3" xfId="172"/>
    <cellStyle name="Comma0 4" xfId="173"/>
    <cellStyle name="Comma0 5" xfId="174"/>
    <cellStyle name="Comma0 6" xfId="138"/>
    <cellStyle name="Comma0 7" xfId="130"/>
    <cellStyle name="Comma0 8" xfId="245"/>
    <cellStyle name="Comma0 9" xfId="248"/>
    <cellStyle name="Comma0_analysis" xfId="234"/>
    <cellStyle name="Comma000" xfId="74"/>
    <cellStyle name="Comma000 2" xfId="175"/>
    <cellStyle name="Comma000 3" xfId="139"/>
    <cellStyle name="Comma000 4" xfId="109"/>
    <cellStyle name="Comma000_analysis" xfId="235"/>
    <cellStyle name="Comma1 - Style1" xfId="75"/>
    <cellStyle name="Comma1 - Style1 2" xfId="660"/>
    <cellStyle name="Comma1 - Style1 3" xfId="452"/>
    <cellStyle name="ContentsHyperlink" xfId="76"/>
    <cellStyle name="ContentsHyperlink 2" xfId="176"/>
    <cellStyle name="ContentsHyperlink 2 2" xfId="478"/>
    <cellStyle name="ContentsHyperlink 3" xfId="140"/>
    <cellStyle name="ContentsHyperlink 3 2" xfId="687"/>
    <cellStyle name="ContentsHyperlink 4" xfId="110"/>
    <cellStyle name="ContentsHyperlink 4 2" xfId="661"/>
    <cellStyle name="ContentsHyperlink 5" xfId="453"/>
    <cellStyle name="ContentsHyperlink_analysis" xfId="236"/>
    <cellStyle name="Curren - Style2" xfId="77"/>
    <cellStyle name="Curren - Style2 2" xfId="662"/>
    <cellStyle name="Curren - Style2 3" xfId="454"/>
    <cellStyle name="Curren - Style5" xfId="78"/>
    <cellStyle name="Curren - Style5 2" xfId="663"/>
    <cellStyle name="Curren - Style5 3" xfId="455"/>
    <cellStyle name="Currency [0] (000)" xfId="79"/>
    <cellStyle name="Currency [0] (000,000)" xfId="177"/>
    <cellStyle name="Currency [0] 2" xfId="800"/>
    <cellStyle name="Currency [0] 3Zero" xfId="178"/>
    <cellStyle name="Currency [0] Centered" xfId="152"/>
    <cellStyle name="Currency 000" xfId="225"/>
    <cellStyle name="Currency 2" xfId="179"/>
    <cellStyle name="Currency 2 2" xfId="180"/>
    <cellStyle name="Currency 2 2 2" xfId="181"/>
    <cellStyle name="Currency 2 2 2 2" xfId="705"/>
    <cellStyle name="Currency 2 2 2 3" xfId="946"/>
    <cellStyle name="Currency 2 2 2 3 2" xfId="1312"/>
    <cellStyle name="Currency 2 2 2 3 2 2" xfId="2301"/>
    <cellStyle name="Currency 2 2 2 3 2 3" xfId="4339"/>
    <cellStyle name="Currency 2 2 2 3 3" xfId="1936"/>
    <cellStyle name="Currency 2 2 2 3 4" xfId="3975"/>
    <cellStyle name="Currency 2 2 2 4" xfId="1130"/>
    <cellStyle name="Currency 2 2 2 4 2" xfId="2119"/>
    <cellStyle name="Currency 2 2 2 4 3" xfId="4157"/>
    <cellStyle name="Currency 2 2 2 5" xfId="631"/>
    <cellStyle name="Currency 2 2 2 5 2" xfId="1721"/>
    <cellStyle name="Currency 2 2 2 5 3" xfId="3702"/>
    <cellStyle name="Currency 2 2 3" xfId="182"/>
    <cellStyle name="Currency 2 2 3 2" xfId="706"/>
    <cellStyle name="Currency 2 2 3 3" xfId="954"/>
    <cellStyle name="Currency 2 2 3 3 2" xfId="1320"/>
    <cellStyle name="Currency 2 2 3 3 2 2" xfId="2309"/>
    <cellStyle name="Currency 2 2 3 3 2 3" xfId="4347"/>
    <cellStyle name="Currency 2 2 3 3 3" xfId="1944"/>
    <cellStyle name="Currency 2 2 3 3 4" xfId="3983"/>
    <cellStyle name="Currency 2 2 3 4" xfId="1138"/>
    <cellStyle name="Currency 2 2 3 4 2" xfId="2127"/>
    <cellStyle name="Currency 2 2 3 4 3" xfId="4165"/>
    <cellStyle name="Currency 2 2 3 5" xfId="643"/>
    <cellStyle name="Currency 2 2 3 5 2" xfId="1730"/>
    <cellStyle name="Currency 2 2 3 5 3" xfId="3714"/>
    <cellStyle name="Currency 2 2 4" xfId="704"/>
    <cellStyle name="Currency 2 2 5" xfId="813"/>
    <cellStyle name="Currency 2 2 5 2" xfId="1179"/>
    <cellStyle name="Currency 2 2 5 2 2" xfId="2168"/>
    <cellStyle name="Currency 2 2 5 2 3" xfId="4206"/>
    <cellStyle name="Currency 2 2 5 3" xfId="1803"/>
    <cellStyle name="Currency 2 2 5 4" xfId="3842"/>
    <cellStyle name="Currency 2 2 6" xfId="997"/>
    <cellStyle name="Currency 2 2 6 2" xfId="1986"/>
    <cellStyle name="Currency 2 2 6 3" xfId="4024"/>
    <cellStyle name="Currency 2 2 7" xfId="496"/>
    <cellStyle name="Currency 2 2 7 2" xfId="1587"/>
    <cellStyle name="Currency 2 2 7 3" xfId="3567"/>
    <cellStyle name="Currency 2 3" xfId="183"/>
    <cellStyle name="Currency 2 3 2" xfId="707"/>
    <cellStyle name="Currency 2 3 3" xfId="880"/>
    <cellStyle name="Currency 2 3 3 2" xfId="1246"/>
    <cellStyle name="Currency 2 3 3 2 2" xfId="2235"/>
    <cellStyle name="Currency 2 3 3 2 3" xfId="4273"/>
    <cellStyle name="Currency 2 3 3 3" xfId="1870"/>
    <cellStyle name="Currency 2 3 3 4" xfId="3909"/>
    <cellStyle name="Currency 2 3 4" xfId="1064"/>
    <cellStyle name="Currency 2 3 4 2" xfId="2053"/>
    <cellStyle name="Currency 2 3 4 3" xfId="4091"/>
    <cellStyle name="Currency 2 3 5" xfId="565"/>
    <cellStyle name="Currency 2 3 5 2" xfId="1655"/>
    <cellStyle name="Currency 2 3 5 3" xfId="3636"/>
    <cellStyle name="Currency 2 4" xfId="184"/>
    <cellStyle name="Currency 2 4 2" xfId="708"/>
    <cellStyle name="Currency 2 4 3" xfId="950"/>
    <cellStyle name="Currency 2 4 3 2" xfId="1316"/>
    <cellStyle name="Currency 2 4 3 2 2" xfId="2305"/>
    <cellStyle name="Currency 2 4 3 2 3" xfId="4343"/>
    <cellStyle name="Currency 2 4 3 3" xfId="1940"/>
    <cellStyle name="Currency 2 4 3 4" xfId="3979"/>
    <cellStyle name="Currency 2 4 4" xfId="1134"/>
    <cellStyle name="Currency 2 4 4 2" xfId="2123"/>
    <cellStyle name="Currency 2 4 4 3" xfId="4161"/>
    <cellStyle name="Currency 2 4 5" xfId="637"/>
    <cellStyle name="Currency 2 4 5 2" xfId="1726"/>
    <cellStyle name="Currency 2 4 5 3" xfId="3708"/>
    <cellStyle name="Currency 2 5" xfId="703"/>
    <cellStyle name="Currency 2 6" xfId="809"/>
    <cellStyle name="Currency 2 6 2" xfId="1175"/>
    <cellStyle name="Currency 2 6 2 2" xfId="2164"/>
    <cellStyle name="Currency 2 6 2 3" xfId="4202"/>
    <cellStyle name="Currency 2 6 3" xfId="1799"/>
    <cellStyle name="Currency 2 6 4" xfId="3838"/>
    <cellStyle name="Currency 2 7" xfId="993"/>
    <cellStyle name="Currency 2 7 2" xfId="1982"/>
    <cellStyle name="Currency 2 7 3" xfId="4020"/>
    <cellStyle name="Currency 2 8" xfId="490"/>
    <cellStyle name="Currency 2 8 2" xfId="1583"/>
    <cellStyle name="Currency 2 8 3" xfId="3562"/>
    <cellStyle name="Currency 3" xfId="185"/>
    <cellStyle name="Currency 4" xfId="186"/>
    <cellStyle name="Currency 5" xfId="456"/>
    <cellStyle name="Currency Centered" xfId="801"/>
    <cellStyle name="Currency Centered 2" xfId="988"/>
    <cellStyle name="Currency Centered 2 2" xfId="1978"/>
    <cellStyle name="Currency, No Dec" xfId="80"/>
    <cellStyle name="Currency, No Dec 2" xfId="187"/>
    <cellStyle name="Currency, No Dec 2 2" xfId="479"/>
    <cellStyle name="Currency, No Dec 3" xfId="141"/>
    <cellStyle name="Currency, No Dec 3 2" xfId="688"/>
    <cellStyle name="Currency, No Dec 4" xfId="111"/>
    <cellStyle name="Currency, No Dec 4 2" xfId="664"/>
    <cellStyle name="Currency, No Dec 5" xfId="457"/>
    <cellStyle name="Currency, No Dec_analysis" xfId="237"/>
    <cellStyle name="Currency, Pos, 2 Dec" xfId="81"/>
    <cellStyle name="Currency, Pos, 2 Dec 2" xfId="188"/>
    <cellStyle name="Currency, Pos, 2 Dec 2 2" xfId="480"/>
    <cellStyle name="Currency, Pos, 2 Dec 3" xfId="142"/>
    <cellStyle name="Currency, Pos, 2 Dec 3 2" xfId="689"/>
    <cellStyle name="Currency, Pos, 2 Dec 4" xfId="112"/>
    <cellStyle name="Currency, Pos, 2 Dec 4 2" xfId="665"/>
    <cellStyle name="Currency, Pos, 2 Dec 5" xfId="458"/>
    <cellStyle name="Currency, Pos, 2 Dec_analysis" xfId="238"/>
    <cellStyle name="Currency, Pos, No Dec" xfId="82"/>
    <cellStyle name="Currency, Pos, No Dec 2" xfId="189"/>
    <cellStyle name="Currency, Pos, No Dec 2 2" xfId="481"/>
    <cellStyle name="Currency, Pos, No Dec 3" xfId="143"/>
    <cellStyle name="Currency, Pos, No Dec 3 2" xfId="690"/>
    <cellStyle name="Currency, Pos, No Dec 4" xfId="113"/>
    <cellStyle name="Currency, Pos, No Dec 4 2" xfId="666"/>
    <cellStyle name="Currency, Pos, No Dec 5" xfId="459"/>
    <cellStyle name="Currency, Pos, No Dec_analysis" xfId="239"/>
    <cellStyle name="Currency0" xfId="83"/>
    <cellStyle name="Currency0 2" xfId="190"/>
    <cellStyle name="Currency0 3" xfId="144"/>
    <cellStyle name="Currency0 4" xfId="114"/>
    <cellStyle name="Currency0_analysis" xfId="240"/>
    <cellStyle name="Date" xfId="34"/>
    <cellStyle name="Date 2" xfId="84"/>
    <cellStyle name="Date 2 2" xfId="191"/>
    <cellStyle name="Date 2 3" xfId="482"/>
    <cellStyle name="Date 3" xfId="145"/>
    <cellStyle name="Date 3 2" xfId="691"/>
    <cellStyle name="Date 4" xfId="115"/>
    <cellStyle name="Date 4 2" xfId="667"/>
    <cellStyle name="Date 5" xfId="460"/>
    <cellStyle name="Date_adj" xfId="192"/>
    <cellStyle name="DateTTM" xfId="85"/>
    <cellStyle name="Decision" xfId="86"/>
    <cellStyle name="Euro" xfId="35"/>
    <cellStyle name="Euro 2" xfId="668"/>
    <cellStyle name="Explanatory Text" xfId="36" builtinId="53" customBuiltin="1"/>
    <cellStyle name="Feedback000" xfId="87"/>
    <cellStyle name="Feedback000 2" xfId="669"/>
    <cellStyle name="Feedback000 3" xfId="461"/>
    <cellStyle name="Feedback000,000" xfId="88"/>
    <cellStyle name="Feedback000,000 2" xfId="670"/>
    <cellStyle name="Feedback000,000 3" xfId="462"/>
    <cellStyle name="Feedback000_adj" xfId="193"/>
    <cellStyle name="Fixed" xfId="89"/>
    <cellStyle name="Fixed 2" xfId="194"/>
    <cellStyle name="Fixed 3" xfId="146"/>
    <cellStyle name="Fixed 4" xfId="116"/>
    <cellStyle name="Fixed_analysis" xfId="241"/>
    <cellStyle name="Fixed3 - Style3" xfId="90"/>
    <cellStyle name="Fixed3 - Style3 2" xfId="671"/>
    <cellStyle name="Fixed3 - Style3 3" xfId="463"/>
    <cellStyle name="Fraction (1)" xfId="37"/>
    <cellStyle name="Fraction (1) 2" xfId="195"/>
    <cellStyle name="Fraction (1) 2 2" xfId="196"/>
    <cellStyle name="Fraction (1) 2 2 10" xfId="492"/>
    <cellStyle name="Fraction (1) 2 2 2" xfId="197"/>
    <cellStyle name="Fraction (1) 2 2 2 2" xfId="262"/>
    <cellStyle name="Fraction (1) 2 2 2 2 2" xfId="300"/>
    <cellStyle name="Fraction (1) 2 2 2 2 2 2" xfId="124"/>
    <cellStyle name="Fraction (1) 2 2 2 2 2 2 2" xfId="1382"/>
    <cellStyle name="Fraction (1) 2 2 2 2 2 3" xfId="411"/>
    <cellStyle name="Fraction (1) 2 2 2 2 2 3 2" xfId="1542"/>
    <cellStyle name="Fraction (1) 2 2 2 2 2 4" xfId="327"/>
    <cellStyle name="Fraction (1) 2 2 2 2 2 4 2" xfId="1458"/>
    <cellStyle name="Fraction (1) 2 2 2 2 2 5" xfId="433"/>
    <cellStyle name="Fraction (1) 2 2 2 2 2 5 2" xfId="1564"/>
    <cellStyle name="Fraction (1) 2 2 2 2 2 6" xfId="785"/>
    <cellStyle name="Fraction (1) 2 2 2 2 3" xfId="282"/>
    <cellStyle name="Fraction (1) 2 2 2 2 3 2" xfId="758"/>
    <cellStyle name="Fraction (1) 2 2 2 2 4" xfId="359"/>
    <cellStyle name="Fraction (1) 2 2 2 2 4 2" xfId="1490"/>
    <cellStyle name="Fraction (1) 2 2 2 2 5" xfId="392"/>
    <cellStyle name="Fraction (1) 2 2 2 2 5 2" xfId="1523"/>
    <cellStyle name="Fraction (1) 2 2 2 2 6" xfId="376"/>
    <cellStyle name="Fraction (1) 2 2 2 2 6 2" xfId="1507"/>
    <cellStyle name="Fraction (1) 2 2 2 2 7" xfId="731"/>
    <cellStyle name="Fraction (1) 2 2 2 3" xfId="287"/>
    <cellStyle name="Fraction (1) 2 2 2 3 2" xfId="256"/>
    <cellStyle name="Fraction (1) 2 2 2 3 2 2" xfId="775"/>
    <cellStyle name="Fraction (1) 2 2 2 3 3" xfId="398"/>
    <cellStyle name="Fraction (1) 2 2 2 3 3 2" xfId="1529"/>
    <cellStyle name="Fraction (1) 2 2 2 3 4" xfId="353"/>
    <cellStyle name="Fraction (1) 2 2 2 3 4 2" xfId="1484"/>
    <cellStyle name="Fraction (1) 2 2 2 3 5" xfId="334"/>
    <cellStyle name="Fraction (1) 2 2 2 3 5 2" xfId="1465"/>
    <cellStyle name="Fraction (1) 2 2 2 3 6" xfId="709"/>
    <cellStyle name="Fraction (1) 2 2 2 4" xfId="318"/>
    <cellStyle name="Fraction (1) 2 2 2 4 2" xfId="748"/>
    <cellStyle name="Fraction (1) 2 2 2 5" xfId="340"/>
    <cellStyle name="Fraction (1) 2 2 2 5 2" xfId="1471"/>
    <cellStyle name="Fraction (1) 2 2 2 6" xfId="431"/>
    <cellStyle name="Fraction (1) 2 2 2 6 2" xfId="1562"/>
    <cellStyle name="Fraction (1) 2 2 2 7" xfId="386"/>
    <cellStyle name="Fraction (1) 2 2 2 7 2" xfId="1517"/>
    <cellStyle name="Fraction (1) 2 2 2 8" xfId="633"/>
    <cellStyle name="Fraction (1) 2 2 3" xfId="198"/>
    <cellStyle name="Fraction (1) 2 2 3 2" xfId="244"/>
    <cellStyle name="Fraction (1) 2 2 3 2 2" xfId="293"/>
    <cellStyle name="Fraction (1) 2 2 3 2 2 2" xfId="250"/>
    <cellStyle name="Fraction (1) 2 2 3 2 2 2 2" xfId="1406"/>
    <cellStyle name="Fraction (1) 2 2 3 2 2 3" xfId="403"/>
    <cellStyle name="Fraction (1) 2 2 3 2 2 3 2" xfId="1534"/>
    <cellStyle name="Fraction (1) 2 2 3 2 2 4" xfId="348"/>
    <cellStyle name="Fraction (1) 2 2 3 2 2 4 2" xfId="1479"/>
    <cellStyle name="Fraction (1) 2 2 3 2 2 5" xfId="323"/>
    <cellStyle name="Fraction (1) 2 2 3 2 2 5 2" xfId="1454"/>
    <cellStyle name="Fraction (1) 2 2 3 2 2 6" xfId="780"/>
    <cellStyle name="Fraction (1) 2 2 3 2 3" xfId="296"/>
    <cellStyle name="Fraction (1) 2 2 3 2 3 2" xfId="753"/>
    <cellStyle name="Fraction (1) 2 2 3 2 4" xfId="346"/>
    <cellStyle name="Fraction (1) 2 2 3 2 4 2" xfId="1477"/>
    <cellStyle name="Fraction (1) 2 2 3 2 5" xfId="406"/>
    <cellStyle name="Fraction (1) 2 2 3 2 5 2" xfId="1537"/>
    <cellStyle name="Fraction (1) 2 2 3 2 6" xfId="381"/>
    <cellStyle name="Fraction (1) 2 2 3 2 6 2" xfId="1512"/>
    <cellStyle name="Fraction (1) 2 2 3 2 7" xfId="726"/>
    <cellStyle name="Fraction (1) 2 2 3 3" xfId="288"/>
    <cellStyle name="Fraction (1) 2 2 3 3 2" xfId="255"/>
    <cellStyle name="Fraction (1) 2 2 3 3 2 2" xfId="1409"/>
    <cellStyle name="Fraction (1) 2 2 3 3 3" xfId="399"/>
    <cellStyle name="Fraction (1) 2 2 3 3 3 2" xfId="1530"/>
    <cellStyle name="Fraction (1) 2 2 3 3 4" xfId="352"/>
    <cellStyle name="Fraction (1) 2 2 3 3 4 2" xfId="1483"/>
    <cellStyle name="Fraction (1) 2 2 3 3 5" xfId="333"/>
    <cellStyle name="Fraction (1) 2 2 3 3 5 2" xfId="1464"/>
    <cellStyle name="Fraction (1) 2 2 3 3 6" xfId="776"/>
    <cellStyle name="Fraction (1) 2 2 3 4" xfId="317"/>
    <cellStyle name="Fraction (1) 2 2 3 4 2" xfId="749"/>
    <cellStyle name="Fraction (1) 2 2 3 5" xfId="341"/>
    <cellStyle name="Fraction (1) 2 2 3 5 2" xfId="1472"/>
    <cellStyle name="Fraction (1) 2 2 3 6" xfId="430"/>
    <cellStyle name="Fraction (1) 2 2 3 6 2" xfId="1561"/>
    <cellStyle name="Fraction (1) 2 2 3 7" xfId="385"/>
    <cellStyle name="Fraction (1) 2 2 3 7 2" xfId="1516"/>
    <cellStyle name="Fraction (1) 2 2 3 8" xfId="639"/>
    <cellStyle name="Fraction (1) 2 2 4" xfId="261"/>
    <cellStyle name="Fraction (1) 2 2 4 2" xfId="299"/>
    <cellStyle name="Fraction (1) 2 2 4 2 2" xfId="125"/>
    <cellStyle name="Fraction (1) 2 2 4 2 2 2" xfId="1383"/>
    <cellStyle name="Fraction (1) 2 2 4 2 3" xfId="410"/>
    <cellStyle name="Fraction (1) 2 2 4 2 3 2" xfId="1541"/>
    <cellStyle name="Fraction (1) 2 2 4 2 4" xfId="328"/>
    <cellStyle name="Fraction (1) 2 2 4 2 4 2" xfId="1459"/>
    <cellStyle name="Fraction (1) 2 2 4 2 5" xfId="434"/>
    <cellStyle name="Fraction (1) 2 2 4 2 5 2" xfId="1565"/>
    <cellStyle name="Fraction (1) 2 2 4 2 6" xfId="784"/>
    <cellStyle name="Fraction (1) 2 2 4 3" xfId="283"/>
    <cellStyle name="Fraction (1) 2 2 4 3 2" xfId="757"/>
    <cellStyle name="Fraction (1) 2 2 4 4" xfId="358"/>
    <cellStyle name="Fraction (1) 2 2 4 4 2" xfId="1489"/>
    <cellStyle name="Fraction (1) 2 2 4 5" xfId="393"/>
    <cellStyle name="Fraction (1) 2 2 4 5 2" xfId="1524"/>
    <cellStyle name="Fraction (1) 2 2 4 6" xfId="377"/>
    <cellStyle name="Fraction (1) 2 2 4 6 2" xfId="1508"/>
    <cellStyle name="Fraction (1) 2 2 4 7" xfId="730"/>
    <cellStyle name="Fraction (1) 2 2 5" xfId="286"/>
    <cellStyle name="Fraction (1) 2 2 5 2" xfId="257"/>
    <cellStyle name="Fraction (1) 2 2 5 2 2" xfId="1411"/>
    <cellStyle name="Fraction (1) 2 2 5 3" xfId="397"/>
    <cellStyle name="Fraction (1) 2 2 5 3 2" xfId="1528"/>
    <cellStyle name="Fraction (1) 2 2 5 4" xfId="354"/>
    <cellStyle name="Fraction (1) 2 2 5 4 2" xfId="1485"/>
    <cellStyle name="Fraction (1) 2 2 5 5" xfId="335"/>
    <cellStyle name="Fraction (1) 2 2 5 5 2" xfId="1466"/>
    <cellStyle name="Fraction (1) 2 2 5 6" xfId="774"/>
    <cellStyle name="Fraction (1) 2 2 6" xfId="319"/>
    <cellStyle name="Fraction (1) 2 2 6 2" xfId="747"/>
    <cellStyle name="Fraction (1) 2 2 7" xfId="339"/>
    <cellStyle name="Fraction (1) 2 2 7 2" xfId="1470"/>
    <cellStyle name="Fraction (1) 2 2 8" xfId="432"/>
    <cellStyle name="Fraction (1) 2 2 8 2" xfId="1563"/>
    <cellStyle name="Fraction (1) 2 2 9" xfId="387"/>
    <cellStyle name="Fraction (1) 2 2 9 2" xfId="1518"/>
    <cellStyle name="Fraction (1) 2 3" xfId="260"/>
    <cellStyle name="Fraction (1) 2 3 2" xfId="298"/>
    <cellStyle name="Fraction (1) 2 3 2 2" xfId="126"/>
    <cellStyle name="Fraction (1) 2 3 2 2 2" xfId="1384"/>
    <cellStyle name="Fraction (1) 2 3 2 3" xfId="409"/>
    <cellStyle name="Fraction (1) 2 3 2 3 2" xfId="1540"/>
    <cellStyle name="Fraction (1) 2 3 2 4" xfId="329"/>
    <cellStyle name="Fraction (1) 2 3 2 4 2" xfId="1460"/>
    <cellStyle name="Fraction (1) 2 3 2 5" xfId="436"/>
    <cellStyle name="Fraction (1) 2 3 2 5 2" xfId="1567"/>
    <cellStyle name="Fraction (1) 2 3 2 6" xfId="783"/>
    <cellStyle name="Fraction (1) 2 3 3" xfId="284"/>
    <cellStyle name="Fraction (1) 2 3 3 2" xfId="756"/>
    <cellStyle name="Fraction (1) 2 3 4" xfId="357"/>
    <cellStyle name="Fraction (1) 2 3 4 2" xfId="1488"/>
    <cellStyle name="Fraction (1) 2 3 5" xfId="394"/>
    <cellStyle name="Fraction (1) 2 3 5 2" xfId="1525"/>
    <cellStyle name="Fraction (1) 2 3 6" xfId="378"/>
    <cellStyle name="Fraction (1) 2 3 6 2" xfId="1509"/>
    <cellStyle name="Fraction (1) 2 3 7" xfId="729"/>
    <cellStyle name="Fraction (1) 2 4" xfId="285"/>
    <cellStyle name="Fraction (1) 2 4 2" xfId="258"/>
    <cellStyle name="Fraction (1) 2 4 2 2" xfId="1412"/>
    <cellStyle name="Fraction (1) 2 4 3" xfId="396"/>
    <cellStyle name="Fraction (1) 2 4 3 2" xfId="1527"/>
    <cellStyle name="Fraction (1) 2 4 4" xfId="355"/>
    <cellStyle name="Fraction (1) 2 4 4 2" xfId="1486"/>
    <cellStyle name="Fraction (1) 2 4 5" xfId="337"/>
    <cellStyle name="Fraction (1) 2 4 5 2" xfId="1468"/>
    <cellStyle name="Fraction (1) 2 4 6" xfId="773"/>
    <cellStyle name="Fraction (1) 2 5" xfId="320"/>
    <cellStyle name="Fraction (1) 2 5 2" xfId="1451"/>
    <cellStyle name="Fraction (1) 2 6" xfId="483"/>
    <cellStyle name="Fraction (1) 2 6 2" xfId="1578"/>
    <cellStyle name="Fraction (1) 3" xfId="199"/>
    <cellStyle name="Fraction (1) 3 10" xfId="491"/>
    <cellStyle name="Fraction (1) 3 2" xfId="200"/>
    <cellStyle name="Fraction (1) 3 2 2" xfId="246"/>
    <cellStyle name="Fraction (1) 3 2 2 2" xfId="294"/>
    <cellStyle name="Fraction (1) 3 2 2 2 2" xfId="249"/>
    <cellStyle name="Fraction (1) 3 2 2 2 2 2" xfId="1405"/>
    <cellStyle name="Fraction (1) 3 2 2 2 3" xfId="404"/>
    <cellStyle name="Fraction (1) 3 2 2 2 3 2" xfId="1535"/>
    <cellStyle name="Fraction (1) 3 2 2 2 4" xfId="345"/>
    <cellStyle name="Fraction (1) 3 2 2 2 4 2" xfId="1476"/>
    <cellStyle name="Fraction (1) 3 2 2 2 5" xfId="322"/>
    <cellStyle name="Fraction (1) 3 2 2 2 5 2" xfId="1453"/>
    <cellStyle name="Fraction (1) 3 2 2 2 6" xfId="781"/>
    <cellStyle name="Fraction (1) 3 2 2 3" xfId="295"/>
    <cellStyle name="Fraction (1) 3 2 2 3 2" xfId="754"/>
    <cellStyle name="Fraction (1) 3 2 2 4" xfId="347"/>
    <cellStyle name="Fraction (1) 3 2 2 4 2" xfId="1478"/>
    <cellStyle name="Fraction (1) 3 2 2 5" xfId="405"/>
    <cellStyle name="Fraction (1) 3 2 2 5 2" xfId="1536"/>
    <cellStyle name="Fraction (1) 3 2 2 6" xfId="380"/>
    <cellStyle name="Fraction (1) 3 2 2 6 2" xfId="1511"/>
    <cellStyle name="Fraction (1) 3 2 2 7" xfId="727"/>
    <cellStyle name="Fraction (1) 3 2 3" xfId="290"/>
    <cellStyle name="Fraction (1) 3 2 3 2" xfId="253"/>
    <cellStyle name="Fraction (1) 3 2 3 2 2" xfId="778"/>
    <cellStyle name="Fraction (1) 3 2 3 3" xfId="401"/>
    <cellStyle name="Fraction (1) 3 2 3 3 2" xfId="1532"/>
    <cellStyle name="Fraction (1) 3 2 3 4" xfId="350"/>
    <cellStyle name="Fraction (1) 3 2 3 4 2" xfId="1481"/>
    <cellStyle name="Fraction (1) 3 2 3 5" xfId="331"/>
    <cellStyle name="Fraction (1) 3 2 3 5 2" xfId="1462"/>
    <cellStyle name="Fraction (1) 3 2 3 6" xfId="710"/>
    <cellStyle name="Fraction (1) 3 2 4" xfId="315"/>
    <cellStyle name="Fraction (1) 3 2 4 2" xfId="751"/>
    <cellStyle name="Fraction (1) 3 2 5" xfId="343"/>
    <cellStyle name="Fraction (1) 3 2 5 2" xfId="1474"/>
    <cellStyle name="Fraction (1) 3 2 6" xfId="428"/>
    <cellStyle name="Fraction (1) 3 2 6 2" xfId="1559"/>
    <cellStyle name="Fraction (1) 3 2 7" xfId="383"/>
    <cellStyle name="Fraction (1) 3 2 7 2" xfId="1514"/>
    <cellStyle name="Fraction (1) 3 2 8" xfId="632"/>
    <cellStyle name="Fraction (1) 3 3" xfId="201"/>
    <cellStyle name="Fraction (1) 3 3 2" xfId="267"/>
    <cellStyle name="Fraction (1) 3 3 2 2" xfId="305"/>
    <cellStyle name="Fraction (1) 3 3 2 2 2" xfId="122"/>
    <cellStyle name="Fraction (1) 3 3 2 2 2 2" xfId="1380"/>
    <cellStyle name="Fraction (1) 3 3 2 2 3" xfId="416"/>
    <cellStyle name="Fraction (1) 3 3 2 2 3 2" xfId="1547"/>
    <cellStyle name="Fraction (1) 3 3 2 2 4" xfId="325"/>
    <cellStyle name="Fraction (1) 3 3 2 2 4 2" xfId="1456"/>
    <cellStyle name="Fraction (1) 3 3 2 2 5" xfId="426"/>
    <cellStyle name="Fraction (1) 3 3 2 2 5 2" xfId="1557"/>
    <cellStyle name="Fraction (1) 3 3 2 2 6" xfId="790"/>
    <cellStyle name="Fraction (1) 3 3 2 3" xfId="280"/>
    <cellStyle name="Fraction (1) 3 3 2 3 2" xfId="763"/>
    <cellStyle name="Fraction (1) 3 3 2 4" xfId="364"/>
    <cellStyle name="Fraction (1) 3 3 2 4 2" xfId="1495"/>
    <cellStyle name="Fraction (1) 3 3 2 5" xfId="390"/>
    <cellStyle name="Fraction (1) 3 3 2 5 2" xfId="1521"/>
    <cellStyle name="Fraction (1) 3 3 2 6" xfId="374"/>
    <cellStyle name="Fraction (1) 3 3 2 6 2" xfId="1505"/>
    <cellStyle name="Fraction (1) 3 3 2 7" xfId="736"/>
    <cellStyle name="Fraction (1) 3 3 3" xfId="291"/>
    <cellStyle name="Fraction (1) 3 3 3 2" xfId="252"/>
    <cellStyle name="Fraction (1) 3 3 3 2 2" xfId="1407"/>
    <cellStyle name="Fraction (1) 3 3 3 3" xfId="402"/>
    <cellStyle name="Fraction (1) 3 3 3 3 2" xfId="1533"/>
    <cellStyle name="Fraction (1) 3 3 3 4" xfId="349"/>
    <cellStyle name="Fraction (1) 3 3 3 4 2" xfId="1480"/>
    <cellStyle name="Fraction (1) 3 3 3 5" xfId="330"/>
    <cellStyle name="Fraction (1) 3 3 3 5 2" xfId="1461"/>
    <cellStyle name="Fraction (1) 3 3 3 6" xfId="779"/>
    <cellStyle name="Fraction (1) 3 3 4" xfId="314"/>
    <cellStyle name="Fraction (1) 3 3 4 2" xfId="752"/>
    <cellStyle name="Fraction (1) 3 3 5" xfId="344"/>
    <cellStyle name="Fraction (1) 3 3 5 2" xfId="1475"/>
    <cellStyle name="Fraction (1) 3 3 6" xfId="427"/>
    <cellStyle name="Fraction (1) 3 3 6 2" xfId="1558"/>
    <cellStyle name="Fraction (1) 3 3 7" xfId="382"/>
    <cellStyle name="Fraction (1) 3 3 7 2" xfId="1513"/>
    <cellStyle name="Fraction (1) 3 3 8" xfId="638"/>
    <cellStyle name="Fraction (1) 3 4" xfId="263"/>
    <cellStyle name="Fraction (1) 3 4 2" xfId="301"/>
    <cellStyle name="Fraction (1) 3 4 2 2" xfId="123"/>
    <cellStyle name="Fraction (1) 3 4 2 2 2" xfId="1381"/>
    <cellStyle name="Fraction (1) 3 4 2 3" xfId="412"/>
    <cellStyle name="Fraction (1) 3 4 2 3 2" xfId="1543"/>
    <cellStyle name="Fraction (1) 3 4 2 4" xfId="326"/>
    <cellStyle name="Fraction (1) 3 4 2 4 2" xfId="1457"/>
    <cellStyle name="Fraction (1) 3 4 2 5" xfId="425"/>
    <cellStyle name="Fraction (1) 3 4 2 5 2" xfId="1556"/>
    <cellStyle name="Fraction (1) 3 4 2 6" xfId="786"/>
    <cellStyle name="Fraction (1) 3 4 3" xfId="281"/>
    <cellStyle name="Fraction (1) 3 4 3 2" xfId="759"/>
    <cellStyle name="Fraction (1) 3 4 4" xfId="360"/>
    <cellStyle name="Fraction (1) 3 4 4 2" xfId="1491"/>
    <cellStyle name="Fraction (1) 3 4 5" xfId="391"/>
    <cellStyle name="Fraction (1) 3 4 5 2" xfId="1522"/>
    <cellStyle name="Fraction (1) 3 4 6" xfId="375"/>
    <cellStyle name="Fraction (1) 3 4 6 2" xfId="1506"/>
    <cellStyle name="Fraction (1) 3 4 7" xfId="732"/>
    <cellStyle name="Fraction (1) 3 5" xfId="289"/>
    <cellStyle name="Fraction (1) 3 5 2" xfId="254"/>
    <cellStyle name="Fraction (1) 3 5 2 2" xfId="1408"/>
    <cellStyle name="Fraction (1) 3 5 3" xfId="400"/>
    <cellStyle name="Fraction (1) 3 5 3 2" xfId="1531"/>
    <cellStyle name="Fraction (1) 3 5 4" xfId="351"/>
    <cellStyle name="Fraction (1) 3 5 4 2" xfId="1482"/>
    <cellStyle name="Fraction (1) 3 5 5" xfId="332"/>
    <cellStyle name="Fraction (1) 3 5 5 2" xfId="1463"/>
    <cellStyle name="Fraction (1) 3 5 6" xfId="777"/>
    <cellStyle name="Fraction (1) 3 6" xfId="316"/>
    <cellStyle name="Fraction (1) 3 6 2" xfId="750"/>
    <cellStyle name="Fraction (1) 3 7" xfId="342"/>
    <cellStyle name="Fraction (1) 3 7 2" xfId="1473"/>
    <cellStyle name="Fraction (1) 3 8" xfId="429"/>
    <cellStyle name="Fraction (1) 3 8 2" xfId="1560"/>
    <cellStyle name="Fraction (1) 3 9" xfId="384"/>
    <cellStyle name="Fraction (1) 3 9 2" xfId="1515"/>
    <cellStyle name="Fraction (1) 4" xfId="259"/>
    <cellStyle name="Fraction (1) 4 2" xfId="297"/>
    <cellStyle name="Fraction (1) 4 2 2" xfId="151"/>
    <cellStyle name="Fraction (1) 4 2 2 2" xfId="1387"/>
    <cellStyle name="Fraction (1) 4 2 3" xfId="408"/>
    <cellStyle name="Fraction (1) 4 2 3 2" xfId="1539"/>
    <cellStyle name="Fraction (1) 4 2 4" xfId="336"/>
    <cellStyle name="Fraction (1) 4 2 4 2" xfId="1467"/>
    <cellStyle name="Fraction (1) 4 2 5" xfId="389"/>
    <cellStyle name="Fraction (1) 4 2 5 2" xfId="1520"/>
    <cellStyle name="Fraction (1) 4 2 6" xfId="782"/>
    <cellStyle name="Fraction (1) 4 3" xfId="292"/>
    <cellStyle name="Fraction (1) 4 3 2" xfId="755"/>
    <cellStyle name="Fraction (1) 4 4" xfId="356"/>
    <cellStyle name="Fraction (1) 4 4 2" xfId="1487"/>
    <cellStyle name="Fraction (1) 4 5" xfId="395"/>
    <cellStyle name="Fraction (1) 4 5 2" xfId="1526"/>
    <cellStyle name="Fraction (1) 4 6" xfId="379"/>
    <cellStyle name="Fraction (1) 4 6 2" xfId="1510"/>
    <cellStyle name="Fraction (1) 4 7" xfId="728"/>
    <cellStyle name="Fraction (1) 5" xfId="117"/>
    <cellStyle name="Fraction (1) 5 2" xfId="279"/>
    <cellStyle name="Fraction (1) 5 2 2" xfId="277"/>
    <cellStyle name="Fraction (1) 5 2 2 2" xfId="1426"/>
    <cellStyle name="Fraction (1) 5 2 3" xfId="388"/>
    <cellStyle name="Fraction (1) 5 2 3 2" xfId="1519"/>
    <cellStyle name="Fraction (1) 5 2 4" xfId="373"/>
    <cellStyle name="Fraction (1) 5 2 4 2" xfId="1504"/>
    <cellStyle name="Fraction (1) 5 2 5" xfId="338"/>
    <cellStyle name="Fraction (1) 5 2 5 2" xfId="1469"/>
    <cellStyle name="Fraction (1) 5 2 6" xfId="772"/>
    <cellStyle name="Fraction (1) 5 3" xfId="321"/>
    <cellStyle name="Fraction (1) 5 3 2" xfId="1452"/>
    <cellStyle name="Fraction (1) 5 4" xfId="324"/>
    <cellStyle name="Fraction (1) 5 4 2" xfId="1455"/>
    <cellStyle name="Fraction (1) 5 5" xfId="435"/>
    <cellStyle name="Fraction (1) 5 5 2" xfId="1566"/>
    <cellStyle name="Fraction (1) 5 6" xfId="407"/>
    <cellStyle name="Fraction (1) 5 6 2" xfId="1538"/>
    <cellStyle name="Fraction (1) 5 7" xfId="746"/>
    <cellStyle name="Fraction (1) 6" xfId="802"/>
    <cellStyle name="Good" xfId="38" builtinId="26" customBuiltin="1"/>
    <cellStyle name="Good 2" xfId="500" hidden="1"/>
    <cellStyle name="Good 2" xfId="815" hidden="1"/>
    <cellStyle name="Good 2" xfId="999" hidden="1"/>
    <cellStyle name="Good 2" xfId="1181" hidden="1"/>
    <cellStyle name="Good 2" xfId="1590" hidden="1"/>
    <cellStyle name="Good 2" xfId="1805" hidden="1"/>
    <cellStyle name="Good 2" xfId="1988" hidden="1"/>
    <cellStyle name="Good 2" xfId="2170" hidden="1"/>
    <cellStyle name="Good 2" xfId="2350" hidden="1"/>
    <cellStyle name="Good 2" xfId="2511" hidden="1"/>
    <cellStyle name="Good 2" xfId="2643" hidden="1"/>
    <cellStyle name="Good 2" xfId="2773" hidden="1"/>
    <cellStyle name="Good 2" xfId="2347" hidden="1"/>
    <cellStyle name="Good 2" xfId="1371" hidden="1"/>
    <cellStyle name="Good 2" xfId="2982" hidden="1"/>
    <cellStyle name="Good 2" xfId="3104" hidden="1"/>
    <cellStyle name="Good 2" xfId="3571" hidden="1"/>
    <cellStyle name="Good 2" xfId="3844" hidden="1"/>
    <cellStyle name="Good 2" xfId="4026" hidden="1"/>
    <cellStyle name="Good 2" xfId="4208" hidden="1"/>
    <cellStyle name="Good 2" xfId="3346" hidden="1"/>
    <cellStyle name="Good 2" xfId="4543" hidden="1"/>
    <cellStyle name="Good 2" xfId="4705" hidden="1"/>
    <cellStyle name="Good 2" xfId="4858" hidden="1"/>
    <cellStyle name="Good 2" xfId="4455" hidden="1"/>
    <cellStyle name="Good 2" xfId="4707" hidden="1"/>
    <cellStyle name="Good 2" xfId="5115" hidden="1"/>
    <cellStyle name="Good 2" xfId="5265" hidden="1"/>
    <cellStyle name="Good 2" xfId="3738" hidden="1"/>
    <cellStyle name="Good 2" xfId="3525" hidden="1"/>
    <cellStyle name="Good 2" xfId="5514" hidden="1"/>
    <cellStyle name="Good 2" xfId="5652" hidden="1"/>
    <cellStyle name="Good 2" xfId="5255" hidden="1"/>
    <cellStyle name="Good 2" xfId="5516" hidden="1"/>
    <cellStyle name="Good 2" xfId="5871" hidden="1"/>
    <cellStyle name="Good 2" xfId="6001" hidden="1"/>
    <cellStyle name="Good 2" xfId="5100" hidden="1"/>
    <cellStyle name="Good 2" xfId="5090" hidden="1"/>
    <cellStyle name="Good 2" xfId="6210" hidden="1"/>
    <cellStyle name="Good 2" xfId="6332" hidden="1"/>
    <cellStyle name="Good 3" xfId="531" hidden="1"/>
    <cellStyle name="Good 3" xfId="846" hidden="1"/>
    <cellStyle name="Good 3" xfId="1030" hidden="1"/>
    <cellStyle name="Good 3" xfId="1212" hidden="1"/>
    <cellStyle name="Good 3" xfId="1621" hidden="1"/>
    <cellStyle name="Good 3" xfId="1836" hidden="1"/>
    <cellStyle name="Good 3" xfId="2019" hidden="1"/>
    <cellStyle name="Good 3" xfId="2201" hidden="1"/>
    <cellStyle name="Good 3" xfId="2381" hidden="1"/>
    <cellStyle name="Good 3" xfId="2542" hidden="1"/>
    <cellStyle name="Good 3" xfId="2674" hidden="1"/>
    <cellStyle name="Good 3" xfId="2804" hidden="1"/>
    <cellStyle name="Good 3" xfId="2476" hidden="1"/>
    <cellStyle name="Good 3" xfId="1570" hidden="1"/>
    <cellStyle name="Good 3" xfId="3011" hidden="1"/>
    <cellStyle name="Good 3" xfId="3133" hidden="1"/>
    <cellStyle name="Good 3" xfId="3602" hidden="1"/>
    <cellStyle name="Good 3" xfId="3875" hidden="1"/>
    <cellStyle name="Good 3" xfId="4057" hidden="1"/>
    <cellStyle name="Good 3" xfId="4239" hidden="1"/>
    <cellStyle name="Good 3" xfId="3277" hidden="1"/>
    <cellStyle name="Good 3" xfId="4574" hidden="1"/>
    <cellStyle name="Good 3" xfId="4735" hidden="1"/>
    <cellStyle name="Good 3" xfId="4887" hidden="1"/>
    <cellStyle name="Good 3" xfId="4700" hidden="1"/>
    <cellStyle name="Good 3" xfId="4492" hidden="1"/>
    <cellStyle name="Good 3" xfId="5146" hidden="1"/>
    <cellStyle name="Good 3" xfId="5296" hidden="1"/>
    <cellStyle name="Good 3" xfId="4446" hidden="1"/>
    <cellStyle name="Good 3" xfId="3334" hidden="1"/>
    <cellStyle name="Good 3" xfId="5544" hidden="1"/>
    <cellStyle name="Good 3" xfId="5681" hidden="1"/>
    <cellStyle name="Good 3" xfId="5512" hidden="1"/>
    <cellStyle name="Good 3" xfId="4842" hidden="1"/>
    <cellStyle name="Good 3" xfId="5902" hidden="1"/>
    <cellStyle name="Good 3" xfId="6032" hidden="1"/>
    <cellStyle name="Good 3" xfId="4545" hidden="1"/>
    <cellStyle name="Good 3" xfId="3394" hidden="1"/>
    <cellStyle name="Good 3" xfId="6239" hidden="1"/>
    <cellStyle name="Good 3" xfId="6361" hidden="1"/>
    <cellStyle name="Good 4" xfId="566" hidden="1"/>
    <cellStyle name="Good 4" xfId="881" hidden="1"/>
    <cellStyle name="Good 4" xfId="1065" hidden="1"/>
    <cellStyle name="Good 4" xfId="1247" hidden="1"/>
    <cellStyle name="Good 4" xfId="1656" hidden="1"/>
    <cellStyle name="Good 4" xfId="1871" hidden="1"/>
    <cellStyle name="Good 4" xfId="2054" hidden="1"/>
    <cellStyle name="Good 4" xfId="2236" hidden="1"/>
    <cellStyle name="Good 4" xfId="2413" hidden="1"/>
    <cellStyle name="Good 4" xfId="2574" hidden="1"/>
    <cellStyle name="Good 4" xfId="2706" hidden="1"/>
    <cellStyle name="Good 4" xfId="2836" hidden="1"/>
    <cellStyle name="Good 4" xfId="1722" hidden="1"/>
    <cellStyle name="Good 4" xfId="2920" hidden="1"/>
    <cellStyle name="Good 4" xfId="3042" hidden="1"/>
    <cellStyle name="Good 4" xfId="3164" hidden="1"/>
    <cellStyle name="Good 4" xfId="3637" hidden="1"/>
    <cellStyle name="Good 4" xfId="3910" hidden="1"/>
    <cellStyle name="Good 4" xfId="4092" hidden="1"/>
    <cellStyle name="Good 4" xfId="4274" hidden="1"/>
    <cellStyle name="Good 4" xfId="3718" hidden="1"/>
    <cellStyle name="Good 4" xfId="4607" hidden="1"/>
    <cellStyle name="Good 4" xfId="4767" hidden="1"/>
    <cellStyle name="Good 4" xfId="4920" hidden="1"/>
    <cellStyle name="Good 4" xfId="3319" hidden="1"/>
    <cellStyle name="Good 4" xfId="5024" hidden="1"/>
    <cellStyle name="Good 4" xfId="5178" hidden="1"/>
    <cellStyle name="Good 4" xfId="5329" hidden="1"/>
    <cellStyle name="Good 4" xfId="4990" hidden="1"/>
    <cellStyle name="Good 4" xfId="5433" hidden="1"/>
    <cellStyle name="Good 4" xfId="5576" hidden="1"/>
    <cellStyle name="Good 4" xfId="5713" hidden="1"/>
    <cellStyle name="Good 4" xfId="3283" hidden="1"/>
    <cellStyle name="Good 4" xfId="5802" hidden="1"/>
    <cellStyle name="Good 4" xfId="5934" hidden="1"/>
    <cellStyle name="Good 4" xfId="6064" hidden="1"/>
    <cellStyle name="Good 4" xfId="5780" hidden="1"/>
    <cellStyle name="Good 4" xfId="6148" hidden="1"/>
    <cellStyle name="Good 4" xfId="6270" hidden="1"/>
    <cellStyle name="Good 4" xfId="6392" hidden="1"/>
    <cellStyle name="Good 5" xfId="597" hidden="1"/>
    <cellStyle name="Good 5" xfId="912" hidden="1"/>
    <cellStyle name="Good 5" xfId="1096" hidden="1"/>
    <cellStyle name="Good 5" xfId="1278" hidden="1"/>
    <cellStyle name="Good 5" xfId="1687" hidden="1"/>
    <cellStyle name="Good 5" xfId="1902" hidden="1"/>
    <cellStyle name="Good 5" xfId="2085" hidden="1"/>
    <cellStyle name="Good 5" xfId="2267" hidden="1"/>
    <cellStyle name="Good 5" xfId="2444" hidden="1"/>
    <cellStyle name="Good 5" xfId="2605" hidden="1"/>
    <cellStyle name="Good 5" xfId="2737" hidden="1"/>
    <cellStyle name="Good 5" xfId="2867" hidden="1"/>
    <cellStyle name="Good 5" xfId="1780" hidden="1"/>
    <cellStyle name="Good 5" xfId="2951" hidden="1"/>
    <cellStyle name="Good 5" xfId="3073" hidden="1"/>
    <cellStyle name="Good 5" xfId="3195" hidden="1"/>
    <cellStyle name="Good 5" xfId="3668" hidden="1"/>
    <cellStyle name="Good 5" xfId="3941" hidden="1"/>
    <cellStyle name="Good 5" xfId="4123" hidden="1"/>
    <cellStyle name="Good 5" xfId="4305" hidden="1"/>
    <cellStyle name="Good 5" xfId="4398" hidden="1"/>
    <cellStyle name="Good 5" xfId="4638" hidden="1"/>
    <cellStyle name="Good 5" xfId="4798" hidden="1"/>
    <cellStyle name="Good 5" xfId="4951" hidden="1"/>
    <cellStyle name="Good 5" xfId="3818" hidden="1"/>
    <cellStyle name="Good 5" xfId="5055" hidden="1"/>
    <cellStyle name="Good 5" xfId="5209" hidden="1"/>
    <cellStyle name="Good 5" xfId="5360" hidden="1"/>
    <cellStyle name="Good 5" xfId="4436" hidden="1"/>
    <cellStyle name="Good 5" xfId="5464" hidden="1"/>
    <cellStyle name="Good 5" xfId="5607" hidden="1"/>
    <cellStyle name="Good 5" xfId="5744" hidden="1"/>
    <cellStyle name="Good 5" xfId="3353" hidden="1"/>
    <cellStyle name="Good 5" xfId="5833" hidden="1"/>
    <cellStyle name="Good 5" xfId="5965" hidden="1"/>
    <cellStyle name="Good 5" xfId="6095" hidden="1"/>
    <cellStyle name="Good 5" xfId="4995" hidden="1"/>
    <cellStyle name="Good 5" xfId="6179" hidden="1"/>
    <cellStyle name="Good 5" xfId="6301" hidden="1"/>
    <cellStyle name="Good 5" xfId="6423" hidden="1"/>
    <cellStyle name="Heading 1" xfId="39" builtinId="16" customBuiltin="1"/>
    <cellStyle name="Heading 2" xfId="40" builtinId="17" customBuiltin="1"/>
    <cellStyle name="Heading 3" xfId="41" builtinId="18" customBuiltin="1"/>
    <cellStyle name="Heading 4" xfId="42" builtinId="19" customBuiltin="1"/>
    <cellStyle name="Input" xfId="43" builtinId="20" customBuiltin="1"/>
    <cellStyle name="Input 2" xfId="1359"/>
    <cellStyle name="Linked Cell" xfId="44" builtinId="24" customBuiltin="1"/>
    <cellStyle name="Linked Cell 2" xfId="504" hidden="1"/>
    <cellStyle name="Linked Cell 2" xfId="819" hidden="1"/>
    <cellStyle name="Linked Cell 2" xfId="1003" hidden="1"/>
    <cellStyle name="Linked Cell 2" xfId="1185" hidden="1"/>
    <cellStyle name="Linked Cell 2" xfId="1594" hidden="1"/>
    <cellStyle name="Linked Cell 2" xfId="1809" hidden="1"/>
    <cellStyle name="Linked Cell 2" xfId="1992" hidden="1"/>
    <cellStyle name="Linked Cell 2" xfId="2174" hidden="1"/>
    <cellStyle name="Linked Cell 2" xfId="2354" hidden="1"/>
    <cellStyle name="Linked Cell 2" xfId="2515" hidden="1"/>
    <cellStyle name="Linked Cell 2" xfId="2647" hidden="1"/>
    <cellStyle name="Linked Cell 2" xfId="2777" hidden="1"/>
    <cellStyle name="Linked Cell 2" xfId="1354" hidden="1"/>
    <cellStyle name="Linked Cell 2" xfId="1741" hidden="1"/>
    <cellStyle name="Linked Cell 2" xfId="2984" hidden="1"/>
    <cellStyle name="Linked Cell 2" xfId="3106" hidden="1"/>
    <cellStyle name="Linked Cell 2" xfId="3575" hidden="1"/>
    <cellStyle name="Linked Cell 2" xfId="3848" hidden="1"/>
    <cellStyle name="Linked Cell 2" xfId="4030" hidden="1"/>
    <cellStyle name="Linked Cell 2" xfId="4212" hidden="1"/>
    <cellStyle name="Linked Cell 2" xfId="3257" hidden="1"/>
    <cellStyle name="Linked Cell 2" xfId="4547" hidden="1"/>
    <cellStyle name="Linked Cell 2" xfId="4708" hidden="1"/>
    <cellStyle name="Linked Cell 2" xfId="4860" hidden="1"/>
    <cellStyle name="Linked Cell 2" xfId="3551" hidden="1"/>
    <cellStyle name="Linked Cell 2" xfId="3313" hidden="1"/>
    <cellStyle name="Linked Cell 2" xfId="5119" hidden="1"/>
    <cellStyle name="Linked Cell 2" xfId="5269" hidden="1"/>
    <cellStyle name="Linked Cell 2" xfId="3815" hidden="1"/>
    <cellStyle name="Linked Cell 2" xfId="3424" hidden="1"/>
    <cellStyle name="Linked Cell 2" xfId="5517" hidden="1"/>
    <cellStyle name="Linked Cell 2" xfId="5654" hidden="1"/>
    <cellStyle name="Linked Cell 2" xfId="4996" hidden="1"/>
    <cellStyle name="Linked Cell 2" xfId="4832" hidden="1"/>
    <cellStyle name="Linked Cell 2" xfId="5875" hidden="1"/>
    <cellStyle name="Linked Cell 2" xfId="6005" hidden="1"/>
    <cellStyle name="Linked Cell 2" xfId="4470" hidden="1"/>
    <cellStyle name="Linked Cell 2" xfId="5395" hidden="1"/>
    <cellStyle name="Linked Cell 2" xfId="6212" hidden="1"/>
    <cellStyle name="Linked Cell 2" xfId="6334" hidden="1"/>
    <cellStyle name="Linked Cell 3" xfId="535" hidden="1"/>
    <cellStyle name="Linked Cell 3" xfId="850" hidden="1"/>
    <cellStyle name="Linked Cell 3" xfId="1034" hidden="1"/>
    <cellStyle name="Linked Cell 3" xfId="1216" hidden="1"/>
    <cellStyle name="Linked Cell 3" xfId="1625" hidden="1"/>
    <cellStyle name="Linked Cell 3" xfId="1840" hidden="1"/>
    <cellStyle name="Linked Cell 3" xfId="2023" hidden="1"/>
    <cellStyle name="Linked Cell 3" xfId="2205" hidden="1"/>
    <cellStyle name="Linked Cell 3" xfId="2385" hidden="1"/>
    <cellStyle name="Linked Cell 3" xfId="2546" hidden="1"/>
    <cellStyle name="Linked Cell 3" xfId="2678" hidden="1"/>
    <cellStyle name="Linked Cell 3" xfId="2808" hidden="1"/>
    <cellStyle name="Linked Cell 3" xfId="2504" hidden="1"/>
    <cellStyle name="Linked Cell 3" xfId="1386" hidden="1"/>
    <cellStyle name="Linked Cell 3" xfId="3015" hidden="1"/>
    <cellStyle name="Linked Cell 3" xfId="3137" hidden="1"/>
    <cellStyle name="Linked Cell 3" xfId="3606" hidden="1"/>
    <cellStyle name="Linked Cell 3" xfId="3879" hidden="1"/>
    <cellStyle name="Linked Cell 3" xfId="4061" hidden="1"/>
    <cellStyle name="Linked Cell 3" xfId="4243" hidden="1"/>
    <cellStyle name="Linked Cell 3" xfId="3248" hidden="1"/>
    <cellStyle name="Linked Cell 3" xfId="4578" hidden="1"/>
    <cellStyle name="Linked Cell 3" xfId="4739" hidden="1"/>
    <cellStyle name="Linked Cell 3" xfId="4891" hidden="1"/>
    <cellStyle name="Linked Cell 3" xfId="4431" hidden="1"/>
    <cellStyle name="Linked Cell 3" xfId="3295" hidden="1"/>
    <cellStyle name="Linked Cell 3" xfId="5150" hidden="1"/>
    <cellStyle name="Linked Cell 3" xfId="5300" hidden="1"/>
    <cellStyle name="Linked Cell 3" xfId="4691" hidden="1"/>
    <cellStyle name="Linked Cell 3" xfId="3430" hidden="1"/>
    <cellStyle name="Linked Cell 3" xfId="5548" hidden="1"/>
    <cellStyle name="Linked Cell 3" xfId="5685" hidden="1"/>
    <cellStyle name="Linked Cell 3" xfId="3744" hidden="1"/>
    <cellStyle name="Linked Cell 3" xfId="5412" hidden="1"/>
    <cellStyle name="Linked Cell 3" xfId="5906" hidden="1"/>
    <cellStyle name="Linked Cell 3" xfId="6036" hidden="1"/>
    <cellStyle name="Linked Cell 3" xfId="5507" hidden="1"/>
    <cellStyle name="Linked Cell 3" xfId="4514" hidden="1"/>
    <cellStyle name="Linked Cell 3" xfId="6243" hidden="1"/>
    <cellStyle name="Linked Cell 3" xfId="6365" hidden="1"/>
    <cellStyle name="Linked Cell 4" xfId="570" hidden="1"/>
    <cellStyle name="Linked Cell 4" xfId="885" hidden="1"/>
    <cellStyle name="Linked Cell 4" xfId="1069" hidden="1"/>
    <cellStyle name="Linked Cell 4" xfId="1251" hidden="1"/>
    <cellStyle name="Linked Cell 4" xfId="1660" hidden="1"/>
    <cellStyle name="Linked Cell 4" xfId="1875" hidden="1"/>
    <cellStyle name="Linked Cell 4" xfId="2058" hidden="1"/>
    <cellStyle name="Linked Cell 4" xfId="2240" hidden="1"/>
    <cellStyle name="Linked Cell 4" xfId="2417" hidden="1"/>
    <cellStyle name="Linked Cell 4" xfId="2578" hidden="1"/>
    <cellStyle name="Linked Cell 4" xfId="2710" hidden="1"/>
    <cellStyle name="Linked Cell 4" xfId="2840" hidden="1"/>
    <cellStyle name="Linked Cell 4" xfId="1394" hidden="1"/>
    <cellStyle name="Linked Cell 4" xfId="2924" hidden="1"/>
    <cellStyle name="Linked Cell 4" xfId="3046" hidden="1"/>
    <cellStyle name="Linked Cell 4" xfId="3168" hidden="1"/>
    <cellStyle name="Linked Cell 4" xfId="3641" hidden="1"/>
    <cellStyle name="Linked Cell 4" xfId="3914" hidden="1"/>
    <cellStyle name="Linked Cell 4" xfId="4096" hidden="1"/>
    <cellStyle name="Linked Cell 4" xfId="4278" hidden="1"/>
    <cellStyle name="Linked Cell 4" xfId="3272" hidden="1"/>
    <cellStyle name="Linked Cell 4" xfId="4611" hidden="1"/>
    <cellStyle name="Linked Cell 4" xfId="4771" hidden="1"/>
    <cellStyle name="Linked Cell 4" xfId="4924" hidden="1"/>
    <cellStyle name="Linked Cell 4" xfId="3363" hidden="1"/>
    <cellStyle name="Linked Cell 4" xfId="5028" hidden="1"/>
    <cellStyle name="Linked Cell 4" xfId="5182" hidden="1"/>
    <cellStyle name="Linked Cell 4" xfId="5333" hidden="1"/>
    <cellStyle name="Linked Cell 4" xfId="3448" hidden="1"/>
    <cellStyle name="Linked Cell 4" xfId="5437" hidden="1"/>
    <cellStyle name="Linked Cell 4" xfId="5580" hidden="1"/>
    <cellStyle name="Linked Cell 4" xfId="5717" hidden="1"/>
    <cellStyle name="Linked Cell 4" xfId="5404" hidden="1"/>
    <cellStyle name="Linked Cell 4" xfId="5806" hidden="1"/>
    <cellStyle name="Linked Cell 4" xfId="5938" hidden="1"/>
    <cellStyle name="Linked Cell 4" xfId="6068" hidden="1"/>
    <cellStyle name="Linked Cell 4" xfId="3453" hidden="1"/>
    <cellStyle name="Linked Cell 4" xfId="6152" hidden="1"/>
    <cellStyle name="Linked Cell 4" xfId="6274" hidden="1"/>
    <cellStyle name="Linked Cell 4" xfId="6396" hidden="1"/>
    <cellStyle name="Linked Cell 5" xfId="601" hidden="1"/>
    <cellStyle name="Linked Cell 5" xfId="916" hidden="1"/>
    <cellStyle name="Linked Cell 5" xfId="1100" hidden="1"/>
    <cellStyle name="Linked Cell 5" xfId="1282" hidden="1"/>
    <cellStyle name="Linked Cell 5" xfId="1691" hidden="1"/>
    <cellStyle name="Linked Cell 5" xfId="1906" hidden="1"/>
    <cellStyle name="Linked Cell 5" xfId="2089" hidden="1"/>
    <cellStyle name="Linked Cell 5" xfId="2271" hidden="1"/>
    <cellStyle name="Linked Cell 5" xfId="2448" hidden="1"/>
    <cellStyle name="Linked Cell 5" xfId="2609" hidden="1"/>
    <cellStyle name="Linked Cell 5" xfId="2741" hidden="1"/>
    <cellStyle name="Linked Cell 5" xfId="2871" hidden="1"/>
    <cellStyle name="Linked Cell 5" xfId="2508" hidden="1"/>
    <cellStyle name="Linked Cell 5" xfId="2955" hidden="1"/>
    <cellStyle name="Linked Cell 5" xfId="3077" hidden="1"/>
    <cellStyle name="Linked Cell 5" xfId="3199" hidden="1"/>
    <cellStyle name="Linked Cell 5" xfId="3672" hidden="1"/>
    <cellStyle name="Linked Cell 5" xfId="3945" hidden="1"/>
    <cellStyle name="Linked Cell 5" xfId="4127" hidden="1"/>
    <cellStyle name="Linked Cell 5" xfId="4309" hidden="1"/>
    <cellStyle name="Linked Cell 5" xfId="4402" hidden="1"/>
    <cellStyle name="Linked Cell 5" xfId="4642" hidden="1"/>
    <cellStyle name="Linked Cell 5" xfId="4802" hidden="1"/>
    <cellStyle name="Linked Cell 5" xfId="4955" hidden="1"/>
    <cellStyle name="Linked Cell 5" xfId="3509" hidden="1"/>
    <cellStyle name="Linked Cell 5" xfId="5059" hidden="1"/>
    <cellStyle name="Linked Cell 5" xfId="5213" hidden="1"/>
    <cellStyle name="Linked Cell 5" xfId="5364" hidden="1"/>
    <cellStyle name="Linked Cell 5" xfId="3307" hidden="1"/>
    <cellStyle name="Linked Cell 5" xfId="5468" hidden="1"/>
    <cellStyle name="Linked Cell 5" xfId="5611" hidden="1"/>
    <cellStyle name="Linked Cell 5" xfId="5748" hidden="1"/>
    <cellStyle name="Linked Cell 5" xfId="5399" hidden="1"/>
    <cellStyle name="Linked Cell 5" xfId="5837" hidden="1"/>
    <cellStyle name="Linked Cell 5" xfId="5969" hidden="1"/>
    <cellStyle name="Linked Cell 5" xfId="6099" hidden="1"/>
    <cellStyle name="Linked Cell 5" xfId="3344" hidden="1"/>
    <cellStyle name="Linked Cell 5" xfId="6183" hidden="1"/>
    <cellStyle name="Linked Cell 5" xfId="6305" hidden="1"/>
    <cellStyle name="Linked Cell 5" xfId="6427" hidden="1"/>
    <cellStyle name="Neutral" xfId="45" builtinId="28" customBuiltin="1"/>
    <cellStyle name="Normal" xfId="0" builtinId="0"/>
    <cellStyle name="Normal 10" xfId="804"/>
    <cellStyle name="Normal 11" xfId="437"/>
    <cellStyle name="Normal 12" xfId="6454"/>
    <cellStyle name="Normal 2" xfId="55"/>
    <cellStyle name="Normal 2 2" xfId="202"/>
    <cellStyle name="Normal 2 2 2" xfId="711"/>
    <cellStyle name="Normal 2 3" xfId="127"/>
    <cellStyle name="Normal 2 3 2" xfId="677"/>
    <cellStyle name="Normal 2 4" xfId="469"/>
    <cellStyle name="Normal 3" xfId="203"/>
    <cellStyle name="Normal 3 2" xfId="470"/>
    <cellStyle name="Normal 4" xfId="204"/>
    <cellStyle name="Normal 4 2" xfId="205"/>
    <cellStyle name="Normal 4 2 2" xfId="206"/>
    <cellStyle name="Normal 4 2 2 2" xfId="714"/>
    <cellStyle name="Normal 4 2 2 3" xfId="943"/>
    <cellStyle name="Normal 4 2 2 3 2" xfId="1309"/>
    <cellStyle name="Normal 4 2 2 3 2 2" xfId="2298"/>
    <cellStyle name="Normal 4 2 2 3 2 3" xfId="4336"/>
    <cellStyle name="Normal 4 2 2 3 3" xfId="1933"/>
    <cellStyle name="Normal 4 2 2 3 4" xfId="3972"/>
    <cellStyle name="Normal 4 2 2 4" xfId="1127"/>
    <cellStyle name="Normal 4 2 2 4 2" xfId="2116"/>
    <cellStyle name="Normal 4 2 2 4 3" xfId="4154"/>
    <cellStyle name="Normal 4 2 2 5" xfId="628"/>
    <cellStyle name="Normal 4 2 2 5 2" xfId="1718"/>
    <cellStyle name="Normal 4 2 2 5 3" xfId="3699"/>
    <cellStyle name="Normal 4 2 3" xfId="207"/>
    <cellStyle name="Normal 4 2 3 2" xfId="715"/>
    <cellStyle name="Normal 4 2 3 3" xfId="951"/>
    <cellStyle name="Normal 4 2 3 3 2" xfId="1317"/>
    <cellStyle name="Normal 4 2 3 3 2 2" xfId="2306"/>
    <cellStyle name="Normal 4 2 3 3 2 3" xfId="4344"/>
    <cellStyle name="Normal 4 2 3 3 3" xfId="1941"/>
    <cellStyle name="Normal 4 2 3 3 4" xfId="3980"/>
    <cellStyle name="Normal 4 2 3 4" xfId="1135"/>
    <cellStyle name="Normal 4 2 3 4 2" xfId="2124"/>
    <cellStyle name="Normal 4 2 3 4 3" xfId="4162"/>
    <cellStyle name="Normal 4 2 3 5" xfId="640"/>
    <cellStyle name="Normal 4 2 3 5 2" xfId="1727"/>
    <cellStyle name="Normal 4 2 3 5 3" xfId="3711"/>
    <cellStyle name="Normal 4 2 4" xfId="713"/>
    <cellStyle name="Normal 4 2 5" xfId="810"/>
    <cellStyle name="Normal 4 2 5 2" xfId="1176"/>
    <cellStyle name="Normal 4 2 5 2 2" xfId="2165"/>
    <cellStyle name="Normal 4 2 5 2 3" xfId="4203"/>
    <cellStyle name="Normal 4 2 5 3" xfId="1800"/>
    <cellStyle name="Normal 4 2 5 4" xfId="3839"/>
    <cellStyle name="Normal 4 2 6" xfId="994"/>
    <cellStyle name="Normal 4 2 6 2" xfId="1983"/>
    <cellStyle name="Normal 4 2 6 3" xfId="4021"/>
    <cellStyle name="Normal 4 2 7" xfId="493"/>
    <cellStyle name="Normal 4 2 7 2" xfId="1584"/>
    <cellStyle name="Normal 4 2 7 3" xfId="3564"/>
    <cellStyle name="Normal 4 3" xfId="208"/>
    <cellStyle name="Normal 4 3 2" xfId="716"/>
    <cellStyle name="Normal 4 3 3" xfId="877"/>
    <cellStyle name="Normal 4 3 3 2" xfId="1243"/>
    <cellStyle name="Normal 4 3 3 2 2" xfId="2232"/>
    <cellStyle name="Normal 4 3 3 2 3" xfId="4270"/>
    <cellStyle name="Normal 4 3 3 3" xfId="1867"/>
    <cellStyle name="Normal 4 3 3 4" xfId="3906"/>
    <cellStyle name="Normal 4 3 4" xfId="1061"/>
    <cellStyle name="Normal 4 3 4 2" xfId="2050"/>
    <cellStyle name="Normal 4 3 4 3" xfId="4088"/>
    <cellStyle name="Normal 4 3 5" xfId="562"/>
    <cellStyle name="Normal 4 3 5 2" xfId="1652"/>
    <cellStyle name="Normal 4 3 5 3" xfId="3633"/>
    <cellStyle name="Normal 4 4" xfId="209"/>
    <cellStyle name="Normal 4 4 2" xfId="717"/>
    <cellStyle name="Normal 4 4 3" xfId="947"/>
    <cellStyle name="Normal 4 4 3 2" xfId="1313"/>
    <cellStyle name="Normal 4 4 3 2 2" xfId="2302"/>
    <cellStyle name="Normal 4 4 3 2 3" xfId="4340"/>
    <cellStyle name="Normal 4 4 3 3" xfId="1937"/>
    <cellStyle name="Normal 4 4 3 4" xfId="3976"/>
    <cellStyle name="Normal 4 4 4" xfId="1131"/>
    <cellStyle name="Normal 4 4 4 2" xfId="2120"/>
    <cellStyle name="Normal 4 4 4 3" xfId="4158"/>
    <cellStyle name="Normal 4 4 5" xfId="634"/>
    <cellStyle name="Normal 4 4 5 2" xfId="1723"/>
    <cellStyle name="Normal 4 4 5 3" xfId="3705"/>
    <cellStyle name="Normal 4 5" xfId="712"/>
    <cellStyle name="Normal 4 6" xfId="806"/>
    <cellStyle name="Normal 4 6 2" xfId="1172"/>
    <cellStyle name="Normal 4 6 2 2" xfId="2161"/>
    <cellStyle name="Normal 4 6 2 3" xfId="4199"/>
    <cellStyle name="Normal 4 6 3" xfId="1796"/>
    <cellStyle name="Normal 4 6 4" xfId="3835"/>
    <cellStyle name="Normal 4 7" xfId="990"/>
    <cellStyle name="Normal 4 7 2" xfId="1979"/>
    <cellStyle name="Normal 4 7 3" xfId="4017"/>
    <cellStyle name="Normal 4 8" xfId="487"/>
    <cellStyle name="Normal 4 8 2" xfId="1580"/>
    <cellStyle name="Normal 4 8 3" xfId="3559"/>
    <cellStyle name="Normal 5" xfId="210"/>
    <cellStyle name="Normal 5 2" xfId="498"/>
    <cellStyle name="Normal 6" xfId="211"/>
    <cellStyle name="Normal 6 2" xfId="718"/>
    <cellStyle name="Normal 6 3" xfId="814"/>
    <cellStyle name="Normal 6 3 2" xfId="1180"/>
    <cellStyle name="Normal 6 3 2 2" xfId="2169"/>
    <cellStyle name="Normal 6 3 2 3" xfId="4207"/>
    <cellStyle name="Normal 6 3 3" xfId="1804"/>
    <cellStyle name="Normal 6 3 4" xfId="3843"/>
    <cellStyle name="Normal 6 4" xfId="998"/>
    <cellStyle name="Normal 6 4 2" xfId="1987"/>
    <cellStyle name="Normal 6 4 3" xfId="4025"/>
    <cellStyle name="Normal 6 5" xfId="497"/>
    <cellStyle name="Normal 6 5 2" xfId="1588"/>
    <cellStyle name="Normal 6 5 3" xfId="3568"/>
    <cellStyle name="Normal 7" xfId="129"/>
    <cellStyle name="Normal 7 2" xfId="679"/>
    <cellStyle name="Normal 8" xfId="264"/>
    <cellStyle name="Normal 8 2" xfId="302"/>
    <cellStyle name="Normal 8 2 2" xfId="413"/>
    <cellStyle name="Normal 8 2 2 2" xfId="1343"/>
    <cellStyle name="Normal 8 2 2 2 2" xfId="2332"/>
    <cellStyle name="Normal 8 2 2 2 3" xfId="4370"/>
    <cellStyle name="Normal 8 2 2 3" xfId="977"/>
    <cellStyle name="Normal 8 2 2 3 2" xfId="1967"/>
    <cellStyle name="Normal 8 2 2 3 3" xfId="4006"/>
    <cellStyle name="Normal 8 2 2 4" xfId="1544"/>
    <cellStyle name="Normal 8 2 2 5" xfId="3506"/>
    <cellStyle name="Normal 8 2 3" xfId="1161"/>
    <cellStyle name="Normal 8 2 3 2" xfId="2150"/>
    <cellStyle name="Normal 8 2 3 3" xfId="4188"/>
    <cellStyle name="Normal 8 2 4" xfId="787"/>
    <cellStyle name="Normal 8 2 4 2" xfId="1784"/>
    <cellStyle name="Normal 8 2 4 3" xfId="3819"/>
    <cellStyle name="Normal 8 2 5" xfId="1438"/>
    <cellStyle name="Normal 8 2 6" xfId="3431"/>
    <cellStyle name="Normal 8 3" xfId="361"/>
    <cellStyle name="Normal 8 3 2" xfId="966"/>
    <cellStyle name="Normal 8 3 2 2" xfId="1332"/>
    <cellStyle name="Normal 8 3 2 2 2" xfId="2321"/>
    <cellStyle name="Normal 8 3 2 2 3" xfId="4359"/>
    <cellStyle name="Normal 8 3 2 3" xfId="1956"/>
    <cellStyle name="Normal 8 3 2 4" xfId="3995"/>
    <cellStyle name="Normal 8 3 3" xfId="1150"/>
    <cellStyle name="Normal 8 3 3 2" xfId="2139"/>
    <cellStyle name="Normal 8 3 3 3" xfId="4177"/>
    <cellStyle name="Normal 8 3 4" xfId="760"/>
    <cellStyle name="Normal 8 3 4 2" xfId="1767"/>
    <cellStyle name="Normal 8 3 4 3" xfId="3799"/>
    <cellStyle name="Normal 8 3 5" xfId="1492"/>
    <cellStyle name="Normal 8 3 6" xfId="3470"/>
    <cellStyle name="Normal 8 4" xfId="955"/>
    <cellStyle name="Normal 8 4 2" xfId="1321"/>
    <cellStyle name="Normal 8 4 2 2" xfId="2310"/>
    <cellStyle name="Normal 8 4 2 3" xfId="4348"/>
    <cellStyle name="Normal 8 4 3" xfId="1945"/>
    <cellStyle name="Normal 8 4 4" xfId="3984"/>
    <cellStyle name="Normal 8 5" xfId="1139"/>
    <cellStyle name="Normal 8 5 2" xfId="2128"/>
    <cellStyle name="Normal 8 5 3" xfId="4166"/>
    <cellStyle name="Normal 8 6" xfId="733"/>
    <cellStyle name="Normal 8 6 2" xfId="1752"/>
    <cellStyle name="Normal 8 6 3" xfId="3780"/>
    <cellStyle name="Normal 8 7" xfId="1415"/>
    <cellStyle name="Normal 8 8" xfId="3404"/>
    <cellStyle name="Normal 9" xfId="99"/>
    <cellStyle name="Normal 9 2" xfId="645"/>
    <cellStyle name="Normal_adj" xfId="644"/>
    <cellStyle name="Normal_Competitor" xfId="46"/>
    <cellStyle name="Normal_toolBalSheet" xfId="47"/>
    <cellStyle name="Note" xfId="48" builtinId="10" customBuiltin="1"/>
    <cellStyle name="Note 2" xfId="1360"/>
    <cellStyle name="Output" xfId="49" builtinId="21" customBuiltin="1"/>
    <cellStyle name="Output 2" xfId="502" hidden="1"/>
    <cellStyle name="Output 2" xfId="817" hidden="1"/>
    <cellStyle name="Output 2" xfId="1001" hidden="1"/>
    <cellStyle name="Output 2" xfId="1183" hidden="1"/>
    <cellStyle name="Output 2" xfId="1592" hidden="1"/>
    <cellStyle name="Output 2" xfId="1807" hidden="1"/>
    <cellStyle name="Output 2" xfId="1990" hidden="1"/>
    <cellStyle name="Output 2" xfId="2172" hidden="1"/>
    <cellStyle name="Output 2" xfId="1361"/>
    <cellStyle name="Output 2 2" xfId="2352" hidden="1"/>
    <cellStyle name="Output 2 2" xfId="3573" hidden="1"/>
    <cellStyle name="Output 2 2" xfId="4469" hidden="1"/>
    <cellStyle name="Output 2 2" xfId="3732" hidden="1"/>
    <cellStyle name="Output 2 3" xfId="2513" hidden="1"/>
    <cellStyle name="Output 2 3" xfId="3846" hidden="1"/>
    <cellStyle name="Output 2 3" xfId="3280" hidden="1"/>
    <cellStyle name="Output 2 3" xfId="3395" hidden="1"/>
    <cellStyle name="Output 2 4" xfId="2645" hidden="1"/>
    <cellStyle name="Output 2 4" xfId="4028" hidden="1"/>
    <cellStyle name="Output 2 4" xfId="5117" hidden="1"/>
    <cellStyle name="Output 2 4" xfId="5873" hidden="1"/>
    <cellStyle name="Output 2 5" xfId="2775" hidden="1"/>
    <cellStyle name="Output 2 5" xfId="4210" hidden="1"/>
    <cellStyle name="Output 2 5" xfId="5267" hidden="1"/>
    <cellStyle name="Output 2 5" xfId="6003" hidden="1"/>
    <cellStyle name="Output 3" xfId="533" hidden="1"/>
    <cellStyle name="Output 3" xfId="848" hidden="1"/>
    <cellStyle name="Output 3" xfId="1032" hidden="1"/>
    <cellStyle name="Output 3" xfId="1214" hidden="1"/>
    <cellStyle name="Output 3" xfId="1623" hidden="1"/>
    <cellStyle name="Output 3" xfId="1838" hidden="1"/>
    <cellStyle name="Output 3" xfId="2021" hidden="1"/>
    <cellStyle name="Output 3" xfId="2203" hidden="1"/>
    <cellStyle name="Output 3" xfId="2383" hidden="1"/>
    <cellStyle name="Output 3" xfId="2544" hidden="1"/>
    <cellStyle name="Output 3" xfId="2676" hidden="1"/>
    <cellStyle name="Output 3" xfId="2806" hidden="1"/>
    <cellStyle name="Output 3" xfId="2899" hidden="1"/>
    <cellStyle name="Output 3" xfId="1737" hidden="1"/>
    <cellStyle name="Output 3" xfId="3013" hidden="1"/>
    <cellStyle name="Output 3" xfId="3135" hidden="1"/>
    <cellStyle name="Output 3" xfId="3604" hidden="1"/>
    <cellStyle name="Output 3" xfId="3877" hidden="1"/>
    <cellStyle name="Output 3" xfId="4059" hidden="1"/>
    <cellStyle name="Output 3" xfId="4241" hidden="1"/>
    <cellStyle name="Output 3" xfId="3250" hidden="1"/>
    <cellStyle name="Output 3" xfId="4576" hidden="1"/>
    <cellStyle name="Output 3" xfId="4737" hidden="1"/>
    <cellStyle name="Output 3" xfId="4889" hidden="1"/>
    <cellStyle name="Output 3" xfId="4540" hidden="1"/>
    <cellStyle name="Output 3" xfId="3384" hidden="1"/>
    <cellStyle name="Output 3" xfId="5148" hidden="1"/>
    <cellStyle name="Output 3" xfId="5298" hidden="1"/>
    <cellStyle name="Output 3" xfId="5396" hidden="1"/>
    <cellStyle name="Output 3" xfId="4850" hidden="1"/>
    <cellStyle name="Output 3" xfId="5546" hidden="1"/>
    <cellStyle name="Output 3" xfId="5683" hidden="1"/>
    <cellStyle name="Output 3" xfId="3499" hidden="1"/>
    <cellStyle name="Output 3" xfId="4991" hidden="1"/>
    <cellStyle name="Output 3" xfId="5904" hidden="1"/>
    <cellStyle name="Output 3" xfId="6034" hidden="1"/>
    <cellStyle name="Output 3" xfId="6127" hidden="1"/>
    <cellStyle name="Output 3" xfId="5649" hidden="1"/>
    <cellStyle name="Output 3" xfId="6241" hidden="1"/>
    <cellStyle name="Output 3" xfId="6363" hidden="1"/>
    <cellStyle name="Output 4" xfId="568" hidden="1"/>
    <cellStyle name="Output 4" xfId="883" hidden="1"/>
    <cellStyle name="Output 4" xfId="1067" hidden="1"/>
    <cellStyle name="Output 4" xfId="1249" hidden="1"/>
    <cellStyle name="Output 4" xfId="1658" hidden="1"/>
    <cellStyle name="Output 4" xfId="1873" hidden="1"/>
    <cellStyle name="Output 4" xfId="2056" hidden="1"/>
    <cellStyle name="Output 4" xfId="2238" hidden="1"/>
    <cellStyle name="Output 4" xfId="2415" hidden="1"/>
    <cellStyle name="Output 4" xfId="2576" hidden="1"/>
    <cellStyle name="Output 4" xfId="2708" hidden="1"/>
    <cellStyle name="Output 4" xfId="2838" hidden="1"/>
    <cellStyle name="Output 4" xfId="1357" hidden="1"/>
    <cellStyle name="Output 4" xfId="2922" hidden="1"/>
    <cellStyle name="Output 4" xfId="3044" hidden="1"/>
    <cellStyle name="Output 4" xfId="3166" hidden="1"/>
    <cellStyle name="Output 4" xfId="3639" hidden="1"/>
    <cellStyle name="Output 4" xfId="3912" hidden="1"/>
    <cellStyle name="Output 4" xfId="4094" hidden="1"/>
    <cellStyle name="Output 4" xfId="4276" hidden="1"/>
    <cellStyle name="Output 4" xfId="3528" hidden="1"/>
    <cellStyle name="Output 4" xfId="4609" hidden="1"/>
    <cellStyle name="Output 4" xfId="4769" hidden="1"/>
    <cellStyle name="Output 4" xfId="4922" hidden="1"/>
    <cellStyle name="Output 4" xfId="3703" hidden="1"/>
    <cellStyle name="Output 4" xfId="5026" hidden="1"/>
    <cellStyle name="Output 4" xfId="5180" hidden="1"/>
    <cellStyle name="Output 4" xfId="5331" hidden="1"/>
    <cellStyle name="Output 4" xfId="3502" hidden="1"/>
    <cellStyle name="Output 4" xfId="5435" hidden="1"/>
    <cellStyle name="Output 4" xfId="5578" hidden="1"/>
    <cellStyle name="Output 4" xfId="5715" hidden="1"/>
    <cellStyle name="Output 4" xfId="5098" hidden="1"/>
    <cellStyle name="Output 4" xfId="5804" hidden="1"/>
    <cellStyle name="Output 4" xfId="5936" hidden="1"/>
    <cellStyle name="Output 4" xfId="6066" hidden="1"/>
    <cellStyle name="Output 4" xfId="3521" hidden="1"/>
    <cellStyle name="Output 4" xfId="6150" hidden="1"/>
    <cellStyle name="Output 4" xfId="6272" hidden="1"/>
    <cellStyle name="Output 4" xfId="6394" hidden="1"/>
    <cellStyle name="Output 5" xfId="599" hidden="1"/>
    <cellStyle name="Output 5" xfId="914" hidden="1"/>
    <cellStyle name="Output 5" xfId="1098" hidden="1"/>
    <cellStyle name="Output 5" xfId="1280" hidden="1"/>
    <cellStyle name="Output 5" xfId="1689" hidden="1"/>
    <cellStyle name="Output 5" xfId="1904" hidden="1"/>
    <cellStyle name="Output 5" xfId="2087" hidden="1"/>
    <cellStyle name="Output 5" xfId="2269" hidden="1"/>
    <cellStyle name="Output 5" xfId="2446" hidden="1"/>
    <cellStyle name="Output 5" xfId="2607" hidden="1"/>
    <cellStyle name="Output 5" xfId="2739" hidden="1"/>
    <cellStyle name="Output 5" xfId="2869" hidden="1"/>
    <cellStyle name="Output 5" xfId="1764" hidden="1"/>
    <cellStyle name="Output 5" xfId="2953" hidden="1"/>
    <cellStyle name="Output 5" xfId="3075" hidden="1"/>
    <cellStyle name="Output 5" xfId="3197" hidden="1"/>
    <cellStyle name="Output 5" xfId="3670" hidden="1"/>
    <cellStyle name="Output 5" xfId="3943" hidden="1"/>
    <cellStyle name="Output 5" xfId="4125" hidden="1"/>
    <cellStyle name="Output 5" xfId="4307" hidden="1"/>
    <cellStyle name="Output 5" xfId="4400" hidden="1"/>
    <cellStyle name="Output 5" xfId="4640" hidden="1"/>
    <cellStyle name="Output 5" xfId="4800" hidden="1"/>
    <cellStyle name="Output 5" xfId="4953" hidden="1"/>
    <cellStyle name="Output 5" xfId="3422" hidden="1"/>
    <cellStyle name="Output 5" xfId="5057" hidden="1"/>
    <cellStyle name="Output 5" xfId="5211" hidden="1"/>
    <cellStyle name="Output 5" xfId="5362" hidden="1"/>
    <cellStyle name="Output 5" xfId="3267" hidden="1"/>
    <cellStyle name="Output 5" xfId="5466" hidden="1"/>
    <cellStyle name="Output 5" xfId="5609" hidden="1"/>
    <cellStyle name="Output 5" xfId="5746" hidden="1"/>
    <cellStyle name="Output 5" xfId="5091" hidden="1"/>
    <cellStyle name="Output 5" xfId="5835" hidden="1"/>
    <cellStyle name="Output 5" xfId="5967" hidden="1"/>
    <cellStyle name="Output 5" xfId="6097" hidden="1"/>
    <cellStyle name="Output 5" xfId="4519" hidden="1"/>
    <cellStyle name="Output 5" xfId="6181" hidden="1"/>
    <cellStyle name="Output 5" xfId="6303" hidden="1"/>
    <cellStyle name="Output 5" xfId="6425" hidden="1"/>
    <cellStyle name="Percen - Style2" xfId="91"/>
    <cellStyle name="Percen - Style2 2" xfId="672"/>
    <cellStyle name="Percen - Style2 3" xfId="464"/>
    <cellStyle name="Percen - Style3" xfId="92"/>
    <cellStyle name="Percen - Style3 2" xfId="673"/>
    <cellStyle name="Percen - Style3 3" xfId="465"/>
    <cellStyle name="Percent" xfId="50" builtinId="5"/>
    <cellStyle name="Percent (1)" xfId="93"/>
    <cellStyle name="Percent (2)" xfId="94"/>
    <cellStyle name="Percent 0" xfId="95"/>
    <cellStyle name="Percent 0 2" xfId="212"/>
    <cellStyle name="Percent 0 3" xfId="147"/>
    <cellStyle name="Percent 0 4" xfId="118"/>
    <cellStyle name="Percent 00" xfId="51"/>
    <cellStyle name="Percent 000" xfId="803"/>
    <cellStyle name="Percent 10" xfId="6456"/>
    <cellStyle name="Percent 2" xfId="213"/>
    <cellStyle name="Percent 2 2" xfId="214"/>
    <cellStyle name="Percent 2 2 2" xfId="215"/>
    <cellStyle name="Percent 2 2 2 2" xfId="721"/>
    <cellStyle name="Percent 2 2 2 3" xfId="945"/>
    <cellStyle name="Percent 2 2 2 3 2" xfId="1311"/>
    <cellStyle name="Percent 2 2 2 3 2 2" xfId="2300"/>
    <cellStyle name="Percent 2 2 2 3 2 3" xfId="4338"/>
    <cellStyle name="Percent 2 2 2 3 3" xfId="1935"/>
    <cellStyle name="Percent 2 2 2 3 4" xfId="3974"/>
    <cellStyle name="Percent 2 2 2 4" xfId="1129"/>
    <cellStyle name="Percent 2 2 2 4 2" xfId="2118"/>
    <cellStyle name="Percent 2 2 2 4 3" xfId="4156"/>
    <cellStyle name="Percent 2 2 2 5" xfId="630"/>
    <cellStyle name="Percent 2 2 2 5 2" xfId="1720"/>
    <cellStyle name="Percent 2 2 2 5 3" xfId="3701"/>
    <cellStyle name="Percent 2 2 3" xfId="216"/>
    <cellStyle name="Percent 2 2 3 2" xfId="722"/>
    <cellStyle name="Percent 2 2 3 3" xfId="953"/>
    <cellStyle name="Percent 2 2 3 3 2" xfId="1319"/>
    <cellStyle name="Percent 2 2 3 3 2 2" xfId="2308"/>
    <cellStyle name="Percent 2 2 3 3 2 3" xfId="4346"/>
    <cellStyle name="Percent 2 2 3 3 3" xfId="1943"/>
    <cellStyle name="Percent 2 2 3 3 4" xfId="3982"/>
    <cellStyle name="Percent 2 2 3 4" xfId="1137"/>
    <cellStyle name="Percent 2 2 3 4 2" xfId="2126"/>
    <cellStyle name="Percent 2 2 3 4 3" xfId="4164"/>
    <cellStyle name="Percent 2 2 3 5" xfId="642"/>
    <cellStyle name="Percent 2 2 3 5 2" xfId="1729"/>
    <cellStyle name="Percent 2 2 3 5 3" xfId="3713"/>
    <cellStyle name="Percent 2 2 4" xfId="720"/>
    <cellStyle name="Percent 2 2 5" xfId="812"/>
    <cellStyle name="Percent 2 2 5 2" xfId="1178"/>
    <cellStyle name="Percent 2 2 5 2 2" xfId="2167"/>
    <cellStyle name="Percent 2 2 5 2 3" xfId="4205"/>
    <cellStyle name="Percent 2 2 5 3" xfId="1802"/>
    <cellStyle name="Percent 2 2 5 4" xfId="3841"/>
    <cellStyle name="Percent 2 2 6" xfId="996"/>
    <cellStyle name="Percent 2 2 6 2" xfId="1985"/>
    <cellStyle name="Percent 2 2 6 3" xfId="4023"/>
    <cellStyle name="Percent 2 2 7" xfId="495"/>
    <cellStyle name="Percent 2 2 7 2" xfId="1586"/>
    <cellStyle name="Percent 2 2 7 3" xfId="3566"/>
    <cellStyle name="Percent 2 3" xfId="217"/>
    <cellStyle name="Percent 2 3 2" xfId="723"/>
    <cellStyle name="Percent 2 3 3" xfId="879"/>
    <cellStyle name="Percent 2 3 3 2" xfId="1245"/>
    <cellStyle name="Percent 2 3 3 2 2" xfId="2234"/>
    <cellStyle name="Percent 2 3 3 2 3" xfId="4272"/>
    <cellStyle name="Percent 2 3 3 3" xfId="1869"/>
    <cellStyle name="Percent 2 3 3 4" xfId="3908"/>
    <cellStyle name="Percent 2 3 4" xfId="1063"/>
    <cellStyle name="Percent 2 3 4 2" xfId="2052"/>
    <cellStyle name="Percent 2 3 4 3" xfId="4090"/>
    <cellStyle name="Percent 2 3 5" xfId="564"/>
    <cellStyle name="Percent 2 3 5 2" xfId="1654"/>
    <cellStyle name="Percent 2 3 5 3" xfId="3635"/>
    <cellStyle name="Percent 2 4" xfId="218"/>
    <cellStyle name="Percent 2 4 2" xfId="724"/>
    <cellStyle name="Percent 2 4 3" xfId="949"/>
    <cellStyle name="Percent 2 4 3 2" xfId="1315"/>
    <cellStyle name="Percent 2 4 3 2 2" xfId="2304"/>
    <cellStyle name="Percent 2 4 3 2 3" xfId="4342"/>
    <cellStyle name="Percent 2 4 3 3" xfId="1939"/>
    <cellStyle name="Percent 2 4 3 4" xfId="3978"/>
    <cellStyle name="Percent 2 4 4" xfId="1133"/>
    <cellStyle name="Percent 2 4 4 2" xfId="2122"/>
    <cellStyle name="Percent 2 4 4 3" xfId="4160"/>
    <cellStyle name="Percent 2 4 5" xfId="636"/>
    <cellStyle name="Percent 2 4 5 2" xfId="1725"/>
    <cellStyle name="Percent 2 4 5 3" xfId="3707"/>
    <cellStyle name="Percent 2 5" xfId="719"/>
    <cellStyle name="Percent 2 6" xfId="808"/>
    <cellStyle name="Percent 2 6 2" xfId="1174"/>
    <cellStyle name="Percent 2 6 2 2" xfId="2163"/>
    <cellStyle name="Percent 2 6 2 3" xfId="4201"/>
    <cellStyle name="Percent 2 6 3" xfId="1798"/>
    <cellStyle name="Percent 2 6 4" xfId="3837"/>
    <cellStyle name="Percent 2 7" xfId="992"/>
    <cellStyle name="Percent 2 7 2" xfId="1981"/>
    <cellStyle name="Percent 2 7 3" xfId="4019"/>
    <cellStyle name="Percent 2 8" xfId="489"/>
    <cellStyle name="Percent 2 8 2" xfId="1582"/>
    <cellStyle name="Percent 2 8 3" xfId="3561"/>
    <cellStyle name="Percent 3" xfId="219"/>
    <cellStyle name="Percent 4" xfId="220"/>
    <cellStyle name="Percent 5" xfId="266"/>
    <cellStyle name="Percent 5 2" xfId="304"/>
    <cellStyle name="Percent 5 2 2" xfId="415"/>
    <cellStyle name="Percent 5 2 2 2" xfId="1345"/>
    <cellStyle name="Percent 5 2 2 2 2" xfId="2334"/>
    <cellStyle name="Percent 5 2 2 2 3" xfId="4372"/>
    <cellStyle name="Percent 5 2 2 3" xfId="979"/>
    <cellStyle name="Percent 5 2 2 3 2" xfId="1969"/>
    <cellStyle name="Percent 5 2 2 3 3" xfId="4008"/>
    <cellStyle name="Percent 5 2 2 4" xfId="1546"/>
    <cellStyle name="Percent 5 2 2 5" xfId="3508"/>
    <cellStyle name="Percent 5 2 3" xfId="1163"/>
    <cellStyle name="Percent 5 2 3 2" xfId="2152"/>
    <cellStyle name="Percent 5 2 3 3" xfId="4190"/>
    <cellStyle name="Percent 5 2 4" xfId="789"/>
    <cellStyle name="Percent 5 2 4 2" xfId="1786"/>
    <cellStyle name="Percent 5 2 4 3" xfId="3821"/>
    <cellStyle name="Percent 5 2 5" xfId="1440"/>
    <cellStyle name="Percent 5 2 6" xfId="3433"/>
    <cellStyle name="Percent 5 3" xfId="363"/>
    <cellStyle name="Percent 5 3 2" xfId="968"/>
    <cellStyle name="Percent 5 3 2 2" xfId="1334"/>
    <cellStyle name="Percent 5 3 2 2 2" xfId="2323"/>
    <cellStyle name="Percent 5 3 2 2 3" xfId="4361"/>
    <cellStyle name="Percent 5 3 2 3" xfId="1958"/>
    <cellStyle name="Percent 5 3 2 4" xfId="3997"/>
    <cellStyle name="Percent 5 3 3" xfId="1152"/>
    <cellStyle name="Percent 5 3 3 2" xfId="2141"/>
    <cellStyle name="Percent 5 3 3 3" xfId="4179"/>
    <cellStyle name="Percent 5 3 4" xfId="762"/>
    <cellStyle name="Percent 5 3 4 2" xfId="1769"/>
    <cellStyle name="Percent 5 3 4 3" xfId="3801"/>
    <cellStyle name="Percent 5 3 5" xfId="1494"/>
    <cellStyle name="Percent 5 3 6" xfId="3472"/>
    <cellStyle name="Percent 5 4" xfId="957"/>
    <cellStyle name="Percent 5 4 2" xfId="1323"/>
    <cellStyle name="Percent 5 4 2 2" xfId="2312"/>
    <cellStyle name="Percent 5 4 2 3" xfId="4350"/>
    <cellStyle name="Percent 5 4 3" xfId="1947"/>
    <cellStyle name="Percent 5 4 4" xfId="3986"/>
    <cellStyle name="Percent 5 5" xfId="1141"/>
    <cellStyle name="Percent 5 5 2" xfId="2130"/>
    <cellStyle name="Percent 5 5 3" xfId="4168"/>
    <cellStyle name="Percent 5 6" xfId="735"/>
    <cellStyle name="Percent 5 6 2" xfId="1754"/>
    <cellStyle name="Percent 5 6 3" xfId="3782"/>
    <cellStyle name="Percent 5 7" xfId="1417"/>
    <cellStyle name="Percent 5 8" xfId="3406"/>
    <cellStyle name="Percent 6" xfId="269"/>
    <cellStyle name="Percent 6 2" xfId="307"/>
    <cellStyle name="Percent 6 2 2" xfId="418"/>
    <cellStyle name="Percent 6 2 2 2" xfId="1347"/>
    <cellStyle name="Percent 6 2 2 2 2" xfId="2336"/>
    <cellStyle name="Percent 6 2 2 2 3" xfId="4374"/>
    <cellStyle name="Percent 6 2 2 3" xfId="981"/>
    <cellStyle name="Percent 6 2 2 3 2" xfId="1971"/>
    <cellStyle name="Percent 6 2 2 3 3" xfId="4010"/>
    <cellStyle name="Percent 6 2 2 4" xfId="1549"/>
    <cellStyle name="Percent 6 2 2 5" xfId="3511"/>
    <cellStyle name="Percent 6 2 3" xfId="1165"/>
    <cellStyle name="Percent 6 2 3 2" xfId="2154"/>
    <cellStyle name="Percent 6 2 3 3" xfId="4192"/>
    <cellStyle name="Percent 6 2 4" xfId="792"/>
    <cellStyle name="Percent 6 2 4 2" xfId="1788"/>
    <cellStyle name="Percent 6 2 4 3" xfId="3824"/>
    <cellStyle name="Percent 6 2 5" xfId="1442"/>
    <cellStyle name="Percent 6 2 6" xfId="3436"/>
    <cellStyle name="Percent 6 3" xfId="366"/>
    <cellStyle name="Percent 6 3 2" xfId="970"/>
    <cellStyle name="Percent 6 3 2 2" xfId="1336"/>
    <cellStyle name="Percent 6 3 2 2 2" xfId="2325"/>
    <cellStyle name="Percent 6 3 2 2 3" xfId="4363"/>
    <cellStyle name="Percent 6 3 2 3" xfId="1960"/>
    <cellStyle name="Percent 6 3 2 4" xfId="3999"/>
    <cellStyle name="Percent 6 3 3" xfId="1154"/>
    <cellStyle name="Percent 6 3 3 2" xfId="2143"/>
    <cellStyle name="Percent 6 3 3 3" xfId="4181"/>
    <cellStyle name="Percent 6 3 4" xfId="765"/>
    <cellStyle name="Percent 6 3 4 2" xfId="1771"/>
    <cellStyle name="Percent 6 3 4 3" xfId="3803"/>
    <cellStyle name="Percent 6 3 5" xfId="1497"/>
    <cellStyle name="Percent 6 3 6" xfId="3474"/>
    <cellStyle name="Percent 6 4" xfId="959"/>
    <cellStyle name="Percent 6 4 2" xfId="1325"/>
    <cellStyle name="Percent 6 4 2 2" xfId="2314"/>
    <cellStyle name="Percent 6 4 2 3" xfId="4352"/>
    <cellStyle name="Percent 6 4 3" xfId="1949"/>
    <cellStyle name="Percent 6 4 4" xfId="3988"/>
    <cellStyle name="Percent 6 5" xfId="1143"/>
    <cellStyle name="Percent 6 5 2" xfId="2132"/>
    <cellStyle name="Percent 6 5 3" xfId="4170"/>
    <cellStyle name="Percent 6 6" xfId="738"/>
    <cellStyle name="Percent 6 6 2" xfId="1756"/>
    <cellStyle name="Percent 6 6 3" xfId="3784"/>
    <cellStyle name="Percent 6 7" xfId="1419"/>
    <cellStyle name="Percent 6 8" xfId="3409"/>
    <cellStyle name="Percent 7" xfId="271"/>
    <cellStyle name="Percent 7 2" xfId="309"/>
    <cellStyle name="Percent 7 2 2" xfId="420"/>
    <cellStyle name="Percent 7 2 2 2" xfId="1349"/>
    <cellStyle name="Percent 7 2 2 2 2" xfId="2338"/>
    <cellStyle name="Percent 7 2 2 2 3" xfId="4376"/>
    <cellStyle name="Percent 7 2 2 3" xfId="983"/>
    <cellStyle name="Percent 7 2 2 3 2" xfId="1973"/>
    <cellStyle name="Percent 7 2 2 3 3" xfId="4012"/>
    <cellStyle name="Percent 7 2 2 4" xfId="1551"/>
    <cellStyle name="Percent 7 2 2 5" xfId="3513"/>
    <cellStyle name="Percent 7 2 3" xfId="1167"/>
    <cellStyle name="Percent 7 2 3 2" xfId="2156"/>
    <cellStyle name="Percent 7 2 3 3" xfId="4194"/>
    <cellStyle name="Percent 7 2 4" xfId="794"/>
    <cellStyle name="Percent 7 2 4 2" xfId="1790"/>
    <cellStyle name="Percent 7 2 4 3" xfId="3826"/>
    <cellStyle name="Percent 7 2 5" xfId="1444"/>
    <cellStyle name="Percent 7 2 6" xfId="3438"/>
    <cellStyle name="Percent 7 3" xfId="368"/>
    <cellStyle name="Percent 7 3 2" xfId="972"/>
    <cellStyle name="Percent 7 3 2 2" xfId="1338"/>
    <cellStyle name="Percent 7 3 2 2 2" xfId="2327"/>
    <cellStyle name="Percent 7 3 2 2 3" xfId="4365"/>
    <cellStyle name="Percent 7 3 2 3" xfId="1962"/>
    <cellStyle name="Percent 7 3 2 4" xfId="4001"/>
    <cellStyle name="Percent 7 3 3" xfId="1156"/>
    <cellStyle name="Percent 7 3 3 2" xfId="2145"/>
    <cellStyle name="Percent 7 3 3 3" xfId="4183"/>
    <cellStyle name="Percent 7 3 4" xfId="767"/>
    <cellStyle name="Percent 7 3 4 2" xfId="1773"/>
    <cellStyle name="Percent 7 3 4 3" xfId="3805"/>
    <cellStyle name="Percent 7 3 5" xfId="1499"/>
    <cellStyle name="Percent 7 3 6" xfId="3476"/>
    <cellStyle name="Percent 7 4" xfId="961"/>
    <cellStyle name="Percent 7 4 2" xfId="1327"/>
    <cellStyle name="Percent 7 4 2 2" xfId="2316"/>
    <cellStyle name="Percent 7 4 2 3" xfId="4354"/>
    <cellStyle name="Percent 7 4 3" xfId="1951"/>
    <cellStyle name="Percent 7 4 4" xfId="3990"/>
    <cellStyle name="Percent 7 5" xfId="1145"/>
    <cellStyle name="Percent 7 5 2" xfId="2134"/>
    <cellStyle name="Percent 7 5 3" xfId="4172"/>
    <cellStyle name="Percent 7 6" xfId="740"/>
    <cellStyle name="Percent 7 6 2" xfId="1758"/>
    <cellStyle name="Percent 7 6 3" xfId="3786"/>
    <cellStyle name="Percent 7 7" xfId="1421"/>
    <cellStyle name="Percent 7 8" xfId="3411"/>
    <cellStyle name="Percent 8" xfId="273"/>
    <cellStyle name="Percent 8 2" xfId="311"/>
    <cellStyle name="Percent 8 2 2" xfId="422"/>
    <cellStyle name="Percent 8 2 2 2" xfId="1351"/>
    <cellStyle name="Percent 8 2 2 2 2" xfId="2340"/>
    <cellStyle name="Percent 8 2 2 2 3" xfId="4378"/>
    <cellStyle name="Percent 8 2 2 3" xfId="985"/>
    <cellStyle name="Percent 8 2 2 3 2" xfId="1975"/>
    <cellStyle name="Percent 8 2 2 3 3" xfId="4014"/>
    <cellStyle name="Percent 8 2 2 4" xfId="1553"/>
    <cellStyle name="Percent 8 2 2 5" xfId="3515"/>
    <cellStyle name="Percent 8 2 3" xfId="1169"/>
    <cellStyle name="Percent 8 2 3 2" xfId="2158"/>
    <cellStyle name="Percent 8 2 3 3" xfId="4196"/>
    <cellStyle name="Percent 8 2 4" xfId="796"/>
    <cellStyle name="Percent 8 2 4 2" xfId="1792"/>
    <cellStyle name="Percent 8 2 4 3" xfId="3828"/>
    <cellStyle name="Percent 8 2 5" xfId="1446"/>
    <cellStyle name="Percent 8 2 6" xfId="3440"/>
    <cellStyle name="Percent 8 3" xfId="370"/>
    <cellStyle name="Percent 8 3 2" xfId="974"/>
    <cellStyle name="Percent 8 3 2 2" xfId="1340"/>
    <cellStyle name="Percent 8 3 2 2 2" xfId="2329"/>
    <cellStyle name="Percent 8 3 2 2 3" xfId="4367"/>
    <cellStyle name="Percent 8 3 2 3" xfId="1964"/>
    <cellStyle name="Percent 8 3 2 4" xfId="4003"/>
    <cellStyle name="Percent 8 3 3" xfId="1158"/>
    <cellStyle name="Percent 8 3 3 2" xfId="2147"/>
    <cellStyle name="Percent 8 3 3 3" xfId="4185"/>
    <cellStyle name="Percent 8 3 4" xfId="769"/>
    <cellStyle name="Percent 8 3 4 2" xfId="1775"/>
    <cellStyle name="Percent 8 3 4 3" xfId="3807"/>
    <cellStyle name="Percent 8 3 5" xfId="1501"/>
    <cellStyle name="Percent 8 3 6" xfId="3478"/>
    <cellStyle name="Percent 8 4" xfId="963"/>
    <cellStyle name="Percent 8 4 2" xfId="1329"/>
    <cellStyle name="Percent 8 4 2 2" xfId="2318"/>
    <cellStyle name="Percent 8 4 2 3" xfId="4356"/>
    <cellStyle name="Percent 8 4 3" xfId="1953"/>
    <cellStyle name="Percent 8 4 4" xfId="3992"/>
    <cellStyle name="Percent 8 5" xfId="1147"/>
    <cellStyle name="Percent 8 5 2" xfId="2136"/>
    <cellStyle name="Percent 8 5 3" xfId="4174"/>
    <cellStyle name="Percent 8 6" xfId="742"/>
    <cellStyle name="Percent 8 6 2" xfId="1760"/>
    <cellStyle name="Percent 8 6 3" xfId="3788"/>
    <cellStyle name="Percent 8 7" xfId="1423"/>
    <cellStyle name="Percent 8 8" xfId="3413"/>
    <cellStyle name="Percent 9" xfId="275"/>
    <cellStyle name="Percent 9 2" xfId="313"/>
    <cellStyle name="Percent 9 2 2" xfId="424"/>
    <cellStyle name="Percent 9 2 2 2" xfId="1353"/>
    <cellStyle name="Percent 9 2 2 2 2" xfId="2342"/>
    <cellStyle name="Percent 9 2 2 2 3" xfId="4380"/>
    <cellStyle name="Percent 9 2 2 3" xfId="987"/>
    <cellStyle name="Percent 9 2 2 3 2" xfId="1977"/>
    <cellStyle name="Percent 9 2 2 3 3" xfId="4016"/>
    <cellStyle name="Percent 9 2 2 4" xfId="1555"/>
    <cellStyle name="Percent 9 2 2 5" xfId="3517"/>
    <cellStyle name="Percent 9 2 3" xfId="1171"/>
    <cellStyle name="Percent 9 2 3 2" xfId="2160"/>
    <cellStyle name="Percent 9 2 3 3" xfId="4198"/>
    <cellStyle name="Percent 9 2 4" xfId="798"/>
    <cellStyle name="Percent 9 2 4 2" xfId="1794"/>
    <cellStyle name="Percent 9 2 4 3" xfId="3830"/>
    <cellStyle name="Percent 9 2 5" xfId="1448"/>
    <cellStyle name="Percent 9 2 6" xfId="3442"/>
    <cellStyle name="Percent 9 3" xfId="372"/>
    <cellStyle name="Percent 9 3 2" xfId="976"/>
    <cellStyle name="Percent 9 3 2 2" xfId="1342"/>
    <cellStyle name="Percent 9 3 2 2 2" xfId="2331"/>
    <cellStyle name="Percent 9 3 2 2 3" xfId="4369"/>
    <cellStyle name="Percent 9 3 2 3" xfId="1966"/>
    <cellStyle name="Percent 9 3 2 4" xfId="4005"/>
    <cellStyle name="Percent 9 3 3" xfId="1160"/>
    <cellStyle name="Percent 9 3 3 2" xfId="2149"/>
    <cellStyle name="Percent 9 3 3 3" xfId="4187"/>
    <cellStyle name="Percent 9 3 4" xfId="771"/>
    <cellStyle name="Percent 9 3 4 2" xfId="1777"/>
    <cellStyle name="Percent 9 3 4 3" xfId="3809"/>
    <cellStyle name="Percent 9 3 5" xfId="1503"/>
    <cellStyle name="Percent 9 3 6" xfId="3480"/>
    <cellStyle name="Percent 9 4" xfId="965"/>
    <cellStyle name="Percent 9 4 2" xfId="1331"/>
    <cellStyle name="Percent 9 4 2 2" xfId="2320"/>
    <cellStyle name="Percent 9 4 2 3" xfId="4358"/>
    <cellStyle name="Percent 9 4 3" xfId="1955"/>
    <cellStyle name="Percent 9 4 4" xfId="3994"/>
    <cellStyle name="Percent 9 5" xfId="1149"/>
    <cellStyle name="Percent 9 5 2" xfId="2138"/>
    <cellStyle name="Percent 9 5 3" xfId="4176"/>
    <cellStyle name="Percent 9 6" xfId="744"/>
    <cellStyle name="Percent 9 6 2" xfId="1762"/>
    <cellStyle name="Percent 9 6 3" xfId="3790"/>
    <cellStyle name="Percent 9 7" xfId="1425"/>
    <cellStyle name="Percent 9 8" xfId="3415"/>
    <cellStyle name="Percent, Pos" xfId="96"/>
    <cellStyle name="Percent, Pos 2" xfId="221"/>
    <cellStyle name="Percent, Pos 2 2" xfId="484"/>
    <cellStyle name="Percent, Pos 3" xfId="148"/>
    <cellStyle name="Percent, Pos 3 2" xfId="692"/>
    <cellStyle name="Percent, Pos 4" xfId="119"/>
    <cellStyle name="Percent, Pos 4 2" xfId="674"/>
    <cellStyle name="Percent, Pos 5" xfId="466"/>
    <cellStyle name="Percent, Pos, No 0" xfId="97"/>
    <cellStyle name="Percent, Pos, No 0 2" xfId="222"/>
    <cellStyle name="Percent, Pos, No 0 2 2" xfId="485"/>
    <cellStyle name="Percent, Pos, No 0 3" xfId="149"/>
    <cellStyle name="Percent, Pos, No 0 3 2" xfId="693"/>
    <cellStyle name="Percent, Pos, No 0 4" xfId="120"/>
    <cellStyle name="Percent, Pos, No 0 4 2" xfId="675"/>
    <cellStyle name="Percent, Pos, No 0 5" xfId="467"/>
    <cellStyle name="Percent, Pos, No 0_analysis" xfId="243"/>
    <cellStyle name="Percent, Pos_analysis" xfId="242"/>
    <cellStyle name="Title" xfId="52" builtinId="15" customBuiltin="1"/>
    <cellStyle name="Total" xfId="53" builtinId="25" customBuiltin="1"/>
    <cellStyle name="Total 2" xfId="98"/>
    <cellStyle name="Total 2 2" xfId="223"/>
    <cellStyle name="Total 2 3" xfId="486"/>
    <cellStyle name="Total 3" xfId="224"/>
    <cellStyle name="Total 3 2" xfId="499"/>
    <cellStyle name="Total 4" xfId="150"/>
    <cellStyle name="Total 4 2" xfId="694"/>
    <cellStyle name="Total 5" xfId="121"/>
    <cellStyle name="Total 5 2" xfId="676"/>
    <cellStyle name="Total 6" xfId="468"/>
    <cellStyle name="Total 7" xfId="1363"/>
    <cellStyle name="Warning Text" xfId="54" builtinId="11" customBuiltin="1"/>
    <cellStyle name="Warning Text 2" xfId="506" hidden="1"/>
    <cellStyle name="Warning Text 2" xfId="821" hidden="1"/>
    <cellStyle name="Warning Text 2" xfId="1005" hidden="1"/>
    <cellStyle name="Warning Text 2" xfId="1187" hidden="1"/>
    <cellStyle name="Warning Text 2" xfId="1596" hidden="1"/>
    <cellStyle name="Warning Text 2" xfId="1811" hidden="1"/>
    <cellStyle name="Warning Text 2" xfId="1994" hidden="1"/>
    <cellStyle name="Warning Text 2" xfId="2176" hidden="1"/>
    <cellStyle name="Warning Text 2" xfId="2356" hidden="1"/>
    <cellStyle name="Warning Text 2" xfId="2517" hidden="1"/>
    <cellStyle name="Warning Text 2" xfId="2649" hidden="1"/>
    <cellStyle name="Warning Text 2" xfId="2779" hidden="1"/>
    <cellStyle name="Warning Text 2" xfId="1429" hidden="1"/>
    <cellStyle name="Warning Text 2" xfId="1738" hidden="1"/>
    <cellStyle name="Warning Text 2" xfId="2986" hidden="1"/>
    <cellStyle name="Warning Text 2" xfId="3108" hidden="1"/>
    <cellStyle name="Warning Text 2" xfId="3577" hidden="1"/>
    <cellStyle name="Warning Text 2" xfId="3850" hidden="1"/>
    <cellStyle name="Warning Text 2" xfId="4032" hidden="1"/>
    <cellStyle name="Warning Text 2" xfId="4214" hidden="1"/>
    <cellStyle name="Warning Text 2" xfId="3256" hidden="1"/>
    <cellStyle name="Warning Text 2" xfId="4549" hidden="1"/>
    <cellStyle name="Warning Text 2" xfId="4710" hidden="1"/>
    <cellStyle name="Warning Text 2" xfId="4862" hidden="1"/>
    <cellStyle name="Warning Text 2" xfId="3365" hidden="1"/>
    <cellStyle name="Warning Text 2" xfId="3544" hidden="1"/>
    <cellStyle name="Warning Text 2" xfId="5121" hidden="1"/>
    <cellStyle name="Warning Text 2" xfId="5271" hidden="1"/>
    <cellStyle name="Warning Text 2" xfId="3796" hidden="1"/>
    <cellStyle name="Warning Text 2" xfId="3381" hidden="1"/>
    <cellStyle name="Warning Text 2" xfId="5519" hidden="1"/>
    <cellStyle name="Warning Text 2" xfId="5656" hidden="1"/>
    <cellStyle name="Warning Text 2" xfId="5095" hidden="1"/>
    <cellStyle name="Warning Text 2" xfId="3493" hidden="1"/>
    <cellStyle name="Warning Text 2" xfId="5877" hidden="1"/>
    <cellStyle name="Warning Text 2" xfId="6007" hidden="1"/>
    <cellStyle name="Warning Text 2" xfId="3464" hidden="1"/>
    <cellStyle name="Warning Text 2" xfId="3757" hidden="1"/>
    <cellStyle name="Warning Text 2" xfId="6214" hidden="1"/>
    <cellStyle name="Warning Text 2" xfId="6336" hidden="1"/>
    <cellStyle name="Warning Text 3" xfId="537" hidden="1"/>
    <cellStyle name="Warning Text 3" xfId="852" hidden="1"/>
    <cellStyle name="Warning Text 3" xfId="1036" hidden="1"/>
    <cellStyle name="Warning Text 3" xfId="1218" hidden="1"/>
    <cellStyle name="Warning Text 3" xfId="1627" hidden="1"/>
    <cellStyle name="Warning Text 3" xfId="1842" hidden="1"/>
    <cellStyle name="Warning Text 3" xfId="2025" hidden="1"/>
    <cellStyle name="Warning Text 3" xfId="2207" hidden="1"/>
    <cellStyle name="Warning Text 3" xfId="2387" hidden="1"/>
    <cellStyle name="Warning Text 3" xfId="2548" hidden="1"/>
    <cellStyle name="Warning Text 3" xfId="2680" hidden="1"/>
    <cellStyle name="Warning Text 3" xfId="2810" hidden="1"/>
    <cellStyle name="Warning Text 3" xfId="2412" hidden="1"/>
    <cellStyle name="Warning Text 3" xfId="1379" hidden="1"/>
    <cellStyle name="Warning Text 3" xfId="3017" hidden="1"/>
    <cellStyle name="Warning Text 3" xfId="3139" hidden="1"/>
    <cellStyle name="Warning Text 3" xfId="3608" hidden="1"/>
    <cellStyle name="Warning Text 3" xfId="3881" hidden="1"/>
    <cellStyle name="Warning Text 3" xfId="4063" hidden="1"/>
    <cellStyle name="Warning Text 3" xfId="4245" hidden="1"/>
    <cellStyle name="Warning Text 3" xfId="3246" hidden="1"/>
    <cellStyle name="Warning Text 3" xfId="4580" hidden="1"/>
    <cellStyle name="Warning Text 3" xfId="4741" hidden="1"/>
    <cellStyle name="Warning Text 3" xfId="4893" hidden="1"/>
    <cellStyle name="Warning Text 3" xfId="4987" hidden="1"/>
    <cellStyle name="Warning Text 3" xfId="4439" hidden="1"/>
    <cellStyle name="Warning Text 3" xfId="5152" hidden="1"/>
    <cellStyle name="Warning Text 3" xfId="5302" hidden="1"/>
    <cellStyle name="Warning Text 3" xfId="3488" hidden="1"/>
    <cellStyle name="Warning Text 3" xfId="3816" hidden="1"/>
    <cellStyle name="Warning Text 3" xfId="5550" hidden="1"/>
    <cellStyle name="Warning Text 3" xfId="5687" hidden="1"/>
    <cellStyle name="Warning Text 3" xfId="5777" hidden="1"/>
    <cellStyle name="Warning Text 3" xfId="3321" hidden="1"/>
    <cellStyle name="Warning Text 3" xfId="5908" hidden="1"/>
    <cellStyle name="Warning Text 3" xfId="6038" hidden="1"/>
    <cellStyle name="Warning Text 3" xfId="3281" hidden="1"/>
    <cellStyle name="Warning Text 3" xfId="5088" hidden="1"/>
    <cellStyle name="Warning Text 3" xfId="6245" hidden="1"/>
    <cellStyle name="Warning Text 3" xfId="6367" hidden="1"/>
    <cellStyle name="Warning Text 4" xfId="572" hidden="1"/>
    <cellStyle name="Warning Text 4" xfId="887" hidden="1"/>
    <cellStyle name="Warning Text 4" xfId="1071" hidden="1"/>
    <cellStyle name="Warning Text 4" xfId="1253" hidden="1"/>
    <cellStyle name="Warning Text 4" xfId="1662" hidden="1"/>
    <cellStyle name="Warning Text 4" xfId="1877" hidden="1"/>
    <cellStyle name="Warning Text 4" xfId="2060" hidden="1"/>
    <cellStyle name="Warning Text 4" xfId="2242" hidden="1"/>
    <cellStyle name="Warning Text 4" xfId="2419" hidden="1"/>
    <cellStyle name="Warning Text 4" xfId="2580" hidden="1"/>
    <cellStyle name="Warning Text 4" xfId="2712" hidden="1"/>
    <cellStyle name="Warning Text 4" xfId="2842" hidden="1"/>
    <cellStyle name="Warning Text 4" xfId="2489" hidden="1"/>
    <cellStyle name="Warning Text 4" xfId="2926" hidden="1"/>
    <cellStyle name="Warning Text 4" xfId="3048" hidden="1"/>
    <cellStyle name="Warning Text 4" xfId="3170" hidden="1"/>
    <cellStyle name="Warning Text 4" xfId="3643" hidden="1"/>
    <cellStyle name="Warning Text 4" xfId="3916" hidden="1"/>
    <cellStyle name="Warning Text 4" xfId="4098" hidden="1"/>
    <cellStyle name="Warning Text 4" xfId="4280" hidden="1"/>
    <cellStyle name="Warning Text 4" xfId="3230" hidden="1"/>
    <cellStyle name="Warning Text 4" xfId="4613" hidden="1"/>
    <cellStyle name="Warning Text 4" xfId="4773" hidden="1"/>
    <cellStyle name="Warning Text 4" xfId="4926" hidden="1"/>
    <cellStyle name="Warning Text 4" xfId="3553" hidden="1"/>
    <cellStyle name="Warning Text 4" xfId="5030" hidden="1"/>
    <cellStyle name="Warning Text 4" xfId="5184" hidden="1"/>
    <cellStyle name="Warning Text 4" xfId="5335" hidden="1"/>
    <cellStyle name="Warning Text 4" xfId="3322" hidden="1"/>
    <cellStyle name="Warning Text 4" xfId="5439" hidden="1"/>
    <cellStyle name="Warning Text 4" xfId="5582" hidden="1"/>
    <cellStyle name="Warning Text 4" xfId="5719" hidden="1"/>
    <cellStyle name="Warning Text 4" xfId="3775" hidden="1"/>
    <cellStyle name="Warning Text 4" xfId="5808" hidden="1"/>
    <cellStyle name="Warning Text 4" xfId="5940" hidden="1"/>
    <cellStyle name="Warning Text 4" xfId="6070" hidden="1"/>
    <cellStyle name="Warning Text 4" xfId="5096" hidden="1"/>
    <cellStyle name="Warning Text 4" xfId="6154" hidden="1"/>
    <cellStyle name="Warning Text 4" xfId="6276" hidden="1"/>
    <cellStyle name="Warning Text 4" xfId="6398" hidden="1"/>
    <cellStyle name="Warning Text 5" xfId="603" hidden="1"/>
    <cellStyle name="Warning Text 5" xfId="918" hidden="1"/>
    <cellStyle name="Warning Text 5" xfId="1102" hidden="1"/>
    <cellStyle name="Warning Text 5" xfId="1284" hidden="1"/>
    <cellStyle name="Warning Text 5" xfId="1693" hidden="1"/>
    <cellStyle name="Warning Text 5" xfId="1908" hidden="1"/>
    <cellStyle name="Warning Text 5" xfId="2091" hidden="1"/>
    <cellStyle name="Warning Text 5" xfId="2273" hidden="1"/>
    <cellStyle name="Warning Text 5" xfId="2450" hidden="1"/>
    <cellStyle name="Warning Text 5" xfId="2611" hidden="1"/>
    <cellStyle name="Warning Text 5" xfId="2743" hidden="1"/>
    <cellStyle name="Warning Text 5" xfId="2873" hidden="1"/>
    <cellStyle name="Warning Text 5" xfId="1368" hidden="1"/>
    <cellStyle name="Warning Text 5" xfId="2957" hidden="1"/>
    <cellStyle name="Warning Text 5" xfId="3079" hidden="1"/>
    <cellStyle name="Warning Text 5" xfId="3201" hidden="1"/>
    <cellStyle name="Warning Text 5" xfId="3674" hidden="1"/>
    <cellStyle name="Warning Text 5" xfId="3947" hidden="1"/>
    <cellStyle name="Warning Text 5" xfId="4129" hidden="1"/>
    <cellStyle name="Warning Text 5" xfId="4311" hidden="1"/>
    <cellStyle name="Warning Text 5" xfId="4404" hidden="1"/>
    <cellStyle name="Warning Text 5" xfId="4644" hidden="1"/>
    <cellStyle name="Warning Text 5" xfId="4804" hidden="1"/>
    <cellStyle name="Warning Text 5" xfId="4957" hidden="1"/>
    <cellStyle name="Warning Text 5" xfId="3519" hidden="1"/>
    <cellStyle name="Warning Text 5" xfId="5061" hidden="1"/>
    <cellStyle name="Warning Text 5" xfId="5215" hidden="1"/>
    <cellStyle name="Warning Text 5" xfId="5366" hidden="1"/>
    <cellStyle name="Warning Text 5" xfId="3287" hidden="1"/>
    <cellStyle name="Warning Text 5" xfId="5470" hidden="1"/>
    <cellStyle name="Warning Text 5" xfId="5613" hidden="1"/>
    <cellStyle name="Warning Text 5" xfId="5750" hidden="1"/>
    <cellStyle name="Warning Text 5" xfId="4509" hidden="1"/>
    <cellStyle name="Warning Text 5" xfId="5839" hidden="1"/>
    <cellStyle name="Warning Text 5" xfId="5971" hidden="1"/>
    <cellStyle name="Warning Text 5" xfId="6101" hidden="1"/>
    <cellStyle name="Warning Text 5" xfId="3462" hidden="1"/>
    <cellStyle name="Warning Text 5" xfId="6185" hidden="1"/>
    <cellStyle name="Warning Text 5" xfId="6307" hidden="1"/>
    <cellStyle name="Warning Text 5" xfId="6429" hidden="1"/>
  </cellStyles>
  <dxfs count="90">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66"/>
      <rgbColor rgb="00808000"/>
      <rgbColor rgb="00800080"/>
      <rgbColor rgb="00008080"/>
      <rgbColor rgb="00F3EDED"/>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000066"/>
      <rgbColor rgb="00CC0000"/>
      <rgbColor rgb="00993366"/>
      <rgbColor rgb="00333399"/>
      <rgbColor rgb="00333333"/>
    </indexedColors>
    <mruColors>
      <color rgb="FF28446E"/>
      <color rgb="FFE06A22"/>
      <color rgb="FF66FF33"/>
      <color rgb="FFFF6699"/>
      <color rgb="FFEA9600"/>
      <color rgb="FFFE920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DataPage!$B$551</c:f>
              <c:strCache>
                <c:ptCount val="1"/>
                <c:pt idx="0">
                  <c:v>Expenses</c:v>
                </c:pt>
              </c:strCache>
            </c:strRef>
          </c:tx>
          <c:spPr>
            <a:solidFill>
              <a:schemeClr val="tx2">
                <a:lumMod val="60000"/>
                <a:lumOff val="40000"/>
              </a:schemeClr>
            </a:solidFill>
            <a:scene3d>
              <a:camera prst="orthographicFront"/>
              <a:lightRig rig="threePt" dir="t"/>
            </a:scene3d>
            <a:sp3d>
              <a:bevelT w="190500" h="38100"/>
            </a:sp3d>
          </c:spPr>
          <c:invertIfNegative val="0"/>
          <c:cat>
            <c:strRef>
              <c:f>DataPage!$C$550:$D$550</c:f>
              <c:strCache>
                <c:ptCount val="2"/>
                <c:pt idx="0">
                  <c:v>This Year</c:v>
                </c:pt>
                <c:pt idx="1">
                  <c:v>Last Year</c:v>
                </c:pt>
              </c:strCache>
            </c:strRef>
          </c:cat>
          <c:val>
            <c:numRef>
              <c:f>DataPage!$C$551:$D$551</c:f>
              <c:numCache>
                <c:formatCode>_(* #,##0_);_(* \(#,##0\);_(* "-"??_);_(@_)</c:formatCode>
                <c:ptCount val="2"/>
                <c:pt idx="0">
                  <c:v>1589373891.0925393</c:v>
                </c:pt>
                <c:pt idx="1">
                  <c:v>1589373891.0925393</c:v>
                </c:pt>
              </c:numCache>
            </c:numRef>
          </c:val>
        </c:ser>
        <c:ser>
          <c:idx val="1"/>
          <c:order val="1"/>
          <c:tx>
            <c:strRef>
              <c:f>DataPage!$B$552</c:f>
              <c:strCache>
                <c:ptCount val="1"/>
                <c:pt idx="0">
                  <c:v>Depreciation &amp; Amortization</c:v>
                </c:pt>
              </c:strCache>
            </c:strRef>
          </c:tx>
          <c:spPr>
            <a:solidFill>
              <a:srgbClr val="FFFF00"/>
            </a:solidFill>
            <a:scene3d>
              <a:camera prst="orthographicFront"/>
              <a:lightRig rig="threePt" dir="t"/>
            </a:scene3d>
            <a:sp3d>
              <a:bevelT w="190500" h="38100"/>
            </a:sp3d>
          </c:spPr>
          <c:invertIfNegative val="0"/>
          <c:cat>
            <c:strRef>
              <c:f>DataPage!$C$550:$D$550</c:f>
              <c:strCache>
                <c:ptCount val="2"/>
                <c:pt idx="0">
                  <c:v>This Year</c:v>
                </c:pt>
                <c:pt idx="1">
                  <c:v>Last Year</c:v>
                </c:pt>
              </c:strCache>
            </c:strRef>
          </c:cat>
          <c:val>
            <c:numRef>
              <c:f>DataPage!$C$552:$D$552</c:f>
              <c:numCache>
                <c:formatCode>_(* #,##0_);_(* \(#,##0\);_(* "-"??_);_(@_)</c:formatCode>
                <c:ptCount val="2"/>
                <c:pt idx="0">
                  <c:v>140091400.05580094</c:v>
                </c:pt>
                <c:pt idx="1">
                  <c:v>140091400.05580094</c:v>
                </c:pt>
              </c:numCache>
            </c:numRef>
          </c:val>
        </c:ser>
        <c:ser>
          <c:idx val="2"/>
          <c:order val="2"/>
          <c:tx>
            <c:strRef>
              <c:f>DataPage!$B$553</c:f>
              <c:strCache>
                <c:ptCount val="1"/>
                <c:pt idx="0">
                  <c:v>Operating Profit</c:v>
                </c:pt>
              </c:strCache>
            </c:strRef>
          </c:tx>
          <c:spPr>
            <a:solidFill>
              <a:srgbClr val="00B050"/>
            </a:solidFill>
            <a:scene3d>
              <a:camera prst="orthographicFront"/>
              <a:lightRig rig="threePt" dir="t"/>
            </a:scene3d>
            <a:sp3d>
              <a:bevelT w="190500" h="38100"/>
            </a:sp3d>
          </c:spPr>
          <c:invertIfNegative val="0"/>
          <c:cat>
            <c:strRef>
              <c:f>DataPage!$C$550:$D$550</c:f>
              <c:strCache>
                <c:ptCount val="2"/>
                <c:pt idx="0">
                  <c:v>This Year</c:v>
                </c:pt>
                <c:pt idx="1">
                  <c:v>Last Year</c:v>
                </c:pt>
              </c:strCache>
            </c:strRef>
          </c:cat>
          <c:val>
            <c:numRef>
              <c:f>DataPage!$C$553:$D$553</c:f>
              <c:numCache>
                <c:formatCode>_(* #,##0_);_(* \(#,##0\);_(* "-"??_);_(@_)</c:formatCode>
                <c:ptCount val="2"/>
                <c:pt idx="0">
                  <c:v>279316997.94893551</c:v>
                </c:pt>
                <c:pt idx="1">
                  <c:v>279316997.94893551</c:v>
                </c:pt>
              </c:numCache>
            </c:numRef>
          </c:val>
        </c:ser>
        <c:dLbls>
          <c:showLegendKey val="0"/>
          <c:showVal val="0"/>
          <c:showCatName val="0"/>
          <c:showSerName val="0"/>
          <c:showPercent val="0"/>
          <c:showBubbleSize val="0"/>
        </c:dLbls>
        <c:gapWidth val="150"/>
        <c:overlap val="100"/>
        <c:axId val="79993856"/>
        <c:axId val="48235072"/>
      </c:barChart>
      <c:catAx>
        <c:axId val="79993856"/>
        <c:scaling>
          <c:orientation val="minMax"/>
        </c:scaling>
        <c:delete val="0"/>
        <c:axPos val="b"/>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US"/>
          </a:p>
        </c:txPr>
        <c:crossAx val="48235072"/>
        <c:crosses val="autoZero"/>
        <c:auto val="1"/>
        <c:lblAlgn val="ctr"/>
        <c:lblOffset val="100"/>
        <c:noMultiLvlLbl val="0"/>
      </c:catAx>
      <c:valAx>
        <c:axId val="48235072"/>
        <c:scaling>
          <c:orientation val="minMax"/>
          <c:max val="2500000000"/>
        </c:scaling>
        <c:delete val="0"/>
        <c:axPos val="l"/>
        <c:majorGridlines/>
        <c:numFmt formatCode="_(* #,##0_);_(* \(#,##0\);_(* &quot;-&quot;??_);_(@_)"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US"/>
          </a:p>
        </c:txPr>
        <c:crossAx val="79993856"/>
        <c:crosses val="autoZero"/>
        <c:crossBetween val="between"/>
        <c:dispUnits>
          <c:builtInUnit val="millions"/>
          <c:dispUnitsLbl>
            <c:layout>
              <c:manualLayout>
                <c:xMode val="edge"/>
                <c:yMode val="edge"/>
                <c:x val="2.2222222222222223E-2"/>
                <c:y val="0.39862277631962673"/>
              </c:manualLayout>
            </c:layout>
            <c:txPr>
              <a:bodyPr/>
              <a:lstStyle/>
              <a:p>
                <a:pPr>
                  <a:defRPr sz="800">
                    <a:latin typeface="Arial" panose="020B0604020202020204" pitchFamily="34" charset="0"/>
                    <a:cs typeface="Arial" panose="020B0604020202020204" pitchFamily="34" charset="0"/>
                  </a:defRPr>
                </a:pPr>
                <a:endParaRPr lang="en-US"/>
              </a:p>
            </c:txPr>
          </c:dispUnitsLbl>
        </c:dispUnits>
      </c:valAx>
    </c:plotArea>
    <c:legend>
      <c:legendPos val="r"/>
      <c:overlay val="0"/>
      <c:txPr>
        <a:bodyPr/>
        <a:lstStyle/>
        <a:p>
          <a:pPr>
            <a:defRPr sz="800">
              <a:latin typeface="Arial" panose="020B0604020202020204" pitchFamily="34" charset="0"/>
              <a:cs typeface="Arial" panose="020B060402020202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DataPage!$B$560</c:f>
              <c:strCache>
                <c:ptCount val="1"/>
                <c:pt idx="0">
                  <c:v>Expenses</c:v>
                </c:pt>
              </c:strCache>
            </c:strRef>
          </c:tx>
          <c:spPr>
            <a:solidFill>
              <a:schemeClr val="tx2">
                <a:lumMod val="60000"/>
                <a:lumOff val="40000"/>
              </a:schemeClr>
            </a:solidFill>
            <a:scene3d>
              <a:camera prst="orthographicFront"/>
              <a:lightRig rig="threePt" dir="t"/>
            </a:scene3d>
            <a:sp3d>
              <a:bevelT w="190500" h="38100"/>
            </a:sp3d>
          </c:spPr>
          <c:invertIfNegative val="0"/>
          <c:cat>
            <c:strRef>
              <c:f>DataPage!$C$559:$D$559</c:f>
              <c:strCache>
                <c:ptCount val="2"/>
                <c:pt idx="0">
                  <c:v>This Year</c:v>
                </c:pt>
                <c:pt idx="1">
                  <c:v>Last Year</c:v>
                </c:pt>
              </c:strCache>
            </c:strRef>
          </c:cat>
          <c:val>
            <c:numRef>
              <c:f>DataPage!$C$560:$D$560</c:f>
              <c:numCache>
                <c:formatCode>_(* #,##0_);_(* \(#,##0\);_(* "-"??_);_(@_)</c:formatCode>
                <c:ptCount val="2"/>
                <c:pt idx="0">
                  <c:v>1671778955.6119137</c:v>
                </c:pt>
                <c:pt idx="1">
                  <c:v>1671778955.6119137</c:v>
                </c:pt>
              </c:numCache>
            </c:numRef>
          </c:val>
        </c:ser>
        <c:ser>
          <c:idx val="1"/>
          <c:order val="1"/>
          <c:tx>
            <c:strRef>
              <c:f>DataPage!$B$561</c:f>
              <c:strCache>
                <c:ptCount val="1"/>
                <c:pt idx="0">
                  <c:v>Depreciation &amp; Amortization</c:v>
                </c:pt>
              </c:strCache>
            </c:strRef>
          </c:tx>
          <c:spPr>
            <a:solidFill>
              <a:srgbClr val="FFFF00"/>
            </a:solidFill>
            <a:scene3d>
              <a:camera prst="orthographicFront"/>
              <a:lightRig rig="balanced" dir="t">
                <a:rot lat="0" lon="0" rev="8700000"/>
              </a:lightRig>
            </a:scene3d>
            <a:sp3d>
              <a:bevelT w="190500" h="38100"/>
            </a:sp3d>
          </c:spPr>
          <c:invertIfNegative val="0"/>
          <c:cat>
            <c:strRef>
              <c:f>DataPage!$C$559:$D$559</c:f>
              <c:strCache>
                <c:ptCount val="2"/>
                <c:pt idx="0">
                  <c:v>This Year</c:v>
                </c:pt>
                <c:pt idx="1">
                  <c:v>Last Year</c:v>
                </c:pt>
              </c:strCache>
            </c:strRef>
          </c:cat>
          <c:val>
            <c:numRef>
              <c:f>DataPage!$C$561:$D$561</c:f>
              <c:numCache>
                <c:formatCode>_(* #,##0_);_(* \(#,##0\);_(* "-"??_);_(@_)</c:formatCode>
                <c:ptCount val="2"/>
                <c:pt idx="0">
                  <c:v>171988446.09804523</c:v>
                </c:pt>
                <c:pt idx="1">
                  <c:v>171988446.09804523</c:v>
                </c:pt>
              </c:numCache>
            </c:numRef>
          </c:val>
        </c:ser>
        <c:ser>
          <c:idx val="2"/>
          <c:order val="2"/>
          <c:tx>
            <c:strRef>
              <c:f>DataPage!$B$562</c:f>
              <c:strCache>
                <c:ptCount val="1"/>
                <c:pt idx="0">
                  <c:v>Operating Profit</c:v>
                </c:pt>
              </c:strCache>
            </c:strRef>
          </c:tx>
          <c:spPr>
            <a:solidFill>
              <a:srgbClr val="00B050"/>
            </a:solidFill>
            <a:scene3d>
              <a:camera prst="orthographicFront"/>
              <a:lightRig rig="threePt" dir="t"/>
            </a:scene3d>
            <a:sp3d>
              <a:bevelT w="190500" h="38100"/>
            </a:sp3d>
          </c:spPr>
          <c:invertIfNegative val="0"/>
          <c:cat>
            <c:strRef>
              <c:f>DataPage!$C$559:$D$559</c:f>
              <c:strCache>
                <c:ptCount val="2"/>
                <c:pt idx="0">
                  <c:v>This Year</c:v>
                </c:pt>
                <c:pt idx="1">
                  <c:v>Last Year</c:v>
                </c:pt>
              </c:strCache>
            </c:strRef>
          </c:cat>
          <c:val>
            <c:numRef>
              <c:f>DataPage!$C$562:$D$562</c:f>
              <c:numCache>
                <c:formatCode>_(* #,##0_);_(* \(#,##0\);_(* "-"??_);_(@_)</c:formatCode>
                <c:ptCount val="2"/>
                <c:pt idx="0">
                  <c:v>558861283.69516289</c:v>
                </c:pt>
                <c:pt idx="1">
                  <c:v>558861283.69516289</c:v>
                </c:pt>
              </c:numCache>
            </c:numRef>
          </c:val>
        </c:ser>
        <c:dLbls>
          <c:showLegendKey val="0"/>
          <c:showVal val="0"/>
          <c:showCatName val="0"/>
          <c:showSerName val="0"/>
          <c:showPercent val="0"/>
          <c:showBubbleSize val="0"/>
        </c:dLbls>
        <c:gapWidth val="150"/>
        <c:overlap val="100"/>
        <c:axId val="242864640"/>
        <c:axId val="48240832"/>
      </c:barChart>
      <c:catAx>
        <c:axId val="242864640"/>
        <c:scaling>
          <c:orientation val="minMax"/>
        </c:scaling>
        <c:delete val="0"/>
        <c:axPos val="b"/>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US"/>
          </a:p>
        </c:txPr>
        <c:crossAx val="48240832"/>
        <c:crosses val="autoZero"/>
        <c:auto val="1"/>
        <c:lblAlgn val="ctr"/>
        <c:lblOffset val="100"/>
        <c:noMultiLvlLbl val="0"/>
      </c:catAx>
      <c:valAx>
        <c:axId val="48240832"/>
        <c:scaling>
          <c:orientation val="minMax"/>
          <c:max val="2500000000"/>
        </c:scaling>
        <c:delete val="0"/>
        <c:axPos val="l"/>
        <c:majorGridlines/>
        <c:numFmt formatCode="_(* #,##0_);_(* \(#,##0\);_(* &quot;-&quot;??_);_(@_)"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US"/>
          </a:p>
        </c:txPr>
        <c:crossAx val="242864640"/>
        <c:crosses val="autoZero"/>
        <c:crossBetween val="between"/>
        <c:dispUnits>
          <c:builtInUnit val="millions"/>
          <c:dispUnitsLbl>
            <c:layout>
              <c:manualLayout>
                <c:xMode val="edge"/>
                <c:yMode val="edge"/>
                <c:x val="2.2222222222222223E-2"/>
                <c:y val="0.39862277631962673"/>
              </c:manualLayout>
            </c:layout>
            <c:txPr>
              <a:bodyPr/>
              <a:lstStyle/>
              <a:p>
                <a:pPr>
                  <a:defRPr sz="800">
                    <a:latin typeface="Arial" panose="020B0604020202020204" pitchFamily="34" charset="0"/>
                    <a:cs typeface="Arial" panose="020B0604020202020204" pitchFamily="34" charset="0"/>
                  </a:defRPr>
                </a:pPr>
                <a:endParaRPr lang="en-US"/>
              </a:p>
            </c:txPr>
          </c:dispUnitsLbl>
        </c:dispUnits>
      </c:valAx>
    </c:plotArea>
    <c:legend>
      <c:legendPos val="r"/>
      <c:overlay val="0"/>
      <c:txPr>
        <a:bodyPr/>
        <a:lstStyle/>
        <a:p>
          <a:pPr>
            <a:defRPr sz="800">
              <a:latin typeface="Arial" panose="020B0604020202020204" pitchFamily="34" charset="0"/>
              <a:cs typeface="Arial" panose="020B060402020202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457771945173521"/>
          <c:y val="0.17670660379267775"/>
          <c:w val="0.76532050160396614"/>
          <c:h val="0.60572924045253085"/>
        </c:manualLayout>
      </c:layout>
      <c:barChart>
        <c:barDir val="bar"/>
        <c:grouping val="clustered"/>
        <c:varyColors val="0"/>
        <c:ser>
          <c:idx val="0"/>
          <c:order val="0"/>
          <c:spPr>
            <a:solidFill>
              <a:srgbClr val="FFC000"/>
            </a:solidFill>
            <a:scene3d>
              <a:camera prst="orthographicFront"/>
              <a:lightRig rig="threePt" dir="t"/>
            </a:scene3d>
            <a:sp3d>
              <a:bevelT w="190500" h="38100"/>
            </a:sp3d>
          </c:spPr>
          <c:invertIfNegative val="0"/>
          <c:dPt>
            <c:idx val="0"/>
            <c:invertIfNegative val="0"/>
            <c:bubble3D val="0"/>
            <c:spPr>
              <a:solidFill>
                <a:srgbClr val="92D050"/>
              </a:solidFill>
              <a:scene3d>
                <a:camera prst="orthographicFront"/>
                <a:lightRig rig="threePt" dir="t"/>
              </a:scene3d>
              <a:sp3d>
                <a:bevelT w="190500" h="38100"/>
              </a:sp3d>
            </c:spPr>
          </c:dPt>
          <c:cat>
            <c:strRef>
              <c:f>DataPage!$B$569:$B$570</c:f>
              <c:strCache>
                <c:ptCount val="2"/>
                <c:pt idx="0">
                  <c:v>Transform</c:v>
                </c:pt>
                <c:pt idx="1">
                  <c:v>Growth</c:v>
                </c:pt>
              </c:strCache>
            </c:strRef>
          </c:cat>
          <c:val>
            <c:numRef>
              <c:f>DataPage!$C$569:$C$570</c:f>
              <c:numCache>
                <c:formatCode>[$-409]d\-mmm;@</c:formatCode>
                <c:ptCount val="2"/>
                <c:pt idx="0">
                  <c:v>51.576599609964973</c:v>
                </c:pt>
                <c:pt idx="1">
                  <c:v>50.821085663092326</c:v>
                </c:pt>
              </c:numCache>
            </c:numRef>
          </c:val>
        </c:ser>
        <c:dLbls>
          <c:showLegendKey val="0"/>
          <c:showVal val="0"/>
          <c:showCatName val="0"/>
          <c:showSerName val="0"/>
          <c:showPercent val="0"/>
          <c:showBubbleSize val="0"/>
        </c:dLbls>
        <c:gapWidth val="57"/>
        <c:axId val="242864128"/>
        <c:axId val="213649664"/>
      </c:barChart>
      <c:catAx>
        <c:axId val="242864128"/>
        <c:scaling>
          <c:orientation val="minMax"/>
        </c:scaling>
        <c:delete val="0"/>
        <c:axPos val="l"/>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US"/>
          </a:p>
        </c:txPr>
        <c:crossAx val="213649664"/>
        <c:crosses val="autoZero"/>
        <c:auto val="1"/>
        <c:lblAlgn val="ctr"/>
        <c:lblOffset val="100"/>
        <c:noMultiLvlLbl val="0"/>
      </c:catAx>
      <c:valAx>
        <c:axId val="213649664"/>
        <c:scaling>
          <c:orientation val="minMax"/>
          <c:max val="365"/>
          <c:min val="0"/>
        </c:scaling>
        <c:delete val="0"/>
        <c:axPos val="b"/>
        <c:majorGridlines/>
        <c:numFmt formatCode="[$-409]mmmmm;@" sourceLinked="0"/>
        <c:majorTickMark val="out"/>
        <c:minorTickMark val="none"/>
        <c:tickLblPos val="nextTo"/>
        <c:txPr>
          <a:bodyPr/>
          <a:lstStyle/>
          <a:p>
            <a:pPr>
              <a:defRPr sz="700">
                <a:latin typeface="Arial" panose="020B0604020202020204" pitchFamily="34" charset="0"/>
                <a:cs typeface="Arial" panose="020B0604020202020204" pitchFamily="34" charset="0"/>
              </a:defRPr>
            </a:pPr>
            <a:endParaRPr lang="en-US"/>
          </a:p>
        </c:txPr>
        <c:crossAx val="242864128"/>
        <c:crosses val="autoZero"/>
        <c:crossBetween val="between"/>
        <c:majorUnit val="33"/>
        <c:minorUnit val="10"/>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30968111744652"/>
          <c:y val="4.9019607843137254E-2"/>
          <c:w val="0.52533411771804384"/>
          <c:h val="0.75233672996757761"/>
        </c:manualLayout>
      </c:layout>
      <c:barChart>
        <c:barDir val="col"/>
        <c:grouping val="stacked"/>
        <c:varyColors val="0"/>
        <c:ser>
          <c:idx val="0"/>
          <c:order val="0"/>
          <c:tx>
            <c:strRef>
              <c:f>DataPage!$B$576</c:f>
              <c:strCache>
                <c:ptCount val="1"/>
                <c:pt idx="0">
                  <c:v>Growth - Internal</c:v>
                </c:pt>
              </c:strCache>
            </c:strRef>
          </c:tx>
          <c:spPr>
            <a:solidFill>
              <a:schemeClr val="tx2">
                <a:lumMod val="60000"/>
                <a:lumOff val="40000"/>
              </a:schemeClr>
            </a:solidFill>
            <a:scene3d>
              <a:camera prst="orthographicFront"/>
              <a:lightRig rig="threePt" dir="t"/>
            </a:scene3d>
            <a:sp3d>
              <a:bevelT w="190500" h="38100"/>
            </a:sp3d>
          </c:spPr>
          <c:invertIfNegative val="0"/>
          <c:cat>
            <c:strRef>
              <c:f>DataPage!$C$575:$D$575</c:f>
              <c:strCache>
                <c:ptCount val="2"/>
                <c:pt idx="0">
                  <c:v>This Year</c:v>
                </c:pt>
                <c:pt idx="1">
                  <c:v>Last Year</c:v>
                </c:pt>
              </c:strCache>
            </c:strRef>
          </c:cat>
          <c:val>
            <c:numRef>
              <c:f>DataPage!$C$576:$D$576</c:f>
              <c:numCache>
                <c:formatCode>General</c:formatCode>
                <c:ptCount val="2"/>
                <c:pt idx="0">
                  <c:v>270</c:v>
                </c:pt>
                <c:pt idx="1">
                  <c:v>243</c:v>
                </c:pt>
              </c:numCache>
            </c:numRef>
          </c:val>
        </c:ser>
        <c:ser>
          <c:idx val="1"/>
          <c:order val="1"/>
          <c:tx>
            <c:strRef>
              <c:f>DataPage!$B$577</c:f>
              <c:strCache>
                <c:ptCount val="1"/>
                <c:pt idx="0">
                  <c:v>Growth - External</c:v>
                </c:pt>
              </c:strCache>
            </c:strRef>
          </c:tx>
          <c:spPr>
            <a:solidFill>
              <a:schemeClr val="tx2">
                <a:lumMod val="40000"/>
                <a:lumOff val="60000"/>
              </a:schemeClr>
            </a:solidFill>
            <a:scene3d>
              <a:camera prst="orthographicFront"/>
              <a:lightRig rig="threePt" dir="t"/>
            </a:scene3d>
            <a:sp3d>
              <a:bevelT w="190500" h="38100"/>
            </a:sp3d>
          </c:spPr>
          <c:invertIfNegative val="0"/>
          <c:cat>
            <c:strRef>
              <c:f>DataPage!$C$575:$D$575</c:f>
              <c:strCache>
                <c:ptCount val="2"/>
                <c:pt idx="0">
                  <c:v>This Year</c:v>
                </c:pt>
                <c:pt idx="1">
                  <c:v>Last Year</c:v>
                </c:pt>
              </c:strCache>
            </c:strRef>
          </c:cat>
          <c:val>
            <c:numRef>
              <c:f>DataPage!$C$577:$D$577</c:f>
              <c:numCache>
                <c:formatCode>General</c:formatCode>
                <c:ptCount val="2"/>
                <c:pt idx="0">
                  <c:v>100</c:v>
                </c:pt>
                <c:pt idx="1">
                  <c:v>90</c:v>
                </c:pt>
              </c:numCache>
            </c:numRef>
          </c:val>
        </c:ser>
        <c:ser>
          <c:idx val="2"/>
          <c:order val="2"/>
          <c:tx>
            <c:strRef>
              <c:f>DataPage!$B$578</c:f>
              <c:strCache>
                <c:ptCount val="1"/>
                <c:pt idx="0">
                  <c:v>Transform - Internal</c:v>
                </c:pt>
              </c:strCache>
            </c:strRef>
          </c:tx>
          <c:spPr>
            <a:solidFill>
              <a:srgbClr val="FE9202"/>
            </a:solidFill>
            <a:scene3d>
              <a:camera prst="orthographicFront"/>
              <a:lightRig rig="threePt" dir="t"/>
            </a:scene3d>
            <a:sp3d>
              <a:bevelT w="190500" h="38100"/>
            </a:sp3d>
          </c:spPr>
          <c:invertIfNegative val="0"/>
          <c:cat>
            <c:strRef>
              <c:f>DataPage!$C$575:$D$575</c:f>
              <c:strCache>
                <c:ptCount val="2"/>
                <c:pt idx="0">
                  <c:v>This Year</c:v>
                </c:pt>
                <c:pt idx="1">
                  <c:v>Last Year</c:v>
                </c:pt>
              </c:strCache>
            </c:strRef>
          </c:cat>
          <c:val>
            <c:numRef>
              <c:f>DataPage!$C$578:$D$578</c:f>
              <c:numCache>
                <c:formatCode>General</c:formatCode>
                <c:ptCount val="2"/>
                <c:pt idx="0">
                  <c:v>265</c:v>
                </c:pt>
                <c:pt idx="1">
                  <c:v>239</c:v>
                </c:pt>
              </c:numCache>
            </c:numRef>
          </c:val>
        </c:ser>
        <c:ser>
          <c:idx val="3"/>
          <c:order val="3"/>
          <c:tx>
            <c:strRef>
              <c:f>DataPage!$B$579</c:f>
              <c:strCache>
                <c:ptCount val="1"/>
                <c:pt idx="0">
                  <c:v>Transform - External</c:v>
                </c:pt>
              </c:strCache>
            </c:strRef>
          </c:tx>
          <c:spPr>
            <a:solidFill>
              <a:schemeClr val="accent6">
                <a:lumMod val="60000"/>
                <a:lumOff val="40000"/>
              </a:schemeClr>
            </a:solidFill>
            <a:scene3d>
              <a:camera prst="orthographicFront"/>
              <a:lightRig rig="threePt" dir="t"/>
            </a:scene3d>
            <a:sp3d>
              <a:bevelT w="190500" h="38100"/>
            </a:sp3d>
          </c:spPr>
          <c:invertIfNegative val="0"/>
          <c:cat>
            <c:strRef>
              <c:f>DataPage!$C$575:$D$575</c:f>
              <c:strCache>
                <c:ptCount val="2"/>
                <c:pt idx="0">
                  <c:v>This Year</c:v>
                </c:pt>
                <c:pt idx="1">
                  <c:v>Last Year</c:v>
                </c:pt>
              </c:strCache>
            </c:strRef>
          </c:cat>
          <c:val>
            <c:numRef>
              <c:f>DataPage!$C$579:$D$579</c:f>
              <c:numCache>
                <c:formatCode>General</c:formatCode>
                <c:ptCount val="2"/>
                <c:pt idx="0">
                  <c:v>100</c:v>
                </c:pt>
                <c:pt idx="1">
                  <c:v>90</c:v>
                </c:pt>
              </c:numCache>
            </c:numRef>
          </c:val>
        </c:ser>
        <c:dLbls>
          <c:showLegendKey val="0"/>
          <c:showVal val="0"/>
          <c:showCatName val="0"/>
          <c:showSerName val="0"/>
          <c:showPercent val="0"/>
          <c:showBubbleSize val="0"/>
        </c:dLbls>
        <c:gapWidth val="150"/>
        <c:overlap val="100"/>
        <c:axId val="243791360"/>
        <c:axId val="213651392"/>
      </c:barChart>
      <c:catAx>
        <c:axId val="243791360"/>
        <c:scaling>
          <c:orientation val="minMax"/>
        </c:scaling>
        <c:delete val="0"/>
        <c:axPos val="b"/>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US"/>
          </a:p>
        </c:txPr>
        <c:crossAx val="213651392"/>
        <c:crosses val="autoZero"/>
        <c:auto val="1"/>
        <c:lblAlgn val="ctr"/>
        <c:lblOffset val="100"/>
        <c:noMultiLvlLbl val="0"/>
      </c:catAx>
      <c:valAx>
        <c:axId val="213651392"/>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FTEs</a:t>
                </a:r>
              </a:p>
            </c:rich>
          </c:tx>
          <c:layout>
            <c:manualLayout>
              <c:xMode val="edge"/>
              <c:yMode val="edge"/>
              <c:x val="1.532567049808429E-2"/>
              <c:y val="0.32173228346456695"/>
            </c:manualLayout>
          </c:layout>
          <c:overlay val="0"/>
        </c:title>
        <c:numFmt formatCode="General"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US"/>
          </a:p>
        </c:txPr>
        <c:crossAx val="243791360"/>
        <c:crosses val="autoZero"/>
        <c:crossBetween val="between"/>
      </c:valAx>
      <c:spPr>
        <a:noFill/>
      </c:spPr>
    </c:plotArea>
    <c:legend>
      <c:legendPos val="r"/>
      <c:overlay val="0"/>
      <c:txPr>
        <a:bodyPr/>
        <a:lstStyle/>
        <a:p>
          <a:pPr>
            <a:defRPr sz="700">
              <a:latin typeface="Arial" panose="020B0604020202020204" pitchFamily="34" charset="0"/>
              <a:cs typeface="Arial" panose="020B060402020202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457771945173521"/>
          <c:y val="0.17670660379267775"/>
          <c:w val="0.76532050160396614"/>
          <c:h val="0.60572924045253085"/>
        </c:manualLayout>
      </c:layout>
      <c:barChart>
        <c:barDir val="bar"/>
        <c:grouping val="clustered"/>
        <c:varyColors val="0"/>
        <c:ser>
          <c:idx val="0"/>
          <c:order val="0"/>
          <c:spPr>
            <a:solidFill>
              <a:srgbClr val="FFC000"/>
            </a:solidFill>
            <a:scene3d>
              <a:camera prst="orthographicFront"/>
              <a:lightRig rig="threePt" dir="t"/>
            </a:scene3d>
            <a:sp3d>
              <a:bevelT w="190500" h="38100"/>
            </a:sp3d>
          </c:spPr>
          <c:invertIfNegative val="0"/>
          <c:dPt>
            <c:idx val="0"/>
            <c:invertIfNegative val="0"/>
            <c:bubble3D val="0"/>
            <c:spPr>
              <a:solidFill>
                <a:srgbClr val="92D050"/>
              </a:solidFill>
              <a:scene3d>
                <a:camera prst="orthographicFront"/>
                <a:lightRig rig="threePt" dir="t"/>
              </a:scene3d>
              <a:sp3d>
                <a:bevelT w="190500" h="38100"/>
              </a:sp3d>
            </c:spPr>
          </c:dPt>
          <c:cat>
            <c:strRef>
              <c:f>DataPage!$B$586:$B$587</c:f>
              <c:strCache>
                <c:ptCount val="2"/>
                <c:pt idx="0">
                  <c:v>Ind Avg Last Year</c:v>
                </c:pt>
                <c:pt idx="1">
                  <c:v>This Year</c:v>
                </c:pt>
              </c:strCache>
            </c:strRef>
          </c:cat>
          <c:val>
            <c:numRef>
              <c:f>DataPage!$C$586:$C$587</c:f>
              <c:numCache>
                <c:formatCode>General</c:formatCode>
                <c:ptCount val="2"/>
                <c:pt idx="0">
                  <c:v>1</c:v>
                </c:pt>
                <c:pt idx="1">
                  <c:v>2</c:v>
                </c:pt>
              </c:numCache>
            </c:numRef>
          </c:val>
        </c:ser>
        <c:dLbls>
          <c:showLegendKey val="0"/>
          <c:showVal val="0"/>
          <c:showCatName val="0"/>
          <c:showSerName val="0"/>
          <c:showPercent val="0"/>
          <c:showBubbleSize val="0"/>
        </c:dLbls>
        <c:gapWidth val="57"/>
        <c:axId val="246908416"/>
        <c:axId val="245434048"/>
      </c:barChart>
      <c:catAx>
        <c:axId val="246908416"/>
        <c:scaling>
          <c:orientation val="minMax"/>
        </c:scaling>
        <c:delete val="0"/>
        <c:axPos val="l"/>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US"/>
          </a:p>
        </c:txPr>
        <c:crossAx val="245434048"/>
        <c:crosses val="autoZero"/>
        <c:auto val="1"/>
        <c:lblAlgn val="ctr"/>
        <c:lblOffset val="100"/>
        <c:noMultiLvlLbl val="0"/>
      </c:catAx>
      <c:valAx>
        <c:axId val="245434048"/>
        <c:scaling>
          <c:orientation val="minMax"/>
          <c:max val="12"/>
          <c:min val="0"/>
        </c:scaling>
        <c:delete val="0"/>
        <c:axPos val="b"/>
        <c:majorGridlines/>
        <c:numFmt formatCode="#,##0" sourceLinked="0"/>
        <c:majorTickMark val="out"/>
        <c:minorTickMark val="none"/>
        <c:tickLblPos val="nextTo"/>
        <c:txPr>
          <a:bodyPr/>
          <a:lstStyle/>
          <a:p>
            <a:pPr>
              <a:defRPr sz="700">
                <a:latin typeface="Arial" panose="020B0604020202020204" pitchFamily="34" charset="0"/>
                <a:cs typeface="Arial" panose="020B0604020202020204" pitchFamily="34" charset="0"/>
              </a:defRPr>
            </a:pPr>
            <a:endParaRPr lang="en-US"/>
          </a:p>
        </c:txPr>
        <c:crossAx val="246908416"/>
        <c:crosses val="autoZero"/>
        <c:crossBetween val="between"/>
        <c:majorUnit val="2"/>
        <c:min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cene3d>
              <a:camera prst="orthographicFront"/>
              <a:lightRig rig="threePt" dir="t"/>
            </a:scene3d>
            <a:sp3d>
              <a:bevelT w="190500" h="38100"/>
            </a:sp3d>
          </c:spPr>
          <c:invertIfNegative val="0"/>
          <c:dPt>
            <c:idx val="0"/>
            <c:invertIfNegative val="0"/>
            <c:bubble3D val="0"/>
            <c:spPr>
              <a:solidFill>
                <a:schemeClr val="tx2">
                  <a:lumMod val="60000"/>
                  <a:lumOff val="40000"/>
                </a:schemeClr>
              </a:solidFill>
              <a:scene3d>
                <a:camera prst="orthographicFront"/>
                <a:lightRig rig="threePt" dir="t"/>
              </a:scene3d>
              <a:sp3d>
                <a:bevelT w="190500" h="38100"/>
              </a:sp3d>
            </c:spPr>
          </c:dPt>
          <c:dPt>
            <c:idx val="1"/>
            <c:invertIfNegative val="0"/>
            <c:bubble3D val="0"/>
            <c:spPr>
              <a:solidFill>
                <a:srgbClr val="FF0000"/>
              </a:solidFill>
              <a:scene3d>
                <a:camera prst="orthographicFront"/>
                <a:lightRig rig="threePt" dir="t"/>
              </a:scene3d>
              <a:sp3d>
                <a:bevelT w="190500" h="38100"/>
              </a:sp3d>
            </c:spPr>
          </c:dPt>
          <c:cat>
            <c:strRef>
              <c:f>DataPage!$B$593:$B$594</c:f>
              <c:strCache>
                <c:ptCount val="2"/>
                <c:pt idx="0">
                  <c:v>This Year</c:v>
                </c:pt>
                <c:pt idx="1">
                  <c:v>Last Year</c:v>
                </c:pt>
              </c:strCache>
            </c:strRef>
          </c:cat>
          <c:val>
            <c:numRef>
              <c:f>DataPage!$C$593:$C$594</c:f>
              <c:numCache>
                <c:formatCode>_(* #,##0_);_(* \(#,##0\);_(* "-"??_);_(@_)</c:formatCode>
                <c:ptCount val="2"/>
                <c:pt idx="0">
                  <c:v>100</c:v>
                </c:pt>
                <c:pt idx="1">
                  <c:v>80</c:v>
                </c:pt>
              </c:numCache>
            </c:numRef>
          </c:val>
        </c:ser>
        <c:dLbls>
          <c:showLegendKey val="0"/>
          <c:showVal val="0"/>
          <c:showCatName val="0"/>
          <c:showSerName val="0"/>
          <c:showPercent val="0"/>
          <c:showBubbleSize val="0"/>
        </c:dLbls>
        <c:gapWidth val="150"/>
        <c:axId val="246909440"/>
        <c:axId val="245432320"/>
      </c:barChart>
      <c:catAx>
        <c:axId val="246909440"/>
        <c:scaling>
          <c:orientation val="minMax"/>
        </c:scaling>
        <c:delete val="0"/>
        <c:axPos val="b"/>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US"/>
          </a:p>
        </c:txPr>
        <c:crossAx val="245432320"/>
        <c:crosses val="autoZero"/>
        <c:auto val="1"/>
        <c:lblAlgn val="ctr"/>
        <c:lblOffset val="100"/>
        <c:noMultiLvlLbl val="0"/>
      </c:catAx>
      <c:valAx>
        <c:axId val="245432320"/>
        <c:scaling>
          <c:orientation val="minMax"/>
          <c:max val="250"/>
          <c:min val="0"/>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FTEs</a:t>
                </a:r>
              </a:p>
            </c:rich>
          </c:tx>
          <c:overlay val="0"/>
        </c:title>
        <c:numFmt formatCode="_(* #,##0_);_(* \(#,##0\);_(* &quot;-&quot;??_);_(@_)"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US"/>
          </a:p>
        </c:txPr>
        <c:crossAx val="246909440"/>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457771945173521"/>
          <c:y val="0.17670660379267775"/>
          <c:w val="0.76532050160396614"/>
          <c:h val="0.62147327270176345"/>
        </c:manualLayout>
      </c:layout>
      <c:barChart>
        <c:barDir val="col"/>
        <c:grouping val="clustered"/>
        <c:varyColors val="0"/>
        <c:ser>
          <c:idx val="0"/>
          <c:order val="0"/>
          <c:spPr>
            <a:solidFill>
              <a:srgbClr val="FFC000"/>
            </a:solidFill>
            <a:scene3d>
              <a:camera prst="orthographicFront"/>
              <a:lightRig rig="threePt" dir="t"/>
            </a:scene3d>
            <a:sp3d>
              <a:bevelT w="190500" h="38100"/>
            </a:sp3d>
          </c:spPr>
          <c:invertIfNegative val="0"/>
          <c:dPt>
            <c:idx val="0"/>
            <c:invertIfNegative val="0"/>
            <c:bubble3D val="0"/>
            <c:spPr>
              <a:solidFill>
                <a:srgbClr val="92D050"/>
              </a:solidFill>
              <a:scene3d>
                <a:camera prst="orthographicFront"/>
                <a:lightRig rig="threePt" dir="t"/>
              </a:scene3d>
              <a:sp3d>
                <a:bevelT w="190500" h="38100"/>
              </a:sp3d>
            </c:spPr>
          </c:dPt>
          <c:cat>
            <c:strRef>
              <c:f>DataPage!$B$600:$B$601</c:f>
              <c:strCache>
                <c:ptCount val="2"/>
                <c:pt idx="0">
                  <c:v>Last Year</c:v>
                </c:pt>
                <c:pt idx="1">
                  <c:v>This Year</c:v>
                </c:pt>
              </c:strCache>
            </c:strRef>
          </c:cat>
          <c:val>
            <c:numRef>
              <c:f>DataPage!$C$600:$C$601</c:f>
              <c:numCache>
                <c:formatCode>0.0%</c:formatCode>
                <c:ptCount val="2"/>
                <c:pt idx="0">
                  <c:v>4.242934829354409E-2</c:v>
                </c:pt>
                <c:pt idx="1">
                  <c:v>4.242934829354409E-2</c:v>
                </c:pt>
              </c:numCache>
            </c:numRef>
          </c:val>
        </c:ser>
        <c:dLbls>
          <c:showLegendKey val="0"/>
          <c:showVal val="0"/>
          <c:showCatName val="0"/>
          <c:showSerName val="0"/>
          <c:showPercent val="0"/>
          <c:showBubbleSize val="0"/>
        </c:dLbls>
        <c:gapWidth val="57"/>
        <c:axId val="245534720"/>
        <c:axId val="245436352"/>
      </c:barChart>
      <c:catAx>
        <c:axId val="245534720"/>
        <c:scaling>
          <c:orientation val="minMax"/>
        </c:scaling>
        <c:delete val="0"/>
        <c:axPos val="b"/>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US"/>
          </a:p>
        </c:txPr>
        <c:crossAx val="245436352"/>
        <c:crosses val="autoZero"/>
        <c:auto val="1"/>
        <c:lblAlgn val="ctr"/>
        <c:lblOffset val="100"/>
        <c:noMultiLvlLbl val="0"/>
      </c:catAx>
      <c:valAx>
        <c:axId val="245436352"/>
        <c:scaling>
          <c:orientation val="minMax"/>
          <c:max val="0.15000000000000002"/>
          <c:min val="0"/>
        </c:scaling>
        <c:delete val="0"/>
        <c:axPos val="l"/>
        <c:majorGridlines/>
        <c:numFmt formatCode="0%" sourceLinked="0"/>
        <c:majorTickMark val="out"/>
        <c:minorTickMark val="none"/>
        <c:tickLblPos val="nextTo"/>
        <c:txPr>
          <a:bodyPr/>
          <a:lstStyle/>
          <a:p>
            <a:pPr>
              <a:defRPr sz="700">
                <a:latin typeface="Arial" panose="020B0604020202020204" pitchFamily="34" charset="0"/>
                <a:cs typeface="Arial" panose="020B0604020202020204" pitchFamily="34" charset="0"/>
              </a:defRPr>
            </a:pPr>
            <a:endParaRPr lang="en-US"/>
          </a:p>
        </c:txPr>
        <c:crossAx val="245534720"/>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5565105392217575E-2"/>
          <c:y val="0.10087829930349615"/>
          <c:w val="0.49488688434890105"/>
          <c:h val="0.79910283941780003"/>
        </c:manualLayout>
      </c:layout>
      <c:pieChart>
        <c:varyColors val="1"/>
        <c:ser>
          <c:idx val="0"/>
          <c:order val="0"/>
          <c:spPr>
            <a:scene3d>
              <a:camera prst="orthographicFront"/>
              <a:lightRig rig="threePt" dir="t"/>
            </a:scene3d>
            <a:sp3d>
              <a:bevelT w="190500" h="38100"/>
            </a:sp3d>
          </c:spPr>
          <c:dLbls>
            <c:txPr>
              <a:bodyPr/>
              <a:lstStyle/>
              <a:p>
                <a:pPr>
                  <a:defRPr b="1">
                    <a:solidFill>
                      <a:schemeClr val="bg1"/>
                    </a:solidFill>
                  </a:defRPr>
                </a:pPr>
                <a:endParaRPr lang="en-US"/>
              </a:p>
            </c:txPr>
            <c:dLblPos val="ctr"/>
            <c:showLegendKey val="0"/>
            <c:showVal val="0"/>
            <c:showCatName val="0"/>
            <c:showSerName val="0"/>
            <c:showPercent val="1"/>
            <c:showBubbleSize val="0"/>
            <c:showLeaderLines val="1"/>
          </c:dLbls>
          <c:cat>
            <c:strRef>
              <c:f>DataPage!$B$607:$B$612</c:f>
              <c:strCache>
                <c:ptCount val="6"/>
                <c:pt idx="0">
                  <c:v>Growth Technology</c:v>
                </c:pt>
                <c:pt idx="1">
                  <c:v>Transform Technology</c:v>
                </c:pt>
                <c:pt idx="2">
                  <c:v>Content</c:v>
                </c:pt>
                <c:pt idx="3">
                  <c:v>Operations</c:v>
                </c:pt>
                <c:pt idx="4">
                  <c:v>Initiatives and Events</c:v>
                </c:pt>
                <c:pt idx="5">
                  <c:v>Over/Under Allocated</c:v>
                </c:pt>
              </c:strCache>
            </c:strRef>
          </c:cat>
          <c:val>
            <c:numRef>
              <c:f>DataPage!$C$607:$C$612</c:f>
              <c:numCache>
                <c:formatCode>General</c:formatCode>
                <c:ptCount val="6"/>
                <c:pt idx="0">
                  <c:v>270</c:v>
                </c:pt>
                <c:pt idx="1">
                  <c:v>265</c:v>
                </c:pt>
                <c:pt idx="2">
                  <c:v>100</c:v>
                </c:pt>
                <c:pt idx="3">
                  <c:v>25</c:v>
                </c:pt>
                <c:pt idx="4">
                  <c:v>0</c:v>
                </c:pt>
                <c:pt idx="5">
                  <c:v>0</c:v>
                </c:pt>
              </c:numCache>
            </c:numRef>
          </c:val>
        </c:ser>
        <c:ser>
          <c:idx val="1"/>
          <c:order val="1"/>
          <c:cat>
            <c:strRef>
              <c:f>DataPage!$B$607:$B$612</c:f>
              <c:strCache>
                <c:ptCount val="6"/>
                <c:pt idx="0">
                  <c:v>Growth Technology</c:v>
                </c:pt>
                <c:pt idx="1">
                  <c:v>Transform Technology</c:v>
                </c:pt>
                <c:pt idx="2">
                  <c:v>Content</c:v>
                </c:pt>
                <c:pt idx="3">
                  <c:v>Operations</c:v>
                </c:pt>
                <c:pt idx="4">
                  <c:v>Initiatives and Events</c:v>
                </c:pt>
                <c:pt idx="5">
                  <c:v>Over/Under Allocated</c:v>
                </c:pt>
              </c:strCache>
            </c:strRef>
          </c:cat>
          <c:val>
            <c:numRef>
              <c:f>DataPage!$D$607:$D$612</c:f>
              <c:numCache>
                <c:formatCode>General</c:formatCode>
                <c:ptCount val="6"/>
              </c:numCache>
            </c:numRef>
          </c:val>
        </c:ser>
        <c:dLbls>
          <c:showLegendKey val="0"/>
          <c:showVal val="0"/>
          <c:showCatName val="0"/>
          <c:showSerName val="0"/>
          <c:showPercent val="0"/>
          <c:showBubbleSize val="0"/>
          <c:showLeaderLines val="1"/>
        </c:dLbls>
        <c:firstSliceAng val="0"/>
      </c:pieChart>
    </c:plotArea>
    <c:legend>
      <c:legendPos val="r"/>
      <c:layout>
        <c:manualLayout>
          <c:xMode val="edge"/>
          <c:yMode val="edge"/>
          <c:x val="0.64976199215046959"/>
          <c:y val="2.2092811315252259E-2"/>
          <c:w val="0.33366696464558898"/>
          <c:h val="0.83724761677517567"/>
        </c:manualLayout>
      </c:layout>
      <c:overlay val="0"/>
      <c:txPr>
        <a:bodyPr/>
        <a:lstStyle/>
        <a:p>
          <a:pPr rtl="0">
            <a:defRPr sz="800">
              <a:latin typeface="Arial" panose="020B0604020202020204" pitchFamily="34" charset="0"/>
              <a:cs typeface="Arial" panose="020B060402020202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30968111744652"/>
          <c:y val="4.9019607843137254E-2"/>
          <c:w val="0.52533411771804384"/>
          <c:h val="0.75233672996757761"/>
        </c:manualLayout>
      </c:layout>
      <c:barChart>
        <c:barDir val="col"/>
        <c:grouping val="stacked"/>
        <c:varyColors val="0"/>
        <c:ser>
          <c:idx val="0"/>
          <c:order val="0"/>
          <c:tx>
            <c:strRef>
              <c:f>DataPage!$B$618</c:f>
              <c:strCache>
                <c:ptCount val="1"/>
                <c:pt idx="0">
                  <c:v>New Accounts</c:v>
                </c:pt>
              </c:strCache>
            </c:strRef>
          </c:tx>
          <c:spPr>
            <a:solidFill>
              <a:srgbClr val="00B0F0"/>
            </a:solidFill>
            <a:scene3d>
              <a:camera prst="orthographicFront"/>
              <a:lightRig rig="threePt" dir="t"/>
            </a:scene3d>
            <a:sp3d>
              <a:bevelT w="190500" h="38100"/>
            </a:sp3d>
          </c:spPr>
          <c:invertIfNegative val="0"/>
          <c:dPt>
            <c:idx val="0"/>
            <c:invertIfNegative val="0"/>
            <c:bubble3D val="0"/>
            <c:spPr>
              <a:solidFill>
                <a:schemeClr val="tx2">
                  <a:lumMod val="60000"/>
                  <a:lumOff val="40000"/>
                </a:schemeClr>
              </a:solidFill>
              <a:scene3d>
                <a:camera prst="orthographicFront"/>
                <a:lightRig rig="threePt" dir="t"/>
              </a:scene3d>
              <a:sp3d>
                <a:bevelT w="190500" h="38100"/>
              </a:sp3d>
            </c:spPr>
          </c:dPt>
          <c:dPt>
            <c:idx val="1"/>
            <c:invertIfNegative val="0"/>
            <c:bubble3D val="0"/>
            <c:spPr>
              <a:solidFill>
                <a:schemeClr val="tx2">
                  <a:lumMod val="60000"/>
                  <a:lumOff val="40000"/>
                </a:schemeClr>
              </a:solidFill>
              <a:scene3d>
                <a:camera prst="orthographicFront"/>
                <a:lightRig rig="threePt" dir="t"/>
              </a:scene3d>
              <a:sp3d>
                <a:bevelT w="190500" h="38100"/>
              </a:sp3d>
            </c:spPr>
          </c:dPt>
          <c:cat>
            <c:strRef>
              <c:f>DataPage!$C$617:$D$617</c:f>
              <c:strCache>
                <c:ptCount val="2"/>
                <c:pt idx="0">
                  <c:v>This Year</c:v>
                </c:pt>
                <c:pt idx="1">
                  <c:v>Last Year</c:v>
                </c:pt>
              </c:strCache>
            </c:strRef>
          </c:cat>
          <c:val>
            <c:numRef>
              <c:f>DataPage!$C$618:$D$618</c:f>
              <c:numCache>
                <c:formatCode>0.0%</c:formatCode>
                <c:ptCount val="2"/>
                <c:pt idx="0">
                  <c:v>0.5</c:v>
                </c:pt>
                <c:pt idx="1">
                  <c:v>0.5</c:v>
                </c:pt>
              </c:numCache>
            </c:numRef>
          </c:val>
        </c:ser>
        <c:ser>
          <c:idx val="1"/>
          <c:order val="1"/>
          <c:tx>
            <c:strRef>
              <c:f>DataPage!$B$619</c:f>
              <c:strCache>
                <c:ptCount val="1"/>
                <c:pt idx="0">
                  <c:v>Existing Accounts</c:v>
                </c:pt>
              </c:strCache>
            </c:strRef>
          </c:tx>
          <c:spPr>
            <a:solidFill>
              <a:schemeClr val="tx2">
                <a:lumMod val="20000"/>
                <a:lumOff val="80000"/>
              </a:schemeClr>
            </a:solidFill>
            <a:scene3d>
              <a:camera prst="orthographicFront"/>
              <a:lightRig rig="threePt" dir="t"/>
            </a:scene3d>
            <a:sp3d>
              <a:bevelT w="190500" h="38100"/>
            </a:sp3d>
          </c:spPr>
          <c:invertIfNegative val="0"/>
          <c:cat>
            <c:strRef>
              <c:f>DataPage!$C$617:$D$617</c:f>
              <c:strCache>
                <c:ptCount val="2"/>
                <c:pt idx="0">
                  <c:v>This Year</c:v>
                </c:pt>
                <c:pt idx="1">
                  <c:v>Last Year</c:v>
                </c:pt>
              </c:strCache>
            </c:strRef>
          </c:cat>
          <c:val>
            <c:numRef>
              <c:f>DataPage!$C$619:$D$619</c:f>
              <c:numCache>
                <c:formatCode>0.0%</c:formatCode>
                <c:ptCount val="2"/>
                <c:pt idx="0">
                  <c:v>0.5</c:v>
                </c:pt>
                <c:pt idx="1">
                  <c:v>0.5</c:v>
                </c:pt>
              </c:numCache>
            </c:numRef>
          </c:val>
        </c:ser>
        <c:dLbls>
          <c:showLegendKey val="0"/>
          <c:showVal val="0"/>
          <c:showCatName val="0"/>
          <c:showSerName val="0"/>
          <c:showPercent val="0"/>
          <c:showBubbleSize val="0"/>
        </c:dLbls>
        <c:gapWidth val="150"/>
        <c:overlap val="100"/>
        <c:axId val="251287040"/>
        <c:axId val="43837120"/>
      </c:barChart>
      <c:catAx>
        <c:axId val="251287040"/>
        <c:scaling>
          <c:orientation val="minMax"/>
        </c:scaling>
        <c:delete val="0"/>
        <c:axPos val="b"/>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US"/>
          </a:p>
        </c:txPr>
        <c:crossAx val="43837120"/>
        <c:crosses val="autoZero"/>
        <c:auto val="1"/>
        <c:lblAlgn val="ctr"/>
        <c:lblOffset val="100"/>
        <c:noMultiLvlLbl val="0"/>
      </c:catAx>
      <c:valAx>
        <c:axId val="43837120"/>
        <c:scaling>
          <c:orientation val="minMax"/>
          <c:max val="1"/>
        </c:scaling>
        <c:delete val="0"/>
        <c:axPos val="l"/>
        <c:majorGridlines/>
        <c:numFmt formatCode="0.0%"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US"/>
          </a:p>
        </c:txPr>
        <c:crossAx val="251287040"/>
        <c:crosses val="autoZero"/>
        <c:crossBetween val="between"/>
      </c:valAx>
      <c:spPr>
        <a:noFill/>
      </c:spPr>
    </c:plotArea>
    <c:legend>
      <c:legendPos val="r"/>
      <c:overlay val="0"/>
      <c:txPr>
        <a:bodyPr/>
        <a:lstStyle/>
        <a:p>
          <a:pPr>
            <a:defRPr sz="700">
              <a:latin typeface="Arial" panose="020B0604020202020204" pitchFamily="34" charset="0"/>
              <a:cs typeface="Arial" panose="020B060402020202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C00000"/>
            </a:solidFill>
            <a:scene3d>
              <a:camera prst="orthographicFront"/>
              <a:lightRig rig="threePt" dir="t"/>
            </a:scene3d>
            <a:sp3d>
              <a:bevelT w="190500" h="38100"/>
            </a:sp3d>
          </c:spPr>
          <c:dPt>
            <c:idx val="0"/>
            <c:bubble3D val="0"/>
            <c:explosion val="2"/>
            <c:spPr>
              <a:solidFill>
                <a:srgbClr val="C00000"/>
              </a:solidFill>
              <a:ln>
                <a:noFill/>
              </a:ln>
              <a:effectLst>
                <a:outerShdw blurRad="40000" dist="23000" dir="5400000" rotWithShape="0">
                  <a:srgbClr val="000000">
                    <a:alpha val="35000"/>
                  </a:srgbClr>
                </a:outerShdw>
              </a:effectLst>
              <a:scene3d>
                <a:camera prst="orthographicFront"/>
                <a:lightRig rig="balanced" dir="t">
                  <a:rot lat="0" lon="0" rev="8700000"/>
                </a:lightRig>
              </a:scene3d>
              <a:sp3d>
                <a:bevelT w="190500" h="38100"/>
              </a:sp3d>
            </c:spPr>
          </c:dPt>
          <c:dPt>
            <c:idx val="1"/>
            <c:bubble3D val="0"/>
            <c:spPr>
              <a:solidFill>
                <a:srgbClr val="FFC000"/>
              </a:solidFill>
              <a:ln>
                <a:noFill/>
              </a:ln>
              <a:effectLst>
                <a:outerShdw blurRad="40000" dist="23000" dir="5400000" rotWithShape="0">
                  <a:srgbClr val="000000">
                    <a:alpha val="35000"/>
                  </a:srgbClr>
                </a:outerShdw>
              </a:effectLst>
              <a:scene3d>
                <a:camera prst="orthographicFront"/>
                <a:lightRig rig="threePt" dir="t"/>
              </a:scene3d>
              <a:sp3d>
                <a:bevelT w="190500" h="38100"/>
              </a:sp3d>
            </c:spPr>
          </c:dPt>
          <c:cat>
            <c:strRef>
              <c:f>DataPage!$B$627:$B$628</c:f>
              <c:strCache>
                <c:ptCount val="2"/>
                <c:pt idx="0">
                  <c:v>Utilized</c:v>
                </c:pt>
                <c:pt idx="1">
                  <c:v>Non-Utilized</c:v>
                </c:pt>
              </c:strCache>
            </c:strRef>
          </c:cat>
          <c:val>
            <c:numRef>
              <c:f>DataPage!$C$627:$C$628</c:f>
              <c:numCache>
                <c:formatCode>0.0%</c:formatCode>
                <c:ptCount val="2"/>
                <c:pt idx="0">
                  <c:v>0.56300511050462976</c:v>
                </c:pt>
                <c:pt idx="1">
                  <c:v>0.43699488949537024</c:v>
                </c:pt>
              </c:numCache>
            </c:numRef>
          </c:val>
        </c:ser>
        <c:ser>
          <c:idx val="1"/>
          <c:order val="1"/>
          <c:cat>
            <c:strRef>
              <c:f>DataPage!$B$627:$B$628</c:f>
              <c:strCache>
                <c:ptCount val="2"/>
                <c:pt idx="0">
                  <c:v>Utilized</c:v>
                </c:pt>
                <c:pt idx="1">
                  <c:v>Non-Utilized</c:v>
                </c:pt>
              </c:strCache>
            </c:strRef>
          </c:cat>
          <c:val>
            <c:numRef>
              <c:f>DataPage!$D$627:$D$628</c:f>
              <c:numCache>
                <c:formatCode>0.0%</c:formatCode>
                <c:ptCount val="2"/>
              </c:numCache>
            </c:numRef>
          </c:val>
        </c:ser>
        <c:dLbls>
          <c:showLegendKey val="0"/>
          <c:showVal val="0"/>
          <c:showCatName val="0"/>
          <c:showSerName val="0"/>
          <c:showPercent val="0"/>
          <c:showBubbleSize val="0"/>
          <c:showLeaderLines val="1"/>
        </c:dLbls>
        <c:firstSliceAng val="0"/>
      </c:pieChart>
    </c:plotArea>
    <c:legend>
      <c:legendPos val="r"/>
      <c:layout>
        <c:manualLayout>
          <c:xMode val="edge"/>
          <c:yMode val="edge"/>
          <c:x val="0.61553232020499749"/>
          <c:y val="0.29082815305981491"/>
          <c:w val="0.26236340443545753"/>
          <c:h val="0.46220334300317722"/>
        </c:manualLayout>
      </c:layout>
      <c:overlay val="0"/>
      <c:txPr>
        <a:bodyPr/>
        <a:lstStyle/>
        <a:p>
          <a:pPr rtl="0">
            <a:defRPr sz="800">
              <a:latin typeface="Arial" panose="020B0604020202020204" pitchFamily="34" charset="0"/>
              <a:cs typeface="Arial" panose="020B060402020202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30968111744652"/>
          <c:y val="4.9019607843137254E-2"/>
          <c:w val="0.52533411771804384"/>
          <c:h val="0.75233672996757761"/>
        </c:manualLayout>
      </c:layout>
      <c:barChart>
        <c:barDir val="col"/>
        <c:grouping val="stacked"/>
        <c:varyColors val="0"/>
        <c:ser>
          <c:idx val="0"/>
          <c:order val="0"/>
          <c:tx>
            <c:strRef>
              <c:f>DataPage!$B$634</c:f>
              <c:strCache>
                <c:ptCount val="1"/>
                <c:pt idx="0">
                  <c:v>People Related</c:v>
                </c:pt>
              </c:strCache>
            </c:strRef>
          </c:tx>
          <c:spPr>
            <a:solidFill>
              <a:srgbClr val="00B0F0"/>
            </a:solidFill>
            <a:scene3d>
              <a:camera prst="orthographicFront"/>
              <a:lightRig rig="threePt" dir="t"/>
            </a:scene3d>
            <a:sp3d>
              <a:bevelT w="190500" h="38100"/>
            </a:sp3d>
          </c:spPr>
          <c:invertIfNegative val="0"/>
          <c:cat>
            <c:strRef>
              <c:f>DataPage!$C$633:$D$633</c:f>
              <c:strCache>
                <c:ptCount val="2"/>
                <c:pt idx="0">
                  <c:v>This Year</c:v>
                </c:pt>
                <c:pt idx="1">
                  <c:v>Last Year</c:v>
                </c:pt>
              </c:strCache>
            </c:strRef>
          </c:cat>
          <c:val>
            <c:numRef>
              <c:f>DataPage!$C$634:$D$634</c:f>
              <c:numCache>
                <c:formatCode>_(* #,##0_);_(* \(#,##0\);_(* "-"??_);_(@_)</c:formatCode>
                <c:ptCount val="2"/>
                <c:pt idx="0">
                  <c:v>2027201069.2307689</c:v>
                </c:pt>
                <c:pt idx="1">
                  <c:v>2027201069.2307689</c:v>
                </c:pt>
              </c:numCache>
            </c:numRef>
          </c:val>
        </c:ser>
        <c:ser>
          <c:idx val="1"/>
          <c:order val="1"/>
          <c:tx>
            <c:strRef>
              <c:f>DataPage!$B$635</c:f>
              <c:strCache>
                <c:ptCount val="1"/>
                <c:pt idx="0">
                  <c:v>Revenue Related</c:v>
                </c:pt>
              </c:strCache>
            </c:strRef>
          </c:tx>
          <c:spPr>
            <a:solidFill>
              <a:schemeClr val="tx2">
                <a:lumMod val="40000"/>
                <a:lumOff val="60000"/>
              </a:schemeClr>
            </a:solidFill>
            <a:scene3d>
              <a:camera prst="orthographicFront"/>
              <a:lightRig rig="threePt" dir="t"/>
            </a:scene3d>
            <a:sp3d>
              <a:bevelT w="190500" h="38100"/>
            </a:sp3d>
          </c:spPr>
          <c:invertIfNegative val="0"/>
          <c:cat>
            <c:strRef>
              <c:f>DataPage!$C$633:$D$633</c:f>
              <c:strCache>
                <c:ptCount val="2"/>
                <c:pt idx="0">
                  <c:v>This Year</c:v>
                </c:pt>
                <c:pt idx="1">
                  <c:v>Last Year</c:v>
                </c:pt>
              </c:strCache>
            </c:strRef>
          </c:cat>
          <c:val>
            <c:numRef>
              <c:f>DataPage!$C$635:$D$635</c:f>
              <c:numCache>
                <c:formatCode>_(* #,##0_);_(* \(#,##0\);_(* "-"??_);_(@_)</c:formatCode>
                <c:ptCount val="2"/>
                <c:pt idx="0">
                  <c:v>554451777.47368419</c:v>
                </c:pt>
                <c:pt idx="1">
                  <c:v>554451777.47368419</c:v>
                </c:pt>
              </c:numCache>
            </c:numRef>
          </c:val>
        </c:ser>
        <c:ser>
          <c:idx val="2"/>
          <c:order val="2"/>
          <c:tx>
            <c:strRef>
              <c:f>DataPage!$B$636</c:f>
              <c:strCache>
                <c:ptCount val="1"/>
                <c:pt idx="0">
                  <c:v>Net Outside Services</c:v>
                </c:pt>
              </c:strCache>
            </c:strRef>
          </c:tx>
          <c:spPr>
            <a:solidFill>
              <a:srgbClr val="FE9202"/>
            </a:solidFill>
            <a:scene3d>
              <a:camera prst="orthographicFront"/>
              <a:lightRig rig="threePt" dir="t"/>
            </a:scene3d>
            <a:sp3d>
              <a:bevelT w="190500" h="38100"/>
            </a:sp3d>
          </c:spPr>
          <c:invertIfNegative val="0"/>
          <c:cat>
            <c:strRef>
              <c:f>DataPage!$C$633:$D$633</c:f>
              <c:strCache>
                <c:ptCount val="2"/>
                <c:pt idx="0">
                  <c:v>This Year</c:v>
                </c:pt>
                <c:pt idx="1">
                  <c:v>Last Year</c:v>
                </c:pt>
              </c:strCache>
            </c:strRef>
          </c:cat>
          <c:val>
            <c:numRef>
              <c:f>DataPage!$C$636:$D$636</c:f>
              <c:numCache>
                <c:formatCode>_(* #,##0_);_(* \(#,##0\);_(* "-"??_);_(@_)</c:formatCode>
                <c:ptCount val="2"/>
                <c:pt idx="0">
                  <c:v>18500000</c:v>
                </c:pt>
                <c:pt idx="1">
                  <c:v>18500000</c:v>
                </c:pt>
              </c:numCache>
            </c:numRef>
          </c:val>
        </c:ser>
        <c:ser>
          <c:idx val="3"/>
          <c:order val="3"/>
          <c:tx>
            <c:strRef>
              <c:f>DataPage!$B$637</c:f>
              <c:strCache>
                <c:ptCount val="1"/>
                <c:pt idx="0">
                  <c:v>Admin &amp; Infrastructure</c:v>
                </c:pt>
              </c:strCache>
            </c:strRef>
          </c:tx>
          <c:spPr>
            <a:scene3d>
              <a:camera prst="orthographicFront"/>
              <a:lightRig rig="balanced" dir="t">
                <a:rot lat="0" lon="0" rev="8700000"/>
              </a:lightRig>
            </a:scene3d>
            <a:sp3d>
              <a:bevelT w="190500" h="38100"/>
            </a:sp3d>
          </c:spPr>
          <c:invertIfNegative val="0"/>
          <c:cat>
            <c:strRef>
              <c:f>DataPage!$C$633:$D$633</c:f>
              <c:strCache>
                <c:ptCount val="2"/>
                <c:pt idx="0">
                  <c:v>This Year</c:v>
                </c:pt>
                <c:pt idx="1">
                  <c:v>Last Year</c:v>
                </c:pt>
              </c:strCache>
            </c:strRef>
          </c:cat>
          <c:val>
            <c:numRef>
              <c:f>DataPage!$C$637:$D$637</c:f>
              <c:numCache>
                <c:formatCode>_(* #,##0_);_(* \(#,##0\);_(* "-"??_);_(@_)</c:formatCode>
                <c:ptCount val="2"/>
                <c:pt idx="0">
                  <c:v>480000000</c:v>
                </c:pt>
                <c:pt idx="1">
                  <c:v>480000000</c:v>
                </c:pt>
              </c:numCache>
            </c:numRef>
          </c:val>
        </c:ser>
        <c:ser>
          <c:idx val="4"/>
          <c:order val="4"/>
          <c:tx>
            <c:strRef>
              <c:f>DataPage!$B$638</c:f>
              <c:strCache>
                <c:ptCount val="1"/>
                <c:pt idx="0">
                  <c:v>Other Operating</c:v>
                </c:pt>
              </c:strCache>
            </c:strRef>
          </c:tx>
          <c:spPr>
            <a:scene3d>
              <a:camera prst="orthographicFront"/>
              <a:lightRig rig="balanced" dir="t">
                <a:rot lat="0" lon="0" rev="8700000"/>
              </a:lightRig>
            </a:scene3d>
            <a:sp3d>
              <a:bevelT w="190500" h="38100"/>
            </a:sp3d>
          </c:spPr>
          <c:invertIfNegative val="0"/>
          <c:cat>
            <c:strRef>
              <c:f>DataPage!$C$633:$D$633</c:f>
              <c:strCache>
                <c:ptCount val="2"/>
                <c:pt idx="0">
                  <c:v>This Year</c:v>
                </c:pt>
                <c:pt idx="1">
                  <c:v>Last Year</c:v>
                </c:pt>
              </c:strCache>
            </c:strRef>
          </c:cat>
          <c:val>
            <c:numRef>
              <c:f>DataPage!$C$638:$D$638</c:f>
              <c:numCache>
                <c:formatCode>_(* #,##0_);_(* \(#,##0\);_(* "-"??_);_(@_)</c:formatCode>
                <c:ptCount val="2"/>
                <c:pt idx="0">
                  <c:v>181000000</c:v>
                </c:pt>
                <c:pt idx="1">
                  <c:v>181000000</c:v>
                </c:pt>
              </c:numCache>
            </c:numRef>
          </c:val>
        </c:ser>
        <c:dLbls>
          <c:showLegendKey val="0"/>
          <c:showVal val="0"/>
          <c:showCatName val="0"/>
          <c:showSerName val="0"/>
          <c:showPercent val="0"/>
          <c:showBubbleSize val="0"/>
        </c:dLbls>
        <c:gapWidth val="150"/>
        <c:overlap val="100"/>
        <c:axId val="250197504"/>
        <c:axId val="43840576"/>
      </c:barChart>
      <c:catAx>
        <c:axId val="250197504"/>
        <c:scaling>
          <c:orientation val="minMax"/>
        </c:scaling>
        <c:delete val="0"/>
        <c:axPos val="b"/>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US"/>
          </a:p>
        </c:txPr>
        <c:crossAx val="43840576"/>
        <c:crosses val="autoZero"/>
        <c:auto val="1"/>
        <c:lblAlgn val="ctr"/>
        <c:lblOffset val="100"/>
        <c:noMultiLvlLbl val="0"/>
      </c:catAx>
      <c:valAx>
        <c:axId val="43840576"/>
        <c:scaling>
          <c:orientation val="minMax"/>
          <c:max val="4000000000"/>
        </c:scaling>
        <c:delete val="0"/>
        <c:axPos val="l"/>
        <c:majorGridlines/>
        <c:numFmt formatCode="_(* #,##0_);_(* \(#,##0\);_(* &quot;-&quot;??_);_(@_)"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US"/>
          </a:p>
        </c:txPr>
        <c:crossAx val="250197504"/>
        <c:crosses val="autoZero"/>
        <c:crossBetween val="between"/>
        <c:dispUnits>
          <c:builtInUnit val="millions"/>
          <c:dispUnitsLbl>
            <c:layout>
              <c:manualLayout>
                <c:xMode val="edge"/>
                <c:yMode val="edge"/>
                <c:x val="3.2944976900511869E-4"/>
                <c:y val="0.37761341443693947"/>
              </c:manualLayout>
            </c:layout>
            <c:txPr>
              <a:bodyPr/>
              <a:lstStyle/>
              <a:p>
                <a:pPr>
                  <a:defRPr sz="800" b="0">
                    <a:latin typeface="Arial" panose="020B0604020202020204" pitchFamily="34" charset="0"/>
                    <a:cs typeface="Arial" panose="020B0604020202020204" pitchFamily="34" charset="0"/>
                  </a:defRPr>
                </a:pPr>
                <a:endParaRPr lang="en-US"/>
              </a:p>
            </c:txPr>
          </c:dispUnitsLbl>
        </c:dispUnits>
      </c:valAx>
      <c:spPr>
        <a:noFill/>
      </c:spPr>
    </c:plotArea>
    <c:legend>
      <c:legendPos val="r"/>
      <c:overlay val="0"/>
      <c:txPr>
        <a:bodyPr/>
        <a:lstStyle/>
        <a:p>
          <a:pPr>
            <a:defRPr sz="800">
              <a:latin typeface="Arial" panose="020B0604020202020204" pitchFamily="34" charset="0"/>
              <a:cs typeface="Arial" panose="020B060402020202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Bloomfield Income Statement Summary</a:t>
            </a:r>
          </a:p>
        </c:rich>
      </c:tx>
      <c:overlay val="0"/>
    </c:title>
    <c:autoTitleDeleted val="0"/>
    <c:plotArea>
      <c:layout/>
      <c:barChart>
        <c:barDir val="col"/>
        <c:grouping val="stacked"/>
        <c:varyColors val="0"/>
        <c:ser>
          <c:idx val="0"/>
          <c:order val="0"/>
          <c:tx>
            <c:strRef>
              <c:f>DataPage!$B$519</c:f>
              <c:strCache>
                <c:ptCount val="1"/>
                <c:pt idx="0">
                  <c:v>Expenses</c:v>
                </c:pt>
              </c:strCache>
            </c:strRef>
          </c:tx>
          <c:invertIfNegative val="0"/>
          <c:cat>
            <c:strRef>
              <c:f>DataPage!$C$518:$D$518</c:f>
              <c:strCache>
                <c:ptCount val="2"/>
                <c:pt idx="0">
                  <c:v>This Year</c:v>
                </c:pt>
                <c:pt idx="1">
                  <c:v>Last Year</c:v>
                </c:pt>
              </c:strCache>
            </c:strRef>
          </c:cat>
          <c:val>
            <c:numRef>
              <c:f>DataPage!$C$519:$D$519</c:f>
              <c:numCache>
                <c:formatCode>_(* #,##0_);_(* \(#,##0\);_(* "-"??_);_(@_)</c:formatCode>
                <c:ptCount val="2"/>
                <c:pt idx="0">
                  <c:v>2736875069.4704409</c:v>
                </c:pt>
                <c:pt idx="1">
                  <c:v>3261152846.704453</c:v>
                </c:pt>
              </c:numCache>
            </c:numRef>
          </c:val>
        </c:ser>
        <c:ser>
          <c:idx val="1"/>
          <c:order val="1"/>
          <c:tx>
            <c:strRef>
              <c:f>DataPage!$B$520</c:f>
              <c:strCache>
                <c:ptCount val="1"/>
                <c:pt idx="0">
                  <c:v>Depreciation &amp; Amortization</c:v>
                </c:pt>
              </c:strCache>
            </c:strRef>
          </c:tx>
          <c:invertIfNegative val="0"/>
          <c:cat>
            <c:strRef>
              <c:f>DataPage!$C$518:$D$518</c:f>
              <c:strCache>
                <c:ptCount val="2"/>
                <c:pt idx="0">
                  <c:v>This Year</c:v>
                </c:pt>
                <c:pt idx="1">
                  <c:v>Last Year</c:v>
                </c:pt>
              </c:strCache>
            </c:strRef>
          </c:cat>
          <c:val>
            <c:numRef>
              <c:f>DataPage!$C$520:$D$520</c:f>
              <c:numCache>
                <c:formatCode>_(* #,##0_);_(* \(#,##0\);_(* "-"??_);_(@_)</c:formatCode>
                <c:ptCount val="2"/>
                <c:pt idx="0">
                  <c:v>255954891.58086011</c:v>
                </c:pt>
                <c:pt idx="1">
                  <c:v>312079846.15384614</c:v>
                </c:pt>
              </c:numCache>
            </c:numRef>
          </c:val>
        </c:ser>
        <c:ser>
          <c:idx val="2"/>
          <c:order val="2"/>
          <c:tx>
            <c:strRef>
              <c:f>DataPage!$B$521</c:f>
              <c:strCache>
                <c:ptCount val="1"/>
                <c:pt idx="0">
                  <c:v>Operating Profit</c:v>
                </c:pt>
              </c:strCache>
            </c:strRef>
          </c:tx>
          <c:invertIfNegative val="0"/>
          <c:cat>
            <c:strRef>
              <c:f>DataPage!$C$518:$D$518</c:f>
              <c:strCache>
                <c:ptCount val="2"/>
                <c:pt idx="0">
                  <c:v>This Year</c:v>
                </c:pt>
                <c:pt idx="1">
                  <c:v>Last Year</c:v>
                </c:pt>
              </c:strCache>
            </c:strRef>
          </c:cat>
          <c:val>
            <c:numRef>
              <c:f>DataPage!$C$521:$D$521</c:f>
              <c:numCache>
                <c:formatCode>_(* #,##0_);_(* \(#,##0\);_(* "-"??_);_(@_)</c:formatCode>
                <c:ptCount val="2"/>
                <c:pt idx="0">
                  <c:v>919798017.25623417</c:v>
                </c:pt>
                <c:pt idx="1">
                  <c:v>838178281.64409935</c:v>
                </c:pt>
              </c:numCache>
            </c:numRef>
          </c:val>
        </c:ser>
        <c:dLbls>
          <c:showLegendKey val="0"/>
          <c:showVal val="0"/>
          <c:showCatName val="0"/>
          <c:showSerName val="0"/>
          <c:showPercent val="0"/>
          <c:showBubbleSize val="0"/>
        </c:dLbls>
        <c:gapWidth val="55"/>
        <c:overlap val="100"/>
        <c:axId val="238254080"/>
        <c:axId val="245488960"/>
      </c:barChart>
      <c:catAx>
        <c:axId val="238254080"/>
        <c:scaling>
          <c:orientation val="minMax"/>
        </c:scaling>
        <c:delete val="0"/>
        <c:axPos val="b"/>
        <c:majorTickMark val="none"/>
        <c:minorTickMark val="none"/>
        <c:tickLblPos val="nextTo"/>
        <c:txPr>
          <a:bodyPr/>
          <a:lstStyle/>
          <a:p>
            <a:pPr>
              <a:defRPr b="1"/>
            </a:pPr>
            <a:endParaRPr lang="en-US"/>
          </a:p>
        </c:txPr>
        <c:crossAx val="245488960"/>
        <c:crosses val="autoZero"/>
        <c:auto val="1"/>
        <c:lblAlgn val="ctr"/>
        <c:lblOffset val="100"/>
        <c:noMultiLvlLbl val="0"/>
      </c:catAx>
      <c:valAx>
        <c:axId val="245488960"/>
        <c:scaling>
          <c:orientation val="minMax"/>
        </c:scaling>
        <c:delete val="0"/>
        <c:axPos val="l"/>
        <c:majorGridlines/>
        <c:numFmt formatCode="_(* #,##0_);_(* \(#,##0\);_(* &quot;-&quot;??_);_(@_)" sourceLinked="0"/>
        <c:majorTickMark val="none"/>
        <c:minorTickMark val="none"/>
        <c:tickLblPos val="nextTo"/>
        <c:crossAx val="238254080"/>
        <c:crosses val="autoZero"/>
        <c:crossBetween val="between"/>
        <c:dispUnits>
          <c:builtInUnit val="millions"/>
          <c:dispUnitsLbl>
            <c:layout>
              <c:manualLayout>
                <c:xMode val="edge"/>
                <c:yMode val="edge"/>
                <c:x val="3.3333333333333333E-2"/>
                <c:y val="0.38473388743073783"/>
              </c:manualLayout>
            </c:layout>
          </c:dispUnitsLbl>
        </c:dispUnits>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Bloomfield Source of Revenue</a:t>
            </a:r>
          </a:p>
        </c:rich>
      </c:tx>
      <c:overlay val="0"/>
    </c:title>
    <c:autoTitleDeleted val="0"/>
    <c:plotArea>
      <c:layout>
        <c:manualLayout>
          <c:layoutTarget val="inner"/>
          <c:xMode val="edge"/>
          <c:yMode val="edge"/>
          <c:x val="0.29885498687664042"/>
          <c:y val="0.17646653543307089"/>
          <c:w val="0.43562335958005249"/>
          <c:h val="0.72603893263342079"/>
        </c:manualLayout>
      </c:layout>
      <c:pieChart>
        <c:varyColors val="1"/>
        <c:ser>
          <c:idx val="0"/>
          <c:order val="0"/>
          <c:dLbls>
            <c:numFmt formatCode="0.0%" sourceLinked="0"/>
            <c:txPr>
              <a:bodyPr/>
              <a:lstStyle/>
              <a:p>
                <a:pPr>
                  <a:defRPr sz="1050" b="1">
                    <a:solidFill>
                      <a:schemeClr val="bg1"/>
                    </a:solidFill>
                  </a:defRPr>
                </a:pPr>
                <a:endParaRPr lang="en-US"/>
              </a:p>
            </c:txPr>
            <c:showLegendKey val="0"/>
            <c:showVal val="0"/>
            <c:showCatName val="0"/>
            <c:showSerName val="0"/>
            <c:showPercent val="1"/>
            <c:showBubbleSize val="0"/>
            <c:showLeaderLines val="1"/>
          </c:dLbls>
          <c:cat>
            <c:strRef>
              <c:f>DataPage!$B$528:$B$529</c:f>
              <c:strCache>
                <c:ptCount val="2"/>
                <c:pt idx="0">
                  <c:v>Existing Accounts</c:v>
                </c:pt>
                <c:pt idx="1">
                  <c:v>New Accounts</c:v>
                </c:pt>
              </c:strCache>
            </c:strRef>
          </c:cat>
          <c:val>
            <c:numRef>
              <c:f>DataPage!$C$528:$C$529</c:f>
              <c:numCache>
                <c:formatCode>_(* #,##0_);_(* \(#,##0\);_(* "-"??_);_(@_)</c:formatCode>
                <c:ptCount val="2"/>
                <c:pt idx="0">
                  <c:v>3308736195.9805317</c:v>
                </c:pt>
                <c:pt idx="1">
                  <c:v>274544580</c:v>
                </c:pt>
              </c:numCache>
            </c:numRef>
          </c:val>
        </c:ser>
        <c:dLbls>
          <c:showLegendKey val="0"/>
          <c:showVal val="0"/>
          <c:showCatName val="0"/>
          <c:showSerName val="0"/>
          <c:showPercent val="1"/>
          <c:showBubbleSize val="0"/>
          <c:showLeaderLines val="1"/>
        </c:dLbls>
        <c:firstSliceAng val="0"/>
      </c:pieChart>
    </c:plotArea>
    <c:legend>
      <c:legendPos val="t"/>
      <c:layout>
        <c:manualLayout>
          <c:xMode val="edge"/>
          <c:yMode val="edge"/>
          <c:x val="0.74609798775153102"/>
          <c:y val="0.35173629337999424"/>
          <c:w val="0.25224846894138231"/>
          <c:h val="0.25964311752697578"/>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Nextus Income Statement Summary</a:t>
            </a:r>
          </a:p>
        </c:rich>
      </c:tx>
      <c:overlay val="0"/>
    </c:title>
    <c:autoTitleDeleted val="0"/>
    <c:plotArea>
      <c:layout/>
      <c:barChart>
        <c:barDir val="col"/>
        <c:grouping val="stacked"/>
        <c:varyColors val="0"/>
        <c:ser>
          <c:idx val="0"/>
          <c:order val="0"/>
          <c:tx>
            <c:strRef>
              <c:f>DataPage!$B$535</c:f>
              <c:strCache>
                <c:ptCount val="1"/>
                <c:pt idx="0">
                  <c:v>Expenses</c:v>
                </c:pt>
              </c:strCache>
            </c:strRef>
          </c:tx>
          <c:invertIfNegative val="0"/>
          <c:cat>
            <c:strRef>
              <c:f>DataPage!$C$534:$D$534</c:f>
              <c:strCache>
                <c:ptCount val="2"/>
                <c:pt idx="0">
                  <c:v>This Year</c:v>
                </c:pt>
                <c:pt idx="1">
                  <c:v>Last Year</c:v>
                </c:pt>
              </c:strCache>
            </c:strRef>
          </c:cat>
          <c:val>
            <c:numRef>
              <c:f>DataPage!$C$535:$D$535</c:f>
              <c:numCache>
                <c:formatCode>_(* #,##0_);_(* \(#,##0\);_(* "-"??_);_(@_)</c:formatCode>
                <c:ptCount val="2"/>
                <c:pt idx="0">
                  <c:v>2339538712.5846305</c:v>
                </c:pt>
                <c:pt idx="1">
                  <c:v>3261152846.704453</c:v>
                </c:pt>
              </c:numCache>
            </c:numRef>
          </c:val>
        </c:ser>
        <c:ser>
          <c:idx val="1"/>
          <c:order val="1"/>
          <c:tx>
            <c:strRef>
              <c:f>DataPage!$B$536</c:f>
              <c:strCache>
                <c:ptCount val="1"/>
                <c:pt idx="0">
                  <c:v>Depreciation &amp; Amortization</c:v>
                </c:pt>
              </c:strCache>
            </c:strRef>
          </c:tx>
          <c:invertIfNegative val="0"/>
          <c:cat>
            <c:strRef>
              <c:f>DataPage!$C$534:$D$534</c:f>
              <c:strCache>
                <c:ptCount val="2"/>
                <c:pt idx="0">
                  <c:v>This Year</c:v>
                </c:pt>
                <c:pt idx="1">
                  <c:v>Last Year</c:v>
                </c:pt>
              </c:strCache>
            </c:strRef>
          </c:cat>
          <c:val>
            <c:numRef>
              <c:f>DataPage!$C$536:$D$536</c:f>
              <c:numCache>
                <c:formatCode>_(* #,##0_);_(* \(#,##0\);_(* "-"??_);_(@_)</c:formatCode>
                <c:ptCount val="2"/>
                <c:pt idx="0">
                  <c:v>258403934.02249923</c:v>
                </c:pt>
                <c:pt idx="1">
                  <c:v>312079846.15384614</c:v>
                </c:pt>
              </c:numCache>
            </c:numRef>
          </c:val>
        </c:ser>
        <c:ser>
          <c:idx val="2"/>
          <c:order val="2"/>
          <c:tx>
            <c:strRef>
              <c:f>DataPage!$B$537</c:f>
              <c:strCache>
                <c:ptCount val="1"/>
                <c:pt idx="0">
                  <c:v>Operating Profit</c:v>
                </c:pt>
              </c:strCache>
            </c:strRef>
          </c:tx>
          <c:invertIfNegative val="0"/>
          <c:cat>
            <c:strRef>
              <c:f>DataPage!$C$534:$D$534</c:f>
              <c:strCache>
                <c:ptCount val="2"/>
                <c:pt idx="0">
                  <c:v>This Year</c:v>
                </c:pt>
                <c:pt idx="1">
                  <c:v>Last Year</c:v>
                </c:pt>
              </c:strCache>
            </c:strRef>
          </c:cat>
          <c:val>
            <c:numRef>
              <c:f>DataPage!$C$537:$D$537</c:f>
              <c:numCache>
                <c:formatCode>_(* #,##0_);_(* \(#,##0\);_(* "-"??_);_(@_)</c:formatCode>
                <c:ptCount val="2"/>
                <c:pt idx="0">
                  <c:v>341661922.99683321</c:v>
                </c:pt>
                <c:pt idx="1">
                  <c:v>838178281.64409935</c:v>
                </c:pt>
              </c:numCache>
            </c:numRef>
          </c:val>
        </c:ser>
        <c:dLbls>
          <c:showLegendKey val="0"/>
          <c:showVal val="0"/>
          <c:showCatName val="0"/>
          <c:showSerName val="0"/>
          <c:showPercent val="0"/>
          <c:showBubbleSize val="0"/>
        </c:dLbls>
        <c:gapWidth val="55"/>
        <c:overlap val="100"/>
        <c:axId val="673427968"/>
        <c:axId val="237521728"/>
      </c:barChart>
      <c:catAx>
        <c:axId val="673427968"/>
        <c:scaling>
          <c:orientation val="minMax"/>
        </c:scaling>
        <c:delete val="0"/>
        <c:axPos val="b"/>
        <c:majorTickMark val="none"/>
        <c:minorTickMark val="none"/>
        <c:tickLblPos val="nextTo"/>
        <c:txPr>
          <a:bodyPr/>
          <a:lstStyle/>
          <a:p>
            <a:pPr>
              <a:defRPr b="1"/>
            </a:pPr>
            <a:endParaRPr lang="en-US"/>
          </a:p>
        </c:txPr>
        <c:crossAx val="237521728"/>
        <c:crosses val="autoZero"/>
        <c:auto val="1"/>
        <c:lblAlgn val="ctr"/>
        <c:lblOffset val="100"/>
        <c:noMultiLvlLbl val="0"/>
      </c:catAx>
      <c:valAx>
        <c:axId val="237521728"/>
        <c:scaling>
          <c:orientation val="minMax"/>
        </c:scaling>
        <c:delete val="0"/>
        <c:axPos val="l"/>
        <c:majorGridlines/>
        <c:numFmt formatCode="_(* #,##0_);_(* \(#,##0\);_(* &quot;-&quot;??_);_(@_)" sourceLinked="0"/>
        <c:majorTickMark val="none"/>
        <c:minorTickMark val="none"/>
        <c:tickLblPos val="nextTo"/>
        <c:crossAx val="673427968"/>
        <c:crosses val="autoZero"/>
        <c:crossBetween val="between"/>
        <c:dispUnits>
          <c:builtInUnit val="millions"/>
          <c:dispUnitsLbl>
            <c:layout>
              <c:manualLayout>
                <c:xMode val="edge"/>
                <c:yMode val="edge"/>
                <c:x val="3.3333333333333333E-2"/>
                <c:y val="0.38473388743073783"/>
              </c:manualLayout>
            </c:layout>
          </c:dispUnitsLbl>
        </c:dispUnits>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Nextus Source of Revenue</a:t>
            </a:r>
          </a:p>
        </c:rich>
      </c:tx>
      <c:overlay val="0"/>
    </c:title>
    <c:autoTitleDeleted val="0"/>
    <c:plotArea>
      <c:layout>
        <c:manualLayout>
          <c:layoutTarget val="inner"/>
          <c:xMode val="edge"/>
          <c:yMode val="edge"/>
          <c:x val="0.29885498687664042"/>
          <c:y val="0.17646653543307089"/>
          <c:w val="0.43562335958005249"/>
          <c:h val="0.72603893263342079"/>
        </c:manualLayout>
      </c:layout>
      <c:pieChart>
        <c:varyColors val="1"/>
        <c:ser>
          <c:idx val="0"/>
          <c:order val="0"/>
          <c:dLbls>
            <c:numFmt formatCode="0.0%" sourceLinked="0"/>
            <c:txPr>
              <a:bodyPr/>
              <a:lstStyle/>
              <a:p>
                <a:pPr>
                  <a:defRPr sz="1050" b="1">
                    <a:solidFill>
                      <a:schemeClr val="bg1"/>
                    </a:solidFill>
                  </a:defRPr>
                </a:pPr>
                <a:endParaRPr lang="en-US"/>
              </a:p>
            </c:txPr>
            <c:showLegendKey val="0"/>
            <c:showVal val="0"/>
            <c:showCatName val="0"/>
            <c:showSerName val="0"/>
            <c:showPercent val="1"/>
            <c:showBubbleSize val="0"/>
            <c:showLeaderLines val="1"/>
          </c:dLbls>
          <c:cat>
            <c:strRef>
              <c:f>DataPage!$B$544:$B$545</c:f>
              <c:strCache>
                <c:ptCount val="2"/>
                <c:pt idx="0">
                  <c:v>Existing Accounts</c:v>
                </c:pt>
                <c:pt idx="1">
                  <c:v>New Accounts</c:v>
                </c:pt>
              </c:strCache>
            </c:strRef>
          </c:cat>
          <c:val>
            <c:numRef>
              <c:f>DataPage!$C$544:$C$545</c:f>
              <c:numCache>
                <c:formatCode>_(* #,##0_);_(* \(#,##0\);_(* "-"??_);_(@_)</c:formatCode>
                <c:ptCount val="2"/>
                <c:pt idx="0">
                  <c:v>2410030422.8640656</c:v>
                </c:pt>
                <c:pt idx="1">
                  <c:v>203236360</c:v>
                </c:pt>
              </c:numCache>
            </c:numRef>
          </c:val>
        </c:ser>
        <c:dLbls>
          <c:showLegendKey val="0"/>
          <c:showVal val="0"/>
          <c:showCatName val="0"/>
          <c:showSerName val="0"/>
          <c:showPercent val="1"/>
          <c:showBubbleSize val="0"/>
          <c:showLeaderLines val="1"/>
        </c:dLbls>
        <c:firstSliceAng val="0"/>
      </c:pieChart>
    </c:plotArea>
    <c:legend>
      <c:legendPos val="t"/>
      <c:layout>
        <c:manualLayout>
          <c:xMode val="edge"/>
          <c:yMode val="edge"/>
          <c:x val="0.74609798775153102"/>
          <c:y val="0.35173629337999424"/>
          <c:w val="0.25224846894138231"/>
          <c:h val="0.25964311752697578"/>
        </c:manualLayout>
      </c:layout>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200"/>
            </a:pPr>
            <a:r>
              <a:rPr lang="en-US" sz="1200"/>
              <a:t>Year 1 Market Growth</a:t>
            </a:r>
          </a:p>
        </c:rich>
      </c:tx>
      <c:overlay val="0"/>
    </c:title>
    <c:autoTitleDeleted val="0"/>
    <c:plotArea>
      <c:layout/>
      <c:barChart>
        <c:barDir val="col"/>
        <c:grouping val="stacked"/>
        <c:varyColors val="0"/>
        <c:ser>
          <c:idx val="0"/>
          <c:order val="0"/>
          <c:invertIfNegative val="0"/>
          <c:cat>
            <c:strRef>
              <c:f>DataPage!$G$519:$G$520</c:f>
              <c:strCache>
                <c:ptCount val="2"/>
                <c:pt idx="0">
                  <c:v>Growth</c:v>
                </c:pt>
                <c:pt idx="1">
                  <c:v>Transform</c:v>
                </c:pt>
              </c:strCache>
            </c:strRef>
          </c:cat>
          <c:val>
            <c:numRef>
              <c:f>DataPage!$H$519:$H$520</c:f>
              <c:numCache>
                <c:formatCode>0.0%</c:formatCode>
                <c:ptCount val="2"/>
                <c:pt idx="0">
                  <c:v>0.08</c:v>
                </c:pt>
                <c:pt idx="1">
                  <c:v>-1E-3</c:v>
                </c:pt>
              </c:numCache>
            </c:numRef>
          </c:val>
        </c:ser>
        <c:dLbls>
          <c:showLegendKey val="0"/>
          <c:showVal val="0"/>
          <c:showCatName val="0"/>
          <c:showSerName val="0"/>
          <c:showPercent val="0"/>
          <c:showBubbleSize val="0"/>
        </c:dLbls>
        <c:gapWidth val="55"/>
        <c:overlap val="100"/>
        <c:axId val="673428992"/>
        <c:axId val="237525760"/>
      </c:barChart>
      <c:catAx>
        <c:axId val="673428992"/>
        <c:scaling>
          <c:orientation val="minMax"/>
        </c:scaling>
        <c:delete val="0"/>
        <c:axPos val="b"/>
        <c:majorTickMark val="none"/>
        <c:minorTickMark val="none"/>
        <c:tickLblPos val="nextTo"/>
        <c:txPr>
          <a:bodyPr/>
          <a:lstStyle/>
          <a:p>
            <a:pPr>
              <a:defRPr b="1"/>
            </a:pPr>
            <a:endParaRPr lang="en-US"/>
          </a:p>
        </c:txPr>
        <c:crossAx val="237525760"/>
        <c:crosses val="autoZero"/>
        <c:auto val="1"/>
        <c:lblAlgn val="ctr"/>
        <c:lblOffset val="100"/>
        <c:noMultiLvlLbl val="0"/>
      </c:catAx>
      <c:valAx>
        <c:axId val="237525760"/>
        <c:scaling>
          <c:orientation val="minMax"/>
          <c:max val="0.2"/>
          <c:min val="0"/>
        </c:scaling>
        <c:delete val="0"/>
        <c:axPos val="l"/>
        <c:majorGridlines/>
        <c:numFmt formatCode="0.0%" sourceLinked="1"/>
        <c:majorTickMark val="none"/>
        <c:minorTickMark val="none"/>
        <c:tickLblPos val="nextTo"/>
        <c:crossAx val="6734289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200"/>
            </a:pPr>
            <a:r>
              <a:rPr lang="en-US" sz="1200"/>
              <a:t>Year 2 Market Growth</a:t>
            </a:r>
          </a:p>
        </c:rich>
      </c:tx>
      <c:overlay val="0"/>
    </c:title>
    <c:autoTitleDeleted val="0"/>
    <c:plotArea>
      <c:layout/>
      <c:barChart>
        <c:barDir val="col"/>
        <c:grouping val="stacked"/>
        <c:varyColors val="0"/>
        <c:ser>
          <c:idx val="0"/>
          <c:order val="0"/>
          <c:invertIfNegative val="0"/>
          <c:cat>
            <c:strRef>
              <c:f>DataPage!$G$527:$G$528</c:f>
              <c:strCache>
                <c:ptCount val="2"/>
                <c:pt idx="0">
                  <c:v>Growth</c:v>
                </c:pt>
                <c:pt idx="1">
                  <c:v>Transform</c:v>
                </c:pt>
              </c:strCache>
            </c:strRef>
          </c:cat>
          <c:val>
            <c:numRef>
              <c:f>DataPage!$H$527:$H$528</c:f>
              <c:numCache>
                <c:formatCode>0.0%</c:formatCode>
                <c:ptCount val="2"/>
                <c:pt idx="0">
                  <c:v>0.12</c:v>
                </c:pt>
                <c:pt idx="1">
                  <c:v>1E-3</c:v>
                </c:pt>
              </c:numCache>
            </c:numRef>
          </c:val>
        </c:ser>
        <c:dLbls>
          <c:showLegendKey val="0"/>
          <c:showVal val="0"/>
          <c:showCatName val="0"/>
          <c:showSerName val="0"/>
          <c:showPercent val="0"/>
          <c:showBubbleSize val="0"/>
        </c:dLbls>
        <c:gapWidth val="55"/>
        <c:overlap val="100"/>
        <c:axId val="673429504"/>
        <c:axId val="674005568"/>
      </c:barChart>
      <c:catAx>
        <c:axId val="673429504"/>
        <c:scaling>
          <c:orientation val="minMax"/>
        </c:scaling>
        <c:delete val="0"/>
        <c:axPos val="b"/>
        <c:majorTickMark val="none"/>
        <c:minorTickMark val="none"/>
        <c:tickLblPos val="nextTo"/>
        <c:txPr>
          <a:bodyPr/>
          <a:lstStyle/>
          <a:p>
            <a:pPr>
              <a:defRPr b="1"/>
            </a:pPr>
            <a:endParaRPr lang="en-US"/>
          </a:p>
        </c:txPr>
        <c:crossAx val="674005568"/>
        <c:crosses val="autoZero"/>
        <c:auto val="1"/>
        <c:lblAlgn val="ctr"/>
        <c:lblOffset val="100"/>
        <c:noMultiLvlLbl val="0"/>
      </c:catAx>
      <c:valAx>
        <c:axId val="674005568"/>
        <c:scaling>
          <c:orientation val="minMax"/>
          <c:max val="0.2"/>
          <c:min val="0"/>
        </c:scaling>
        <c:delete val="0"/>
        <c:axPos val="l"/>
        <c:majorGridlines/>
        <c:numFmt formatCode="0.0%" sourceLinked="1"/>
        <c:majorTickMark val="none"/>
        <c:minorTickMark val="none"/>
        <c:tickLblPos val="nextTo"/>
        <c:crossAx val="673429504"/>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200"/>
            </a:pPr>
            <a:r>
              <a:rPr lang="en-US" sz="1200"/>
              <a:t>Year 3 Market Growth</a:t>
            </a:r>
          </a:p>
        </c:rich>
      </c:tx>
      <c:overlay val="0"/>
    </c:title>
    <c:autoTitleDeleted val="0"/>
    <c:plotArea>
      <c:layout/>
      <c:barChart>
        <c:barDir val="col"/>
        <c:grouping val="stacked"/>
        <c:varyColors val="0"/>
        <c:ser>
          <c:idx val="0"/>
          <c:order val="0"/>
          <c:invertIfNegative val="0"/>
          <c:cat>
            <c:strRef>
              <c:f>DataPage!$G$535:$G$536</c:f>
              <c:strCache>
                <c:ptCount val="2"/>
                <c:pt idx="0">
                  <c:v>Growth</c:v>
                </c:pt>
                <c:pt idx="1">
                  <c:v>Transform</c:v>
                </c:pt>
              </c:strCache>
            </c:strRef>
          </c:cat>
          <c:val>
            <c:numRef>
              <c:f>DataPage!$H$535:$H$536</c:f>
              <c:numCache>
                <c:formatCode>0.0%</c:formatCode>
                <c:ptCount val="2"/>
                <c:pt idx="0">
                  <c:v>0.18</c:v>
                </c:pt>
                <c:pt idx="1">
                  <c:v>2E-3</c:v>
                </c:pt>
              </c:numCache>
            </c:numRef>
          </c:val>
        </c:ser>
        <c:dLbls>
          <c:showLegendKey val="0"/>
          <c:showVal val="0"/>
          <c:showCatName val="0"/>
          <c:showSerName val="0"/>
          <c:showPercent val="0"/>
          <c:showBubbleSize val="0"/>
        </c:dLbls>
        <c:gapWidth val="55"/>
        <c:overlap val="100"/>
        <c:axId val="673430016"/>
        <c:axId val="674006720"/>
      </c:barChart>
      <c:catAx>
        <c:axId val="673430016"/>
        <c:scaling>
          <c:orientation val="minMax"/>
        </c:scaling>
        <c:delete val="0"/>
        <c:axPos val="b"/>
        <c:majorTickMark val="none"/>
        <c:minorTickMark val="none"/>
        <c:tickLblPos val="nextTo"/>
        <c:txPr>
          <a:bodyPr/>
          <a:lstStyle/>
          <a:p>
            <a:pPr>
              <a:defRPr b="1"/>
            </a:pPr>
            <a:endParaRPr lang="en-US"/>
          </a:p>
        </c:txPr>
        <c:crossAx val="674006720"/>
        <c:crosses val="autoZero"/>
        <c:auto val="1"/>
        <c:lblAlgn val="ctr"/>
        <c:lblOffset val="100"/>
        <c:noMultiLvlLbl val="0"/>
      </c:catAx>
      <c:valAx>
        <c:axId val="674006720"/>
        <c:scaling>
          <c:orientation val="minMax"/>
          <c:max val="0.2"/>
          <c:min val="0"/>
        </c:scaling>
        <c:delete val="0"/>
        <c:axPos val="l"/>
        <c:majorGridlines/>
        <c:numFmt formatCode="0.0%" sourceLinked="1"/>
        <c:majorTickMark val="none"/>
        <c:minorTickMark val="none"/>
        <c:tickLblPos val="nextTo"/>
        <c:crossAx val="673430016"/>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tlInputEvent101Chosen" lockText="1"/>
</file>

<file path=xl/ctrlProps/ctrlProp6.xml><?xml version="1.0" encoding="utf-8"?>
<formControlPr xmlns="http://schemas.microsoft.com/office/spreadsheetml/2009/9/main" objectType="CheckBox" fmlaLink="tlInputEvent102Chosen" lockText="1"/>
</file>

<file path=xl/ctrlProps/ctrlProp7.xml><?xml version="1.0" encoding="utf-8"?>
<formControlPr xmlns="http://schemas.microsoft.com/office/spreadsheetml/2009/9/main" objectType="CheckBox" fmlaLink="tlInputEvent103Chosen" lockText="1"/>
</file>

<file path=xl/ctrlProps/ctrlProp8.xml><?xml version="1.0" encoding="utf-8"?>
<formControlPr xmlns="http://schemas.microsoft.com/office/spreadsheetml/2009/9/main" objectType="CheckBox" fmlaLink="tlInputEvent201Chosen" lockText="1"/>
</file>

<file path=xl/ctrlProps/ctrlProp9.xml><?xml version="1.0" encoding="utf-8"?>
<formControlPr xmlns="http://schemas.microsoft.com/office/spreadsheetml/2009/9/main" objectType="CheckBox" fmlaLink="tlInputEvent202Chosen" lockText="1"/>
</file>

<file path=xl/ctrlProps/ctrlProp10.xml><?xml version="1.0" encoding="utf-8"?>
<formControlPr xmlns="http://schemas.microsoft.com/office/spreadsheetml/2009/9/main" objectType="CheckBox" fmlaLink="tlInputEvent203Chosen" lockText="1"/>
</file>

<file path=xl/ctrlProps/ctrlProp11.xml><?xml version="1.0" encoding="utf-8"?>
<formControlPr xmlns="http://schemas.microsoft.com/office/spreadsheetml/2009/9/main" objectType="CheckBox" fmlaLink="tlInputEvent301Chosen" lockText="1"/>
</file>

<file path=xl/ctrlProps/ctrlProp12.xml><?xml version="1.0" encoding="utf-8"?>
<formControlPr xmlns="http://schemas.microsoft.com/office/spreadsheetml/2009/9/main" objectType="CheckBox" fmlaLink="tlInputEvent302Chosen" lockText="1"/>
</file>

<file path=xl/ctrlProps/ctrlProp13.xml><?xml version="1.0" encoding="utf-8"?>
<formControlPr xmlns="http://schemas.microsoft.com/office/spreadsheetml/2009/9/main" objectType="CheckBox" fmlaLink="tlInputEvent401Chosen" lockText="1"/>
</file>

<file path=xl/ctrlProps/ctrlProp14.xml><?xml version="1.0" encoding="utf-8"?>
<formControlPr xmlns="http://schemas.microsoft.com/office/spreadsheetml/2009/9/main" objectType="CheckBox" fmlaLink="tlInputEvent402Chosen" lockText="1"/>
</file>

<file path=xl/ctrlProps/ctrlProp15.xml><?xml version="1.0" encoding="utf-8"?>
<formControlPr xmlns="http://schemas.microsoft.com/office/spreadsheetml/2009/9/main" objectType="CheckBox" fmlaLink="tlInputEvent403Chosen" lockText="1"/>
</file>

<file path=xl/ctrlProps/ctrlProp16.xml><?xml version="1.0" encoding="utf-8"?>
<formControlPr xmlns="http://schemas.microsoft.com/office/spreadsheetml/2009/9/main" objectType="CheckBox" fmlaLink="tlInputEvent501Chosen" lockText="1"/>
</file>

<file path=xl/ctrlProps/ctrlProp17.xml><?xml version="1.0" encoding="utf-8"?>
<formControlPr xmlns="http://schemas.microsoft.com/office/spreadsheetml/2009/9/main" objectType="CheckBox" fmlaLink="tlInputEvent502Chosen" lockText="1"/>
</file>

<file path=xl/ctrlProps/ctrlProp18.xml><?xml version="1.0" encoding="utf-8"?>
<formControlPr xmlns="http://schemas.microsoft.com/office/spreadsheetml/2009/9/main" objectType="CheckBox" fmlaLink="tlInputEvent503Chosen" lockText="1"/>
</file>

<file path=xl/ctrlProps/ctrlProp19.xml><?xml version="1.0" encoding="utf-8"?>
<formControlPr xmlns="http://schemas.microsoft.com/office/spreadsheetml/2009/9/main" objectType="CheckBox" fmlaLink="tlInputEvent601Chosen" lockText="1"/>
</file>

<file path=xl/ctrlProps/ctrlProp20.xml><?xml version="1.0" encoding="utf-8"?>
<formControlPr xmlns="http://schemas.microsoft.com/office/spreadsheetml/2009/9/main" objectType="CheckBox" fmlaLink="tlInputEvent602Chosen" lockText="1"/>
</file>

<file path=xl/ctrlProps/ctrlProp21.xml><?xml version="1.0" encoding="utf-8"?>
<formControlPr xmlns="http://schemas.microsoft.com/office/spreadsheetml/2009/9/main" objectType="CheckBox" fmlaLink="tlInputEvent603Chosen" lockText="1"/>
</file>

<file path=xl/ctrlProps/ctrlProp22.xml><?xml version="1.0" encoding="utf-8"?>
<formControlPr xmlns="http://schemas.microsoft.com/office/spreadsheetml/2009/9/main" objectType="CheckBox" fmlaLink="tlInputEvent701Chosen" lockText="1"/>
</file>

<file path=xl/ctrlProps/ctrlProp23.xml><?xml version="1.0" encoding="utf-8"?>
<formControlPr xmlns="http://schemas.microsoft.com/office/spreadsheetml/2009/9/main" objectType="CheckBox" fmlaLink="tlInputEvent702Chosen" lockText="1"/>
</file>

<file path=xl/ctrlProps/ctrlProp24.xml><?xml version="1.0" encoding="utf-8"?>
<formControlPr xmlns="http://schemas.microsoft.com/office/spreadsheetml/2009/9/main" objectType="CheckBox" fmlaLink="tlInputEvent801Chosen" lockText="1"/>
</file>

<file path=xl/ctrlProps/ctrlProp25.xml><?xml version="1.0" encoding="utf-8"?>
<formControlPr xmlns="http://schemas.microsoft.com/office/spreadsheetml/2009/9/main" objectType="CheckBox" fmlaLink="tlInputEvent802Chosen" lockText="1"/>
</file>

<file path=xl/ctrlProps/ctrlProp26.xml><?xml version="1.0" encoding="utf-8"?>
<formControlPr xmlns="http://schemas.microsoft.com/office/spreadsheetml/2009/9/main" objectType="CheckBox" fmlaLink="tlInputEvent803Chosen" lockText="1"/>
</file>

<file path=xl/ctrlProps/ctrlProp27.xml><?xml version="1.0" encoding="utf-8"?>
<formControlPr xmlns="http://schemas.microsoft.com/office/spreadsheetml/2009/9/main" objectType="CheckBox" fmlaLink="tlInputEvent901Chosen" lockText="1"/>
</file>

<file path=xl/ctrlProps/ctrlProp28.xml><?xml version="1.0" encoding="utf-8"?>
<formControlPr xmlns="http://schemas.microsoft.com/office/spreadsheetml/2009/9/main" objectType="CheckBox" fmlaLink="tlInputEvent902Chosen" lockText="1"/>
</file>

<file path=xl/ctrlProps/ctrlProp29.xml><?xml version="1.0" encoding="utf-8"?>
<formControlPr xmlns="http://schemas.microsoft.com/office/spreadsheetml/2009/9/main" objectType="CheckBox" fmlaLink="tlInputEvent203Chosen" lockText="1"/>
</file>

<file path=xl/ctrlProps/ctrlProp30.xml><?xml version="1.0" encoding="utf-8"?>
<formControlPr xmlns="http://schemas.microsoft.com/office/spreadsheetml/2009/9/main" objectType="CheckBox" fmlaLink="tlInputEvent302Chosen" lockText="1"/>
</file>

<file path=xl/ctrlProps/ctrlProp31.xml><?xml version="1.0" encoding="utf-8"?>
<formControlPr xmlns="http://schemas.microsoft.com/office/spreadsheetml/2009/9/main" objectType="CheckBox" fmlaLink="tlInputEvent302Chosen" lockText="1"/>
</file>

<file path=xl/ctrlProps/ctrlProp32.xml><?xml version="1.0" encoding="utf-8"?>
<formControlPr xmlns="http://schemas.microsoft.com/office/spreadsheetml/2009/9/main" objectType="CheckBox" fmlaLink="tlInputEvent302Chosen" lockText="1"/>
</file>

<file path=xl/ctrlProps/ctrlProp33.xml><?xml version="1.0" encoding="utf-8"?>
<formControlPr xmlns="http://schemas.microsoft.com/office/spreadsheetml/2009/9/main" objectType="CheckBox" fmlaLink="tlInputEvent203Chosen" lockText="1"/>
</file>

<file path=xl/ctrlProps/ctrlProp34.xml><?xml version="1.0" encoding="utf-8"?>
<formControlPr xmlns="http://schemas.microsoft.com/office/spreadsheetml/2009/9/main" objectType="CheckBox" fmlaLink="tlInputEvent403Chosen" lockText="1"/>
</file>

<file path=xl/ctrlProps/ctrlProp35.xml><?xml version="1.0" encoding="utf-8"?>
<formControlPr xmlns="http://schemas.microsoft.com/office/spreadsheetml/2009/9/main" objectType="CheckBox" fmlaLink="tlInputEvent403Chosen" lockText="1"/>
</file>

<file path=xl/ctrlProps/ctrlProp36.xml><?xml version="1.0" encoding="utf-8"?>
<formControlPr xmlns="http://schemas.microsoft.com/office/spreadsheetml/2009/9/main" objectType="CheckBox" fmlaLink="tlInputEvent302Chosen" lockText="1"/>
</file>

<file path=xl/ctrlProps/ctrlProp37.xml><?xml version="1.0" encoding="utf-8"?>
<formControlPr xmlns="http://schemas.microsoft.com/office/spreadsheetml/2009/9/main" objectType="CheckBox" fmlaLink="tlInputEvent203Chosen" lockText="1"/>
</file>

<file path=xl/ctrlProps/ctrlProp38.xml><?xml version="1.0" encoding="utf-8"?>
<formControlPr xmlns="http://schemas.microsoft.com/office/spreadsheetml/2009/9/main" objectType="CheckBox" fmlaLink="tlInputEvent503Chosen" lockText="1"/>
</file>

<file path=xl/ctrlProps/ctrlProp39.xml><?xml version="1.0" encoding="utf-8"?>
<formControlPr xmlns="http://schemas.microsoft.com/office/spreadsheetml/2009/9/main" objectType="CheckBox" fmlaLink="tlInputEvent503Chosen" lockText="1"/>
</file>

<file path=xl/ctrlProps/ctrlProp40.xml><?xml version="1.0" encoding="utf-8"?>
<formControlPr xmlns="http://schemas.microsoft.com/office/spreadsheetml/2009/9/main" objectType="CheckBox" fmlaLink="tlInputEvent403Chosen" lockText="1"/>
</file>

<file path=xl/ctrlProps/ctrlProp41.xml><?xml version="1.0" encoding="utf-8"?>
<formControlPr xmlns="http://schemas.microsoft.com/office/spreadsheetml/2009/9/main" objectType="CheckBox" fmlaLink="tlInputEvent302Chosen" lockText="1"/>
</file>

<file path=xl/ctrlProps/ctrlProp42.xml><?xml version="1.0" encoding="utf-8"?>
<formControlPr xmlns="http://schemas.microsoft.com/office/spreadsheetml/2009/9/main" objectType="CheckBox" fmlaLink="tlInputEvent203Chosen" lockText="1"/>
</file>

<file path=xl/ctrlProps/ctrlProp43.xml><?xml version="1.0" encoding="utf-8"?>
<formControlPr xmlns="http://schemas.microsoft.com/office/spreadsheetml/2009/9/main" objectType="CheckBox" fmlaLink="tlInputEvent603Chosen" lockText="1"/>
</file>

<file path=xl/ctrlProps/ctrlProp44.xml><?xml version="1.0" encoding="utf-8"?>
<formControlPr xmlns="http://schemas.microsoft.com/office/spreadsheetml/2009/9/main" objectType="CheckBox" fmlaLink="tlInputEvent702Chosen" lockText="1"/>
</file>

<file path=xl/ctrlProps/ctrlProp45.xml><?xml version="1.0" encoding="utf-8"?>
<formControlPr xmlns="http://schemas.microsoft.com/office/spreadsheetml/2009/9/main" objectType="CheckBox" fmlaLink="tlInputEvent703Chosen" lockText="1"/>
</file>

<file path=xl/ctrlProps/ctrlProp46.xml><?xml version="1.0" encoding="utf-8"?>
<formControlPr xmlns="http://schemas.microsoft.com/office/spreadsheetml/2009/9/main" objectType="Scroll" dx="16" fmlaLink="tlInputContentMethod" horiz="1" inc="10" max="100" page="10" val="0"/>
</file>

<file path=xl/ctrlProps/ctrlProp47.xml><?xml version="1.0" encoding="utf-8"?>
<formControlPr xmlns="http://schemas.microsoft.com/office/spreadsheetml/2009/9/main" objectType="Scroll" dx="16" fmlaLink="tlInputDCConsolidation" horiz="1" max="29" page="10" val="0"/>
</file>

<file path=xl/ctrlProps/ctrlProp48.xml><?xml version="1.0" encoding="utf-8"?>
<formControlPr xmlns="http://schemas.microsoft.com/office/spreadsheetml/2009/9/main" objectType="CheckBox" fmlaLink="tlInputSpecProg1Chosen" lockText="1"/>
</file>

<file path=xl/ctrlProps/ctrlProp49.xml><?xml version="1.0" encoding="utf-8"?>
<formControlPr xmlns="http://schemas.microsoft.com/office/spreadsheetml/2009/9/main" objectType="CheckBox" fmlaLink="tlInputSpecProg2Chosen" lockText="1"/>
</file>

<file path=xl/ctrlProps/ctrlProp50.xml><?xml version="1.0" encoding="utf-8"?>
<formControlPr xmlns="http://schemas.microsoft.com/office/spreadsheetml/2009/9/main" objectType="CheckBox" fmlaLink="tlInputSpecProg3Chosen" lockText="1"/>
</file>

<file path=xl/ctrlProps/ctrlProp51.xml><?xml version="1.0" encoding="utf-8"?>
<formControlPr xmlns="http://schemas.microsoft.com/office/spreadsheetml/2009/9/main" objectType="CheckBox" fmlaLink="tlInputSpecProg4Chosen" lockText="1"/>
</file>

<file path=xl/ctrlProps/ctrlProp52.xml><?xml version="1.0" encoding="utf-8"?>
<formControlPr xmlns="http://schemas.microsoft.com/office/spreadsheetml/2009/9/main" objectType="CheckBox" fmlaLink="tlInputSpecProg5Chosen" lockText="1"/>
</file>

<file path=xl/ctrlProps/ctrlProp53.xml><?xml version="1.0" encoding="utf-8"?>
<formControlPr xmlns="http://schemas.microsoft.com/office/spreadsheetml/2009/9/main" objectType="CheckBox" fmlaLink="tlInputSpecProg6Chosen" lockText="1"/>
</file>

<file path=xl/ctrlProps/ctrlProp54.xml><?xml version="1.0" encoding="utf-8"?>
<formControlPr xmlns="http://schemas.microsoft.com/office/spreadsheetml/2009/9/main" objectType="CheckBox" fmlaLink="tlInputSpecProg7Chosen" lockText="1"/>
</file>

<file path=xl/ctrlProps/ctrlProp55.xml><?xml version="1.0" encoding="utf-8"?>
<formControlPr xmlns="http://schemas.microsoft.com/office/spreadsheetml/2009/9/main" objectType="CheckBox" fmlaLink="tlInputSpecProg8Chosen" lockText="1"/>
</file>

<file path=xl/ctrlProps/ctrlProp56.xml><?xml version="1.0" encoding="utf-8"?>
<formControlPr xmlns="http://schemas.microsoft.com/office/spreadsheetml/2009/9/main" objectType="CheckBox" fmlaLink="tlInputSpecProg9Chosen" lockText="1"/>
</file>

<file path=xl/ctrlProps/ctrlProp57.xml><?xml version="1.0" encoding="utf-8"?>
<formControlPr xmlns="http://schemas.microsoft.com/office/spreadsheetml/2009/9/main" objectType="CheckBox" fmlaLink="tlInputSpecProg10Chosen" lockText="1"/>
</file>

<file path=xl/ctrlProps/ctrlProp58.xml><?xml version="1.0" encoding="utf-8"?>
<formControlPr xmlns="http://schemas.microsoft.com/office/spreadsheetml/2009/9/main" objectType="CheckBox" fmlaLink="tlInputSpecProg11Chosen" lockText="1"/>
</file>

<file path=xl/ctrlProps/ctrlProp59.xml><?xml version="1.0" encoding="utf-8"?>
<formControlPr xmlns="http://schemas.microsoft.com/office/spreadsheetml/2009/9/main" objectType="CheckBox" fmlaLink="tlInputSpecProg12Chosen" lockText="1"/>
</file>

<file path=xl/ctrlProps/ctrlProp60.xml><?xml version="1.0" encoding="utf-8"?>
<formControlPr xmlns="http://schemas.microsoft.com/office/spreadsheetml/2009/9/main" objectType="CheckBox" fmlaLink="tlInputSpecProg13Chosen" lockText="1"/>
</file>

<file path=xl/ctrlProps/ctrlProp61.xml><?xml version="1.0" encoding="utf-8"?>
<formControlPr xmlns="http://schemas.microsoft.com/office/spreadsheetml/2009/9/main" objectType="CheckBox" fmlaLink="tlInputSpecProg14Chosen" lockText="1"/>
</file>

<file path=xl/ctrlProps/ctrlProp62.xml><?xml version="1.0" encoding="utf-8"?>
<formControlPr xmlns="http://schemas.microsoft.com/office/spreadsheetml/2009/9/main" objectType="CheckBox" fmlaLink="tlInputSpecProg15Chosen" lockText="1"/>
</file>

<file path=xl/ctrlProps/ctrlProp63.xml><?xml version="1.0" encoding="utf-8"?>
<formControlPr xmlns="http://schemas.microsoft.com/office/spreadsheetml/2009/9/main" objectType="CheckBox" fmlaLink="tlInputSpecProg16Chosen" lockText="1"/>
</file>

<file path=xl/ctrlProps/ctrlProp64.xml><?xml version="1.0" encoding="utf-8"?>
<formControlPr xmlns="http://schemas.microsoft.com/office/spreadsheetml/2009/9/main" objectType="CheckBox" fmlaLink="tlInputSpecProg17Chosen" lockText="1"/>
</file>

<file path=xl/ctrlProps/ctrlProp65.xml><?xml version="1.0" encoding="utf-8"?>
<formControlPr xmlns="http://schemas.microsoft.com/office/spreadsheetml/2009/9/main" objectType="CheckBox" fmlaLink="tlInputSpecProg18Chosen" lockText="1"/>
</file>

<file path=xl/ctrlProps/ctrlProp66.xml><?xml version="1.0" encoding="utf-8"?>
<formControlPr xmlns="http://schemas.microsoft.com/office/spreadsheetml/2009/9/main" objectType="CheckBox" fmlaLink="tlInputSpecProg19Chosen" lockText="1"/>
</file>

<file path=xl/ctrlProps/ctrlProp67.xml><?xml version="1.0" encoding="utf-8"?>
<formControlPr xmlns="http://schemas.microsoft.com/office/spreadsheetml/2009/9/main" objectType="CheckBox" fmlaLink="tlInputSpecProg20Chosen" lockText="1"/>
</file>

<file path=xl/ctrlProps/ctrlProp68.xml><?xml version="1.0" encoding="utf-8"?>
<formControlPr xmlns="http://schemas.microsoft.com/office/spreadsheetml/2009/9/main" objectType="CheckBox" fmlaLink="tlInputSpecProg21Chosen" lockText="1"/>
</file>

<file path=xl/ctrlProps/ctrlProp69.xml><?xml version="1.0" encoding="utf-8"?>
<formControlPr xmlns="http://schemas.microsoft.com/office/spreadsheetml/2009/9/main" objectType="CheckBox" fmlaLink="tlInputSpecProg22Chosen" lockText="1"/>
</file>

<file path=xl/ctrlProps/ctrlProp7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7.jpg"/><Relationship Id="rId2" Type="http://schemas.openxmlformats.org/officeDocument/2006/relationships/image" Target="../media/image6.jpg"/><Relationship Id="rId1" Type="http://schemas.openxmlformats.org/officeDocument/2006/relationships/image" Target="../media/image5.jpg"/><Relationship Id="rId5" Type="http://schemas.openxmlformats.org/officeDocument/2006/relationships/image" Target="../media/image9.jpg"/><Relationship Id="rId4" Type="http://schemas.openxmlformats.org/officeDocument/2006/relationships/image" Target="../media/image8.jpg"/></Relationships>
</file>

<file path=xl/drawings/_rels/drawing4.xml.rels><?xml version="1.0" encoding="UTF-8" standalone="yes"?>
<Relationships xmlns="http://schemas.openxmlformats.org/package/2006/relationships"><Relationship Id="rId2" Type="http://schemas.openxmlformats.org/officeDocument/2006/relationships/image" Target="../media/image11.jpg"/><Relationship Id="rId1" Type="http://schemas.openxmlformats.org/officeDocument/2006/relationships/image" Target="../media/image10.jpg"/></Relationships>
</file>

<file path=xl/drawings/_rels/drawing5.xml.rels><?xml version="1.0" encoding="UTF-8" standalone="yes"?>
<Relationships xmlns="http://schemas.openxmlformats.org/package/2006/relationships"><Relationship Id="rId2" Type="http://schemas.openxmlformats.org/officeDocument/2006/relationships/image" Target="../media/image10.jpg"/><Relationship Id="rId1" Type="http://schemas.openxmlformats.org/officeDocument/2006/relationships/image" Target="../media/image12.jpg"/></Relationships>
</file>

<file path=xl/drawings/_rels/drawing6.xml.rels><?xml version="1.0" encoding="UTF-8" standalone="yes"?>
<Relationships xmlns="http://schemas.openxmlformats.org/package/2006/relationships"><Relationship Id="rId2" Type="http://schemas.openxmlformats.org/officeDocument/2006/relationships/image" Target="../media/image10.jpg"/><Relationship Id="rId1" Type="http://schemas.openxmlformats.org/officeDocument/2006/relationships/image" Target="../media/image13.jpg"/></Relationships>
</file>

<file path=xl/drawings/_rels/drawing7.xml.rels><?xml version="1.0" encoding="UTF-8" standalone="yes"?>
<Relationships xmlns="http://schemas.openxmlformats.org/package/2006/relationships"><Relationship Id="rId2" Type="http://schemas.openxmlformats.org/officeDocument/2006/relationships/image" Target="../media/image10.jpg"/><Relationship Id="rId1" Type="http://schemas.openxmlformats.org/officeDocument/2006/relationships/image" Target="../media/image14.jpg"/></Relationships>
</file>

<file path=xl/drawings/_rels/drawing8.xml.rels><?xml version="1.0" encoding="UTF-8" standalone="yes"?>
<Relationships xmlns="http://schemas.openxmlformats.org/package/2006/relationships"><Relationship Id="rId2" Type="http://schemas.openxmlformats.org/officeDocument/2006/relationships/image" Target="../media/image10.jpg"/><Relationship Id="rId1" Type="http://schemas.openxmlformats.org/officeDocument/2006/relationships/image" Target="../media/image15.jpg"/></Relationships>
</file>

<file path=xl/drawings/_rels/drawing9.xml.rels><?xml version="1.0" encoding="UTF-8" standalone="yes"?>
<Relationships xmlns="http://schemas.openxmlformats.org/package/2006/relationships"><Relationship Id="rId3" Type="http://schemas.openxmlformats.org/officeDocument/2006/relationships/image" Target="../media/image16.jpg"/><Relationship Id="rId2" Type="http://schemas.openxmlformats.org/officeDocument/2006/relationships/image" Target="../media/image10.jpg"/><Relationship Id="rId1" Type="http://schemas.openxmlformats.org/officeDocument/2006/relationships/chart" Target="../charts/chart1.xml"/><Relationship Id="rId5" Type="http://schemas.openxmlformats.org/officeDocument/2006/relationships/image" Target="../media/image18.jpg"/><Relationship Id="rId4" Type="http://schemas.openxmlformats.org/officeDocument/2006/relationships/image" Target="../media/image17.jpg"/></Relationships>
</file>

<file path=xl/drawings/_rels/drawing10.xml.rels><?xml version="1.0" encoding="UTF-8" standalone="yes"?>
<Relationships xmlns="http://schemas.openxmlformats.org/package/2006/relationships"><Relationship Id="rId3" Type="http://schemas.openxmlformats.org/officeDocument/2006/relationships/image" Target="../media/image16.jpg"/><Relationship Id="rId2" Type="http://schemas.openxmlformats.org/officeDocument/2006/relationships/image" Target="../media/image10.jpg"/><Relationship Id="rId1" Type="http://schemas.openxmlformats.org/officeDocument/2006/relationships/chart" Target="../charts/chart2.xml"/><Relationship Id="rId5" Type="http://schemas.openxmlformats.org/officeDocument/2006/relationships/image" Target="../media/image20.jpg"/><Relationship Id="rId4" Type="http://schemas.openxmlformats.org/officeDocument/2006/relationships/image" Target="../media/image19.jpg"/></Relationships>
</file>

<file path=xl/drawings/_rels/drawing11.xml.rels><?xml version="1.0" encoding="UTF-8" standalone="yes"?>
<Relationships xmlns="http://schemas.openxmlformats.org/package/2006/relationships"><Relationship Id="rId3" Type="http://schemas.openxmlformats.org/officeDocument/2006/relationships/image" Target="../media/image21.jp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16.jpg"/><Relationship Id="rId5" Type="http://schemas.openxmlformats.org/officeDocument/2006/relationships/image" Target="../media/image10.jpg"/><Relationship Id="rId4" Type="http://schemas.openxmlformats.org/officeDocument/2006/relationships/image" Target="../media/image22.jpg"/></Relationships>
</file>

<file path=xl/drawings/_rels/drawing12.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image" Target="../media/image16.jpg"/><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10.jpg"/><Relationship Id="rId5" Type="http://schemas.openxmlformats.org/officeDocument/2006/relationships/image" Target="../media/image24.jpg"/><Relationship Id="rId4" Type="http://schemas.openxmlformats.org/officeDocument/2006/relationships/image" Target="../media/image23.jpg"/></Relationships>
</file>

<file path=xl/drawings/_rels/drawing13.xml.rels><?xml version="1.0" encoding="UTF-8" standalone="yes"?>
<Relationships xmlns="http://schemas.openxmlformats.org/package/2006/relationships"><Relationship Id="rId3" Type="http://schemas.openxmlformats.org/officeDocument/2006/relationships/image" Target="../media/image25.jp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16.jpg"/><Relationship Id="rId5" Type="http://schemas.openxmlformats.org/officeDocument/2006/relationships/image" Target="../media/image10.jpg"/><Relationship Id="rId4" Type="http://schemas.openxmlformats.org/officeDocument/2006/relationships/image" Target="../media/image24.jpg"/></Relationships>
</file>

<file path=xl/drawings/_rels/drawing14.xml.rels><?xml version="1.0" encoding="UTF-8" standalone="yes"?>
<Relationships xmlns="http://schemas.openxmlformats.org/package/2006/relationships"><Relationship Id="rId3" Type="http://schemas.openxmlformats.org/officeDocument/2006/relationships/image" Target="../media/image10.jpg"/><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image" Target="../media/image16.jpg"/><Relationship Id="rId5" Type="http://schemas.openxmlformats.org/officeDocument/2006/relationships/image" Target="../media/image27.jpg"/><Relationship Id="rId4" Type="http://schemas.openxmlformats.org/officeDocument/2006/relationships/image" Target="../media/image26.jpg"/></Relationships>
</file>

<file path=xl/drawings/_rels/drawing15.xml.rels><?xml version="1.0" encoding="UTF-8" standalone="yes"?>
<Relationships xmlns="http://schemas.openxmlformats.org/package/2006/relationships"><Relationship Id="rId3" Type="http://schemas.openxmlformats.org/officeDocument/2006/relationships/image" Target="../media/image28.jpg"/><Relationship Id="rId2" Type="http://schemas.openxmlformats.org/officeDocument/2006/relationships/image" Target="../media/image16.jpg"/><Relationship Id="rId1" Type="http://schemas.openxmlformats.org/officeDocument/2006/relationships/image" Target="../media/image10.jpg"/><Relationship Id="rId4" Type="http://schemas.openxmlformats.org/officeDocument/2006/relationships/image" Target="../media/image29.jpg"/></Relationships>
</file>

<file path=xl/drawings/_rels/drawing18.xml.rels><?xml version="1.0" encoding="UTF-8" standalone="yes"?>
<Relationships xmlns="http://schemas.openxmlformats.org/package/2006/relationships"><Relationship Id="rId3" Type="http://schemas.openxmlformats.org/officeDocument/2006/relationships/chart" Target="../charts/chart14.xml"/><Relationship Id="rId7" Type="http://schemas.openxmlformats.org/officeDocument/2006/relationships/chart" Target="../charts/chart18.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30</xdr:row>
          <xdr:rowOff>0</xdr:rowOff>
        </xdr:from>
        <xdr:to>
          <xdr:col>13</xdr:col>
          <xdr:colOff>0</xdr:colOff>
          <xdr:row>32</xdr:row>
          <xdr:rowOff>0</xdr:rowOff>
        </xdr:to>
        <xdr:sp macro="" textlink="">
          <xdr:nvSpPr>
            <xdr:cNvPr id="27649" name="checkRunButton" hidden="1">
              <a:extLst>
                <a:ext uri="{63B3BB69-23CF-44E3-9099-C40C66FF867C}">
                  <a14:compatExt spid="_x0000_s276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27</xdr:row>
          <xdr:rowOff>0</xdr:rowOff>
        </xdr:from>
        <xdr:to>
          <xdr:col>12</xdr:col>
          <xdr:colOff>0</xdr:colOff>
          <xdr:row>30</xdr:row>
          <xdr:rowOff>0</xdr:rowOff>
        </xdr:to>
        <xdr:sp macro="" textlink="">
          <xdr:nvSpPr>
            <xdr:cNvPr id="27650" name="CheckBox1" hidden="1">
              <a:extLst>
                <a:ext uri="{63B3BB69-23CF-44E3-9099-C40C66FF867C}">
                  <a14:compatExt spid="_x0000_s276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xdr:row>
          <xdr:rowOff>0</xdr:rowOff>
        </xdr:from>
        <xdr:to>
          <xdr:col>14</xdr:col>
          <xdr:colOff>0</xdr:colOff>
          <xdr:row>30</xdr:row>
          <xdr:rowOff>0</xdr:rowOff>
        </xdr:to>
        <xdr:sp macro="" textlink="">
          <xdr:nvSpPr>
            <xdr:cNvPr id="27651" name="CheckBox2" hidden="1">
              <a:extLst>
                <a:ext uri="{63B3BB69-23CF-44E3-9099-C40C66FF867C}">
                  <a14:compatExt spid="_x0000_s27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27</xdr:row>
          <xdr:rowOff>0</xdr:rowOff>
        </xdr:from>
        <xdr:to>
          <xdr:col>16</xdr:col>
          <xdr:colOff>0</xdr:colOff>
          <xdr:row>30</xdr:row>
          <xdr:rowOff>0</xdr:rowOff>
        </xdr:to>
        <xdr:sp macro="" textlink="">
          <xdr:nvSpPr>
            <xdr:cNvPr id="27652" name="CheckBox3" hidden="1">
              <a:extLst>
                <a:ext uri="{63B3BB69-23CF-44E3-9099-C40C66FF867C}">
                  <a14:compatExt spid="_x0000_s2765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8</xdr:row>
          <xdr:rowOff>66675</xdr:rowOff>
        </xdr:from>
        <xdr:to>
          <xdr:col>8</xdr:col>
          <xdr:colOff>238125</xdr:colOff>
          <xdr:row>10</xdr:row>
          <xdr:rowOff>9525</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Import Balances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8</xdr:row>
          <xdr:rowOff>85725</xdr:rowOff>
        </xdr:from>
        <xdr:to>
          <xdr:col>11</xdr:col>
          <xdr:colOff>457200</xdr:colOff>
          <xdr:row>10</xdr:row>
          <xdr:rowOff>19050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Zoom Tool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15</xdr:col>
      <xdr:colOff>0</xdr:colOff>
      <xdr:row>6</xdr:row>
      <xdr:rowOff>0</xdr:rowOff>
    </xdr:from>
    <xdr:to>
      <xdr:col>15</xdr:col>
      <xdr:colOff>304800</xdr:colOff>
      <xdr:row>6</xdr:row>
      <xdr:rowOff>304800</xdr:rowOff>
    </xdr:to>
    <xdr:sp macro="" textlink="">
      <xdr:nvSpPr>
        <xdr:cNvPr id="17411" name="AutoShape 3" descr="data:image/jpeg;base64,/9j/4AAQSkZJRgABAQAAAQABAAD/2wCEAAkGBwgHBhUIBxQVFhUXGR4bGBgXGB8eHxwiHiAdHyIgICAhHCghIBwlHRseIjchJS83Li4yJCI2ODMsNykuMC4BCgoKDg0OGxAQGzMkICU3NTcyNzc3LDQ0Ljc3MjU1Mi80NTQsLDAvLjA0LzAxNzU3NDIsMDc0NDQ3LCw0NDQsNP/AABEIAIUBfAMBEQACEQEDEQH/xAAbAAEAAgMBAQAAAAAAAAAAAAAABAUCAwYBB//EAEAQAAEDAwMCAwUFBAgHAQAAAAEAAhEDBAUSITEGQRNRYRQiMnGBBxUjobGRwdHwMzZCUmJyc7I0U4KSwuHxJf/EABoBAQACAwEAAAAAAAAAAAAAAAADBAECBQb/xAAzEQEAAgECBAUCBAUFAQAAAAAAAQIDBBESITFBE1FhcfAigQUUMqEjkcHh8UJigrHRFf/aAAwDAQACEQMRAD8A+4oCAgICAgICAgICAgICAgICAgICAgICAgICAgICAgICAgICAgICAgICAgICAgICAgICAgICAgICAgICAgICAgICAgICAgICAgICAgICAgICAgICAgICAgICAgICAgICAgICAgICAgICAgICAgICAgICAgICAgICAgICAgICAgICAgICAgICAgICAgICAgICAgICAgICAgICDEvaHBhIk8DzWN432Z2nbdkssCAgICAgICAgICAgICAgICAgICAgICAgICAgICAgICAgICAgICAgICAgICAgrBf3f357F4R8OJ17+Uz5RO0Kj+Zy/mvC4Pp8/t8hc/L4/wAv4vH9Xl8/mkGxH3n7brd8OnTPuqbwP43i8U9NtuyLx/4PhbR1337vK1GxqVW5GoW+4DD9WwHB7x5rF6YbWjPb/T33+QzS+asThjv2eXNoy/qUrllRwDDqGg7O458xt+wnzTJhjNNLxado58ukmPLOGL0msc+XPs05a/urOvTZbUi8OMOInbjy455PkotXqcuK9IpTiievok02nx5a2m9ttuizV5TEBAQEBAQEBAQEBAQEBAQEBAQEBAQEBAQEBAQEBAQEBAQEBAQEBAQEGq5uKNrS8W4cGjzJhaZMlMdeK87Q3x475J4aRvKlvcdc5HKU8hZVR4Yjgnsd4jYzwuZm02TPnpnx3+mPnL3dHDqMeDDbDkp9XzquH3BbeNt9DjIJ1Ae6I7E+a6M5NskU2nn37OfGPfHN945du5RomiXue9zg4zB/siOB6JSnDNpmZnf9vRm1+LhiI22/dVvvMSzp41WMJo8aQI5PqR33mVRtm0saSbRXenTb7rsYdTOq4Zn6/P7NeSpWF7jqFrTq+CHaTTHciNhE878zz5rXUY8ObDjxxfgidphtp75sWXJeacW2+7K4y15b55mOZTlhgajMmeXTxA7/ACKzk1mamqrhim9fP+v2a49JivprZpttPPl29vu8u8Zd3Odbf0Ko8NsSJMiOQI2g/vK1zaTLk1Vc1b/THyY+7OLVY6aacVqfVPyJ+y2tb21uyRava6OdJldHHnx5d+C0Tt5KOTDkx7cdZjdIUqIQEBAQEBAQEBAQEBAQEBAQEBAQEBAQEBAQEBAQEBAQEBAQEBAQEFB1HTtMppsGVmNqh0hpPO3B8jv/ADK5X4jTFqYjDF4i0T0/o6mgtk0++WaTNZj5LZZ2HsWL+6qdYNqulwI557CZiBE/MrbFp/Bwflq5Nrz/AD+0NMufxc3jzTekcv8AMrNgr0LZjP6Rw0hxJj5u7/OFerF6UrH6p5b9veVOZpe8z+mOe3f2hEuHU6FxWfZNHjlgcdUhpjYb8foq95rS95xx9cxvz329PRPSLXpSMk/Rvty239fVEqXVybkB1SgGhga+kf8AmOBIHHBMd+x+ahtlyccb2rEbbTH+6eieuLHFJ+m2++8T/tjqihjqlegc7SLqpcQ0s4ABEaoMbHfbt9VBETa2OdVTe+/Lbt77ck8zFa5Py19q7c9+/tvzZWzsp+NSzdRtNjwWscS0e8eNO/Eefp6pjnVfxK6m0VrPKJ5dfRrkjT/RbT1m0xzmOfT1QrJtrhfFxd/U96qNJ0D3WSCAST3Id5eSrYIxaTj0+W/O/Ll0j+87rGacmq4M+KvKvPn1n5sk4ewtun78uv67NTmw1vGxI3M8cfqptHpcWhyzOXJG8xtHz7ItVnyazFEYqTtHX/z93VLuuIICAgICAgICAgICAgICAgICAgICAgICAgICAgICAgICAgICAgICDizgm3Ofc6jWpkay8gO98byRHmDtM/wXm/8A50ZNXNq5ImN9558+r0Ma6aaWItSem3Tl0WtncYnJ5w3FLV4lMHc7NIG0jftPeFew5NLqNVN678Vf5eW6llx6nBpopbbht/Pz2WNs6g4OuqFR721CBsdQb/Z90AbDuVdxzSd8lbTaLfeI7cvL1VMkXjbHasRNftv35+fojVbR97V9iqmp4TGgP1gfiyNiHTMtIk+qhthnLPhTM8NeU7/6uXn6d01c0Yo8WIjinpt/p+3qn0bG1oMDKTGiNPbf3RDZPJIHcq1TBjpG1ax2/bp/JVvnyXnebT3/AH6/za32rKLCKIOgyHMbAHvES6TvsJOxWs4orH09J6xy7zzn7N4yzad7dY6Tz7Ryj7qm8xdj93m3um1W06HvNcCJcCJIH127fRUM2kw+FNLxMVx84nz7yvYtVm8WL0mJtflMeXkrszVxFSlSywpvcXmNEhoOjb3tjxsNuVS1l9JatNTwzO/bpvt59VrS11NZvp+KI279evl0YZnGtyNZuUbVp02VQDFR0EQANvPYLXWaSNReNRF4rFtuvJtpNTOCs4JpNprv05/4djasbTtmsYZAaAD57cr0WOIikRE7uBkmZvMzG3NtW7Ry3Udz1RYuq3libbwGN1DUHa4DQXekzMfRBo6bv+qsqylfVDbeA4+9AcHwCQY5E7IJuFzV3e9UXWNradFKNMDf6md0DOZu7seprXHUNOirOuRvz2M7INXUPUN/Sy7cJgabX1iNTnP+Fg/aN43n5bEmEEJ3UGewN9Tp9TMpOpVDp8SlPun1ny5iBtMExCDb1r1TedP5GjTtw0scNTwRuQCNgZEGJQX+RzFtZYR2WkOYGBzf8U/CB8yQPqgoukep7rI4SvkMmG/hSfcBGwbqPJO6CLjMp1fnbb2/HC1ZTJIa12onYxvE/u+SC9q5a7xHThyGeazxGzLaUwSXQ0CZ5kT5boKOhketryyGTtqduGEam0zOojkd+49R8kFlYdT/AHl0lWy1s0NqU2Plp3Ac1uoeUtOx/JBE6G6srZus+zyWkVANTNIIDm7TsSdxz6g+iCxw2YurzqW7x9bToo6NEDfcbyZ3QTuor2rjcJVvLeNTGkjUJH13CDmLG962vMa3JW3srmubqDIdqPp2E/8AUgsLLqz2vo+pmmMAfTBBbO2oRHrpOoH8vVBCx1frbI2TL2g+0DXgOAcHTB84B/VBM6jzWTw9C0afD8So9rasAls7Tp3BiSYlBcdQ3lXHYSreW8amMJEiRPqgpqN71Lk8Lb3mK9nBe0mp4gcN520xO3KCqxGZ6wy76rLP2WaTtLtQcN9+InbZBYZ3N5pmdo4PFeEKj6etznzE+9sPIe4ex5HCCwwzOqWXn/7LrY04M+Hq1T25AEIKYZjqbJ524sMQbdoouj3w7iSBuJk7IJ2Cz2UGeODz7KYqadTH05hw+R+u+3HCCHTzvUWcyVahgBQYyi7STVmTuRO086T2+qDocCc5oe3PCjII0GlO/MzP0QWqAgICAgICDCs0vpFjTBIIny9VraN4mIbVna0TLi8L09kbfMMfWAa1hku1DePLed15rRfhmox6iLW5RHffr/l6HV/iGC+CYrO8z2+eSdgcnZVsnVFChoJa50jckA7gjtPkO6t6HVYb5rxXHtPOff7dlbW6bLXDTiyb9I+T3TsZkLWri23Fv+BTa+CCBB9B8yRv6FWtNqcd8MXp9FYn05/N1bUafJXNNLfXaY9eXzZY2TGUn1GNDQS8uIDiT73czwTB242VrBWKzasbRO+/Xfr3ny38uirmtNorM79Num3Tt67fzSlYQIeWq06OPcauncaRrBLSTsAY3iVBqb1rinfby59Ofn6J9NS1sscO/ny68vJ7BD3ObLnBgGjhh5O0iJPHyhNtpmY5zEdOxvyiJ5RM9e6nzd5Uo4JlS5t2SXbscJazmDt5j9VztbntTS1tfFG+/SecQ6GkwxbU2imSfeOUygZ7F32TFG7tWbGmB4cgaeTwY23/ACVTX6PNqYpkx17Ry8v+lnRarDg48d7d55+f/bosDZ1bDFMt7gy4TPpJJj6SuxosNsOCtL9YcnW5q5s1r16LBW1VVdV/1Zuf9F/+0oIfQH9UaHyd/vcg5i2xD8v1teU6darR0kGaToJ42Pog8vMQ/EdZ2VOpXq1tTpmq6SI7D0QT21qeO+1KpUvSGirSAYTsDswc/Om4fNB59qdeldY+jjbch1V1UENBk/C5o+UucAPPfyQZ9X29K76zs7auJa9r2uHoQQgosfbZC+yVPo+83p29Vz3n+8wQRPodW3+dv91B0P2dNYaN414EeO6QeIj9EGq/6Xp4qg/JdNXTqGkFxaXTTMDjf/y1IImXyN31B9mxvK7fea8aoGxDXRqj67/IoOuxOWsH4CneeIwMDBqJI92BuD5EcQg43phrndE5C5ghr/FLZ/yf+4+hQabjHV7fpi06kxv9LQaNfq2Tz6CSD/hJ8kFr0NfUsl1NeXtCdLxTIB5GxkfQyEF/1n/Va4/yFBxIZ1PZdGMvrO4/B0D8NrGhzWnadWmdvOZHPZBbVLSxtfsxf92Eua5mouPJJcJkDYERpjtHflBhgOmq93hKNwy+umBzAdDKhDW+gE7AIM/tCpmzsrJ9VznNp1WhzzuTAG59SGkoLrrS8tm9J1nl7YeyGEEe8TxHn57IN3RrHU+lrdr9vwwf27j8igpPs6/4u+/1z+rkEPqWzdffaLStm1X0i6js9hhwjxTsfWIQdHhMDWxt77RUu7isNJGio8kbxvE8iPzQcpjbXLXXVt8MNXbRIf70sDtW7o5BiN0EvoVjrvqCvdZp7nXdP3NJgAN4kQB3222gg76kFnk+krG7vnX+KrPt6xJJdTdtPeRIO55AI9Qg86Fzd/kX17HJOa91BwAqN4dJcOwAPwyD3BQdYgICAgICAgIOJuMRl3dRmu0H45FSdg2f3DaF5m+i1c63jjz6+n+Oz0dNXpo0nDPl09f890q9vb+06m8G0pgNcWzDB74MSS6J2k7zsrGbPnx63hx15Tt26+sz6fsgxYMOTR8V7c4379PTb5usHV7+jkajskabbf8AsF2mJ20+s8zP0VzxM9M15zTEY+2+3Xt6qsUw2xVjDEzk77b/AH9ChkH0307W6qNNYsc+W/0bhDtMujiBMjy/bimomJrS9om+0zy/TPXbeduhfTxMWvSu1N4jn+qOm+0bpP3jdGh4lCl4mzYLHjS4n4tJ8m/zCn/MZOHetOLp0mNp89vZD+Xx8W1r8PXrE7x5b+7RTfXddi4vXExULGtpElpB4NQeY8+2yiibTeL5J6TMRFecf8vb9ktopFJpjjtEzNuU/wDH3TqlK5daGhTrRU516QYBM/DxxsrNqZJxzSt/q89o8/L25KtbY4vxzT6fLefLz/dqyDsmL6kLENNOfxCY8/nPHl3UeedTGWnhRHD3SYI0847+JP1dnO9TYrKXWY8Wg0uaY0EH4YA9dt959Vx/xLR6rJqOKkbxy29HV/D9Vp8eDhtO09/X/wB5cnX0GvZQa2qZcAJPmY3K9FSJisRbq4N5ibTNejYtmrTeWtK9tH2twJa9pa4TGxEHcINeNsLfGWTbOzBDGzAJJ5JPJ35KDVaYeys8jUyFBpFSr8Z1Ez9JgIF5h7K9yFO/uGk1KXwHURH0mCgxzGEx2apCnkqYdHB3BHyI3+nCCJiOksLiLj2izp++OHOJcR8p2B9Rugm3eIs7vJU8hXBNSlOgyRE+nBQTRTYKhqACTyY3/aggY7C2OOpVKdq0gVXFzwXEyTzydvogpz9n3TmvUKbgPLxHfxn80HQ29la21mLOgxopgRpjaDzt3nvPKChqdBdOvr+L4RHoHuA/Xb5BBdux1o7GnGtYBSLSzS3bYiDEcc8oPbPH21njxYUW/hgadJ328jPPKCJhOncZg3ufjmlpfAMuceJjknzQTb+zo5CzdaXQljxBAMbfMIMbSwtrTHiwot/DDdOk77eRnlBFsOn8dYY1+OoNPhPnU1zi7kQYkyPogqD9nvTpdOh//e7+MoL52KsX4oYuowOpBoaGmTs2AN+ZEDflBTUOg+naNfxRSJ9HPcR9RO49Cg6UAAQEEHF4eyxT6j7JpBqO1Pkkyd/M7coI+c6axede2pkGEuaIDgSDHMbcifP180GjD9I4fDXntdixweAQCXE887TCCfY4eysb6re2zSH1TLzqJnk8EwOeyDF2EsTmRlw0irESHEAiI3EwdvPyHkEFZfdDYC9unXNWm4Oe4ucQ925JknnaSeyC3xOJscPbez45gY2ZPJJPmSdygmoCAgICAgICCl6qtb27x4ZYyfe94AwSI/Pfsub+KYs2TDth8+bofhuXFjyzOXy5I9LG5Op0x7HUdFQnaT2n4SRPb+ChrptTbReFM7W9+2/Tf55JranT11niRG9f6+fz3QKlC2o2NPDZio7WXamlu4ZOwBJ7c/L5KtbHjrippdTaeLfeNu3aIWa5MlsltTgrHDttO/fvMrI2t4y9bjG0wbbw9JceYjffsZ7fyLvhZa5IwRXfFttv36Kni4pxznm38Tffbt18vZGxtDHVzNBtYeyucQJ+ImSfrLeNuyg09MF/0RaPC3+/zbol1F89P1TX+Lt9v7c+vNZ2LIsBWxLBT1v1OFSfOD35gbdldwR/Ci+CvDxTvMTv9/7dlPNb+LNc9uLaNo22+39+6ZUr2tvdtY+A+psNt3ad+Y7T3Vi2THTJFZ/Vbp67IK0yXpMx+mv7bo9Kxr21nVp0qrnPfqLS4/CSNvz/APihrp748d4reZmd9t+3kltnpfJSbViIjbfbuqelLDKWl2997qDCOHOmXSN+T2nf1XP/AArT6rHe05env3XvxLPp8lKxj5z/AEdOu44wgICAgICAgICAgICAgICAgICAgICAgICAgICAgICAgICAgICAgICCjyeEr3mZp3zKkBsbbyIM7fP+ZXL1Ogvl1NM0W2iPnL3dLT62mLT2xTXeZ+c/ZuuPui6zTaNcA1mjbnt70eRgb7qTJOkyamKW53jp19/b1R0/M49PNq8qT7e3v6NlnZ31HKVLivV1U3fCzfb9wgbbc91vhwZq573tfes9I8v/AD+rTLmw2w1pWu1o6z8+Q24+rf1KDnXrGtcCdIB2I7Tz+38lJp757VtOWsRO/L589mmeuGtojHaZjv8APnuy0XdzjtNU+FUI3Ld9O/afRZ2y5MO1p4bT5c9mN8dMu8RxVjz5bvLzIWljUZTu3QXbDb6TsNuVjNqsWGa1yTznozi0+XLFppHKFfe4SvcZ5mRbUhrY27iOw9D+8qpm/D75NXXPFtojb9u3tK1h11KaacM15zv+/f7LxdRzRAQEBAQEBAQEBAQEBAQEBAQEBAQEBAQEBAQEBAQEBAQEBAQEBAQEBAQR/Yrb2v2vQNcRq7+X6bSofy+PxPF4Y4vNL42Tg8Pf6fJgaF195+P4n4emNEd/OVr4eXxuPi+nbp6tuPH4PDw/Vv1e1jei+YKIb4cHWTz6Qs3nN4teHbh7+bFIxeHbi34u3k8vaF1Vr0321TQ1rpeInUNtv1H19FjNjy2vSaW2iJ5+rOHJjrW0XrvM9PRnc2VtdPa+4aHFpls9lvkwY8kxN4326NcebJjiYpO2/VIUqI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B//2Q=="/>
        <xdr:cNvSpPr>
          <a:spLocks noChangeAspect="1" noChangeArrowheads="1"/>
        </xdr:cNvSpPr>
      </xdr:nvSpPr>
      <xdr:spPr bwMode="auto">
        <a:xfrm>
          <a:off x="10048875" y="1085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57150</xdr:colOff>
      <xdr:row>2</xdr:row>
      <xdr:rowOff>57150</xdr:rowOff>
    </xdr:from>
    <xdr:to>
      <xdr:col>11</xdr:col>
      <xdr:colOff>352424</xdr:colOff>
      <xdr:row>6</xdr:row>
      <xdr:rowOff>781050</xdr:rowOff>
    </xdr:to>
    <xdr:pic>
      <xdr:nvPicPr>
        <xdr:cNvPr id="6"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1525" y="485775"/>
          <a:ext cx="9134474" cy="1362075"/>
        </a:xfrm>
        <a:prstGeom prst="rect">
          <a:avLst/>
        </a:prstGeom>
      </xdr:spPr>
    </xdr:pic>
    <xdr:clientData/>
  </xdr:twoCellAnchor>
  <xdr:twoCellAnchor editAs="oneCell">
    <xdr:from>
      <xdr:col>3</xdr:col>
      <xdr:colOff>54750</xdr:colOff>
      <xdr:row>6</xdr:row>
      <xdr:rowOff>778650</xdr:rowOff>
    </xdr:from>
    <xdr:to>
      <xdr:col>7</xdr:col>
      <xdr:colOff>1026300</xdr:colOff>
      <xdr:row>25</xdr:row>
      <xdr:rowOff>7125</xdr:rowOff>
    </xdr:to>
    <xdr:pic>
      <xdr:nvPicPr>
        <xdr:cNvPr id="9" name="Picture 8"/>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69125" y="1845450"/>
          <a:ext cx="5581650" cy="4257675"/>
        </a:xfrm>
        <a:prstGeom prst="rect">
          <a:avLst/>
        </a:prstGeom>
      </xdr:spPr>
    </xdr:pic>
    <xdr:clientData/>
  </xdr:twoCellAnchor>
  <xdr:twoCellAnchor editAs="oneCell">
    <xdr:from>
      <xdr:col>7</xdr:col>
      <xdr:colOff>1033425</xdr:colOff>
      <xdr:row>6</xdr:row>
      <xdr:rowOff>785775</xdr:rowOff>
    </xdr:from>
    <xdr:to>
      <xdr:col>9</xdr:col>
      <xdr:colOff>357150</xdr:colOff>
      <xdr:row>6</xdr:row>
      <xdr:rowOff>1509674</xdr:rowOff>
    </xdr:to>
    <xdr:pic>
      <xdr:nvPicPr>
        <xdr:cNvPr id="10" name="Picture 9"/>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357900" y="1852575"/>
          <a:ext cx="2981325" cy="723899"/>
        </a:xfrm>
        <a:prstGeom prst="rect">
          <a:avLst/>
        </a:prstGeom>
      </xdr:spPr>
    </xdr:pic>
    <xdr:clientData/>
  </xdr:twoCellAnchor>
  <xdr:twoCellAnchor editAs="oneCell">
    <xdr:from>
      <xdr:col>9</xdr:col>
      <xdr:colOff>354750</xdr:colOff>
      <xdr:row>6</xdr:row>
      <xdr:rowOff>783375</xdr:rowOff>
    </xdr:from>
    <xdr:to>
      <xdr:col>11</xdr:col>
      <xdr:colOff>354750</xdr:colOff>
      <xdr:row>25</xdr:row>
      <xdr:rowOff>11850</xdr:rowOff>
    </xdr:to>
    <xdr:pic>
      <xdr:nvPicPr>
        <xdr:cNvPr id="11" name="Picture 10"/>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336825" y="1850175"/>
          <a:ext cx="571500" cy="4257675"/>
        </a:xfrm>
        <a:prstGeom prst="rect">
          <a:avLst/>
        </a:prstGeom>
      </xdr:spPr>
    </xdr:pic>
    <xdr:clientData/>
  </xdr:twoCellAnchor>
  <xdr:twoCellAnchor editAs="oneCell">
    <xdr:from>
      <xdr:col>7</xdr:col>
      <xdr:colOff>1026225</xdr:colOff>
      <xdr:row>20</xdr:row>
      <xdr:rowOff>111825</xdr:rowOff>
    </xdr:from>
    <xdr:to>
      <xdr:col>9</xdr:col>
      <xdr:colOff>349950</xdr:colOff>
      <xdr:row>25</xdr:row>
      <xdr:rowOff>7050</xdr:rowOff>
    </xdr:to>
    <xdr:pic>
      <xdr:nvPicPr>
        <xdr:cNvPr id="13" name="Picture 1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350700" y="5493450"/>
          <a:ext cx="2981325" cy="609600"/>
        </a:xfrm>
        <a:prstGeom prst="rect">
          <a:avLst/>
        </a:prstGeom>
      </xdr:spPr>
    </xdr:pic>
    <xdr:clientData/>
  </xdr:twoCellAnchor>
  <xdr:twoCellAnchor>
    <xdr:from>
      <xdr:col>3</xdr:col>
      <xdr:colOff>466725</xdr:colOff>
      <xdr:row>6</xdr:row>
      <xdr:rowOff>857250</xdr:rowOff>
    </xdr:from>
    <xdr:to>
      <xdr:col>4</xdr:col>
      <xdr:colOff>962025</xdr:colOff>
      <xdr:row>7</xdr:row>
      <xdr:rowOff>114300</xdr:rowOff>
    </xdr:to>
    <xdr:grpSp>
      <xdr:nvGrpSpPr>
        <xdr:cNvPr id="2" name="Group 1"/>
        <xdr:cNvGrpSpPr/>
      </xdr:nvGrpSpPr>
      <xdr:grpSpPr>
        <a:xfrm>
          <a:off x="1181100" y="1924050"/>
          <a:ext cx="1390650" cy="981075"/>
          <a:chOff x="1181100" y="1733550"/>
          <a:chExt cx="1390650" cy="962025"/>
        </a:xfrm>
      </xdr:grpSpPr>
      <xdr:sp macro="" textlink="">
        <xdr:nvSpPr>
          <xdr:cNvPr id="14" name="TextBox 13"/>
          <xdr:cNvSpPr txBox="1"/>
        </xdr:nvSpPr>
        <xdr:spPr>
          <a:xfrm>
            <a:off x="1181100" y="1762125"/>
            <a:ext cx="581025" cy="933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400" b="0" i="0" u="none" strike="noStrike">
                <a:solidFill>
                  <a:schemeClr val="bg1"/>
                </a:solidFill>
                <a:latin typeface="Open Sans Light" panose="020B0306030504020204" pitchFamily="34" charset="0"/>
                <a:ea typeface="Open Sans Light" panose="020B0306030504020204" pitchFamily="34" charset="0"/>
                <a:cs typeface="Open Sans Light" panose="020B0306030504020204" pitchFamily="34" charset="0"/>
              </a:rPr>
              <a:t>0</a:t>
            </a:r>
          </a:p>
        </xdr:txBody>
      </xdr:sp>
      <xdr:sp macro="" textlink="xxYear">
        <xdr:nvSpPr>
          <xdr:cNvPr id="17" name="TextBox 16"/>
          <xdr:cNvSpPr txBox="1"/>
        </xdr:nvSpPr>
        <xdr:spPr>
          <a:xfrm>
            <a:off x="1504950" y="1762125"/>
            <a:ext cx="581025" cy="933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B9C6150-742A-4E7C-A5AF-956EB5FC3FD3}" type="TxLink">
              <a:rPr lang="en-US" sz="4400" b="0" i="0" u="none" strike="noStrike">
                <a:solidFill>
                  <a:schemeClr val="bg1"/>
                </a:solidFill>
                <a:latin typeface="Open Sans Light" panose="020B0306030504020204" pitchFamily="34" charset="0"/>
                <a:ea typeface="Open Sans Light" panose="020B0306030504020204" pitchFamily="34" charset="0"/>
                <a:cs typeface="Open Sans Light" panose="020B0306030504020204" pitchFamily="34" charset="0"/>
              </a:rPr>
              <a:pPr/>
              <a:t>0</a:t>
            </a:fld>
            <a:endParaRPr lang="en-US" sz="4400">
              <a:solidFill>
                <a:schemeClr val="bg1"/>
              </a:solidFill>
              <a:latin typeface="Open Sans Light" panose="020B0306030504020204" pitchFamily="34" charset="0"/>
              <a:ea typeface="Open Sans Light" panose="020B0306030504020204" pitchFamily="34" charset="0"/>
              <a:cs typeface="Open Sans Light" panose="020B0306030504020204" pitchFamily="34" charset="0"/>
            </a:endParaRPr>
          </a:p>
        </xdr:txBody>
      </xdr:sp>
      <xdr:sp macro="" textlink="">
        <xdr:nvSpPr>
          <xdr:cNvPr id="18" name="TextBox 17"/>
          <xdr:cNvSpPr txBox="1"/>
        </xdr:nvSpPr>
        <xdr:spPr>
          <a:xfrm>
            <a:off x="1876424" y="2136740"/>
            <a:ext cx="695326"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0" i="0" u="none" strike="noStrike">
                <a:solidFill>
                  <a:schemeClr val="bg1"/>
                </a:solidFill>
                <a:latin typeface="Open Sans Light" panose="020B0306030504020204" pitchFamily="34" charset="0"/>
                <a:ea typeface="Open Sans Light" panose="020B0306030504020204" pitchFamily="34" charset="0"/>
                <a:cs typeface="Open Sans Light" panose="020B0306030504020204" pitchFamily="34" charset="0"/>
              </a:rPr>
              <a:t>/03</a:t>
            </a:r>
          </a:p>
        </xdr:txBody>
      </xdr:sp>
      <xdr:sp macro="" textlink="">
        <xdr:nvSpPr>
          <xdr:cNvPr id="19" name="TextBox 18"/>
          <xdr:cNvSpPr txBox="1"/>
        </xdr:nvSpPr>
        <xdr:spPr>
          <a:xfrm>
            <a:off x="1247775" y="1733550"/>
            <a:ext cx="8572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50" b="0" i="0" u="none" strike="noStrike">
                <a:solidFill>
                  <a:schemeClr val="bg1"/>
                </a:solidFill>
                <a:latin typeface="Open Sans Light" panose="020B0306030504020204" pitchFamily="34" charset="0"/>
                <a:ea typeface="Open Sans Light" panose="020B0306030504020204" pitchFamily="34" charset="0"/>
                <a:cs typeface="Open Sans Light" panose="020B0306030504020204" pitchFamily="34" charset="0"/>
              </a:rPr>
              <a:t>YEAR</a:t>
            </a:r>
          </a:p>
        </xdr:txBody>
      </xdr:sp>
    </xdr:grpSp>
    <xdr:clientData/>
  </xdr:twoCellAnchor>
  <xdr:twoCellAnchor editAs="oneCell">
    <xdr:from>
      <xdr:col>3</xdr:col>
      <xdr:colOff>523875</xdr:colOff>
      <xdr:row>5</xdr:row>
      <xdr:rowOff>257174</xdr:rowOff>
    </xdr:from>
    <xdr:to>
      <xdr:col>7</xdr:col>
      <xdr:colOff>1419225</xdr:colOff>
      <xdr:row>6</xdr:row>
      <xdr:rowOff>723899</xdr:rowOff>
    </xdr:to>
    <xdr:sp macro="" textlink="">
      <xdr:nvSpPr>
        <xdr:cNvPr id="3" name="TextBox 2"/>
        <xdr:cNvSpPr txBox="1"/>
      </xdr:nvSpPr>
      <xdr:spPr>
        <a:xfrm>
          <a:off x="1238250" y="904874"/>
          <a:ext cx="5505450"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tx1">
                  <a:lumMod val="85000"/>
                  <a:lumOff val="15000"/>
                </a:schemeClr>
              </a:solidFill>
              <a:latin typeface="Open Sans Semibold" panose="020B0706030804020204" pitchFamily="34" charset="0"/>
              <a:ea typeface="Open Sans Semibold" panose="020B0706030804020204" pitchFamily="34" charset="0"/>
              <a:cs typeface="Open Sans Semibold" panose="020B0706030804020204" pitchFamily="34" charset="0"/>
            </a:rPr>
            <a:t>Leading the Business</a:t>
          </a:r>
        </a:p>
        <a:p>
          <a:r>
            <a:rPr lang="en-US" sz="1800">
              <a:solidFill>
                <a:schemeClr val="tx1">
                  <a:lumMod val="85000"/>
                  <a:lumOff val="15000"/>
                </a:schemeClr>
              </a:solidFill>
              <a:latin typeface="Open Sans Light" panose="020B0306030504020204" pitchFamily="34" charset="0"/>
              <a:ea typeface="Open Sans Light" panose="020B0306030504020204" pitchFamily="34" charset="0"/>
              <a:cs typeface="Open Sans Light" panose="020B0306030504020204" pitchFamily="34" charset="0"/>
            </a:rPr>
            <a:t>Advanced Management at Thomson Reuters</a:t>
          </a:r>
        </a:p>
      </xdr:txBody>
    </xdr:sp>
    <xdr:clientData/>
  </xdr:twoCellAnchor>
  <xdr:twoCellAnchor editAs="oneCell">
    <xdr:from>
      <xdr:col>7</xdr:col>
      <xdr:colOff>1066800</xdr:colOff>
      <xdr:row>6</xdr:row>
      <xdr:rowOff>1076326</xdr:rowOff>
    </xdr:from>
    <xdr:to>
      <xdr:col>8</xdr:col>
      <xdr:colOff>590550</xdr:colOff>
      <xdr:row>6</xdr:row>
      <xdr:rowOff>1362076</xdr:rowOff>
    </xdr:to>
    <xdr:sp macro="" textlink="">
      <xdr:nvSpPr>
        <xdr:cNvPr id="15" name="TextBox 14"/>
        <xdr:cNvSpPr txBox="1"/>
      </xdr:nvSpPr>
      <xdr:spPr>
        <a:xfrm>
          <a:off x="6391275" y="2143126"/>
          <a:ext cx="952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latin typeface="Open Sans Semibold" panose="020B0706030804020204" pitchFamily="34" charset="0"/>
              <a:ea typeface="Open Sans Semibold" panose="020B0706030804020204" pitchFamily="34" charset="0"/>
              <a:cs typeface="Open Sans Semibold" panose="020B0706030804020204" pitchFamily="34" charset="0"/>
            </a:rPr>
            <a:t>Register</a:t>
          </a:r>
        </a:p>
      </xdr:txBody>
    </xdr:sp>
    <xdr:clientData/>
  </xdr:twoCellAnchor>
  <mc:AlternateContent xmlns:mc="http://schemas.openxmlformats.org/markup-compatibility/2006">
    <mc:Choice xmlns:a14="http://schemas.microsoft.com/office/drawing/2010/main" Requires="a14">
      <xdr:twoCellAnchor>
        <xdr:from>
          <xdr:col>8</xdr:col>
          <xdr:colOff>9525</xdr:colOff>
          <xdr:row>16</xdr:row>
          <xdr:rowOff>114300</xdr:rowOff>
        </xdr:from>
        <xdr:to>
          <xdr:col>8</xdr:col>
          <xdr:colOff>962025</xdr:colOff>
          <xdr:row>17</xdr:row>
          <xdr:rowOff>314325</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Tool 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16</xdr:row>
          <xdr:rowOff>114300</xdr:rowOff>
        </xdr:from>
        <xdr:to>
          <xdr:col>9</xdr:col>
          <xdr:colOff>0</xdr:colOff>
          <xdr:row>17</xdr:row>
          <xdr:rowOff>314325</xdr:rowOff>
        </xdr:to>
        <xdr:sp macro="" textlink="">
          <xdr:nvSpPr>
            <xdr:cNvPr id="29698" name="Button 2" hidden="1">
              <a:extLst>
                <a:ext uri="{63B3BB69-23CF-44E3-9099-C40C66FF867C}">
                  <a14:compatExt spid="_x0000_s296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Sim Mode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9525</xdr:colOff>
      <xdr:row>40</xdr:row>
      <xdr:rowOff>333226</xdr:rowOff>
    </xdr:from>
    <xdr:to>
      <xdr:col>19</xdr:col>
      <xdr:colOff>152400</xdr:colOff>
      <xdr:row>40</xdr:row>
      <xdr:rowOff>447675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7677001"/>
          <a:ext cx="7296150" cy="114449"/>
        </a:xfrm>
        <a:prstGeom prst="rect">
          <a:avLst/>
        </a:prstGeom>
      </xdr:spPr>
    </xdr:pic>
    <xdr:clientData/>
  </xdr:twoCellAnchor>
  <xdr:twoCellAnchor>
    <xdr:from>
      <xdr:col>3</xdr:col>
      <xdr:colOff>5309</xdr:colOff>
      <xdr:row>2</xdr:row>
      <xdr:rowOff>5310</xdr:rowOff>
    </xdr:from>
    <xdr:to>
      <xdr:col>19</xdr:col>
      <xdr:colOff>155939</xdr:colOff>
      <xdr:row>2</xdr:row>
      <xdr:rowOff>1099733</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05434" y="443460"/>
          <a:ext cx="7303905" cy="1094423"/>
        </a:xfrm>
        <a:prstGeom prst="rect">
          <a:avLst/>
        </a:prstGeom>
      </xdr:spPr>
    </xdr:pic>
    <xdr:clientData/>
  </xdr:twoCellAnchor>
  <xdr:twoCellAnchor editAs="oneCell">
    <xdr:from>
      <xdr:col>4</xdr:col>
      <xdr:colOff>47625</xdr:colOff>
      <xdr:row>2</xdr:row>
      <xdr:rowOff>466725</xdr:rowOff>
    </xdr:from>
    <xdr:to>
      <xdr:col>13</xdr:col>
      <xdr:colOff>457200</xdr:colOff>
      <xdr:row>2</xdr:row>
      <xdr:rowOff>952500</xdr:rowOff>
    </xdr:to>
    <xdr:sp macro="" textlink="">
      <xdr:nvSpPr>
        <xdr:cNvPr id="4" name="Rectangle 3"/>
        <xdr:cNvSpPr>
          <a:spLocks/>
        </xdr:cNvSpPr>
      </xdr:nvSpPr>
      <xdr:spPr>
        <a:xfrm>
          <a:off x="819150" y="904875"/>
          <a:ext cx="4829175" cy="485775"/>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Profit</a:t>
          </a:r>
          <a:r>
            <a:rPr lang="en-US" sz="2000" b="1" cap="none" spc="50" baseline="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 and Loss Statement</a:t>
          </a:r>
          <a:endPar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9524</xdr:colOff>
      <xdr:row>2</xdr:row>
      <xdr:rowOff>9525</xdr:rowOff>
    </xdr:from>
    <xdr:to>
      <xdr:col>16</xdr:col>
      <xdr:colOff>152399</xdr:colOff>
      <xdr:row>2</xdr:row>
      <xdr:rowOff>1002507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4" y="447675"/>
          <a:ext cx="6619875" cy="992982"/>
        </a:xfrm>
        <a:prstGeom prst="rect">
          <a:avLst/>
        </a:prstGeom>
      </xdr:spPr>
    </xdr:pic>
    <xdr:clientData/>
  </xdr:twoCellAnchor>
  <xdr:twoCellAnchor editAs="oneCell">
    <xdr:from>
      <xdr:col>3</xdr:col>
      <xdr:colOff>133349</xdr:colOff>
      <xdr:row>2</xdr:row>
      <xdr:rowOff>409575</xdr:rowOff>
    </xdr:from>
    <xdr:to>
      <xdr:col>12</xdr:col>
      <xdr:colOff>123824</xdr:colOff>
      <xdr:row>2</xdr:row>
      <xdr:rowOff>895350</xdr:rowOff>
    </xdr:to>
    <xdr:sp macro="" textlink="">
      <xdr:nvSpPr>
        <xdr:cNvPr id="3" name="Rectangle 2"/>
        <xdr:cNvSpPr>
          <a:spLocks/>
        </xdr:cNvSpPr>
      </xdr:nvSpPr>
      <xdr:spPr>
        <a:xfrm>
          <a:off x="742949" y="847725"/>
          <a:ext cx="4829175" cy="485775"/>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Balance</a:t>
          </a:r>
          <a:r>
            <a:rPr lang="en-US" sz="2000" b="1" cap="none" spc="50" baseline="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 Sheet</a:t>
          </a:r>
          <a:endPar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3</xdr:col>
      <xdr:colOff>9525</xdr:colOff>
      <xdr:row>32</xdr:row>
      <xdr:rowOff>252166</xdr:rowOff>
    </xdr:from>
    <xdr:to>
      <xdr:col>16</xdr:col>
      <xdr:colOff>152781</xdr:colOff>
      <xdr:row>32</xdr:row>
      <xdr:rowOff>356012</xdr:rowOff>
    </xdr:to>
    <xdr:pic>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9125" y="7053016"/>
          <a:ext cx="6620256" cy="10384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3</xdr:col>
      <xdr:colOff>9529</xdr:colOff>
      <xdr:row>2</xdr:row>
      <xdr:rowOff>9526</xdr:rowOff>
    </xdr:from>
    <xdr:to>
      <xdr:col>10</xdr:col>
      <xdr:colOff>219075</xdr:colOff>
      <xdr:row>2</xdr:row>
      <xdr:rowOff>971549</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9" y="447676"/>
          <a:ext cx="6057896" cy="962023"/>
        </a:xfrm>
        <a:prstGeom prst="rect">
          <a:avLst/>
        </a:prstGeom>
      </xdr:spPr>
    </xdr:pic>
    <xdr:clientData/>
  </xdr:twoCellAnchor>
  <xdr:twoCellAnchor editAs="oneCell">
    <xdr:from>
      <xdr:col>3</xdr:col>
      <xdr:colOff>133350</xdr:colOff>
      <xdr:row>2</xdr:row>
      <xdr:rowOff>400050</xdr:rowOff>
    </xdr:from>
    <xdr:to>
      <xdr:col>8</xdr:col>
      <xdr:colOff>180975</xdr:colOff>
      <xdr:row>2</xdr:row>
      <xdr:rowOff>847725</xdr:rowOff>
    </xdr:to>
    <xdr:sp macro="" textlink="">
      <xdr:nvSpPr>
        <xdr:cNvPr id="4" name="Rectangle 3"/>
        <xdr:cNvSpPr>
          <a:spLocks/>
        </xdr:cNvSpPr>
      </xdr:nvSpPr>
      <xdr:spPr>
        <a:xfrm>
          <a:off x="742950" y="838200"/>
          <a:ext cx="3476625" cy="447675"/>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Cash Flow Statement</a:t>
          </a:r>
        </a:p>
      </xdr:txBody>
    </xdr:sp>
    <xdr:clientData/>
  </xdr:twoCellAnchor>
  <xdr:twoCellAnchor>
    <xdr:from>
      <xdr:col>3</xdr:col>
      <xdr:colOff>9525</xdr:colOff>
      <xdr:row>33</xdr:row>
      <xdr:rowOff>129390</xdr:rowOff>
    </xdr:from>
    <xdr:to>
      <xdr:col>10</xdr:col>
      <xdr:colOff>223647</xdr:colOff>
      <xdr:row>33</xdr:row>
      <xdr:rowOff>227918</xdr:rowOff>
    </xdr:to>
    <xdr:pic>
      <xdr:nvPicPr>
        <xdr:cNvPr id="5" name="Pictur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09650" y="6806415"/>
          <a:ext cx="6062472" cy="9852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9525</xdr:colOff>
      <xdr:row>2</xdr:row>
      <xdr:rowOff>9525</xdr:rowOff>
    </xdr:from>
    <xdr:to>
      <xdr:col>17</xdr:col>
      <xdr:colOff>266701</xdr:colOff>
      <xdr:row>2</xdr:row>
      <xdr:rowOff>1122522</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447675"/>
          <a:ext cx="6705601" cy="1112997"/>
        </a:xfrm>
        <a:prstGeom prst="rect">
          <a:avLst/>
        </a:prstGeom>
      </xdr:spPr>
    </xdr:pic>
    <xdr:clientData/>
  </xdr:twoCellAnchor>
  <xdr:twoCellAnchor editAs="oneCell">
    <xdr:from>
      <xdr:col>2</xdr:col>
      <xdr:colOff>142875</xdr:colOff>
      <xdr:row>2</xdr:row>
      <xdr:rowOff>523875</xdr:rowOff>
    </xdr:from>
    <xdr:to>
      <xdr:col>13</xdr:col>
      <xdr:colOff>133350</xdr:colOff>
      <xdr:row>2</xdr:row>
      <xdr:rowOff>981075</xdr:rowOff>
    </xdr:to>
    <xdr:sp macro="" textlink="">
      <xdr:nvSpPr>
        <xdr:cNvPr id="3" name="Rectangle 2"/>
        <xdr:cNvSpPr>
          <a:spLocks/>
        </xdr:cNvSpPr>
      </xdr:nvSpPr>
      <xdr:spPr>
        <a:xfrm>
          <a:off x="752475" y="962025"/>
          <a:ext cx="4829175" cy="457200"/>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Cash Operating Income</a:t>
          </a:r>
        </a:p>
      </xdr:txBody>
    </xdr:sp>
    <xdr:clientData/>
  </xdr:twoCellAnchor>
  <xdr:twoCellAnchor>
    <xdr:from>
      <xdr:col>2</xdr:col>
      <xdr:colOff>9525</xdr:colOff>
      <xdr:row>20</xdr:row>
      <xdr:rowOff>352425</xdr:rowOff>
    </xdr:from>
    <xdr:to>
      <xdr:col>17</xdr:col>
      <xdr:colOff>262509</xdr:colOff>
      <xdr:row>20</xdr:row>
      <xdr:rowOff>459237</xdr:rowOff>
    </xdr:to>
    <xdr:pic>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9125" y="3971925"/>
          <a:ext cx="7415784" cy="10681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85725</xdr:colOff>
          <xdr:row>9</xdr:row>
          <xdr:rowOff>0</xdr:rowOff>
        </xdr:from>
        <xdr:to>
          <xdr:col>7</xdr:col>
          <xdr:colOff>314325</xdr:colOff>
          <xdr:row>10</xdr:row>
          <xdr:rowOff>28575</xdr:rowOff>
        </xdr:to>
        <xdr:sp macro="" textlink="">
          <xdr:nvSpPr>
            <xdr:cNvPr id="8937481" name="Check Box 9" hidden="1">
              <a:extLst>
                <a:ext uri="{63B3BB69-23CF-44E3-9099-C40C66FF867C}">
                  <a14:compatExt spid="_x0000_s89374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10</xdr:row>
          <xdr:rowOff>0</xdr:rowOff>
        </xdr:from>
        <xdr:to>
          <xdr:col>7</xdr:col>
          <xdr:colOff>314325</xdr:colOff>
          <xdr:row>11</xdr:row>
          <xdr:rowOff>28575</xdr:rowOff>
        </xdr:to>
        <xdr:sp macro="" textlink="">
          <xdr:nvSpPr>
            <xdr:cNvPr id="8937482" name="Check Box 10" hidden="1">
              <a:extLst>
                <a:ext uri="{63B3BB69-23CF-44E3-9099-C40C66FF867C}">
                  <a14:compatExt spid="_x0000_s8937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11</xdr:row>
          <xdr:rowOff>0</xdr:rowOff>
        </xdr:from>
        <xdr:to>
          <xdr:col>7</xdr:col>
          <xdr:colOff>314325</xdr:colOff>
          <xdr:row>12</xdr:row>
          <xdr:rowOff>28575</xdr:rowOff>
        </xdr:to>
        <xdr:sp macro="" textlink="">
          <xdr:nvSpPr>
            <xdr:cNvPr id="8937483" name="Check Box 11" hidden="1">
              <a:extLst>
                <a:ext uri="{63B3BB69-23CF-44E3-9099-C40C66FF867C}">
                  <a14:compatExt spid="_x0000_s89374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13</xdr:row>
          <xdr:rowOff>0</xdr:rowOff>
        </xdr:from>
        <xdr:to>
          <xdr:col>7</xdr:col>
          <xdr:colOff>314325</xdr:colOff>
          <xdr:row>14</xdr:row>
          <xdr:rowOff>28575</xdr:rowOff>
        </xdr:to>
        <xdr:sp macro="" textlink="">
          <xdr:nvSpPr>
            <xdr:cNvPr id="8937484" name="Check Box 12" hidden="1">
              <a:extLst>
                <a:ext uri="{63B3BB69-23CF-44E3-9099-C40C66FF867C}">
                  <a14:compatExt spid="_x0000_s89374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14</xdr:row>
          <xdr:rowOff>0</xdr:rowOff>
        </xdr:from>
        <xdr:to>
          <xdr:col>7</xdr:col>
          <xdr:colOff>314325</xdr:colOff>
          <xdr:row>15</xdr:row>
          <xdr:rowOff>28575</xdr:rowOff>
        </xdr:to>
        <xdr:sp macro="" textlink="">
          <xdr:nvSpPr>
            <xdr:cNvPr id="8937485" name="Check Box 13" hidden="1">
              <a:extLst>
                <a:ext uri="{63B3BB69-23CF-44E3-9099-C40C66FF867C}">
                  <a14:compatExt spid="_x0000_s89374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15</xdr:row>
          <xdr:rowOff>0</xdr:rowOff>
        </xdr:from>
        <xdr:to>
          <xdr:col>7</xdr:col>
          <xdr:colOff>314325</xdr:colOff>
          <xdr:row>16</xdr:row>
          <xdr:rowOff>28575</xdr:rowOff>
        </xdr:to>
        <xdr:sp macro="" textlink="">
          <xdr:nvSpPr>
            <xdr:cNvPr id="8937486" name="Check Box 14" hidden="1">
              <a:extLst>
                <a:ext uri="{63B3BB69-23CF-44E3-9099-C40C66FF867C}">
                  <a14:compatExt spid="_x0000_s89374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17</xdr:row>
          <xdr:rowOff>0</xdr:rowOff>
        </xdr:from>
        <xdr:to>
          <xdr:col>7</xdr:col>
          <xdr:colOff>314325</xdr:colOff>
          <xdr:row>18</xdr:row>
          <xdr:rowOff>28575</xdr:rowOff>
        </xdr:to>
        <xdr:sp macro="" textlink="">
          <xdr:nvSpPr>
            <xdr:cNvPr id="8937487" name="Check Box 15" hidden="1">
              <a:extLst>
                <a:ext uri="{63B3BB69-23CF-44E3-9099-C40C66FF867C}">
                  <a14:compatExt spid="_x0000_s89374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18</xdr:row>
          <xdr:rowOff>0</xdr:rowOff>
        </xdr:from>
        <xdr:to>
          <xdr:col>7</xdr:col>
          <xdr:colOff>314325</xdr:colOff>
          <xdr:row>19</xdr:row>
          <xdr:rowOff>28575</xdr:rowOff>
        </xdr:to>
        <xdr:sp macro="" textlink="">
          <xdr:nvSpPr>
            <xdr:cNvPr id="8937488" name="Check Box 16" hidden="1">
              <a:extLst>
                <a:ext uri="{63B3BB69-23CF-44E3-9099-C40C66FF867C}">
                  <a14:compatExt spid="_x0000_s89374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21</xdr:row>
          <xdr:rowOff>0</xdr:rowOff>
        </xdr:from>
        <xdr:to>
          <xdr:col>7</xdr:col>
          <xdr:colOff>314325</xdr:colOff>
          <xdr:row>22</xdr:row>
          <xdr:rowOff>28575</xdr:rowOff>
        </xdr:to>
        <xdr:sp macro="" textlink="">
          <xdr:nvSpPr>
            <xdr:cNvPr id="8937489" name="Check Box 17" hidden="1">
              <a:extLst>
                <a:ext uri="{63B3BB69-23CF-44E3-9099-C40C66FF867C}">
                  <a14:compatExt spid="_x0000_s89374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22</xdr:row>
          <xdr:rowOff>0</xdr:rowOff>
        </xdr:from>
        <xdr:to>
          <xdr:col>7</xdr:col>
          <xdr:colOff>314325</xdr:colOff>
          <xdr:row>23</xdr:row>
          <xdr:rowOff>28575</xdr:rowOff>
        </xdr:to>
        <xdr:sp macro="" textlink="">
          <xdr:nvSpPr>
            <xdr:cNvPr id="8937490" name="Check Box 18" hidden="1">
              <a:extLst>
                <a:ext uri="{63B3BB69-23CF-44E3-9099-C40C66FF867C}">
                  <a14:compatExt spid="_x0000_s89374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23</xdr:row>
          <xdr:rowOff>0</xdr:rowOff>
        </xdr:from>
        <xdr:to>
          <xdr:col>7</xdr:col>
          <xdr:colOff>314325</xdr:colOff>
          <xdr:row>24</xdr:row>
          <xdr:rowOff>28575</xdr:rowOff>
        </xdr:to>
        <xdr:sp macro="" textlink="">
          <xdr:nvSpPr>
            <xdr:cNvPr id="8937491" name="Check Box 19" hidden="1">
              <a:extLst>
                <a:ext uri="{63B3BB69-23CF-44E3-9099-C40C66FF867C}">
                  <a14:compatExt spid="_x0000_s89374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25</xdr:row>
          <xdr:rowOff>0</xdr:rowOff>
        </xdr:from>
        <xdr:to>
          <xdr:col>7</xdr:col>
          <xdr:colOff>314325</xdr:colOff>
          <xdr:row>26</xdr:row>
          <xdr:rowOff>28575</xdr:rowOff>
        </xdr:to>
        <xdr:sp macro="" textlink="">
          <xdr:nvSpPr>
            <xdr:cNvPr id="8937492" name="Check Box 20" hidden="1">
              <a:extLst>
                <a:ext uri="{63B3BB69-23CF-44E3-9099-C40C66FF867C}">
                  <a14:compatExt spid="_x0000_s89374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26</xdr:row>
          <xdr:rowOff>0</xdr:rowOff>
        </xdr:from>
        <xdr:to>
          <xdr:col>7</xdr:col>
          <xdr:colOff>314325</xdr:colOff>
          <xdr:row>27</xdr:row>
          <xdr:rowOff>28575</xdr:rowOff>
        </xdr:to>
        <xdr:sp macro="" textlink="">
          <xdr:nvSpPr>
            <xdr:cNvPr id="8937493" name="Check Box 21" hidden="1">
              <a:extLst>
                <a:ext uri="{63B3BB69-23CF-44E3-9099-C40C66FF867C}">
                  <a14:compatExt spid="_x0000_s89374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27</xdr:row>
          <xdr:rowOff>0</xdr:rowOff>
        </xdr:from>
        <xdr:to>
          <xdr:col>7</xdr:col>
          <xdr:colOff>314325</xdr:colOff>
          <xdr:row>28</xdr:row>
          <xdr:rowOff>28575</xdr:rowOff>
        </xdr:to>
        <xdr:sp macro="" textlink="">
          <xdr:nvSpPr>
            <xdr:cNvPr id="8937494" name="Check Box 22" hidden="1">
              <a:extLst>
                <a:ext uri="{63B3BB69-23CF-44E3-9099-C40C66FF867C}">
                  <a14:compatExt spid="_x0000_s89374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29</xdr:row>
          <xdr:rowOff>0</xdr:rowOff>
        </xdr:from>
        <xdr:to>
          <xdr:col>7</xdr:col>
          <xdr:colOff>314325</xdr:colOff>
          <xdr:row>30</xdr:row>
          <xdr:rowOff>28575</xdr:rowOff>
        </xdr:to>
        <xdr:sp macro="" textlink="">
          <xdr:nvSpPr>
            <xdr:cNvPr id="8937495" name="Check Box 23" hidden="1">
              <a:extLst>
                <a:ext uri="{63B3BB69-23CF-44E3-9099-C40C66FF867C}">
                  <a14:compatExt spid="_x0000_s89374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30</xdr:row>
          <xdr:rowOff>0</xdr:rowOff>
        </xdr:from>
        <xdr:to>
          <xdr:col>7</xdr:col>
          <xdr:colOff>314325</xdr:colOff>
          <xdr:row>31</xdr:row>
          <xdr:rowOff>28575</xdr:rowOff>
        </xdr:to>
        <xdr:sp macro="" textlink="">
          <xdr:nvSpPr>
            <xdr:cNvPr id="8937496" name="Check Box 24" hidden="1">
              <a:extLst>
                <a:ext uri="{63B3BB69-23CF-44E3-9099-C40C66FF867C}">
                  <a14:compatExt spid="_x0000_s89374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31</xdr:row>
          <xdr:rowOff>0</xdr:rowOff>
        </xdr:from>
        <xdr:to>
          <xdr:col>7</xdr:col>
          <xdr:colOff>314325</xdr:colOff>
          <xdr:row>32</xdr:row>
          <xdr:rowOff>28575</xdr:rowOff>
        </xdr:to>
        <xdr:sp macro="" textlink="">
          <xdr:nvSpPr>
            <xdr:cNvPr id="8937497" name="Check Box 25" hidden="1">
              <a:extLst>
                <a:ext uri="{63B3BB69-23CF-44E3-9099-C40C66FF867C}">
                  <a14:compatExt spid="_x0000_s89374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34</xdr:row>
          <xdr:rowOff>0</xdr:rowOff>
        </xdr:from>
        <xdr:to>
          <xdr:col>7</xdr:col>
          <xdr:colOff>314325</xdr:colOff>
          <xdr:row>35</xdr:row>
          <xdr:rowOff>28575</xdr:rowOff>
        </xdr:to>
        <xdr:sp macro="" textlink="">
          <xdr:nvSpPr>
            <xdr:cNvPr id="8937498" name="Check Box 26" hidden="1">
              <a:extLst>
                <a:ext uri="{63B3BB69-23CF-44E3-9099-C40C66FF867C}">
                  <a14:compatExt spid="_x0000_s8937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35</xdr:row>
          <xdr:rowOff>0</xdr:rowOff>
        </xdr:from>
        <xdr:to>
          <xdr:col>7</xdr:col>
          <xdr:colOff>314325</xdr:colOff>
          <xdr:row>36</xdr:row>
          <xdr:rowOff>28575</xdr:rowOff>
        </xdr:to>
        <xdr:sp macro="" textlink="">
          <xdr:nvSpPr>
            <xdr:cNvPr id="8937499" name="Check Box 27" hidden="1">
              <a:extLst>
                <a:ext uri="{63B3BB69-23CF-44E3-9099-C40C66FF867C}">
                  <a14:compatExt spid="_x0000_s89374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38</xdr:row>
          <xdr:rowOff>0</xdr:rowOff>
        </xdr:from>
        <xdr:to>
          <xdr:col>7</xdr:col>
          <xdr:colOff>314325</xdr:colOff>
          <xdr:row>39</xdr:row>
          <xdr:rowOff>28575</xdr:rowOff>
        </xdr:to>
        <xdr:sp macro="" textlink="">
          <xdr:nvSpPr>
            <xdr:cNvPr id="8937500" name="Check Box 28" hidden="1">
              <a:extLst>
                <a:ext uri="{63B3BB69-23CF-44E3-9099-C40C66FF867C}">
                  <a14:compatExt spid="_x0000_s89375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39</xdr:row>
          <xdr:rowOff>0</xdr:rowOff>
        </xdr:from>
        <xdr:to>
          <xdr:col>7</xdr:col>
          <xdr:colOff>314325</xdr:colOff>
          <xdr:row>40</xdr:row>
          <xdr:rowOff>28575</xdr:rowOff>
        </xdr:to>
        <xdr:sp macro="" textlink="">
          <xdr:nvSpPr>
            <xdr:cNvPr id="8937501" name="Check Box 29" hidden="1">
              <a:extLst>
                <a:ext uri="{63B3BB69-23CF-44E3-9099-C40C66FF867C}">
                  <a14:compatExt spid="_x0000_s89375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40</xdr:row>
          <xdr:rowOff>0</xdr:rowOff>
        </xdr:from>
        <xdr:to>
          <xdr:col>7</xdr:col>
          <xdr:colOff>314325</xdr:colOff>
          <xdr:row>41</xdr:row>
          <xdr:rowOff>28575</xdr:rowOff>
        </xdr:to>
        <xdr:sp macro="" textlink="">
          <xdr:nvSpPr>
            <xdr:cNvPr id="8937502" name="Check Box 30" hidden="1">
              <a:extLst>
                <a:ext uri="{63B3BB69-23CF-44E3-9099-C40C66FF867C}">
                  <a14:compatExt spid="_x0000_s89375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42</xdr:row>
          <xdr:rowOff>0</xdr:rowOff>
        </xdr:from>
        <xdr:to>
          <xdr:col>7</xdr:col>
          <xdr:colOff>314325</xdr:colOff>
          <xdr:row>43</xdr:row>
          <xdr:rowOff>28575</xdr:rowOff>
        </xdr:to>
        <xdr:sp macro="" textlink="">
          <xdr:nvSpPr>
            <xdr:cNvPr id="8937503" name="Check Box 31" hidden="1">
              <a:extLst>
                <a:ext uri="{63B3BB69-23CF-44E3-9099-C40C66FF867C}">
                  <a14:compatExt spid="_x0000_s89375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43</xdr:row>
          <xdr:rowOff>0</xdr:rowOff>
        </xdr:from>
        <xdr:to>
          <xdr:col>7</xdr:col>
          <xdr:colOff>314325</xdr:colOff>
          <xdr:row>44</xdr:row>
          <xdr:rowOff>28575</xdr:rowOff>
        </xdr:to>
        <xdr:sp macro="" textlink="">
          <xdr:nvSpPr>
            <xdr:cNvPr id="8937504" name="Check Box 32" hidden="1">
              <a:extLst>
                <a:ext uri="{63B3BB69-23CF-44E3-9099-C40C66FF867C}">
                  <a14:compatExt spid="_x0000_s89375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15</xdr:row>
          <xdr:rowOff>0</xdr:rowOff>
        </xdr:from>
        <xdr:to>
          <xdr:col>7</xdr:col>
          <xdr:colOff>314325</xdr:colOff>
          <xdr:row>16</xdr:row>
          <xdr:rowOff>28575</xdr:rowOff>
        </xdr:to>
        <xdr:sp macro="" textlink="">
          <xdr:nvSpPr>
            <xdr:cNvPr id="8937505" name="Check Box 33" hidden="1">
              <a:extLst>
                <a:ext uri="{63B3BB69-23CF-44E3-9099-C40C66FF867C}">
                  <a14:compatExt spid="_x0000_s8937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18</xdr:row>
          <xdr:rowOff>0</xdr:rowOff>
        </xdr:from>
        <xdr:to>
          <xdr:col>7</xdr:col>
          <xdr:colOff>314325</xdr:colOff>
          <xdr:row>19</xdr:row>
          <xdr:rowOff>28575</xdr:rowOff>
        </xdr:to>
        <xdr:sp macro="" textlink="">
          <xdr:nvSpPr>
            <xdr:cNvPr id="8937506" name="Check Box 34" hidden="1">
              <a:extLst>
                <a:ext uri="{63B3BB69-23CF-44E3-9099-C40C66FF867C}">
                  <a14:compatExt spid="_x0000_s8937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18</xdr:row>
          <xdr:rowOff>0</xdr:rowOff>
        </xdr:from>
        <xdr:to>
          <xdr:col>7</xdr:col>
          <xdr:colOff>314325</xdr:colOff>
          <xdr:row>19</xdr:row>
          <xdr:rowOff>28575</xdr:rowOff>
        </xdr:to>
        <xdr:sp macro="" textlink="">
          <xdr:nvSpPr>
            <xdr:cNvPr id="8937507" name="Check Box 35" hidden="1">
              <a:extLst>
                <a:ext uri="{63B3BB69-23CF-44E3-9099-C40C66FF867C}">
                  <a14:compatExt spid="_x0000_s89375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23</xdr:row>
          <xdr:rowOff>0</xdr:rowOff>
        </xdr:from>
        <xdr:to>
          <xdr:col>7</xdr:col>
          <xdr:colOff>314325</xdr:colOff>
          <xdr:row>24</xdr:row>
          <xdr:rowOff>28575</xdr:rowOff>
        </xdr:to>
        <xdr:sp macro="" textlink="">
          <xdr:nvSpPr>
            <xdr:cNvPr id="8937508" name="Check Box 36" hidden="1">
              <a:extLst>
                <a:ext uri="{63B3BB69-23CF-44E3-9099-C40C66FF867C}">
                  <a14:compatExt spid="_x0000_s89375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23</xdr:row>
          <xdr:rowOff>0</xdr:rowOff>
        </xdr:from>
        <xdr:to>
          <xdr:col>7</xdr:col>
          <xdr:colOff>314325</xdr:colOff>
          <xdr:row>24</xdr:row>
          <xdr:rowOff>28575</xdr:rowOff>
        </xdr:to>
        <xdr:sp macro="" textlink="">
          <xdr:nvSpPr>
            <xdr:cNvPr id="8937509" name="Check Box 37" hidden="1">
              <a:extLst>
                <a:ext uri="{63B3BB69-23CF-44E3-9099-C40C66FF867C}">
                  <a14:compatExt spid="_x0000_s89375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23</xdr:row>
          <xdr:rowOff>0</xdr:rowOff>
        </xdr:from>
        <xdr:to>
          <xdr:col>7</xdr:col>
          <xdr:colOff>314325</xdr:colOff>
          <xdr:row>24</xdr:row>
          <xdr:rowOff>28575</xdr:rowOff>
        </xdr:to>
        <xdr:sp macro="" textlink="">
          <xdr:nvSpPr>
            <xdr:cNvPr id="8937510" name="Check Box 38" hidden="1">
              <a:extLst>
                <a:ext uri="{63B3BB69-23CF-44E3-9099-C40C66FF867C}">
                  <a14:compatExt spid="_x0000_s89375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27</xdr:row>
          <xdr:rowOff>0</xdr:rowOff>
        </xdr:from>
        <xdr:to>
          <xdr:col>7</xdr:col>
          <xdr:colOff>314325</xdr:colOff>
          <xdr:row>28</xdr:row>
          <xdr:rowOff>28575</xdr:rowOff>
        </xdr:to>
        <xdr:sp macro="" textlink="">
          <xdr:nvSpPr>
            <xdr:cNvPr id="8937511" name="Check Box 39" hidden="1">
              <a:extLst>
                <a:ext uri="{63B3BB69-23CF-44E3-9099-C40C66FF867C}">
                  <a14:compatExt spid="_x0000_s89375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27</xdr:row>
          <xdr:rowOff>0</xdr:rowOff>
        </xdr:from>
        <xdr:to>
          <xdr:col>7</xdr:col>
          <xdr:colOff>314325</xdr:colOff>
          <xdr:row>28</xdr:row>
          <xdr:rowOff>28575</xdr:rowOff>
        </xdr:to>
        <xdr:sp macro="" textlink="">
          <xdr:nvSpPr>
            <xdr:cNvPr id="8937512" name="Check Box 40" hidden="1">
              <a:extLst>
                <a:ext uri="{63B3BB69-23CF-44E3-9099-C40C66FF867C}">
                  <a14:compatExt spid="_x0000_s89375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27</xdr:row>
          <xdr:rowOff>0</xdr:rowOff>
        </xdr:from>
        <xdr:to>
          <xdr:col>7</xdr:col>
          <xdr:colOff>314325</xdr:colOff>
          <xdr:row>28</xdr:row>
          <xdr:rowOff>28575</xdr:rowOff>
        </xdr:to>
        <xdr:sp macro="" textlink="">
          <xdr:nvSpPr>
            <xdr:cNvPr id="8937513" name="Check Box 41" hidden="1">
              <a:extLst>
                <a:ext uri="{63B3BB69-23CF-44E3-9099-C40C66FF867C}">
                  <a14:compatExt spid="_x0000_s89375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27</xdr:row>
          <xdr:rowOff>0</xdr:rowOff>
        </xdr:from>
        <xdr:to>
          <xdr:col>7</xdr:col>
          <xdr:colOff>314325</xdr:colOff>
          <xdr:row>28</xdr:row>
          <xdr:rowOff>28575</xdr:rowOff>
        </xdr:to>
        <xdr:sp macro="" textlink="">
          <xdr:nvSpPr>
            <xdr:cNvPr id="8937514" name="Check Box 42" hidden="1">
              <a:extLst>
                <a:ext uri="{63B3BB69-23CF-44E3-9099-C40C66FF867C}">
                  <a14:compatExt spid="_x0000_s89375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31</xdr:row>
          <xdr:rowOff>0</xdr:rowOff>
        </xdr:from>
        <xdr:to>
          <xdr:col>7</xdr:col>
          <xdr:colOff>314325</xdr:colOff>
          <xdr:row>32</xdr:row>
          <xdr:rowOff>28575</xdr:rowOff>
        </xdr:to>
        <xdr:sp macro="" textlink="">
          <xdr:nvSpPr>
            <xdr:cNvPr id="8937515" name="Check Box 43" hidden="1">
              <a:extLst>
                <a:ext uri="{63B3BB69-23CF-44E3-9099-C40C66FF867C}">
                  <a14:compatExt spid="_x0000_s89375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31</xdr:row>
          <xdr:rowOff>0</xdr:rowOff>
        </xdr:from>
        <xdr:to>
          <xdr:col>7</xdr:col>
          <xdr:colOff>314325</xdr:colOff>
          <xdr:row>32</xdr:row>
          <xdr:rowOff>28575</xdr:rowOff>
        </xdr:to>
        <xdr:sp macro="" textlink="">
          <xdr:nvSpPr>
            <xdr:cNvPr id="8937516" name="Check Box 44" hidden="1">
              <a:extLst>
                <a:ext uri="{63B3BB69-23CF-44E3-9099-C40C66FF867C}">
                  <a14:compatExt spid="_x0000_s89375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31</xdr:row>
          <xdr:rowOff>0</xdr:rowOff>
        </xdr:from>
        <xdr:to>
          <xdr:col>7</xdr:col>
          <xdr:colOff>314325</xdr:colOff>
          <xdr:row>32</xdr:row>
          <xdr:rowOff>28575</xdr:rowOff>
        </xdr:to>
        <xdr:sp macro="" textlink="">
          <xdr:nvSpPr>
            <xdr:cNvPr id="8937517" name="Check Box 45" hidden="1">
              <a:extLst>
                <a:ext uri="{63B3BB69-23CF-44E3-9099-C40C66FF867C}">
                  <a14:compatExt spid="_x0000_s89375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31</xdr:row>
          <xdr:rowOff>0</xdr:rowOff>
        </xdr:from>
        <xdr:to>
          <xdr:col>7</xdr:col>
          <xdr:colOff>314325</xdr:colOff>
          <xdr:row>32</xdr:row>
          <xdr:rowOff>28575</xdr:rowOff>
        </xdr:to>
        <xdr:sp macro="" textlink="">
          <xdr:nvSpPr>
            <xdr:cNvPr id="8937518" name="Check Box 46" hidden="1">
              <a:extLst>
                <a:ext uri="{63B3BB69-23CF-44E3-9099-C40C66FF867C}">
                  <a14:compatExt spid="_x0000_s89375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31</xdr:row>
          <xdr:rowOff>0</xdr:rowOff>
        </xdr:from>
        <xdr:to>
          <xdr:col>7</xdr:col>
          <xdr:colOff>314325</xdr:colOff>
          <xdr:row>32</xdr:row>
          <xdr:rowOff>28575</xdr:rowOff>
        </xdr:to>
        <xdr:sp macro="" textlink="">
          <xdr:nvSpPr>
            <xdr:cNvPr id="8937519" name="Check Box 47" hidden="1">
              <a:extLst>
                <a:ext uri="{63B3BB69-23CF-44E3-9099-C40C66FF867C}">
                  <a14:compatExt spid="_x0000_s89375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35</xdr:row>
          <xdr:rowOff>0</xdr:rowOff>
        </xdr:from>
        <xdr:to>
          <xdr:col>7</xdr:col>
          <xdr:colOff>314325</xdr:colOff>
          <xdr:row>36</xdr:row>
          <xdr:rowOff>28575</xdr:rowOff>
        </xdr:to>
        <xdr:sp macro="" textlink="">
          <xdr:nvSpPr>
            <xdr:cNvPr id="8937520" name="Check Box 48" hidden="1">
              <a:extLst>
                <a:ext uri="{63B3BB69-23CF-44E3-9099-C40C66FF867C}">
                  <a14:compatExt spid="_x0000_s89375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36</xdr:row>
          <xdr:rowOff>0</xdr:rowOff>
        </xdr:from>
        <xdr:to>
          <xdr:col>7</xdr:col>
          <xdr:colOff>314325</xdr:colOff>
          <xdr:row>37</xdr:row>
          <xdr:rowOff>28575</xdr:rowOff>
        </xdr:to>
        <xdr:sp macro="" textlink="">
          <xdr:nvSpPr>
            <xdr:cNvPr id="8937521" name="Check Box 49" hidden="1">
              <a:extLst>
                <a:ext uri="{63B3BB69-23CF-44E3-9099-C40C66FF867C}">
                  <a14:compatExt spid="_x0000_s8937521"/>
                </a:ext>
              </a:extLst>
            </xdr:cNvPr>
            <xdr:cNvSpPr/>
          </xdr:nvSpPr>
          <xdr:spPr>
            <a:xfrm>
              <a:off x="0" y="0"/>
              <a:ext cx="0" cy="0"/>
            </a:xfrm>
            <a:prstGeom prst="rect">
              <a:avLst/>
            </a:prstGeom>
          </xdr:spPr>
        </xdr:sp>
        <xdr:clientData/>
      </xdr:twoCellAnchor>
    </mc:Choice>
    <mc:Fallback/>
  </mc:AlternateContent>
  <xdr:twoCellAnchor>
    <xdr:from>
      <xdr:col>2</xdr:col>
      <xdr:colOff>9525</xdr:colOff>
      <xdr:row>4</xdr:row>
      <xdr:rowOff>6627</xdr:rowOff>
    </xdr:from>
    <xdr:to>
      <xdr:col>14</xdr:col>
      <xdr:colOff>95250</xdr:colOff>
      <xdr:row>4</xdr:row>
      <xdr:rowOff>1203919</xdr:rowOff>
    </xdr:to>
    <xdr:pic>
      <xdr:nvPicPr>
        <xdr:cNvPr id="43" name="Picture 4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9175" y="816252"/>
          <a:ext cx="7981950" cy="1197292"/>
        </a:xfrm>
        <a:prstGeom prst="rect">
          <a:avLst/>
        </a:prstGeom>
      </xdr:spPr>
    </xdr:pic>
    <xdr:clientData/>
  </xdr:twoCellAnchor>
  <xdr:twoCellAnchor editAs="oneCell">
    <xdr:from>
      <xdr:col>3</xdr:col>
      <xdr:colOff>47625</xdr:colOff>
      <xdr:row>4</xdr:row>
      <xdr:rowOff>561975</xdr:rowOff>
    </xdr:from>
    <xdr:to>
      <xdr:col>9</xdr:col>
      <xdr:colOff>352425</xdr:colOff>
      <xdr:row>4</xdr:row>
      <xdr:rowOff>1019175</xdr:rowOff>
    </xdr:to>
    <xdr:sp macro="" textlink="">
      <xdr:nvSpPr>
        <xdr:cNvPr id="44" name="Rectangle 43"/>
        <xdr:cNvSpPr>
          <a:spLocks/>
        </xdr:cNvSpPr>
      </xdr:nvSpPr>
      <xdr:spPr>
        <a:xfrm>
          <a:off x="1162050" y="1371600"/>
          <a:ext cx="4829175" cy="457200"/>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Events </a:t>
          </a:r>
        </a:p>
      </xdr:txBody>
    </xdr:sp>
    <xdr:clientData/>
  </xdr:twoCellAnchor>
  <xdr:twoCellAnchor>
    <xdr:from>
      <xdr:col>2</xdr:col>
      <xdr:colOff>9525</xdr:colOff>
      <xdr:row>71</xdr:row>
      <xdr:rowOff>247649</xdr:rowOff>
    </xdr:from>
    <xdr:to>
      <xdr:col>14</xdr:col>
      <xdr:colOff>96012</xdr:colOff>
      <xdr:row>71</xdr:row>
      <xdr:rowOff>411431</xdr:rowOff>
    </xdr:to>
    <xdr:pic>
      <xdr:nvPicPr>
        <xdr:cNvPr id="45" name="Picture 4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9175" y="13744574"/>
          <a:ext cx="7982712" cy="16378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10</xdr:col>
      <xdr:colOff>66675</xdr:colOff>
      <xdr:row>26</xdr:row>
      <xdr:rowOff>38100</xdr:rowOff>
    </xdr:from>
    <xdr:to>
      <xdr:col>15</xdr:col>
      <xdr:colOff>1066800</xdr:colOff>
      <xdr:row>38</xdr:row>
      <xdr:rowOff>161925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xdr:colOff>
      <xdr:row>18</xdr:row>
      <xdr:rowOff>390931</xdr:rowOff>
    </xdr:from>
    <xdr:to>
      <xdr:col>16</xdr:col>
      <xdr:colOff>95250</xdr:colOff>
      <xdr:row>18</xdr:row>
      <xdr:rowOff>554307</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9175" y="3734206"/>
          <a:ext cx="7962900" cy="163376"/>
        </a:xfrm>
        <a:prstGeom prst="rect">
          <a:avLst/>
        </a:prstGeom>
      </xdr:spPr>
    </xdr:pic>
    <xdr:clientData/>
  </xdr:twoCellAnchor>
  <xdr:twoCellAnchor>
    <xdr:from>
      <xdr:col>2</xdr:col>
      <xdr:colOff>9525</xdr:colOff>
      <xdr:row>39</xdr:row>
      <xdr:rowOff>104774</xdr:rowOff>
    </xdr:from>
    <xdr:to>
      <xdr:col>16</xdr:col>
      <xdr:colOff>95250</xdr:colOff>
      <xdr:row>39</xdr:row>
      <xdr:rowOff>285565</xdr:rowOff>
    </xdr:to>
    <xdr:pic>
      <xdr:nvPicPr>
        <xdr:cNvPr id="9" name="Picture 8"/>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9175" y="9686924"/>
          <a:ext cx="7962900" cy="180791"/>
        </a:xfrm>
        <a:prstGeom prst="rect">
          <a:avLst/>
        </a:prstGeom>
      </xdr:spPr>
    </xdr:pic>
    <xdr:clientData/>
  </xdr:twoCellAnchor>
  <xdr:twoCellAnchor>
    <xdr:from>
      <xdr:col>2</xdr:col>
      <xdr:colOff>9525</xdr:colOff>
      <xdr:row>4</xdr:row>
      <xdr:rowOff>9527</xdr:rowOff>
    </xdr:from>
    <xdr:to>
      <xdr:col>16</xdr:col>
      <xdr:colOff>95250</xdr:colOff>
      <xdr:row>4</xdr:row>
      <xdr:rowOff>1203961</xdr:rowOff>
    </xdr:to>
    <xdr:pic>
      <xdr:nvPicPr>
        <xdr:cNvPr id="10" name="Picture 9"/>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19175" y="819152"/>
          <a:ext cx="7962900" cy="1194434"/>
        </a:xfrm>
        <a:prstGeom prst="rect">
          <a:avLst/>
        </a:prstGeom>
      </xdr:spPr>
    </xdr:pic>
    <xdr:clientData/>
  </xdr:twoCellAnchor>
  <xdr:twoCellAnchor editAs="oneCell">
    <xdr:from>
      <xdr:col>3</xdr:col>
      <xdr:colOff>114300</xdr:colOff>
      <xdr:row>4</xdr:row>
      <xdr:rowOff>542926</xdr:rowOff>
    </xdr:from>
    <xdr:to>
      <xdr:col>11</xdr:col>
      <xdr:colOff>981075</xdr:colOff>
      <xdr:row>4</xdr:row>
      <xdr:rowOff>1000126</xdr:rowOff>
    </xdr:to>
    <xdr:sp macro="" textlink="">
      <xdr:nvSpPr>
        <xdr:cNvPr id="11" name="Rectangle 10"/>
        <xdr:cNvSpPr>
          <a:spLocks/>
        </xdr:cNvSpPr>
      </xdr:nvSpPr>
      <xdr:spPr>
        <a:xfrm>
          <a:off x="1228725" y="1352551"/>
          <a:ext cx="4829175" cy="457200"/>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Forecast &amp;</a:t>
          </a:r>
          <a:r>
            <a:rPr lang="en-US" sz="2000" b="1" cap="none" spc="50" baseline="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 Pricing - Growth</a:t>
          </a:r>
          <a:endPar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2</xdr:col>
      <xdr:colOff>9526</xdr:colOff>
      <xdr:row>20</xdr:row>
      <xdr:rowOff>19050</xdr:rowOff>
    </xdr:from>
    <xdr:to>
      <xdr:col>16</xdr:col>
      <xdr:colOff>95251</xdr:colOff>
      <xdr:row>20</xdr:row>
      <xdr:rowOff>876300</xdr:rowOff>
    </xdr:to>
    <xdr:pic>
      <xdr:nvPicPr>
        <xdr:cNvPr id="12" name="Picture 11"/>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19176" y="5200650"/>
          <a:ext cx="7962900" cy="857250"/>
        </a:xfrm>
        <a:prstGeom prst="rect">
          <a:avLst/>
        </a:prstGeom>
      </xdr:spPr>
    </xdr:pic>
    <xdr:clientData/>
  </xdr:twoCellAnchor>
  <xdr:twoCellAnchor editAs="oneCell">
    <xdr:from>
      <xdr:col>3</xdr:col>
      <xdr:colOff>114300</xdr:colOff>
      <xdr:row>20</xdr:row>
      <xdr:rowOff>209550</xdr:rowOff>
    </xdr:from>
    <xdr:to>
      <xdr:col>11</xdr:col>
      <xdr:colOff>981075</xdr:colOff>
      <xdr:row>20</xdr:row>
      <xdr:rowOff>666750</xdr:rowOff>
    </xdr:to>
    <xdr:sp macro="" textlink="">
      <xdr:nvSpPr>
        <xdr:cNvPr id="13" name="Rectangle 12"/>
        <xdr:cNvSpPr>
          <a:spLocks/>
        </xdr:cNvSpPr>
      </xdr:nvSpPr>
      <xdr:spPr>
        <a:xfrm>
          <a:off x="1228725" y="5391150"/>
          <a:ext cx="4829175" cy="457200"/>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Forecast &amp; Pricing Report - Growth</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66675</xdr:colOff>
      <xdr:row>26</xdr:row>
      <xdr:rowOff>38100</xdr:rowOff>
    </xdr:from>
    <xdr:to>
      <xdr:col>15</xdr:col>
      <xdr:colOff>1066800</xdr:colOff>
      <xdr:row>38</xdr:row>
      <xdr:rowOff>161925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xdr:colOff>
      <xdr:row>18</xdr:row>
      <xdr:rowOff>361950</xdr:rowOff>
    </xdr:from>
    <xdr:to>
      <xdr:col>16</xdr:col>
      <xdr:colOff>95250</xdr:colOff>
      <xdr:row>18</xdr:row>
      <xdr:rowOff>525326</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9175" y="4819650"/>
          <a:ext cx="7962900" cy="163376"/>
        </a:xfrm>
        <a:prstGeom prst="rect">
          <a:avLst/>
        </a:prstGeom>
      </xdr:spPr>
    </xdr:pic>
    <xdr:clientData/>
  </xdr:twoCellAnchor>
  <xdr:twoCellAnchor>
    <xdr:from>
      <xdr:col>2</xdr:col>
      <xdr:colOff>9525</xdr:colOff>
      <xdr:row>39</xdr:row>
      <xdr:rowOff>142875</xdr:rowOff>
    </xdr:from>
    <xdr:to>
      <xdr:col>16</xdr:col>
      <xdr:colOff>95250</xdr:colOff>
      <xdr:row>39</xdr:row>
      <xdr:rowOff>325117</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9175" y="9429750"/>
          <a:ext cx="7962900" cy="182242"/>
        </a:xfrm>
        <a:prstGeom prst="rect">
          <a:avLst/>
        </a:prstGeom>
      </xdr:spPr>
    </xdr:pic>
    <xdr:clientData/>
  </xdr:twoCellAnchor>
  <xdr:twoCellAnchor>
    <xdr:from>
      <xdr:col>2</xdr:col>
      <xdr:colOff>9525</xdr:colOff>
      <xdr:row>4</xdr:row>
      <xdr:rowOff>9525</xdr:rowOff>
    </xdr:from>
    <xdr:to>
      <xdr:col>16</xdr:col>
      <xdr:colOff>95250</xdr:colOff>
      <xdr:row>4</xdr:row>
      <xdr:rowOff>1203961</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19175" y="819150"/>
          <a:ext cx="7962900" cy="1194436"/>
        </a:xfrm>
        <a:prstGeom prst="rect">
          <a:avLst/>
        </a:prstGeom>
      </xdr:spPr>
    </xdr:pic>
    <xdr:clientData/>
  </xdr:twoCellAnchor>
  <xdr:twoCellAnchor editAs="oneCell">
    <xdr:from>
      <xdr:col>3</xdr:col>
      <xdr:colOff>104775</xdr:colOff>
      <xdr:row>4</xdr:row>
      <xdr:rowOff>533400</xdr:rowOff>
    </xdr:from>
    <xdr:to>
      <xdr:col>11</xdr:col>
      <xdr:colOff>971550</xdr:colOff>
      <xdr:row>4</xdr:row>
      <xdr:rowOff>990600</xdr:rowOff>
    </xdr:to>
    <xdr:sp macro="" textlink="">
      <xdr:nvSpPr>
        <xdr:cNvPr id="6" name="Rectangle 5"/>
        <xdr:cNvSpPr>
          <a:spLocks/>
        </xdr:cNvSpPr>
      </xdr:nvSpPr>
      <xdr:spPr>
        <a:xfrm>
          <a:off x="1219200" y="1343025"/>
          <a:ext cx="4829175" cy="457200"/>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Forecast &amp;</a:t>
          </a:r>
          <a:r>
            <a:rPr lang="en-US" sz="2000" b="1" cap="none" spc="50" baseline="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 Pricing - Transform</a:t>
          </a:r>
          <a:endPar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2</xdr:col>
      <xdr:colOff>16452</xdr:colOff>
      <xdr:row>20</xdr:row>
      <xdr:rowOff>9525</xdr:rowOff>
    </xdr:from>
    <xdr:to>
      <xdr:col>16</xdr:col>
      <xdr:colOff>88322</xdr:colOff>
      <xdr:row>20</xdr:row>
      <xdr:rowOff>866775</xdr:rowOff>
    </xdr:to>
    <xdr:pic>
      <xdr:nvPicPr>
        <xdr:cNvPr id="7" name="Picture 6"/>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26102" y="4924425"/>
          <a:ext cx="7949045" cy="857250"/>
        </a:xfrm>
        <a:prstGeom prst="rect">
          <a:avLst/>
        </a:prstGeom>
      </xdr:spPr>
    </xdr:pic>
    <xdr:clientData/>
  </xdr:twoCellAnchor>
  <xdr:twoCellAnchor editAs="oneCell">
    <xdr:from>
      <xdr:col>3</xdr:col>
      <xdr:colOff>114299</xdr:colOff>
      <xdr:row>20</xdr:row>
      <xdr:rowOff>200025</xdr:rowOff>
    </xdr:from>
    <xdr:to>
      <xdr:col>13</xdr:col>
      <xdr:colOff>247650</xdr:colOff>
      <xdr:row>20</xdr:row>
      <xdr:rowOff>657225</xdr:rowOff>
    </xdr:to>
    <xdr:sp macro="" textlink="">
      <xdr:nvSpPr>
        <xdr:cNvPr id="8" name="Rectangle 7"/>
        <xdr:cNvSpPr>
          <a:spLocks/>
        </xdr:cNvSpPr>
      </xdr:nvSpPr>
      <xdr:spPr>
        <a:xfrm>
          <a:off x="1228724" y="5343525"/>
          <a:ext cx="5648326" cy="457200"/>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Forecast &amp; Pricing Report - Transform</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47626</xdr:colOff>
      <xdr:row>25</xdr:row>
      <xdr:rowOff>180974</xdr:rowOff>
    </xdr:from>
    <xdr:to>
      <xdr:col>14</xdr:col>
      <xdr:colOff>47625</xdr:colOff>
      <xdr:row>31</xdr:row>
      <xdr:rowOff>47625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85725</xdr:colOff>
      <xdr:row>11</xdr:row>
      <xdr:rowOff>57150</xdr:rowOff>
    </xdr:from>
    <xdr:to>
      <xdr:col>14</xdr:col>
      <xdr:colOff>47625</xdr:colOff>
      <xdr:row>21</xdr:row>
      <xdr:rowOff>85725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11690</xdr:colOff>
      <xdr:row>23</xdr:row>
      <xdr:rowOff>9525</xdr:rowOff>
    </xdr:from>
    <xdr:to>
      <xdr:col>14</xdr:col>
      <xdr:colOff>95250</xdr:colOff>
      <xdr:row>23</xdr:row>
      <xdr:rowOff>866775</xdr:rowOff>
    </xdr:to>
    <xdr:pic>
      <xdr:nvPicPr>
        <xdr:cNvPr id="6" name="Picture 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21340" y="5162550"/>
          <a:ext cx="7989310" cy="857250"/>
        </a:xfrm>
        <a:prstGeom prst="rect">
          <a:avLst/>
        </a:prstGeom>
      </xdr:spPr>
    </xdr:pic>
    <xdr:clientData/>
  </xdr:twoCellAnchor>
  <xdr:twoCellAnchor editAs="oneCell">
    <xdr:from>
      <xdr:col>3</xdr:col>
      <xdr:colOff>97847</xdr:colOff>
      <xdr:row>23</xdr:row>
      <xdr:rowOff>190500</xdr:rowOff>
    </xdr:from>
    <xdr:to>
      <xdr:col>13</xdr:col>
      <xdr:colOff>114300</xdr:colOff>
      <xdr:row>23</xdr:row>
      <xdr:rowOff>647700</xdr:rowOff>
    </xdr:to>
    <xdr:sp macro="" textlink="">
      <xdr:nvSpPr>
        <xdr:cNvPr id="7" name="Rectangle 6"/>
        <xdr:cNvSpPr>
          <a:spLocks/>
        </xdr:cNvSpPr>
      </xdr:nvSpPr>
      <xdr:spPr>
        <a:xfrm>
          <a:off x="1212272" y="5419725"/>
          <a:ext cx="6512503" cy="457200"/>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Product Platform Development</a:t>
          </a:r>
          <a:r>
            <a:rPr lang="en-US" sz="2000" b="1" cap="none" spc="50" baseline="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 Report</a:t>
          </a:r>
          <a:endPar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2</xdr:col>
      <xdr:colOff>14283</xdr:colOff>
      <xdr:row>4</xdr:row>
      <xdr:rowOff>9525</xdr:rowOff>
    </xdr:from>
    <xdr:to>
      <xdr:col>14</xdr:col>
      <xdr:colOff>95250</xdr:colOff>
      <xdr:row>4</xdr:row>
      <xdr:rowOff>1203961</xdr:rowOff>
    </xdr:to>
    <xdr:pic>
      <xdr:nvPicPr>
        <xdr:cNvPr id="10" name="Picture 9"/>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23933" y="819150"/>
          <a:ext cx="7986717" cy="1194436"/>
        </a:xfrm>
        <a:prstGeom prst="rect">
          <a:avLst/>
        </a:prstGeom>
      </xdr:spPr>
    </xdr:pic>
    <xdr:clientData/>
  </xdr:twoCellAnchor>
  <xdr:twoCellAnchor editAs="oneCell">
    <xdr:from>
      <xdr:col>3</xdr:col>
      <xdr:colOff>104775</xdr:colOff>
      <xdr:row>4</xdr:row>
      <xdr:rowOff>533400</xdr:rowOff>
    </xdr:from>
    <xdr:to>
      <xdr:col>10</xdr:col>
      <xdr:colOff>381000</xdr:colOff>
      <xdr:row>4</xdr:row>
      <xdr:rowOff>990600</xdr:rowOff>
    </xdr:to>
    <xdr:sp macro="" textlink="">
      <xdr:nvSpPr>
        <xdr:cNvPr id="11" name="Rectangle 10"/>
        <xdr:cNvSpPr>
          <a:spLocks/>
        </xdr:cNvSpPr>
      </xdr:nvSpPr>
      <xdr:spPr>
        <a:xfrm>
          <a:off x="1219200" y="1343025"/>
          <a:ext cx="4829175" cy="457200"/>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Product Platform Development</a:t>
          </a:r>
        </a:p>
      </xdr:txBody>
    </xdr:sp>
    <xdr:clientData/>
  </xdr:twoCellAnchor>
  <xdr:twoCellAnchor>
    <xdr:from>
      <xdr:col>2</xdr:col>
      <xdr:colOff>9525</xdr:colOff>
      <xdr:row>21</xdr:row>
      <xdr:rowOff>247650</xdr:rowOff>
    </xdr:from>
    <xdr:to>
      <xdr:col>14</xdr:col>
      <xdr:colOff>95631</xdr:colOff>
      <xdr:row>21</xdr:row>
      <xdr:rowOff>411620</xdr:rowOff>
    </xdr:to>
    <xdr:pic>
      <xdr:nvPicPr>
        <xdr:cNvPr id="12" name="Picture 11"/>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19175" y="4905375"/>
          <a:ext cx="7991856" cy="163970"/>
        </a:xfrm>
        <a:prstGeom prst="rect">
          <a:avLst/>
        </a:prstGeom>
      </xdr:spPr>
    </xdr:pic>
    <xdr:clientData/>
  </xdr:twoCellAnchor>
  <xdr:twoCellAnchor>
    <xdr:from>
      <xdr:col>2</xdr:col>
      <xdr:colOff>9525</xdr:colOff>
      <xdr:row>36</xdr:row>
      <xdr:rowOff>95250</xdr:rowOff>
    </xdr:from>
    <xdr:to>
      <xdr:col>14</xdr:col>
      <xdr:colOff>95631</xdr:colOff>
      <xdr:row>36</xdr:row>
      <xdr:rowOff>276699</xdr:rowOff>
    </xdr:to>
    <xdr:pic>
      <xdr:nvPicPr>
        <xdr:cNvPr id="13" name="Picture 12"/>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19175" y="8591550"/>
          <a:ext cx="7991856" cy="18144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11</xdr:row>
          <xdr:rowOff>28575</xdr:rowOff>
        </xdr:from>
        <xdr:to>
          <xdr:col>6</xdr:col>
          <xdr:colOff>9525</xdr:colOff>
          <xdr:row>12</xdr:row>
          <xdr:rowOff>28575</xdr:rowOff>
        </xdr:to>
        <xdr:sp macro="" textlink="">
          <xdr:nvSpPr>
            <xdr:cNvPr id="8910849" name="Scroll Bar 1" hidden="1">
              <a:extLst>
                <a:ext uri="{63B3BB69-23CF-44E3-9099-C40C66FF867C}">
                  <a14:compatExt spid="_x0000_s8910849"/>
                </a:ext>
              </a:extLst>
            </xdr:cNvPr>
            <xdr:cNvSpPr/>
          </xdr:nvSpPr>
          <xdr:spPr>
            <a:xfrm>
              <a:off x="0" y="0"/>
              <a:ext cx="0" cy="0"/>
            </a:xfrm>
            <a:prstGeom prst="rect">
              <a:avLst/>
            </a:prstGeom>
          </xdr:spPr>
        </xdr:sp>
        <xdr:clientData fLocksWithSheet="0"/>
      </xdr:twoCellAnchor>
    </mc:Choice>
    <mc:Fallback/>
  </mc:AlternateContent>
  <xdr:twoCellAnchor>
    <xdr:from>
      <xdr:col>3</xdr:col>
      <xdr:colOff>1028700</xdr:colOff>
      <xdr:row>13</xdr:row>
      <xdr:rowOff>19049</xdr:rowOff>
    </xdr:from>
    <xdr:to>
      <xdr:col>5</xdr:col>
      <xdr:colOff>542925</xdr:colOff>
      <xdr:row>13</xdr:row>
      <xdr:rowOff>142875</xdr:rowOff>
    </xdr:to>
    <xdr:sp macro="" textlink="">
      <xdr:nvSpPr>
        <xdr:cNvPr id="3" name="TextBox 2"/>
        <xdr:cNvSpPr txBox="1"/>
      </xdr:nvSpPr>
      <xdr:spPr>
        <a:xfrm>
          <a:off x="2143125" y="4543424"/>
          <a:ext cx="1143000" cy="123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US" sz="800">
              <a:latin typeface="Arial" pitchFamily="34" charset="0"/>
              <a:cs typeface="Arial" pitchFamily="34" charset="0"/>
            </a:rPr>
            <a:t>Internal</a:t>
          </a:r>
        </a:p>
      </xdr:txBody>
    </xdr:sp>
    <xdr:clientData fLocksWithSheet="0"/>
  </xdr:twoCellAnchor>
  <xdr:twoCellAnchor>
    <xdr:from>
      <xdr:col>5</xdr:col>
      <xdr:colOff>1038225</xdr:colOff>
      <xdr:row>13</xdr:row>
      <xdr:rowOff>38100</xdr:rowOff>
    </xdr:from>
    <xdr:to>
      <xdr:col>7</xdr:col>
      <xdr:colOff>200025</xdr:colOff>
      <xdr:row>14</xdr:row>
      <xdr:rowOff>9527</xdr:rowOff>
    </xdr:to>
    <xdr:sp macro="" textlink="">
      <xdr:nvSpPr>
        <xdr:cNvPr id="4" name="TextBox 3"/>
        <xdr:cNvSpPr txBox="1"/>
      </xdr:nvSpPr>
      <xdr:spPr>
        <a:xfrm>
          <a:off x="3781425" y="4562475"/>
          <a:ext cx="571500" cy="152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US" sz="800">
              <a:latin typeface="Arial" pitchFamily="34" charset="0"/>
              <a:cs typeface="Arial" pitchFamily="34" charset="0"/>
            </a:rPr>
            <a:t>3rd Party</a:t>
          </a:r>
        </a:p>
      </xdr:txBody>
    </xdr:sp>
    <xdr:clientData fLocksWithSheet="0"/>
  </xdr:twoCellAnchor>
  <xdr:twoCellAnchor>
    <xdr:from>
      <xdr:col>3</xdr:col>
      <xdr:colOff>95250</xdr:colOff>
      <xdr:row>25</xdr:row>
      <xdr:rowOff>38100</xdr:rowOff>
    </xdr:from>
    <xdr:to>
      <xdr:col>8</xdr:col>
      <xdr:colOff>28575</xdr:colOff>
      <xdr:row>30</xdr:row>
      <xdr:rowOff>66674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9524</xdr:colOff>
      <xdr:row>13</xdr:row>
      <xdr:rowOff>9526</xdr:rowOff>
    </xdr:from>
    <xdr:to>
      <xdr:col>13</xdr:col>
      <xdr:colOff>1257300</xdr:colOff>
      <xdr:row>20</xdr:row>
      <xdr:rowOff>133351</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142874</xdr:colOff>
      <xdr:row>25</xdr:row>
      <xdr:rowOff>19050</xdr:rowOff>
    </xdr:from>
    <xdr:to>
      <xdr:col>13</xdr:col>
      <xdr:colOff>1142999</xdr:colOff>
      <xdr:row>31</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9524</xdr:colOff>
      <xdr:row>4</xdr:row>
      <xdr:rowOff>9525</xdr:rowOff>
    </xdr:from>
    <xdr:to>
      <xdr:col>14</xdr:col>
      <xdr:colOff>95249</xdr:colOff>
      <xdr:row>4</xdr:row>
      <xdr:rowOff>1162050</xdr:rowOff>
    </xdr:to>
    <xdr:pic>
      <xdr:nvPicPr>
        <xdr:cNvPr id="8" name="Picture 7"/>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19174" y="819150"/>
          <a:ext cx="7991475" cy="1152525"/>
        </a:xfrm>
        <a:prstGeom prst="rect">
          <a:avLst/>
        </a:prstGeom>
      </xdr:spPr>
    </xdr:pic>
    <xdr:clientData/>
  </xdr:twoCellAnchor>
  <xdr:twoCellAnchor editAs="oneCell">
    <xdr:from>
      <xdr:col>3</xdr:col>
      <xdr:colOff>90492</xdr:colOff>
      <xdr:row>4</xdr:row>
      <xdr:rowOff>523875</xdr:rowOff>
    </xdr:from>
    <xdr:to>
      <xdr:col>10</xdr:col>
      <xdr:colOff>366717</xdr:colOff>
      <xdr:row>4</xdr:row>
      <xdr:rowOff>981075</xdr:rowOff>
    </xdr:to>
    <xdr:sp macro="" textlink="">
      <xdr:nvSpPr>
        <xdr:cNvPr id="9" name="Rectangle 8"/>
        <xdr:cNvSpPr>
          <a:spLocks/>
        </xdr:cNvSpPr>
      </xdr:nvSpPr>
      <xdr:spPr>
        <a:xfrm>
          <a:off x="1204917" y="1333500"/>
          <a:ext cx="4829175" cy="457200"/>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Content Development</a:t>
          </a:r>
        </a:p>
      </xdr:txBody>
    </xdr:sp>
    <xdr:clientData/>
  </xdr:twoCellAnchor>
  <xdr:twoCellAnchor>
    <xdr:from>
      <xdr:col>2</xdr:col>
      <xdr:colOff>10607</xdr:colOff>
      <xdr:row>22</xdr:row>
      <xdr:rowOff>0</xdr:rowOff>
    </xdr:from>
    <xdr:to>
      <xdr:col>14</xdr:col>
      <xdr:colOff>85725</xdr:colOff>
      <xdr:row>22</xdr:row>
      <xdr:rowOff>857250</xdr:rowOff>
    </xdr:to>
    <xdr:pic>
      <xdr:nvPicPr>
        <xdr:cNvPr id="10" name="Pictur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20257" y="5019675"/>
          <a:ext cx="7980868" cy="857250"/>
        </a:xfrm>
        <a:prstGeom prst="rect">
          <a:avLst/>
        </a:prstGeom>
      </xdr:spPr>
    </xdr:pic>
    <xdr:clientData/>
  </xdr:twoCellAnchor>
  <xdr:twoCellAnchor editAs="oneCell">
    <xdr:from>
      <xdr:col>3</xdr:col>
      <xdr:colOff>86157</xdr:colOff>
      <xdr:row>22</xdr:row>
      <xdr:rowOff>200025</xdr:rowOff>
    </xdr:from>
    <xdr:to>
      <xdr:col>10</xdr:col>
      <xdr:colOff>362382</xdr:colOff>
      <xdr:row>22</xdr:row>
      <xdr:rowOff>657225</xdr:rowOff>
    </xdr:to>
    <xdr:sp macro="" textlink="">
      <xdr:nvSpPr>
        <xdr:cNvPr id="11" name="Rectangle 10"/>
        <xdr:cNvSpPr>
          <a:spLocks/>
        </xdr:cNvSpPr>
      </xdr:nvSpPr>
      <xdr:spPr>
        <a:xfrm>
          <a:off x="1200582" y="5219700"/>
          <a:ext cx="4829175" cy="457200"/>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Content Development</a:t>
          </a:r>
          <a:r>
            <a:rPr lang="en-US" sz="2000" b="1" cap="none" spc="50" baseline="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 Report</a:t>
          </a:r>
          <a:endPar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2</xdr:col>
      <xdr:colOff>9525</xdr:colOff>
      <xdr:row>20</xdr:row>
      <xdr:rowOff>400050</xdr:rowOff>
    </xdr:from>
    <xdr:to>
      <xdr:col>14</xdr:col>
      <xdr:colOff>95631</xdr:colOff>
      <xdr:row>20</xdr:row>
      <xdr:rowOff>564020</xdr:rowOff>
    </xdr:to>
    <xdr:pic>
      <xdr:nvPicPr>
        <xdr:cNvPr id="12" name="Picture 11"/>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19175" y="4695825"/>
          <a:ext cx="7991856" cy="163970"/>
        </a:xfrm>
        <a:prstGeom prst="rect">
          <a:avLst/>
        </a:prstGeom>
      </xdr:spPr>
    </xdr:pic>
    <xdr:clientData/>
  </xdr:twoCellAnchor>
  <xdr:twoCellAnchor>
    <xdr:from>
      <xdr:col>2</xdr:col>
      <xdr:colOff>9525</xdr:colOff>
      <xdr:row>31</xdr:row>
      <xdr:rowOff>285750</xdr:rowOff>
    </xdr:from>
    <xdr:to>
      <xdr:col>14</xdr:col>
      <xdr:colOff>95631</xdr:colOff>
      <xdr:row>31</xdr:row>
      <xdr:rowOff>467199</xdr:rowOff>
    </xdr:to>
    <xdr:pic>
      <xdr:nvPicPr>
        <xdr:cNvPr id="13" name="Picture 12"/>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19175" y="7848600"/>
          <a:ext cx="7991856" cy="18144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552451</xdr:colOff>
      <xdr:row>8</xdr:row>
      <xdr:rowOff>142875</xdr:rowOff>
    </xdr:from>
    <xdr:to>
      <xdr:col>11</xdr:col>
      <xdr:colOff>1285875</xdr:colOff>
      <xdr:row>24</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638175</xdr:colOff>
      <xdr:row>30</xdr:row>
      <xdr:rowOff>133349</xdr:rowOff>
    </xdr:from>
    <xdr:to>
      <xdr:col>11</xdr:col>
      <xdr:colOff>1133475</xdr:colOff>
      <xdr:row>41</xdr:row>
      <xdr:rowOff>152399</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12379</xdr:colOff>
      <xdr:row>4</xdr:row>
      <xdr:rowOff>9526</xdr:rowOff>
    </xdr:from>
    <xdr:to>
      <xdr:col>12</xdr:col>
      <xdr:colOff>95250</xdr:colOff>
      <xdr:row>4</xdr:row>
      <xdr:rowOff>1143526</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22029" y="819151"/>
          <a:ext cx="7559996" cy="1134000"/>
        </a:xfrm>
        <a:prstGeom prst="rect">
          <a:avLst/>
        </a:prstGeom>
      </xdr:spPr>
    </xdr:pic>
    <xdr:clientData/>
  </xdr:twoCellAnchor>
  <xdr:twoCellAnchor editAs="oneCell">
    <xdr:from>
      <xdr:col>3</xdr:col>
      <xdr:colOff>80968</xdr:colOff>
      <xdr:row>4</xdr:row>
      <xdr:rowOff>514350</xdr:rowOff>
    </xdr:from>
    <xdr:to>
      <xdr:col>9</xdr:col>
      <xdr:colOff>252418</xdr:colOff>
      <xdr:row>4</xdr:row>
      <xdr:rowOff>971550</xdr:rowOff>
    </xdr:to>
    <xdr:sp macro="" textlink="">
      <xdr:nvSpPr>
        <xdr:cNvPr id="5" name="Rectangle 4"/>
        <xdr:cNvSpPr>
          <a:spLocks/>
        </xdr:cNvSpPr>
      </xdr:nvSpPr>
      <xdr:spPr>
        <a:xfrm>
          <a:off x="1195393" y="1323975"/>
          <a:ext cx="4829175" cy="457200"/>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People</a:t>
          </a:r>
        </a:p>
      </xdr:txBody>
    </xdr:sp>
    <xdr:clientData/>
  </xdr:twoCellAnchor>
  <xdr:twoCellAnchor>
    <xdr:from>
      <xdr:col>2</xdr:col>
      <xdr:colOff>9524</xdr:colOff>
      <xdr:row>27</xdr:row>
      <xdr:rowOff>9525</xdr:rowOff>
    </xdr:from>
    <xdr:to>
      <xdr:col>12</xdr:col>
      <xdr:colOff>85725</xdr:colOff>
      <xdr:row>27</xdr:row>
      <xdr:rowOff>866775</xdr:rowOff>
    </xdr:to>
    <xdr:pic>
      <xdr:nvPicPr>
        <xdr:cNvPr id="6" name="Picture 5"/>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19174" y="5572125"/>
          <a:ext cx="7553326" cy="857250"/>
        </a:xfrm>
        <a:prstGeom prst="rect">
          <a:avLst/>
        </a:prstGeom>
      </xdr:spPr>
    </xdr:pic>
    <xdr:clientData/>
  </xdr:twoCellAnchor>
  <xdr:twoCellAnchor editAs="oneCell">
    <xdr:from>
      <xdr:col>3</xdr:col>
      <xdr:colOff>75550</xdr:colOff>
      <xdr:row>27</xdr:row>
      <xdr:rowOff>200025</xdr:rowOff>
    </xdr:from>
    <xdr:to>
      <xdr:col>9</xdr:col>
      <xdr:colOff>247000</xdr:colOff>
      <xdr:row>27</xdr:row>
      <xdr:rowOff>657225</xdr:rowOff>
    </xdr:to>
    <xdr:sp macro="" textlink="">
      <xdr:nvSpPr>
        <xdr:cNvPr id="7" name="Rectangle 6"/>
        <xdr:cNvSpPr>
          <a:spLocks/>
        </xdr:cNvSpPr>
      </xdr:nvSpPr>
      <xdr:spPr>
        <a:xfrm>
          <a:off x="1189975" y="5762625"/>
          <a:ext cx="4829175" cy="457200"/>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People </a:t>
          </a:r>
          <a:r>
            <a:rPr lang="en-US" sz="2000" b="1" cap="none" spc="50" baseline="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Report</a:t>
          </a:r>
          <a:endPar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2</xdr:col>
      <xdr:colOff>9525</xdr:colOff>
      <xdr:row>25</xdr:row>
      <xdr:rowOff>19050</xdr:rowOff>
    </xdr:from>
    <xdr:to>
      <xdr:col>12</xdr:col>
      <xdr:colOff>94488</xdr:colOff>
      <xdr:row>25</xdr:row>
      <xdr:rowOff>174202</xdr:rowOff>
    </xdr:to>
    <xdr:pic>
      <xdr:nvPicPr>
        <xdr:cNvPr id="8" name="Picture 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19175" y="5248275"/>
          <a:ext cx="7562088" cy="155152"/>
        </a:xfrm>
        <a:prstGeom prst="rect">
          <a:avLst/>
        </a:prstGeom>
      </xdr:spPr>
    </xdr:pic>
    <xdr:clientData/>
  </xdr:twoCellAnchor>
  <xdr:twoCellAnchor>
    <xdr:from>
      <xdr:col>2</xdr:col>
      <xdr:colOff>9525</xdr:colOff>
      <xdr:row>44</xdr:row>
      <xdr:rowOff>152400</xdr:rowOff>
    </xdr:from>
    <xdr:to>
      <xdr:col>12</xdr:col>
      <xdr:colOff>94488</xdr:colOff>
      <xdr:row>45</xdr:row>
      <xdr:rowOff>143116</xdr:rowOff>
    </xdr:to>
    <xdr:pic>
      <xdr:nvPicPr>
        <xdr:cNvPr id="9" name="Picture 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19175" y="9725025"/>
          <a:ext cx="7562088" cy="17169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21</xdr:row>
          <xdr:rowOff>9525</xdr:rowOff>
        </xdr:from>
        <xdr:to>
          <xdr:col>6</xdr:col>
          <xdr:colOff>66675</xdr:colOff>
          <xdr:row>22</xdr:row>
          <xdr:rowOff>9525</xdr:rowOff>
        </xdr:to>
        <xdr:sp macro="" textlink="">
          <xdr:nvSpPr>
            <xdr:cNvPr id="8863745" name="Scroll Bar 1" hidden="1">
              <a:extLst>
                <a:ext uri="{63B3BB69-23CF-44E3-9099-C40C66FF867C}">
                  <a14:compatExt spid="_x0000_s8863745"/>
                </a:ext>
              </a:extLst>
            </xdr:cNvPr>
            <xdr:cNvSpPr/>
          </xdr:nvSpPr>
          <xdr:spPr>
            <a:xfrm>
              <a:off x="0" y="0"/>
              <a:ext cx="0" cy="0"/>
            </a:xfrm>
            <a:prstGeom prst="rect">
              <a:avLst/>
            </a:prstGeom>
          </xdr:spPr>
        </xdr:sp>
        <xdr:clientData fLocksWithSheet="0"/>
      </xdr:twoCellAnchor>
    </mc:Choice>
    <mc:Fallback/>
  </mc:AlternateContent>
  <xdr:twoCellAnchor>
    <xdr:from>
      <xdr:col>5</xdr:col>
      <xdr:colOff>1095375</xdr:colOff>
      <xdr:row>22</xdr:row>
      <xdr:rowOff>57148</xdr:rowOff>
    </xdr:from>
    <xdr:to>
      <xdr:col>7</xdr:col>
      <xdr:colOff>257175</xdr:colOff>
      <xdr:row>23</xdr:row>
      <xdr:rowOff>28575</xdr:rowOff>
    </xdr:to>
    <xdr:sp macro="" textlink="">
      <xdr:nvSpPr>
        <xdr:cNvPr id="3" name="TextBox 2"/>
        <xdr:cNvSpPr txBox="1"/>
      </xdr:nvSpPr>
      <xdr:spPr>
        <a:xfrm>
          <a:off x="3619500" y="4257673"/>
          <a:ext cx="571500" cy="152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US" sz="800">
              <a:latin typeface="Arial" pitchFamily="34" charset="0"/>
              <a:cs typeface="Arial" pitchFamily="34" charset="0"/>
            </a:rPr>
            <a:t>Fewer</a:t>
          </a:r>
        </a:p>
      </xdr:txBody>
    </xdr:sp>
    <xdr:clientData fLocksWithSheet="0"/>
  </xdr:twoCellAnchor>
  <xdr:twoCellAnchor>
    <xdr:from>
      <xdr:col>3</xdr:col>
      <xdr:colOff>1219200</xdr:colOff>
      <xdr:row>22</xdr:row>
      <xdr:rowOff>57149</xdr:rowOff>
    </xdr:from>
    <xdr:to>
      <xdr:col>5</xdr:col>
      <xdr:colOff>600075</xdr:colOff>
      <xdr:row>23</xdr:row>
      <xdr:rowOff>0</xdr:rowOff>
    </xdr:to>
    <xdr:sp macro="" textlink="">
      <xdr:nvSpPr>
        <xdr:cNvPr id="4" name="TextBox 3"/>
        <xdr:cNvSpPr txBox="1"/>
      </xdr:nvSpPr>
      <xdr:spPr>
        <a:xfrm>
          <a:off x="1933575" y="2809874"/>
          <a:ext cx="790575" cy="123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US" sz="800">
              <a:latin typeface="Arial" pitchFamily="34" charset="0"/>
              <a:cs typeface="Arial" pitchFamily="34" charset="0"/>
            </a:rPr>
            <a:t>More</a:t>
          </a:r>
        </a:p>
      </xdr:txBody>
    </xdr:sp>
    <xdr:clientData fLocksWithSheet="0"/>
  </xdr:twoCellAnchor>
  <xdr:twoCellAnchor>
    <xdr:from>
      <xdr:col>7</xdr:col>
      <xdr:colOff>685800</xdr:colOff>
      <xdr:row>21</xdr:row>
      <xdr:rowOff>28575</xdr:rowOff>
    </xdr:from>
    <xdr:to>
      <xdr:col>11</xdr:col>
      <xdr:colOff>1171574</xdr:colOff>
      <xdr:row>30</xdr:row>
      <xdr:rowOff>219075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581025</xdr:colOff>
      <xdr:row>38</xdr:row>
      <xdr:rowOff>123825</xdr:rowOff>
    </xdr:from>
    <xdr:to>
      <xdr:col>11</xdr:col>
      <xdr:colOff>561975</xdr:colOff>
      <xdr:row>49</xdr:row>
      <xdr:rowOff>142875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30</xdr:row>
      <xdr:rowOff>201327</xdr:rowOff>
    </xdr:from>
    <xdr:to>
      <xdr:col>12</xdr:col>
      <xdr:colOff>95250</xdr:colOff>
      <xdr:row>30</xdr:row>
      <xdr:rowOff>364702</xdr:rowOff>
    </xdr:to>
    <xdr:pic>
      <xdr:nvPicPr>
        <xdr:cNvPr id="9" name="Picture 8"/>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9175" y="6544977"/>
          <a:ext cx="7962900" cy="163375"/>
        </a:xfrm>
        <a:prstGeom prst="rect">
          <a:avLst/>
        </a:prstGeom>
      </xdr:spPr>
    </xdr:pic>
    <xdr:clientData/>
  </xdr:twoCellAnchor>
  <xdr:twoCellAnchor>
    <xdr:from>
      <xdr:col>2</xdr:col>
      <xdr:colOff>9525</xdr:colOff>
      <xdr:row>4</xdr:row>
      <xdr:rowOff>0</xdr:rowOff>
    </xdr:from>
    <xdr:to>
      <xdr:col>12</xdr:col>
      <xdr:colOff>95250</xdr:colOff>
      <xdr:row>4</xdr:row>
      <xdr:rowOff>1194435</xdr:rowOff>
    </xdr:to>
    <xdr:pic>
      <xdr:nvPicPr>
        <xdr:cNvPr id="10" name="Picture 9"/>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19175" y="809625"/>
          <a:ext cx="7962900" cy="1194435"/>
        </a:xfrm>
        <a:prstGeom prst="rect">
          <a:avLst/>
        </a:prstGeom>
      </xdr:spPr>
    </xdr:pic>
    <xdr:clientData/>
  </xdr:twoCellAnchor>
  <xdr:twoCellAnchor editAs="oneCell">
    <xdr:from>
      <xdr:col>3</xdr:col>
      <xdr:colOff>78114</xdr:colOff>
      <xdr:row>4</xdr:row>
      <xdr:rowOff>504824</xdr:rowOff>
    </xdr:from>
    <xdr:to>
      <xdr:col>9</xdr:col>
      <xdr:colOff>316239</xdr:colOff>
      <xdr:row>4</xdr:row>
      <xdr:rowOff>962024</xdr:rowOff>
    </xdr:to>
    <xdr:sp macro="" textlink="">
      <xdr:nvSpPr>
        <xdr:cNvPr id="11" name="Rectangle 10"/>
        <xdr:cNvSpPr>
          <a:spLocks/>
        </xdr:cNvSpPr>
      </xdr:nvSpPr>
      <xdr:spPr>
        <a:xfrm>
          <a:off x="1192539" y="1314449"/>
          <a:ext cx="4829175" cy="457200"/>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Operations</a:t>
          </a:r>
        </a:p>
      </xdr:txBody>
    </xdr:sp>
    <xdr:clientData/>
  </xdr:twoCellAnchor>
  <xdr:twoCellAnchor>
    <xdr:from>
      <xdr:col>2</xdr:col>
      <xdr:colOff>9524</xdr:colOff>
      <xdr:row>32</xdr:row>
      <xdr:rowOff>11814</xdr:rowOff>
    </xdr:from>
    <xdr:to>
      <xdr:col>12</xdr:col>
      <xdr:colOff>96773</xdr:colOff>
      <xdr:row>32</xdr:row>
      <xdr:rowOff>825571</xdr:rowOff>
    </xdr:to>
    <xdr:pic>
      <xdr:nvPicPr>
        <xdr:cNvPr id="12" name="Picture 11"/>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19174" y="6879339"/>
          <a:ext cx="7964424" cy="813757"/>
        </a:xfrm>
        <a:prstGeom prst="rect">
          <a:avLst/>
        </a:prstGeom>
      </xdr:spPr>
    </xdr:pic>
    <xdr:clientData/>
  </xdr:twoCellAnchor>
  <xdr:twoCellAnchor editAs="oneCell">
    <xdr:from>
      <xdr:col>3</xdr:col>
      <xdr:colOff>66026</xdr:colOff>
      <xdr:row>32</xdr:row>
      <xdr:rowOff>190500</xdr:rowOff>
    </xdr:from>
    <xdr:to>
      <xdr:col>9</xdr:col>
      <xdr:colOff>304151</xdr:colOff>
      <xdr:row>32</xdr:row>
      <xdr:rowOff>647700</xdr:rowOff>
    </xdr:to>
    <xdr:sp macro="" textlink="">
      <xdr:nvSpPr>
        <xdr:cNvPr id="13" name="Rectangle 12"/>
        <xdr:cNvSpPr>
          <a:spLocks/>
        </xdr:cNvSpPr>
      </xdr:nvSpPr>
      <xdr:spPr>
        <a:xfrm>
          <a:off x="1180451" y="7058025"/>
          <a:ext cx="4829175" cy="457200"/>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Operations </a:t>
          </a:r>
          <a:r>
            <a:rPr lang="en-US" sz="2000" b="1" cap="none" spc="50" baseline="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Report</a:t>
          </a:r>
          <a:endPar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2</xdr:col>
      <xdr:colOff>9525</xdr:colOff>
      <xdr:row>49</xdr:row>
      <xdr:rowOff>66674</xdr:rowOff>
    </xdr:from>
    <xdr:to>
      <xdr:col>12</xdr:col>
      <xdr:colOff>96774</xdr:colOff>
      <xdr:row>49</xdr:row>
      <xdr:rowOff>247500</xdr:rowOff>
    </xdr:to>
    <xdr:pic>
      <xdr:nvPicPr>
        <xdr:cNvPr id="14" name="Picture 13"/>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19175" y="10915649"/>
          <a:ext cx="7964424" cy="18082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381000</xdr:colOff>
          <xdr:row>10</xdr:row>
          <xdr:rowOff>161925</xdr:rowOff>
        </xdr:from>
        <xdr:to>
          <xdr:col>6</xdr:col>
          <xdr:colOff>9525</xdr:colOff>
          <xdr:row>12</xdr:row>
          <xdr:rowOff>19050</xdr:rowOff>
        </xdr:to>
        <xdr:sp macro="" textlink="">
          <xdr:nvSpPr>
            <xdr:cNvPr id="1030" name="Check Box 6"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12</xdr:row>
          <xdr:rowOff>57150</xdr:rowOff>
        </xdr:from>
        <xdr:to>
          <xdr:col>6</xdr:col>
          <xdr:colOff>9525</xdr:colOff>
          <xdr:row>14</xdr:row>
          <xdr:rowOff>19050</xdr:rowOff>
        </xdr:to>
        <xdr:sp macro="" textlink="">
          <xdr:nvSpPr>
            <xdr:cNvPr id="1032" name="Check Box 8"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14</xdr:row>
          <xdr:rowOff>57150</xdr:rowOff>
        </xdr:from>
        <xdr:to>
          <xdr:col>6</xdr:col>
          <xdr:colOff>9525</xdr:colOff>
          <xdr:row>16</xdr:row>
          <xdr:rowOff>19050</xdr:rowOff>
        </xdr:to>
        <xdr:sp macro="" textlink="">
          <xdr:nvSpPr>
            <xdr:cNvPr id="1033" name="Check Box 9"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16</xdr:row>
          <xdr:rowOff>57150</xdr:rowOff>
        </xdr:from>
        <xdr:to>
          <xdr:col>6</xdr:col>
          <xdr:colOff>9525</xdr:colOff>
          <xdr:row>18</xdr:row>
          <xdr:rowOff>19050</xdr:rowOff>
        </xdr:to>
        <xdr:sp macro="" textlink="">
          <xdr:nvSpPr>
            <xdr:cNvPr id="1034" name="Check Box 10" hidden="1">
              <a:extLst>
                <a:ext uri="{63B3BB69-23CF-44E3-9099-C40C66FF867C}">
                  <a14:compatExt spid="_x0000_s1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18</xdr:row>
          <xdr:rowOff>47625</xdr:rowOff>
        </xdr:from>
        <xdr:to>
          <xdr:col>6</xdr:col>
          <xdr:colOff>9525</xdr:colOff>
          <xdr:row>20</xdr:row>
          <xdr:rowOff>9525</xdr:rowOff>
        </xdr:to>
        <xdr:sp macro="" textlink="">
          <xdr:nvSpPr>
            <xdr:cNvPr id="1035" name="Check Box 11"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20</xdr:row>
          <xdr:rowOff>57150</xdr:rowOff>
        </xdr:from>
        <xdr:to>
          <xdr:col>6</xdr:col>
          <xdr:colOff>9525</xdr:colOff>
          <xdr:row>22</xdr:row>
          <xdr:rowOff>19050</xdr:rowOff>
        </xdr:to>
        <xdr:sp macro="" textlink="">
          <xdr:nvSpPr>
            <xdr:cNvPr id="1036" name="Check Box 12" hidden="1">
              <a:extLst>
                <a:ext uri="{63B3BB69-23CF-44E3-9099-C40C66FF867C}">
                  <a14:compatExt spid="_x0000_s1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22</xdr:row>
          <xdr:rowOff>57150</xdr:rowOff>
        </xdr:from>
        <xdr:to>
          <xdr:col>6</xdr:col>
          <xdr:colOff>9525</xdr:colOff>
          <xdr:row>24</xdr:row>
          <xdr:rowOff>19050</xdr:rowOff>
        </xdr:to>
        <xdr:sp macro="" textlink="">
          <xdr:nvSpPr>
            <xdr:cNvPr id="1037" name="Check Box 13" hidden="1">
              <a:extLst>
                <a:ext uri="{63B3BB69-23CF-44E3-9099-C40C66FF867C}">
                  <a14:compatExt spid="_x0000_s1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24</xdr:row>
          <xdr:rowOff>66675</xdr:rowOff>
        </xdr:from>
        <xdr:to>
          <xdr:col>6</xdr:col>
          <xdr:colOff>9525</xdr:colOff>
          <xdr:row>26</xdr:row>
          <xdr:rowOff>28575</xdr:rowOff>
        </xdr:to>
        <xdr:sp macro="" textlink="">
          <xdr:nvSpPr>
            <xdr:cNvPr id="1038" name="Check Box 14" hidden="1">
              <a:extLst>
                <a:ext uri="{63B3BB69-23CF-44E3-9099-C40C66FF867C}">
                  <a14:compatExt spid="_x0000_s1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26</xdr:row>
          <xdr:rowOff>66675</xdr:rowOff>
        </xdr:from>
        <xdr:to>
          <xdr:col>6</xdr:col>
          <xdr:colOff>9525</xdr:colOff>
          <xdr:row>28</xdr:row>
          <xdr:rowOff>28575</xdr:rowOff>
        </xdr:to>
        <xdr:sp macro="" textlink="">
          <xdr:nvSpPr>
            <xdr:cNvPr id="1039" name="Check Box 15" hidden="1">
              <a:extLst>
                <a:ext uri="{63B3BB69-23CF-44E3-9099-C40C66FF867C}">
                  <a14:compatExt spid="_x0000_s1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28</xdr:row>
          <xdr:rowOff>57150</xdr:rowOff>
        </xdr:from>
        <xdr:to>
          <xdr:col>6</xdr:col>
          <xdr:colOff>9525</xdr:colOff>
          <xdr:row>30</xdr:row>
          <xdr:rowOff>19050</xdr:rowOff>
        </xdr:to>
        <xdr:sp macro="" textlink="">
          <xdr:nvSpPr>
            <xdr:cNvPr id="1040" name="Check Box 16" hidden="1">
              <a:extLst>
                <a:ext uri="{63B3BB69-23CF-44E3-9099-C40C66FF867C}">
                  <a14:compatExt spid="_x0000_s1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30</xdr:row>
          <xdr:rowOff>57150</xdr:rowOff>
        </xdr:from>
        <xdr:to>
          <xdr:col>6</xdr:col>
          <xdr:colOff>9525</xdr:colOff>
          <xdr:row>32</xdr:row>
          <xdr:rowOff>19050</xdr:rowOff>
        </xdr:to>
        <xdr:sp macro="" textlink="">
          <xdr:nvSpPr>
            <xdr:cNvPr id="1041" name="Check Box 17"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32</xdr:row>
          <xdr:rowOff>57150</xdr:rowOff>
        </xdr:from>
        <xdr:to>
          <xdr:col>6</xdr:col>
          <xdr:colOff>9525</xdr:colOff>
          <xdr:row>34</xdr:row>
          <xdr:rowOff>19050</xdr:rowOff>
        </xdr:to>
        <xdr:sp macro="" textlink="">
          <xdr:nvSpPr>
            <xdr:cNvPr id="1042" name="Check Box 18"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34</xdr:row>
          <xdr:rowOff>47625</xdr:rowOff>
        </xdr:from>
        <xdr:to>
          <xdr:col>6</xdr:col>
          <xdr:colOff>9525</xdr:colOff>
          <xdr:row>36</xdr:row>
          <xdr:rowOff>9525</xdr:rowOff>
        </xdr:to>
        <xdr:sp macro="" textlink="">
          <xdr:nvSpPr>
            <xdr:cNvPr id="1043" name="Check Box 19" hidden="1">
              <a:extLst>
                <a:ext uri="{63B3BB69-23CF-44E3-9099-C40C66FF867C}">
                  <a14:compatExt spid="_x0000_s1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36</xdr:row>
          <xdr:rowOff>57150</xdr:rowOff>
        </xdr:from>
        <xdr:to>
          <xdr:col>6</xdr:col>
          <xdr:colOff>9525</xdr:colOff>
          <xdr:row>38</xdr:row>
          <xdr:rowOff>19050</xdr:rowOff>
        </xdr:to>
        <xdr:sp macro="" textlink="">
          <xdr:nvSpPr>
            <xdr:cNvPr id="1044" name="Check Box 20"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38</xdr:row>
          <xdr:rowOff>57150</xdr:rowOff>
        </xdr:from>
        <xdr:to>
          <xdr:col>6</xdr:col>
          <xdr:colOff>9525</xdr:colOff>
          <xdr:row>40</xdr:row>
          <xdr:rowOff>19050</xdr:rowOff>
        </xdr:to>
        <xdr:sp macro="" textlink="">
          <xdr:nvSpPr>
            <xdr:cNvPr id="1045" name="Check Box 21"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40</xdr:row>
          <xdr:rowOff>66675</xdr:rowOff>
        </xdr:from>
        <xdr:to>
          <xdr:col>6</xdr:col>
          <xdr:colOff>9525</xdr:colOff>
          <xdr:row>42</xdr:row>
          <xdr:rowOff>28575</xdr:rowOff>
        </xdr:to>
        <xdr:sp macro="" textlink="">
          <xdr:nvSpPr>
            <xdr:cNvPr id="1046" name="Check Box 22" hidden="1">
              <a:extLst>
                <a:ext uri="{63B3BB69-23CF-44E3-9099-C40C66FF867C}">
                  <a14:compatExt spid="_x0000_s10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42</xdr:row>
          <xdr:rowOff>57150</xdr:rowOff>
        </xdr:from>
        <xdr:to>
          <xdr:col>6</xdr:col>
          <xdr:colOff>9525</xdr:colOff>
          <xdr:row>44</xdr:row>
          <xdr:rowOff>19050</xdr:rowOff>
        </xdr:to>
        <xdr:sp macro="" textlink="">
          <xdr:nvSpPr>
            <xdr:cNvPr id="1047" name="Check Box 23" hidden="1">
              <a:extLst>
                <a:ext uri="{63B3BB69-23CF-44E3-9099-C40C66FF867C}">
                  <a14:compatExt spid="_x0000_s10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44</xdr:row>
          <xdr:rowOff>57150</xdr:rowOff>
        </xdr:from>
        <xdr:to>
          <xdr:col>6</xdr:col>
          <xdr:colOff>9525</xdr:colOff>
          <xdr:row>46</xdr:row>
          <xdr:rowOff>19050</xdr:rowOff>
        </xdr:to>
        <xdr:sp macro="" textlink="">
          <xdr:nvSpPr>
            <xdr:cNvPr id="1048" name="Check Box 24" hidden="1">
              <a:extLst>
                <a:ext uri="{63B3BB69-23CF-44E3-9099-C40C66FF867C}">
                  <a14:compatExt spid="_x0000_s10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46</xdr:row>
          <xdr:rowOff>57150</xdr:rowOff>
        </xdr:from>
        <xdr:to>
          <xdr:col>6</xdr:col>
          <xdr:colOff>9525</xdr:colOff>
          <xdr:row>48</xdr:row>
          <xdr:rowOff>19050</xdr:rowOff>
        </xdr:to>
        <xdr:sp macro="" textlink="">
          <xdr:nvSpPr>
            <xdr:cNvPr id="1049" name="Check Box 25" hidden="1">
              <a:extLst>
                <a:ext uri="{63B3BB69-23CF-44E3-9099-C40C66FF867C}">
                  <a14:compatExt spid="_x0000_s1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48</xdr:row>
          <xdr:rowOff>47625</xdr:rowOff>
        </xdr:from>
        <xdr:to>
          <xdr:col>6</xdr:col>
          <xdr:colOff>9525</xdr:colOff>
          <xdr:row>50</xdr:row>
          <xdr:rowOff>9525</xdr:rowOff>
        </xdr:to>
        <xdr:sp macro="" textlink="">
          <xdr:nvSpPr>
            <xdr:cNvPr id="1050" name="Check Box 26" hidden="1">
              <a:extLst>
                <a:ext uri="{63B3BB69-23CF-44E3-9099-C40C66FF867C}">
                  <a14:compatExt spid="_x0000_s1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50</xdr:row>
          <xdr:rowOff>57150</xdr:rowOff>
        </xdr:from>
        <xdr:to>
          <xdr:col>6</xdr:col>
          <xdr:colOff>9525</xdr:colOff>
          <xdr:row>52</xdr:row>
          <xdr:rowOff>19050</xdr:rowOff>
        </xdr:to>
        <xdr:sp macro="" textlink="">
          <xdr:nvSpPr>
            <xdr:cNvPr id="1051" name="Check Box 27" hidden="1">
              <a:extLst>
                <a:ext uri="{63B3BB69-23CF-44E3-9099-C40C66FF867C}">
                  <a14:compatExt spid="_x0000_s1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52</xdr:row>
          <xdr:rowOff>57150</xdr:rowOff>
        </xdr:from>
        <xdr:to>
          <xdr:col>6</xdr:col>
          <xdr:colOff>9525</xdr:colOff>
          <xdr:row>54</xdr:row>
          <xdr:rowOff>19050</xdr:rowOff>
        </xdr:to>
        <xdr:sp macro="" textlink="">
          <xdr:nvSpPr>
            <xdr:cNvPr id="1052" name="Check Box 28" hidden="1">
              <a:extLst>
                <a:ext uri="{63B3BB69-23CF-44E3-9099-C40C66FF867C}">
                  <a14:compatExt spid="_x0000_s1052"/>
                </a:ext>
              </a:extLst>
            </xdr:cNvPr>
            <xdr:cNvSpPr/>
          </xdr:nvSpPr>
          <xdr:spPr>
            <a:xfrm>
              <a:off x="0" y="0"/>
              <a:ext cx="0" cy="0"/>
            </a:xfrm>
            <a:prstGeom prst="rect">
              <a:avLst/>
            </a:prstGeom>
          </xdr:spPr>
        </xdr:sp>
        <xdr:clientData/>
      </xdr:twoCellAnchor>
    </mc:Choice>
    <mc:Fallback/>
  </mc:AlternateContent>
  <xdr:twoCellAnchor>
    <xdr:from>
      <xdr:col>2</xdr:col>
      <xdr:colOff>9525</xdr:colOff>
      <xdr:row>54</xdr:row>
      <xdr:rowOff>400050</xdr:rowOff>
    </xdr:from>
    <xdr:to>
      <xdr:col>17</xdr:col>
      <xdr:colOff>94107</xdr:colOff>
      <xdr:row>54</xdr:row>
      <xdr:rowOff>544482</xdr:rowOff>
    </xdr:to>
    <xdr:pic>
      <xdr:nvPicPr>
        <xdr:cNvPr id="24" name="Picture 2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9175" y="9086850"/>
          <a:ext cx="11457432" cy="144432"/>
        </a:xfrm>
        <a:prstGeom prst="rect">
          <a:avLst/>
        </a:prstGeom>
      </xdr:spPr>
    </xdr:pic>
    <xdr:clientData/>
  </xdr:twoCellAnchor>
  <xdr:twoCellAnchor>
    <xdr:from>
      <xdr:col>2</xdr:col>
      <xdr:colOff>9525</xdr:colOff>
      <xdr:row>107</xdr:row>
      <xdr:rowOff>152400</xdr:rowOff>
    </xdr:from>
    <xdr:to>
      <xdr:col>17</xdr:col>
      <xdr:colOff>94107</xdr:colOff>
      <xdr:row>107</xdr:row>
      <xdr:rowOff>314295</xdr:rowOff>
    </xdr:to>
    <xdr:pic>
      <xdr:nvPicPr>
        <xdr:cNvPr id="26" name="Picture 2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9175" y="15916275"/>
          <a:ext cx="11457432" cy="161895"/>
        </a:xfrm>
        <a:prstGeom prst="rect">
          <a:avLst/>
        </a:prstGeom>
      </xdr:spPr>
    </xdr:pic>
    <xdr:clientData/>
  </xdr:twoCellAnchor>
  <xdr:twoCellAnchor>
    <xdr:from>
      <xdr:col>2</xdr:col>
      <xdr:colOff>9313</xdr:colOff>
      <xdr:row>56</xdr:row>
      <xdr:rowOff>9525</xdr:rowOff>
    </xdr:from>
    <xdr:to>
      <xdr:col>17</xdr:col>
      <xdr:colOff>104774</xdr:colOff>
      <xdr:row>56</xdr:row>
      <xdr:rowOff>823282</xdr:rowOff>
    </xdr:to>
    <xdr:pic>
      <xdr:nvPicPr>
        <xdr:cNvPr id="27" name="Picture 26"/>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8963" y="9401175"/>
          <a:ext cx="11468311" cy="813757"/>
        </a:xfrm>
        <a:prstGeom prst="rect">
          <a:avLst/>
        </a:prstGeom>
      </xdr:spPr>
    </xdr:pic>
    <xdr:clientData/>
  </xdr:twoCellAnchor>
  <xdr:twoCellAnchor editAs="oneCell">
    <xdr:from>
      <xdr:col>3</xdr:col>
      <xdr:colOff>56502</xdr:colOff>
      <xdr:row>56</xdr:row>
      <xdr:rowOff>159636</xdr:rowOff>
    </xdr:from>
    <xdr:to>
      <xdr:col>6</xdr:col>
      <xdr:colOff>2647302</xdr:colOff>
      <xdr:row>56</xdr:row>
      <xdr:rowOff>616836</xdr:rowOff>
    </xdr:to>
    <xdr:sp macro="" textlink="">
      <xdr:nvSpPr>
        <xdr:cNvPr id="28" name="Rectangle 27"/>
        <xdr:cNvSpPr>
          <a:spLocks/>
        </xdr:cNvSpPr>
      </xdr:nvSpPr>
      <xdr:spPr>
        <a:xfrm>
          <a:off x="1170927" y="9637011"/>
          <a:ext cx="4829175" cy="457200"/>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Corporate </a:t>
          </a:r>
          <a:r>
            <a:rPr lang="en-US" sz="2000" b="1" cap="none" spc="50" baseline="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Report</a:t>
          </a:r>
          <a:endPar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2</xdr:col>
      <xdr:colOff>9525</xdr:colOff>
      <xdr:row>4</xdr:row>
      <xdr:rowOff>9525</xdr:rowOff>
    </xdr:from>
    <xdr:to>
      <xdr:col>17</xdr:col>
      <xdr:colOff>95250</xdr:colOff>
      <xdr:row>4</xdr:row>
      <xdr:rowOff>1203960</xdr:rowOff>
    </xdr:to>
    <xdr:pic>
      <xdr:nvPicPr>
        <xdr:cNvPr id="30" name="Picture 29"/>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19175" y="819150"/>
          <a:ext cx="11458575" cy="1194435"/>
        </a:xfrm>
        <a:prstGeom prst="rect">
          <a:avLst/>
        </a:prstGeom>
      </xdr:spPr>
    </xdr:pic>
    <xdr:clientData/>
  </xdr:twoCellAnchor>
  <xdr:twoCellAnchor editAs="oneCell">
    <xdr:from>
      <xdr:col>3</xdr:col>
      <xdr:colOff>68589</xdr:colOff>
      <xdr:row>4</xdr:row>
      <xdr:rowOff>504824</xdr:rowOff>
    </xdr:from>
    <xdr:to>
      <xdr:col>6</xdr:col>
      <xdr:colOff>2659389</xdr:colOff>
      <xdr:row>4</xdr:row>
      <xdr:rowOff>962024</xdr:rowOff>
    </xdr:to>
    <xdr:sp macro="" textlink="">
      <xdr:nvSpPr>
        <xdr:cNvPr id="31" name="Rectangle 30"/>
        <xdr:cNvSpPr>
          <a:spLocks/>
        </xdr:cNvSpPr>
      </xdr:nvSpPr>
      <xdr:spPr>
        <a:xfrm>
          <a:off x="1183014" y="1314449"/>
          <a:ext cx="4829175" cy="457200"/>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2000" b="1" cap="none" spc="50">
              <a:ln w="11430">
                <a:noFill/>
              </a:ln>
              <a:solidFill>
                <a:schemeClr val="tx1">
                  <a:lumMod val="50000"/>
                  <a:lumOff val="50000"/>
                </a:schemeClr>
              </a:solidFill>
              <a:effectLst/>
              <a:latin typeface="Open Sans" panose="020B0606030504020204" pitchFamily="34" charset="0"/>
              <a:ea typeface="Open Sans" panose="020B0606030504020204" pitchFamily="34" charset="0"/>
              <a:cs typeface="Open Sans" panose="020B0606030504020204" pitchFamily="34" charset="0"/>
            </a:rPr>
            <a:t>Corporate</a:t>
          </a:r>
        </a:p>
      </xdr:txBody>
    </xdr: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514350</xdr:colOff>
          <xdr:row>13</xdr:row>
          <xdr:rowOff>47625</xdr:rowOff>
        </xdr:from>
        <xdr:to>
          <xdr:col>10</xdr:col>
          <xdr:colOff>781050</xdr:colOff>
          <xdr:row>15</xdr:row>
          <xdr:rowOff>95250</xdr:rowOff>
        </xdr:to>
        <xdr:sp macro="" textlink="">
          <xdr:nvSpPr>
            <xdr:cNvPr id="8932354" name="Button 2" hidden="1">
              <a:extLst>
                <a:ext uri="{63B3BB69-23CF-44E3-9099-C40C66FF867C}">
                  <a14:compatExt spid="_x0000_s89323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New Year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904875</xdr:colOff>
      <xdr:row>116</xdr:row>
      <xdr:rowOff>142875</xdr:rowOff>
    </xdr:from>
    <xdr:to>
      <xdr:col>4</xdr:col>
      <xdr:colOff>200025</xdr:colOff>
      <xdr:row>122</xdr:row>
      <xdr:rowOff>9525</xdr:rowOff>
    </xdr:to>
    <xdr:sp macro="" textlink="">
      <xdr:nvSpPr>
        <xdr:cNvPr id="12117283" name="Line 571"/>
        <xdr:cNvSpPr>
          <a:spLocks noChangeShapeType="1"/>
        </xdr:cNvSpPr>
      </xdr:nvSpPr>
      <xdr:spPr bwMode="auto">
        <a:xfrm flipV="1">
          <a:off x="1562100" y="17011650"/>
          <a:ext cx="2352675" cy="7334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847725</xdr:colOff>
      <xdr:row>117</xdr:row>
      <xdr:rowOff>0</xdr:rowOff>
    </xdr:from>
    <xdr:to>
      <xdr:col>9</xdr:col>
      <xdr:colOff>190500</xdr:colOff>
      <xdr:row>124</xdr:row>
      <xdr:rowOff>9525</xdr:rowOff>
    </xdr:to>
    <xdr:sp macro="" textlink="">
      <xdr:nvSpPr>
        <xdr:cNvPr id="12117284" name="Line 572"/>
        <xdr:cNvSpPr>
          <a:spLocks noChangeShapeType="1"/>
        </xdr:cNvSpPr>
      </xdr:nvSpPr>
      <xdr:spPr bwMode="auto">
        <a:xfrm flipH="1" flipV="1">
          <a:off x="8848725" y="17021175"/>
          <a:ext cx="1000125" cy="10096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1019175</xdr:colOff>
      <xdr:row>119</xdr:row>
      <xdr:rowOff>66675</xdr:rowOff>
    </xdr:from>
    <xdr:to>
      <xdr:col>4</xdr:col>
      <xdr:colOff>485775</xdr:colOff>
      <xdr:row>128</xdr:row>
      <xdr:rowOff>9525</xdr:rowOff>
    </xdr:to>
    <xdr:sp macro="" textlink="">
      <xdr:nvSpPr>
        <xdr:cNvPr id="12117285" name="Line 573"/>
        <xdr:cNvSpPr>
          <a:spLocks noChangeShapeType="1"/>
        </xdr:cNvSpPr>
      </xdr:nvSpPr>
      <xdr:spPr bwMode="auto">
        <a:xfrm flipV="1">
          <a:off x="1676400" y="17373600"/>
          <a:ext cx="2524125" cy="12287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847725</xdr:colOff>
      <xdr:row>119</xdr:row>
      <xdr:rowOff>66675</xdr:rowOff>
    </xdr:from>
    <xdr:to>
      <xdr:col>5</xdr:col>
      <xdr:colOff>523875</xdr:colOff>
      <xdr:row>139</xdr:row>
      <xdr:rowOff>123825</xdr:rowOff>
    </xdr:to>
    <xdr:sp macro="" textlink="">
      <xdr:nvSpPr>
        <xdr:cNvPr id="12117286" name="Line 574"/>
        <xdr:cNvSpPr>
          <a:spLocks noChangeShapeType="1"/>
        </xdr:cNvSpPr>
      </xdr:nvSpPr>
      <xdr:spPr bwMode="auto">
        <a:xfrm flipV="1">
          <a:off x="1504950" y="17373600"/>
          <a:ext cx="4162425" cy="29146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371475</xdr:colOff>
      <xdr:row>119</xdr:row>
      <xdr:rowOff>104775</xdr:rowOff>
    </xdr:from>
    <xdr:to>
      <xdr:col>8</xdr:col>
      <xdr:colOff>409575</xdr:colOff>
      <xdr:row>126</xdr:row>
      <xdr:rowOff>28575</xdr:rowOff>
    </xdr:to>
    <xdr:sp macro="" textlink="">
      <xdr:nvSpPr>
        <xdr:cNvPr id="12117287" name="Line 576"/>
        <xdr:cNvSpPr>
          <a:spLocks noChangeShapeType="1"/>
        </xdr:cNvSpPr>
      </xdr:nvSpPr>
      <xdr:spPr bwMode="auto">
        <a:xfrm flipH="1" flipV="1">
          <a:off x="8372475" y="17411700"/>
          <a:ext cx="1038225" cy="9239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952500</xdr:colOff>
      <xdr:row>140</xdr:row>
      <xdr:rowOff>28575</xdr:rowOff>
    </xdr:from>
    <xdr:to>
      <xdr:col>4</xdr:col>
      <xdr:colOff>295275</xdr:colOff>
      <xdr:row>148</xdr:row>
      <xdr:rowOff>85725</xdr:rowOff>
    </xdr:to>
    <xdr:sp macro="" textlink="">
      <xdr:nvSpPr>
        <xdr:cNvPr id="12117288" name="Line 577"/>
        <xdr:cNvSpPr>
          <a:spLocks noChangeShapeType="1"/>
        </xdr:cNvSpPr>
      </xdr:nvSpPr>
      <xdr:spPr bwMode="auto">
        <a:xfrm flipV="1">
          <a:off x="1609725" y="20335875"/>
          <a:ext cx="2400300" cy="12001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914400</xdr:colOff>
      <xdr:row>141</xdr:row>
      <xdr:rowOff>76200</xdr:rowOff>
    </xdr:from>
    <xdr:to>
      <xdr:col>4</xdr:col>
      <xdr:colOff>561975</xdr:colOff>
      <xdr:row>150</xdr:row>
      <xdr:rowOff>85725</xdr:rowOff>
    </xdr:to>
    <xdr:sp macro="" textlink="">
      <xdr:nvSpPr>
        <xdr:cNvPr id="12117289" name="Line 578"/>
        <xdr:cNvSpPr>
          <a:spLocks noChangeShapeType="1"/>
        </xdr:cNvSpPr>
      </xdr:nvSpPr>
      <xdr:spPr bwMode="auto">
        <a:xfrm flipV="1">
          <a:off x="1571625" y="20526375"/>
          <a:ext cx="2705100" cy="1295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1000125</xdr:colOff>
      <xdr:row>130</xdr:row>
      <xdr:rowOff>95250</xdr:rowOff>
    </xdr:from>
    <xdr:to>
      <xdr:col>5</xdr:col>
      <xdr:colOff>190500</xdr:colOff>
      <xdr:row>143</xdr:row>
      <xdr:rowOff>47625</xdr:rowOff>
    </xdr:to>
    <xdr:sp macro="" textlink="">
      <xdr:nvSpPr>
        <xdr:cNvPr id="12117290" name="Line 579"/>
        <xdr:cNvSpPr>
          <a:spLocks noChangeShapeType="1"/>
        </xdr:cNvSpPr>
      </xdr:nvSpPr>
      <xdr:spPr bwMode="auto">
        <a:xfrm flipV="1">
          <a:off x="1657350" y="18973800"/>
          <a:ext cx="3676650" cy="18097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1009650</xdr:colOff>
      <xdr:row>130</xdr:row>
      <xdr:rowOff>76200</xdr:rowOff>
    </xdr:from>
    <xdr:to>
      <xdr:col>4</xdr:col>
      <xdr:colOff>266700</xdr:colOff>
      <xdr:row>142</xdr:row>
      <xdr:rowOff>76200</xdr:rowOff>
    </xdr:to>
    <xdr:sp macro="" textlink="">
      <xdr:nvSpPr>
        <xdr:cNvPr id="12117291" name="Line 580"/>
        <xdr:cNvSpPr>
          <a:spLocks noChangeShapeType="1"/>
        </xdr:cNvSpPr>
      </xdr:nvSpPr>
      <xdr:spPr bwMode="auto">
        <a:xfrm flipV="1">
          <a:off x="1666875" y="18954750"/>
          <a:ext cx="2314575" cy="17145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142875</xdr:colOff>
      <xdr:row>136</xdr:row>
      <xdr:rowOff>38100</xdr:rowOff>
    </xdr:from>
    <xdr:to>
      <xdr:col>4</xdr:col>
      <xdr:colOff>57150</xdr:colOff>
      <xdr:row>144</xdr:row>
      <xdr:rowOff>66675</xdr:rowOff>
    </xdr:to>
    <xdr:sp macro="" textlink="">
      <xdr:nvSpPr>
        <xdr:cNvPr id="12117292" name="Line 612601"/>
        <xdr:cNvSpPr>
          <a:spLocks noChangeShapeType="1"/>
        </xdr:cNvSpPr>
      </xdr:nvSpPr>
      <xdr:spPr bwMode="auto">
        <a:xfrm flipV="1">
          <a:off x="1876425" y="19773900"/>
          <a:ext cx="1895475" cy="11715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971550</xdr:colOff>
      <xdr:row>137</xdr:row>
      <xdr:rowOff>47625</xdr:rowOff>
    </xdr:from>
    <xdr:to>
      <xdr:col>4</xdr:col>
      <xdr:colOff>57150</xdr:colOff>
      <xdr:row>146</xdr:row>
      <xdr:rowOff>38100</xdr:rowOff>
    </xdr:to>
    <xdr:sp macro="" textlink="">
      <xdr:nvSpPr>
        <xdr:cNvPr id="12117293" name="Line 612602"/>
        <xdr:cNvSpPr>
          <a:spLocks noChangeShapeType="1"/>
        </xdr:cNvSpPr>
      </xdr:nvSpPr>
      <xdr:spPr bwMode="auto">
        <a:xfrm flipV="1">
          <a:off x="1628775" y="19926300"/>
          <a:ext cx="2143125" cy="12763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19050</xdr:colOff>
      <xdr:row>692</xdr:row>
      <xdr:rowOff>19050</xdr:rowOff>
    </xdr:from>
    <xdr:to>
      <xdr:col>5</xdr:col>
      <xdr:colOff>666750</xdr:colOff>
      <xdr:row>711</xdr:row>
      <xdr:rowOff>47625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95250</xdr:colOff>
      <xdr:row>692</xdr:row>
      <xdr:rowOff>9525</xdr:rowOff>
    </xdr:from>
    <xdr:to>
      <xdr:col>11</xdr:col>
      <xdr:colOff>285750</xdr:colOff>
      <xdr:row>711</xdr:row>
      <xdr:rowOff>38100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712</xdr:row>
      <xdr:rowOff>38100</xdr:rowOff>
    </xdr:from>
    <xdr:to>
      <xdr:col>5</xdr:col>
      <xdr:colOff>676275</xdr:colOff>
      <xdr:row>731</xdr:row>
      <xdr:rowOff>66675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95250</xdr:colOff>
      <xdr:row>712</xdr:row>
      <xdr:rowOff>28575</xdr:rowOff>
    </xdr:from>
    <xdr:to>
      <xdr:col>11</xdr:col>
      <xdr:colOff>285750</xdr:colOff>
      <xdr:row>731</xdr:row>
      <xdr:rowOff>57150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38100</xdr:colOff>
      <xdr:row>732</xdr:row>
      <xdr:rowOff>71437</xdr:rowOff>
    </xdr:from>
    <xdr:to>
      <xdr:col>5</xdr:col>
      <xdr:colOff>685800</xdr:colOff>
      <xdr:row>751</xdr:row>
      <xdr:rowOff>100012</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104775</xdr:colOff>
      <xdr:row>732</xdr:row>
      <xdr:rowOff>66675</xdr:rowOff>
    </xdr:from>
    <xdr:to>
      <xdr:col>11</xdr:col>
      <xdr:colOff>295275</xdr:colOff>
      <xdr:row>751</xdr:row>
      <xdr:rowOff>95250</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38100</xdr:colOff>
      <xdr:row>752</xdr:row>
      <xdr:rowOff>38100</xdr:rowOff>
    </xdr:from>
    <xdr:to>
      <xdr:col>5</xdr:col>
      <xdr:colOff>685800</xdr:colOff>
      <xdr:row>771</xdr:row>
      <xdr:rowOff>66675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15.xml"/><Relationship Id="rId18" Type="http://schemas.openxmlformats.org/officeDocument/2006/relationships/ctrlProp" Target="../ctrlProps/ctrlProp20.xml"/><Relationship Id="rId26" Type="http://schemas.openxmlformats.org/officeDocument/2006/relationships/ctrlProp" Target="../ctrlProps/ctrlProp28.xml"/><Relationship Id="rId39" Type="http://schemas.openxmlformats.org/officeDocument/2006/relationships/ctrlProp" Target="../ctrlProps/ctrlProp41.xml"/><Relationship Id="rId21" Type="http://schemas.openxmlformats.org/officeDocument/2006/relationships/ctrlProp" Target="../ctrlProps/ctrlProp23.xml"/><Relationship Id="rId34" Type="http://schemas.openxmlformats.org/officeDocument/2006/relationships/ctrlProp" Target="../ctrlProps/ctrlProp36.xml"/><Relationship Id="rId42" Type="http://schemas.openxmlformats.org/officeDocument/2006/relationships/ctrlProp" Target="../ctrlProps/ctrlProp44.xml"/><Relationship Id="rId7" Type="http://schemas.openxmlformats.org/officeDocument/2006/relationships/ctrlProp" Target="../ctrlProps/ctrlProp9.xml"/><Relationship Id="rId2" Type="http://schemas.openxmlformats.org/officeDocument/2006/relationships/vmlDrawing" Target="../drawings/vmlDrawing5.vml"/><Relationship Id="rId16" Type="http://schemas.openxmlformats.org/officeDocument/2006/relationships/ctrlProp" Target="../ctrlProps/ctrlProp18.xml"/><Relationship Id="rId20" Type="http://schemas.openxmlformats.org/officeDocument/2006/relationships/ctrlProp" Target="../ctrlProps/ctrlProp22.xml"/><Relationship Id="rId29" Type="http://schemas.openxmlformats.org/officeDocument/2006/relationships/ctrlProp" Target="../ctrlProps/ctrlProp31.xml"/><Relationship Id="rId41" Type="http://schemas.openxmlformats.org/officeDocument/2006/relationships/ctrlProp" Target="../ctrlProps/ctrlProp43.xml"/><Relationship Id="rId1" Type="http://schemas.openxmlformats.org/officeDocument/2006/relationships/drawing" Target="../drawings/drawing8.xml"/><Relationship Id="rId6" Type="http://schemas.openxmlformats.org/officeDocument/2006/relationships/ctrlProp" Target="../ctrlProps/ctrlProp8.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10" Type="http://schemas.openxmlformats.org/officeDocument/2006/relationships/ctrlProp" Target="../ctrlProps/ctrlProp12.xml"/><Relationship Id="rId19" Type="http://schemas.openxmlformats.org/officeDocument/2006/relationships/ctrlProp" Target="../ctrlProps/ctrlProp21.xml"/><Relationship Id="rId31" Type="http://schemas.openxmlformats.org/officeDocument/2006/relationships/ctrlProp" Target="../ctrlProps/ctrlProp33.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8" Type="http://schemas.openxmlformats.org/officeDocument/2006/relationships/ctrlProp" Target="../ctrlProps/ctrlProp10.xml"/><Relationship Id="rId3" Type="http://schemas.openxmlformats.org/officeDocument/2006/relationships/ctrlProp" Target="../ctrlProps/ctrlProp5.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9.vml"/><Relationship Id="rId1" Type="http://schemas.openxmlformats.org/officeDocument/2006/relationships/drawing" Target="../drawings/drawing12.xml"/><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1.vml"/><Relationship Id="rId1" Type="http://schemas.openxmlformats.org/officeDocument/2006/relationships/drawing" Target="../drawings/drawing14.xml"/><Relationship Id="rId4" Type="http://schemas.openxmlformats.org/officeDocument/2006/relationships/comments" Target="../comments8.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52.xml"/><Relationship Id="rId13" Type="http://schemas.openxmlformats.org/officeDocument/2006/relationships/ctrlProp" Target="../ctrlProps/ctrlProp57.xml"/><Relationship Id="rId18" Type="http://schemas.openxmlformats.org/officeDocument/2006/relationships/ctrlProp" Target="../ctrlProps/ctrlProp62.xml"/><Relationship Id="rId26" Type="http://schemas.openxmlformats.org/officeDocument/2006/relationships/comments" Target="../comments9.xml"/><Relationship Id="rId3" Type="http://schemas.openxmlformats.org/officeDocument/2006/relationships/vmlDrawing" Target="../drawings/vmlDrawing12.vml"/><Relationship Id="rId21" Type="http://schemas.openxmlformats.org/officeDocument/2006/relationships/ctrlProp" Target="../ctrlProps/ctrlProp65.xml"/><Relationship Id="rId7" Type="http://schemas.openxmlformats.org/officeDocument/2006/relationships/ctrlProp" Target="../ctrlProps/ctrlProp51.xml"/><Relationship Id="rId12" Type="http://schemas.openxmlformats.org/officeDocument/2006/relationships/ctrlProp" Target="../ctrlProps/ctrlProp56.xml"/><Relationship Id="rId17" Type="http://schemas.openxmlformats.org/officeDocument/2006/relationships/ctrlProp" Target="../ctrlProps/ctrlProp61.xml"/><Relationship Id="rId25" Type="http://schemas.openxmlformats.org/officeDocument/2006/relationships/ctrlProp" Target="../ctrlProps/ctrlProp69.xml"/><Relationship Id="rId2" Type="http://schemas.openxmlformats.org/officeDocument/2006/relationships/drawing" Target="../drawings/drawing15.xml"/><Relationship Id="rId16" Type="http://schemas.openxmlformats.org/officeDocument/2006/relationships/ctrlProp" Target="../ctrlProps/ctrlProp60.xml"/><Relationship Id="rId20" Type="http://schemas.openxmlformats.org/officeDocument/2006/relationships/ctrlProp" Target="../ctrlProps/ctrlProp64.xml"/><Relationship Id="rId1" Type="http://schemas.openxmlformats.org/officeDocument/2006/relationships/printerSettings" Target="../printerSettings/printerSettings9.bin"/><Relationship Id="rId6" Type="http://schemas.openxmlformats.org/officeDocument/2006/relationships/ctrlProp" Target="../ctrlProps/ctrlProp50.xml"/><Relationship Id="rId11" Type="http://schemas.openxmlformats.org/officeDocument/2006/relationships/ctrlProp" Target="../ctrlProps/ctrlProp55.xml"/><Relationship Id="rId24" Type="http://schemas.openxmlformats.org/officeDocument/2006/relationships/ctrlProp" Target="../ctrlProps/ctrlProp68.xml"/><Relationship Id="rId5" Type="http://schemas.openxmlformats.org/officeDocument/2006/relationships/ctrlProp" Target="../ctrlProps/ctrlProp49.xml"/><Relationship Id="rId15" Type="http://schemas.openxmlformats.org/officeDocument/2006/relationships/ctrlProp" Target="../ctrlProps/ctrlProp59.xml"/><Relationship Id="rId23" Type="http://schemas.openxmlformats.org/officeDocument/2006/relationships/ctrlProp" Target="../ctrlProps/ctrlProp67.xml"/><Relationship Id="rId10" Type="http://schemas.openxmlformats.org/officeDocument/2006/relationships/ctrlProp" Target="../ctrlProps/ctrlProp54.xml"/><Relationship Id="rId19" Type="http://schemas.openxmlformats.org/officeDocument/2006/relationships/ctrlProp" Target="../ctrlProps/ctrlProp63.xml"/><Relationship Id="rId4" Type="http://schemas.openxmlformats.org/officeDocument/2006/relationships/ctrlProp" Target="../ctrlProps/ctrlProp48.xml"/><Relationship Id="rId9" Type="http://schemas.openxmlformats.org/officeDocument/2006/relationships/ctrlProp" Target="../ctrlProps/ctrlProp53.xml"/><Relationship Id="rId14" Type="http://schemas.openxmlformats.org/officeDocument/2006/relationships/ctrlProp" Target="../ctrlProps/ctrlProp58.xml"/><Relationship Id="rId22" Type="http://schemas.openxmlformats.org/officeDocument/2006/relationships/ctrlProp" Target="../ctrlProps/ctrlProp6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6.xml"/><Relationship Id="rId1" Type="http://schemas.openxmlformats.org/officeDocument/2006/relationships/printerSettings" Target="../printerSettings/printerSettings11.bin"/><Relationship Id="rId5" Type="http://schemas.openxmlformats.org/officeDocument/2006/relationships/comments" Target="../comments10.xml"/><Relationship Id="rId4" Type="http://schemas.openxmlformats.org/officeDocument/2006/relationships/ctrlProp" Target="../ctrlProps/ctrlProp70.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9.bin"/><Relationship Id="rId4" Type="http://schemas.openxmlformats.org/officeDocument/2006/relationships/comments" Target="../comments14.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ecker"/>
  <dimension ref="K3:P28"/>
  <sheetViews>
    <sheetView workbookViewId="0"/>
  </sheetViews>
  <sheetFormatPr defaultRowHeight="11.25"/>
  <cols>
    <col min="15" max="15" width="14.6640625" bestFit="1" customWidth="1"/>
    <col min="16" max="16" width="11.1640625" customWidth="1"/>
  </cols>
  <sheetData>
    <row r="3" spans="11:16" ht="12" thickBot="1"/>
    <row r="4" spans="11:16" ht="12" thickBot="1">
      <c r="K4" t="s">
        <v>881</v>
      </c>
      <c r="M4" t="s">
        <v>882</v>
      </c>
      <c r="O4" s="397" t="s">
        <v>883</v>
      </c>
      <c r="P4" s="6" t="s">
        <v>1117</v>
      </c>
    </row>
    <row r="5" spans="11:16" ht="12" thickBot="1">
      <c r="K5" s="398" t="s">
        <v>1118</v>
      </c>
      <c r="M5" s="398" t="s">
        <v>1231</v>
      </c>
      <c r="O5" s="399" t="s">
        <v>1119</v>
      </c>
      <c r="P5" s="6" t="b">
        <v>1</v>
      </c>
    </row>
    <row r="6" spans="11:16">
      <c r="K6" s="399" t="s">
        <v>1120</v>
      </c>
      <c r="M6" t="s">
        <v>1003</v>
      </c>
      <c r="O6" s="399"/>
    </row>
    <row r="7" spans="11:16">
      <c r="K7" s="399" t="s">
        <v>1121</v>
      </c>
      <c r="M7" s="399"/>
      <c r="O7" s="399"/>
    </row>
    <row r="8" spans="11:16">
      <c r="K8" s="399" t="s">
        <v>1122</v>
      </c>
      <c r="M8" s="399"/>
      <c r="O8" s="399"/>
      <c r="P8" t="s">
        <v>1123</v>
      </c>
    </row>
    <row r="9" spans="11:16">
      <c r="K9" s="399"/>
      <c r="M9" s="399"/>
      <c r="O9" s="399"/>
      <c r="P9" t="b">
        <v>1</v>
      </c>
    </row>
    <row r="10" spans="11:16">
      <c r="K10" s="399"/>
      <c r="M10" s="399"/>
      <c r="O10" s="399"/>
    </row>
    <row r="11" spans="11:16">
      <c r="K11" s="399"/>
      <c r="M11" s="399"/>
      <c r="O11" s="399"/>
    </row>
    <row r="12" spans="11:16">
      <c r="K12" s="399"/>
      <c r="M12" s="399"/>
      <c r="O12" s="399"/>
    </row>
    <row r="13" spans="11:16">
      <c r="K13" s="399"/>
      <c r="M13" s="399"/>
      <c r="O13" s="399"/>
    </row>
    <row r="14" spans="11:16">
      <c r="K14" s="399"/>
      <c r="M14" s="399"/>
      <c r="O14" s="399"/>
    </row>
    <row r="15" spans="11:16">
      <c r="K15" s="399"/>
      <c r="M15" s="399"/>
      <c r="O15" s="399"/>
    </row>
    <row r="16" spans="11:16">
      <c r="K16" s="399"/>
      <c r="M16" s="399"/>
      <c r="O16" s="399"/>
    </row>
    <row r="17" spans="11:15">
      <c r="K17" s="399"/>
      <c r="M17" s="399"/>
      <c r="O17" s="399"/>
    </row>
    <row r="18" spans="11:15">
      <c r="K18" s="399"/>
      <c r="M18" s="399"/>
      <c r="O18" s="399"/>
    </row>
    <row r="19" spans="11:15">
      <c r="K19" s="399"/>
      <c r="M19" s="399"/>
      <c r="O19" s="399"/>
    </row>
    <row r="20" spans="11:15">
      <c r="K20" s="399"/>
      <c r="M20" s="399"/>
      <c r="O20" s="399"/>
    </row>
    <row r="21" spans="11:15">
      <c r="K21" s="399"/>
      <c r="M21" s="399"/>
      <c r="O21" s="399"/>
    </row>
    <row r="22" spans="11:15">
      <c r="K22" s="399"/>
      <c r="M22" s="399"/>
      <c r="O22" s="399"/>
    </row>
    <row r="23" spans="11:15">
      <c r="K23" s="399"/>
      <c r="M23" s="399"/>
      <c r="O23" s="399"/>
    </row>
    <row r="24" spans="11:15">
      <c r="K24" s="399"/>
      <c r="M24" s="399"/>
      <c r="O24" s="399"/>
    </row>
    <row r="25" spans="11:15">
      <c r="K25" s="399"/>
      <c r="M25" s="399"/>
      <c r="O25" s="399"/>
    </row>
    <row r="26" spans="11:15">
      <c r="K26" s="399"/>
      <c r="M26" s="399"/>
      <c r="O26" s="399"/>
    </row>
    <row r="27" spans="11:15" ht="12" thickBot="1">
      <c r="K27" s="400"/>
      <c r="M27" s="400"/>
      <c r="O27" s="400"/>
    </row>
    <row r="28" spans="11:15">
      <c r="K28" t="b">
        <v>1</v>
      </c>
      <c r="M28" t="b">
        <v>0</v>
      </c>
      <c r="O28" t="b">
        <v>1</v>
      </c>
    </row>
  </sheetData>
  <phoneticPr fontId="0"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27652" r:id="rId4" name="CheckBox3">
          <controlPr defaultSize="0" autoLine="0" linkedCell="O28" r:id="rId5">
            <anchor moveWithCells="1">
              <from>
                <xdr:col>14</xdr:col>
                <xdr:colOff>0</xdr:colOff>
                <xdr:row>27</xdr:row>
                <xdr:rowOff>0</xdr:rowOff>
              </from>
              <to>
                <xdr:col>16</xdr:col>
                <xdr:colOff>0</xdr:colOff>
                <xdr:row>30</xdr:row>
                <xdr:rowOff>0</xdr:rowOff>
              </to>
            </anchor>
          </controlPr>
        </control>
      </mc:Choice>
      <mc:Fallback>
        <control shapeId="27652" r:id="rId4" name="CheckBox3"/>
      </mc:Fallback>
    </mc:AlternateContent>
    <mc:AlternateContent xmlns:mc="http://schemas.openxmlformats.org/markup-compatibility/2006">
      <mc:Choice Requires="x14">
        <control shapeId="27651" r:id="rId6" name="CheckBox2">
          <controlPr defaultSize="0" autoLine="0" linkedCell="M28" r:id="rId7">
            <anchor moveWithCells="1">
              <from>
                <xdr:col>12</xdr:col>
                <xdr:colOff>0</xdr:colOff>
                <xdr:row>27</xdr:row>
                <xdr:rowOff>0</xdr:rowOff>
              </from>
              <to>
                <xdr:col>14</xdr:col>
                <xdr:colOff>0</xdr:colOff>
                <xdr:row>30</xdr:row>
                <xdr:rowOff>0</xdr:rowOff>
              </to>
            </anchor>
          </controlPr>
        </control>
      </mc:Choice>
      <mc:Fallback>
        <control shapeId="27651" r:id="rId6" name="CheckBox2"/>
      </mc:Fallback>
    </mc:AlternateContent>
    <mc:AlternateContent xmlns:mc="http://schemas.openxmlformats.org/markup-compatibility/2006">
      <mc:Choice Requires="x14">
        <control shapeId="27650" r:id="rId8" name="CheckBox1">
          <controlPr defaultSize="0" autoLine="0" linkedCell="K28" r:id="rId9">
            <anchor moveWithCells="1">
              <from>
                <xdr:col>10</xdr:col>
                <xdr:colOff>0</xdr:colOff>
                <xdr:row>27</xdr:row>
                <xdr:rowOff>0</xdr:rowOff>
              </from>
              <to>
                <xdr:col>12</xdr:col>
                <xdr:colOff>0</xdr:colOff>
                <xdr:row>30</xdr:row>
                <xdr:rowOff>0</xdr:rowOff>
              </to>
            </anchor>
          </controlPr>
        </control>
      </mc:Choice>
      <mc:Fallback>
        <control shapeId="27650" r:id="rId8" name="CheckBox1"/>
      </mc:Fallback>
    </mc:AlternateContent>
    <mc:AlternateContent xmlns:mc="http://schemas.openxmlformats.org/markup-compatibility/2006">
      <mc:Choice Requires="x14">
        <control shapeId="27649" r:id="rId10" name="checkRunButton">
          <controlPr defaultSize="0" autoLine="0" autoPict="0" r:id="rId11">
            <anchor moveWithCells="1">
              <from>
                <xdr:col>10</xdr:col>
                <xdr:colOff>38100</xdr:colOff>
                <xdr:row>30</xdr:row>
                <xdr:rowOff>0</xdr:rowOff>
              </from>
              <to>
                <xdr:col>13</xdr:col>
                <xdr:colOff>0</xdr:colOff>
                <xdr:row>32</xdr:row>
                <xdr:rowOff>0</xdr:rowOff>
              </to>
            </anchor>
          </controlPr>
        </control>
      </mc:Choice>
      <mc:Fallback>
        <control shapeId="27649" r:id="rId10" name="checkRunButt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25"/>
  <sheetViews>
    <sheetView zoomScaleNormal="100" workbookViewId="0">
      <pane ySplit="2" topLeftCell="A3" activePane="bottomLeft" state="frozen"/>
      <selection pane="bottomLeft" activeCell="G16" sqref="G16"/>
    </sheetView>
  </sheetViews>
  <sheetFormatPr defaultRowHeight="11.25"/>
  <cols>
    <col min="1" max="1" width="6" customWidth="1"/>
    <col min="2" max="2" width="13.1640625" customWidth="1"/>
    <col min="3" max="3" width="92.5" customWidth="1"/>
    <col min="4" max="4" width="14" customWidth="1"/>
    <col min="5" max="5" width="47" style="1036" customWidth="1"/>
  </cols>
  <sheetData>
    <row r="1" spans="1:8" ht="12.75">
      <c r="A1" s="1037" t="s">
        <v>3155</v>
      </c>
      <c r="B1" s="1038"/>
      <c r="C1" s="1038"/>
      <c r="D1" s="1038"/>
      <c r="E1" s="1110"/>
    </row>
    <row r="2" spans="1:8" s="565" customFormat="1" ht="15" customHeight="1">
      <c r="A2" s="1045" t="s">
        <v>678</v>
      </c>
      <c r="B2" s="1046" t="s">
        <v>3129</v>
      </c>
      <c r="C2" s="1046" t="s">
        <v>3128</v>
      </c>
      <c r="D2" s="1046" t="s">
        <v>3148</v>
      </c>
      <c r="E2" s="1111" t="s">
        <v>3159</v>
      </c>
      <c r="H2" s="501" t="s">
        <v>3148</v>
      </c>
    </row>
    <row r="3" spans="1:8" s="1036" customFormat="1">
      <c r="A3" s="1047">
        <v>1</v>
      </c>
      <c r="B3" s="1048">
        <v>41603</v>
      </c>
      <c r="C3" s="1049" t="s">
        <v>3013</v>
      </c>
      <c r="D3" s="1050" t="s">
        <v>3149</v>
      </c>
      <c r="E3" s="1047"/>
      <c r="H3" s="1043" t="s">
        <v>3149</v>
      </c>
    </row>
    <row r="4" spans="1:8" s="1036" customFormat="1">
      <c r="A4" s="1041">
        <v>2</v>
      </c>
      <c r="B4" s="1039">
        <v>41603</v>
      </c>
      <c r="C4" s="1040" t="s">
        <v>3014</v>
      </c>
      <c r="D4" s="1042" t="s">
        <v>3149</v>
      </c>
      <c r="E4" s="1041"/>
      <c r="H4" s="1044" t="s">
        <v>3150</v>
      </c>
    </row>
    <row r="5" spans="1:8" s="1036" customFormat="1" ht="22.5">
      <c r="A5" s="1041">
        <v>3</v>
      </c>
      <c r="B5" s="1039">
        <v>41603</v>
      </c>
      <c r="C5" s="1040" t="s">
        <v>3015</v>
      </c>
      <c r="D5" s="1042" t="s">
        <v>3149</v>
      </c>
      <c r="E5" s="1041"/>
      <c r="H5" s="1044" t="s">
        <v>3151</v>
      </c>
    </row>
    <row r="6" spans="1:8" s="1036" customFormat="1">
      <c r="A6" s="1041">
        <v>4</v>
      </c>
      <c r="B6" s="1039">
        <v>41603</v>
      </c>
      <c r="C6" s="1040" t="s">
        <v>3016</v>
      </c>
      <c r="D6" s="1042" t="s">
        <v>3149</v>
      </c>
      <c r="E6" s="1041"/>
    </row>
    <row r="7" spans="1:8" s="1036" customFormat="1">
      <c r="A7" s="1041">
        <v>5</v>
      </c>
      <c r="B7" s="1039">
        <v>41603</v>
      </c>
      <c r="C7" s="1040" t="s">
        <v>3017</v>
      </c>
      <c r="D7" s="1042" t="s">
        <v>3149</v>
      </c>
      <c r="E7" s="1041"/>
    </row>
    <row r="8" spans="1:8" s="1036" customFormat="1">
      <c r="A8" s="1041">
        <v>6</v>
      </c>
      <c r="B8" s="1039">
        <v>41603</v>
      </c>
      <c r="C8" s="1040" t="s">
        <v>3018</v>
      </c>
      <c r="D8" s="1042" t="s">
        <v>3149</v>
      </c>
      <c r="E8" s="1041"/>
    </row>
    <row r="9" spans="1:8" s="1036" customFormat="1">
      <c r="A9" s="1041">
        <v>7</v>
      </c>
      <c r="B9" s="1039">
        <v>41603</v>
      </c>
      <c r="C9" s="1040" t="s">
        <v>3019</v>
      </c>
      <c r="D9" s="1042" t="s">
        <v>3149</v>
      </c>
      <c r="E9" s="1041"/>
    </row>
    <row r="10" spans="1:8" s="1036" customFormat="1" ht="22.5">
      <c r="A10" s="1041">
        <v>8</v>
      </c>
      <c r="B10" s="1039">
        <v>41603</v>
      </c>
      <c r="C10" s="1040" t="s">
        <v>3020</v>
      </c>
      <c r="D10" s="1042" t="s">
        <v>3149</v>
      </c>
      <c r="E10" s="1041"/>
    </row>
    <row r="11" spans="1:8" s="1036" customFormat="1">
      <c r="A11" s="1041">
        <v>9</v>
      </c>
      <c r="B11" s="1039">
        <v>41603</v>
      </c>
      <c r="C11" s="1040" t="s">
        <v>3021</v>
      </c>
      <c r="D11" s="1042" t="s">
        <v>3149</v>
      </c>
      <c r="E11" s="1041"/>
    </row>
    <row r="12" spans="1:8" s="1036" customFormat="1">
      <c r="A12" s="1041">
        <v>10</v>
      </c>
      <c r="B12" s="1039">
        <v>41603</v>
      </c>
      <c r="C12" s="1040" t="s">
        <v>3022</v>
      </c>
      <c r="D12" s="1042" t="s">
        <v>3149</v>
      </c>
      <c r="E12" s="1041"/>
    </row>
    <row r="13" spans="1:8" s="1036" customFormat="1">
      <c r="A13" s="1041">
        <v>11</v>
      </c>
      <c r="B13" s="1039">
        <v>41603</v>
      </c>
      <c r="C13" s="1040" t="s">
        <v>3023</v>
      </c>
      <c r="D13" s="1042" t="s">
        <v>3149</v>
      </c>
      <c r="E13" s="1041"/>
    </row>
    <row r="14" spans="1:8" s="1036" customFormat="1">
      <c r="A14" s="1041">
        <v>12</v>
      </c>
      <c r="B14" s="1039">
        <v>41603</v>
      </c>
      <c r="C14" s="1040" t="s">
        <v>3024</v>
      </c>
      <c r="D14" s="1042" t="s">
        <v>3149</v>
      </c>
      <c r="E14" s="1041"/>
    </row>
    <row r="15" spans="1:8" s="1036" customFormat="1" ht="22.5">
      <c r="A15" s="1041">
        <v>13</v>
      </c>
      <c r="B15" s="1039">
        <v>41603</v>
      </c>
      <c r="C15" s="1040" t="s">
        <v>3025</v>
      </c>
      <c r="D15" s="1042" t="s">
        <v>3149</v>
      </c>
      <c r="E15" s="1041"/>
    </row>
    <row r="16" spans="1:8" s="1036" customFormat="1">
      <c r="A16" s="1041">
        <v>14</v>
      </c>
      <c r="B16" s="1039">
        <v>41603</v>
      </c>
      <c r="C16" s="1040" t="s">
        <v>3026</v>
      </c>
      <c r="D16" s="1042" t="s">
        <v>3149</v>
      </c>
      <c r="E16" s="1041"/>
    </row>
    <row r="17" spans="1:5" s="1036" customFormat="1" ht="33.75">
      <c r="A17" s="1041">
        <v>15</v>
      </c>
      <c r="B17" s="1039">
        <v>41603</v>
      </c>
      <c r="C17" s="1040" t="s">
        <v>3027</v>
      </c>
      <c r="D17" s="1042" t="s">
        <v>3149</v>
      </c>
      <c r="E17" s="1041"/>
    </row>
    <row r="18" spans="1:5" s="1036" customFormat="1">
      <c r="A18" s="1041">
        <v>16</v>
      </c>
      <c r="B18" s="1039">
        <v>41603</v>
      </c>
      <c r="C18" s="1040" t="s">
        <v>3028</v>
      </c>
      <c r="D18" s="1042" t="s">
        <v>3149</v>
      </c>
      <c r="E18" s="1041"/>
    </row>
    <row r="19" spans="1:5" s="1036" customFormat="1">
      <c r="A19" s="1041">
        <v>17</v>
      </c>
      <c r="B19" s="1039">
        <v>41604</v>
      </c>
      <c r="C19" s="1040" t="s">
        <v>3079</v>
      </c>
      <c r="D19" s="1042" t="s">
        <v>3149</v>
      </c>
      <c r="E19" s="1041"/>
    </row>
    <row r="20" spans="1:5" s="1036" customFormat="1">
      <c r="A20" s="1041">
        <v>18</v>
      </c>
      <c r="B20" s="1039">
        <v>41604</v>
      </c>
      <c r="C20" s="1040" t="s">
        <v>3087</v>
      </c>
      <c r="D20" s="1042" t="s">
        <v>3149</v>
      </c>
      <c r="E20" s="1041"/>
    </row>
    <row r="21" spans="1:5" s="1036" customFormat="1">
      <c r="A21" s="1041">
        <v>19</v>
      </c>
      <c r="B21" s="1039">
        <v>41604</v>
      </c>
      <c r="C21" s="1040" t="s">
        <v>3080</v>
      </c>
      <c r="D21" s="1042" t="s">
        <v>3149</v>
      </c>
      <c r="E21" s="1041"/>
    </row>
    <row r="22" spans="1:5" s="1036" customFormat="1">
      <c r="A22" s="1041">
        <v>20</v>
      </c>
      <c r="B22" s="1039">
        <v>41604</v>
      </c>
      <c r="C22" s="1040" t="s">
        <v>3081</v>
      </c>
      <c r="D22" s="1042" t="s">
        <v>3149</v>
      </c>
      <c r="E22" s="1041"/>
    </row>
    <row r="23" spans="1:5" s="1036" customFormat="1">
      <c r="A23" s="1041">
        <v>21</v>
      </c>
      <c r="B23" s="1039">
        <v>41604</v>
      </c>
      <c r="C23" s="1040" t="s">
        <v>3082</v>
      </c>
      <c r="D23" s="1042" t="s">
        <v>3149</v>
      </c>
      <c r="E23" s="1041"/>
    </row>
    <row r="24" spans="1:5" s="1036" customFormat="1">
      <c r="A24" s="1041">
        <v>22</v>
      </c>
      <c r="B24" s="1039">
        <v>41604</v>
      </c>
      <c r="C24" s="1040" t="s">
        <v>3083</v>
      </c>
      <c r="D24" s="1042" t="s">
        <v>3149</v>
      </c>
      <c r="E24" s="1041"/>
    </row>
    <row r="25" spans="1:5" s="1036" customFormat="1">
      <c r="A25" s="1041">
        <v>23</v>
      </c>
      <c r="B25" s="1039">
        <v>41604</v>
      </c>
      <c r="C25" s="1040" t="s">
        <v>3084</v>
      </c>
      <c r="D25" s="1042" t="s">
        <v>3149</v>
      </c>
      <c r="E25" s="1041"/>
    </row>
    <row r="26" spans="1:5" s="1036" customFormat="1">
      <c r="A26" s="1041">
        <v>24</v>
      </c>
      <c r="B26" s="1039">
        <v>41604</v>
      </c>
      <c r="C26" s="1040" t="s">
        <v>3085</v>
      </c>
      <c r="D26" s="1042" t="s">
        <v>3149</v>
      </c>
      <c r="E26" s="1041"/>
    </row>
    <row r="27" spans="1:5" s="1036" customFormat="1">
      <c r="A27" s="1041">
        <v>25</v>
      </c>
      <c r="B27" s="1039">
        <v>41604</v>
      </c>
      <c r="C27" s="1040" t="s">
        <v>3086</v>
      </c>
      <c r="D27" s="1042" t="s">
        <v>3149</v>
      </c>
      <c r="E27" s="1041"/>
    </row>
    <row r="28" spans="1:5" s="1036" customFormat="1">
      <c r="A28" s="1041">
        <v>26</v>
      </c>
      <c r="B28" s="1039">
        <v>41611</v>
      </c>
      <c r="C28" s="1041" t="s">
        <v>3107</v>
      </c>
      <c r="D28" s="1042" t="s">
        <v>3149</v>
      </c>
      <c r="E28" s="1041"/>
    </row>
    <row r="29" spans="1:5" s="1036" customFormat="1">
      <c r="A29" s="1041">
        <v>27</v>
      </c>
      <c r="B29" s="1039">
        <v>41611</v>
      </c>
      <c r="C29" s="1041" t="s">
        <v>3108</v>
      </c>
      <c r="D29" s="1042" t="s">
        <v>3149</v>
      </c>
      <c r="E29" s="1041"/>
    </row>
    <row r="30" spans="1:5" s="1036" customFormat="1">
      <c r="A30" s="1041">
        <v>28</v>
      </c>
      <c r="B30" s="1039">
        <v>41611</v>
      </c>
      <c r="C30" s="1041" t="s">
        <v>3109</v>
      </c>
      <c r="D30" s="1042" t="s">
        <v>3149</v>
      </c>
      <c r="E30" s="1041"/>
    </row>
    <row r="31" spans="1:5" s="1036" customFormat="1" ht="22.5">
      <c r="A31" s="1041">
        <v>29</v>
      </c>
      <c r="B31" s="1039">
        <v>41611</v>
      </c>
      <c r="C31" s="1041" t="s">
        <v>3110</v>
      </c>
      <c r="D31" s="1042" t="s">
        <v>3149</v>
      </c>
      <c r="E31" s="1041"/>
    </row>
    <row r="32" spans="1:5" s="1036" customFormat="1" ht="22.5">
      <c r="A32" s="1041">
        <v>30</v>
      </c>
      <c r="B32" s="1039">
        <v>41611</v>
      </c>
      <c r="C32" s="1041" t="s">
        <v>3111</v>
      </c>
      <c r="D32" s="1042" t="s">
        <v>3149</v>
      </c>
      <c r="E32" s="1041"/>
    </row>
    <row r="33" spans="1:5" s="1036" customFormat="1">
      <c r="A33" s="1041">
        <v>31</v>
      </c>
      <c r="B33" s="1039">
        <v>41611</v>
      </c>
      <c r="C33" s="1041" t="s">
        <v>3112</v>
      </c>
      <c r="D33" s="1042" t="s">
        <v>3149</v>
      </c>
      <c r="E33" s="1041"/>
    </row>
    <row r="34" spans="1:5" s="1036" customFormat="1">
      <c r="A34" s="1041">
        <v>32</v>
      </c>
      <c r="B34" s="1039">
        <v>41611</v>
      </c>
      <c r="C34" s="1041" t="s">
        <v>3113</v>
      </c>
      <c r="D34" s="1042" t="s">
        <v>3149</v>
      </c>
      <c r="E34" s="1041"/>
    </row>
    <row r="35" spans="1:5" s="1036" customFormat="1">
      <c r="A35" s="1041">
        <v>33</v>
      </c>
      <c r="B35" s="1039">
        <v>41611</v>
      </c>
      <c r="C35" s="1041" t="s">
        <v>3114</v>
      </c>
      <c r="D35" s="1042" t="s">
        <v>3149</v>
      </c>
      <c r="E35" s="1041"/>
    </row>
    <row r="36" spans="1:5" s="1036" customFormat="1">
      <c r="A36" s="1041">
        <v>34</v>
      </c>
      <c r="B36" s="1039">
        <v>41611</v>
      </c>
      <c r="C36" s="1041" t="s">
        <v>3115</v>
      </c>
      <c r="D36" s="1042" t="s">
        <v>3149</v>
      </c>
      <c r="E36" s="1041"/>
    </row>
    <row r="37" spans="1:5" s="1036" customFormat="1">
      <c r="A37" s="1041">
        <v>35</v>
      </c>
      <c r="B37" s="1039">
        <v>41611</v>
      </c>
      <c r="C37" s="1041" t="s">
        <v>3116</v>
      </c>
      <c r="D37" s="1042" t="s">
        <v>3149</v>
      </c>
      <c r="E37" s="1041"/>
    </row>
    <row r="38" spans="1:5" s="1036" customFormat="1" ht="22.5">
      <c r="A38" s="1041">
        <v>36</v>
      </c>
      <c r="B38" s="1039">
        <v>41611</v>
      </c>
      <c r="C38" s="1041" t="s">
        <v>3142</v>
      </c>
      <c r="D38" s="1042" t="s">
        <v>3151</v>
      </c>
      <c r="E38" s="1040" t="s">
        <v>3158</v>
      </c>
    </row>
    <row r="39" spans="1:5" s="1036" customFormat="1" ht="33.75">
      <c r="A39" s="1041">
        <v>37</v>
      </c>
      <c r="B39" s="1039">
        <v>41611</v>
      </c>
      <c r="C39" s="1041" t="s">
        <v>3143</v>
      </c>
      <c r="D39" s="1042" t="s">
        <v>3151</v>
      </c>
      <c r="E39" s="1040" t="s">
        <v>3158</v>
      </c>
    </row>
    <row r="40" spans="1:5" s="1036" customFormat="1" ht="22.5">
      <c r="A40" s="1041">
        <v>38</v>
      </c>
      <c r="B40" s="1039">
        <v>41611</v>
      </c>
      <c r="C40" s="1041" t="s">
        <v>3144</v>
      </c>
      <c r="D40" s="1042" t="s">
        <v>3149</v>
      </c>
      <c r="E40" s="1041" t="s">
        <v>3152</v>
      </c>
    </row>
    <row r="41" spans="1:5" s="1036" customFormat="1">
      <c r="A41" s="1041">
        <v>39</v>
      </c>
      <c r="B41" s="1039">
        <v>41611</v>
      </c>
      <c r="C41" s="1041" t="s">
        <v>3145</v>
      </c>
      <c r="D41" s="1042" t="s">
        <v>3151</v>
      </c>
      <c r="E41" s="1041" t="s">
        <v>3153</v>
      </c>
    </row>
    <row r="42" spans="1:5" s="1036" customFormat="1">
      <c r="A42" s="1041">
        <v>40</v>
      </c>
      <c r="B42" s="1039">
        <v>41611</v>
      </c>
      <c r="C42" s="1041" t="s">
        <v>3146</v>
      </c>
      <c r="D42" s="1042" t="s">
        <v>3149</v>
      </c>
      <c r="E42" s="1041"/>
    </row>
    <row r="43" spans="1:5" s="1036" customFormat="1" ht="22.5">
      <c r="A43" s="1041">
        <v>42</v>
      </c>
      <c r="B43" s="1039">
        <v>41611</v>
      </c>
      <c r="C43" s="1041" t="s">
        <v>3147</v>
      </c>
      <c r="D43" s="1042" t="s">
        <v>3151</v>
      </c>
      <c r="E43" s="1041" t="s">
        <v>3154</v>
      </c>
    </row>
    <row r="44" spans="1:5">
      <c r="A44" s="1041">
        <v>43</v>
      </c>
      <c r="B44" s="1039">
        <v>41613</v>
      </c>
      <c r="C44" s="21" t="s">
        <v>3186</v>
      </c>
      <c r="D44" s="1042" t="s">
        <v>3149</v>
      </c>
      <c r="E44" s="1041"/>
    </row>
    <row r="45" spans="1:5">
      <c r="A45" s="1041">
        <v>44</v>
      </c>
      <c r="B45" s="1039">
        <v>41613</v>
      </c>
      <c r="C45" s="21" t="s">
        <v>3187</v>
      </c>
      <c r="D45" s="1042" t="s">
        <v>3149</v>
      </c>
      <c r="E45" s="1041"/>
    </row>
    <row r="46" spans="1:5">
      <c r="A46" s="1041">
        <v>45</v>
      </c>
      <c r="B46" s="1039">
        <v>41613</v>
      </c>
      <c r="C46" s="21" t="s">
        <v>3188</v>
      </c>
      <c r="D46" s="1042" t="s">
        <v>3149</v>
      </c>
      <c r="E46" s="1041"/>
    </row>
    <row r="47" spans="1:5">
      <c r="A47" s="1041">
        <v>46</v>
      </c>
      <c r="B47" s="1039">
        <v>41613</v>
      </c>
      <c r="C47" s="21" t="s">
        <v>3189</v>
      </c>
      <c r="D47" s="1042" t="s">
        <v>3149</v>
      </c>
      <c r="E47" s="1041"/>
    </row>
    <row r="48" spans="1:5">
      <c r="A48" s="1041">
        <v>47</v>
      </c>
      <c r="B48" s="1039">
        <v>41613</v>
      </c>
      <c r="C48" s="21" t="s">
        <v>3190</v>
      </c>
      <c r="D48" s="1042" t="s">
        <v>3149</v>
      </c>
      <c r="E48" s="1041"/>
    </row>
    <row r="49" spans="1:5">
      <c r="A49" s="1041">
        <v>48</v>
      </c>
      <c r="B49" s="1039">
        <v>41613</v>
      </c>
      <c r="C49" t="s">
        <v>3191</v>
      </c>
      <c r="D49" s="1042" t="s">
        <v>3149</v>
      </c>
    </row>
    <row r="50" spans="1:5">
      <c r="A50" s="1041">
        <v>49</v>
      </c>
      <c r="B50" s="1039">
        <v>41613</v>
      </c>
      <c r="C50" s="565" t="s">
        <v>3192</v>
      </c>
      <c r="D50" s="1042" t="s">
        <v>3149</v>
      </c>
    </row>
    <row r="51" spans="1:5">
      <c r="A51" s="1041">
        <v>50</v>
      </c>
      <c r="B51" s="1039">
        <v>41613</v>
      </c>
      <c r="C51" s="563" t="s">
        <v>3193</v>
      </c>
      <c r="D51" s="1042" t="s">
        <v>3149</v>
      </c>
      <c r="E51" s="1041"/>
    </row>
    <row r="52" spans="1:5">
      <c r="A52" s="1041">
        <v>51</v>
      </c>
      <c r="B52" s="1100">
        <v>41627</v>
      </c>
      <c r="C52" s="21" t="s">
        <v>3341</v>
      </c>
      <c r="D52" s="1042" t="s">
        <v>3149</v>
      </c>
    </row>
    <row r="53" spans="1:5" ht="33.75">
      <c r="A53" s="1041">
        <v>52</v>
      </c>
      <c r="B53" s="1100">
        <v>41627</v>
      </c>
      <c r="C53" s="563" t="s">
        <v>3343</v>
      </c>
      <c r="D53" s="1042" t="s">
        <v>3149</v>
      </c>
      <c r="E53" s="1109" t="s">
        <v>3741</v>
      </c>
    </row>
    <row r="54" spans="1:5">
      <c r="A54" s="1041">
        <v>53</v>
      </c>
      <c r="B54" s="1100">
        <v>41627</v>
      </c>
      <c r="C54" s="21" t="s">
        <v>3342</v>
      </c>
      <c r="D54" s="1042" t="s">
        <v>3149</v>
      </c>
    </row>
    <row r="55" spans="1:5">
      <c r="A55" s="1041">
        <v>54</v>
      </c>
      <c r="B55" s="1100">
        <v>41627</v>
      </c>
      <c r="C55" t="s">
        <v>3353</v>
      </c>
      <c r="D55" s="1042" t="s">
        <v>3149</v>
      </c>
    </row>
    <row r="56" spans="1:5">
      <c r="A56" s="1041">
        <v>55</v>
      </c>
      <c r="B56" s="1100">
        <v>41627</v>
      </c>
      <c r="C56" s="565" t="s">
        <v>3354</v>
      </c>
      <c r="D56" s="1042" t="s">
        <v>3149</v>
      </c>
    </row>
    <row r="57" spans="1:5">
      <c r="A57" s="1041">
        <v>56</v>
      </c>
      <c r="B57" s="1100">
        <v>41627</v>
      </c>
      <c r="C57" s="565" t="s">
        <v>3357</v>
      </c>
      <c r="D57" s="1042" t="s">
        <v>3149</v>
      </c>
    </row>
    <row r="58" spans="1:5">
      <c r="A58" s="1041">
        <v>57</v>
      </c>
      <c r="B58" s="1100">
        <v>41627</v>
      </c>
      <c r="C58" s="565" t="s">
        <v>3362</v>
      </c>
      <c r="D58" s="1042" t="s">
        <v>3149</v>
      </c>
    </row>
    <row r="59" spans="1:5">
      <c r="A59" s="1041">
        <v>58</v>
      </c>
      <c r="B59" s="1100">
        <v>41627</v>
      </c>
      <c r="C59" s="565" t="s">
        <v>3363</v>
      </c>
      <c r="D59" s="1042" t="s">
        <v>3149</v>
      </c>
    </row>
    <row r="60" spans="1:5" ht="45">
      <c r="A60" s="1041">
        <v>59</v>
      </c>
      <c r="B60" s="1100">
        <v>41648</v>
      </c>
      <c r="C60" s="1109" t="s">
        <v>3677</v>
      </c>
      <c r="D60" s="1042" t="s">
        <v>3151</v>
      </c>
      <c r="E60" s="1109" t="s">
        <v>3743</v>
      </c>
    </row>
    <row r="61" spans="1:5" ht="33.75">
      <c r="A61" s="1041">
        <v>60</v>
      </c>
      <c r="B61" s="1100">
        <v>41648</v>
      </c>
      <c r="C61" s="1109" t="s">
        <v>3659</v>
      </c>
      <c r="D61" s="1042" t="s">
        <v>3149</v>
      </c>
      <c r="E61" s="1109" t="s">
        <v>3694</v>
      </c>
    </row>
    <row r="62" spans="1:5" ht="33.75">
      <c r="A62" s="1041">
        <v>61</v>
      </c>
      <c r="B62" s="1100">
        <v>41648</v>
      </c>
      <c r="C62" s="1109" t="s">
        <v>3660</v>
      </c>
      <c r="D62" s="1042" t="s">
        <v>3149</v>
      </c>
      <c r="E62" s="1109" t="s">
        <v>3680</v>
      </c>
    </row>
    <row r="63" spans="1:5" ht="33.75">
      <c r="A63" s="1041">
        <v>62</v>
      </c>
      <c r="B63" s="1100">
        <v>41648</v>
      </c>
      <c r="C63" s="1109" t="s">
        <v>3661</v>
      </c>
      <c r="D63" s="1042" t="s">
        <v>3151</v>
      </c>
      <c r="E63" s="1109" t="s">
        <v>3683</v>
      </c>
    </row>
    <row r="64" spans="1:5" ht="33.75">
      <c r="A64" s="1041">
        <v>63</v>
      </c>
      <c r="B64" s="1100">
        <v>41648</v>
      </c>
      <c r="C64" s="1109" t="s">
        <v>3663</v>
      </c>
      <c r="D64" s="1042" t="s">
        <v>3151</v>
      </c>
      <c r="E64" s="1109" t="s">
        <v>3683</v>
      </c>
    </row>
    <row r="65" spans="1:5" ht="22.5">
      <c r="A65" s="1041">
        <v>64</v>
      </c>
      <c r="B65" s="1100">
        <v>41648</v>
      </c>
      <c r="C65" s="1109" t="s">
        <v>3664</v>
      </c>
      <c r="D65" s="1042" t="s">
        <v>3149</v>
      </c>
      <c r="E65" s="1109" t="s">
        <v>3684</v>
      </c>
    </row>
    <row r="66" spans="1:5">
      <c r="A66" s="1041">
        <v>65</v>
      </c>
      <c r="B66" s="1100">
        <v>41648</v>
      </c>
      <c r="C66" s="1109" t="s">
        <v>3665</v>
      </c>
      <c r="D66" s="1042" t="s">
        <v>3149</v>
      </c>
      <c r="E66" s="1109" t="s">
        <v>3685</v>
      </c>
    </row>
    <row r="67" spans="1:5" ht="45">
      <c r="A67" s="1041">
        <v>66</v>
      </c>
      <c r="B67" s="1100">
        <v>41648</v>
      </c>
      <c r="C67" s="1109" t="s">
        <v>3666</v>
      </c>
      <c r="D67" s="1042" t="s">
        <v>3151</v>
      </c>
      <c r="E67" s="1109" t="s">
        <v>3683</v>
      </c>
    </row>
    <row r="68" spans="1:5" ht="33.75">
      <c r="A68" s="1041">
        <v>67</v>
      </c>
      <c r="B68" s="1100">
        <v>41648</v>
      </c>
      <c r="C68" s="1109" t="s">
        <v>3662</v>
      </c>
      <c r="D68" s="1042" t="s">
        <v>3149</v>
      </c>
      <c r="E68" s="1109" t="s">
        <v>3742</v>
      </c>
    </row>
    <row r="69" spans="1:5" ht="22.5">
      <c r="A69" s="1041">
        <v>68</v>
      </c>
      <c r="B69" s="1100">
        <v>41648</v>
      </c>
      <c r="C69" s="1109" t="s">
        <v>3667</v>
      </c>
      <c r="D69" s="1042" t="s">
        <v>3149</v>
      </c>
      <c r="E69" s="1109" t="s">
        <v>3696</v>
      </c>
    </row>
    <row r="70" spans="1:5" ht="22.5">
      <c r="A70" s="1041">
        <v>69</v>
      </c>
      <c r="B70" s="1100">
        <v>41648</v>
      </c>
      <c r="C70" s="1109" t="s">
        <v>3668</v>
      </c>
      <c r="D70" s="1042" t="s">
        <v>3149</v>
      </c>
      <c r="E70" s="1109" t="s">
        <v>3697</v>
      </c>
    </row>
    <row r="71" spans="1:5" ht="33.75">
      <c r="A71" s="1041">
        <v>70</v>
      </c>
      <c r="B71" s="1100">
        <v>41648</v>
      </c>
      <c r="C71" s="1109" t="s">
        <v>3669</v>
      </c>
      <c r="D71" s="1042" t="s">
        <v>3151</v>
      </c>
      <c r="E71" s="1109" t="s">
        <v>3687</v>
      </c>
    </row>
    <row r="72" spans="1:5" ht="33.75">
      <c r="A72" s="1041">
        <v>71</v>
      </c>
      <c r="B72" s="1100">
        <v>41648</v>
      </c>
      <c r="C72" s="1109" t="s">
        <v>3670</v>
      </c>
      <c r="D72" s="1042" t="s">
        <v>3149</v>
      </c>
      <c r="E72" s="1109" t="s">
        <v>3688</v>
      </c>
    </row>
    <row r="73" spans="1:5" ht="45">
      <c r="A73" s="1041">
        <v>72</v>
      </c>
      <c r="B73" s="1100">
        <v>41648</v>
      </c>
      <c r="C73" s="1109" t="s">
        <v>3671</v>
      </c>
      <c r="D73" s="1042" t="s">
        <v>3151</v>
      </c>
      <c r="E73" s="1109" t="s">
        <v>3689</v>
      </c>
    </row>
    <row r="74" spans="1:5">
      <c r="A74" s="1041">
        <v>73</v>
      </c>
      <c r="B74" s="1100">
        <v>41648</v>
      </c>
      <c r="C74" s="1109" t="s">
        <v>3672</v>
      </c>
      <c r="D74" s="1042" t="s">
        <v>3149</v>
      </c>
      <c r="E74" s="1109" t="s">
        <v>3740</v>
      </c>
    </row>
    <row r="75" spans="1:5" ht="22.5">
      <c r="A75" s="1041">
        <v>74</v>
      </c>
      <c r="B75" s="1100">
        <v>41648</v>
      </c>
      <c r="C75" s="1109" t="s">
        <v>3673</v>
      </c>
      <c r="D75" s="1042" t="s">
        <v>3151</v>
      </c>
      <c r="E75" s="1109" t="s">
        <v>3783</v>
      </c>
    </row>
    <row r="76" spans="1:5" ht="22.5">
      <c r="A76" s="1041">
        <v>75</v>
      </c>
      <c r="B76" s="1100">
        <v>41648</v>
      </c>
      <c r="C76" s="1109" t="s">
        <v>3674</v>
      </c>
      <c r="D76" s="1042" t="s">
        <v>3149</v>
      </c>
      <c r="E76" s="1109" t="s">
        <v>3690</v>
      </c>
    </row>
    <row r="77" spans="1:5" ht="45">
      <c r="A77" s="1041">
        <v>76</v>
      </c>
      <c r="B77" s="1100">
        <v>41648</v>
      </c>
      <c r="C77" s="1109" t="s">
        <v>3675</v>
      </c>
      <c r="D77" s="1042" t="s">
        <v>3151</v>
      </c>
      <c r="E77" s="1109" t="s">
        <v>3683</v>
      </c>
    </row>
    <row r="78" spans="1:5" ht="22.5">
      <c r="A78" s="1041">
        <v>77</v>
      </c>
      <c r="B78" s="1100">
        <v>41648</v>
      </c>
      <c r="C78" s="1109" t="s">
        <v>3676</v>
      </c>
      <c r="D78" s="1042" t="s">
        <v>3151</v>
      </c>
      <c r="E78" s="1109" t="s">
        <v>3683</v>
      </c>
    </row>
    <row r="79" spans="1:5">
      <c r="A79" s="1112">
        <v>78</v>
      </c>
      <c r="B79" s="1100">
        <v>41652</v>
      </c>
      <c r="C79" s="1109" t="s">
        <v>3678</v>
      </c>
      <c r="D79" s="1042" t="s">
        <v>3149</v>
      </c>
      <c r="E79" s="1109" t="s">
        <v>3739</v>
      </c>
    </row>
    <row r="80" spans="1:5">
      <c r="A80" s="1041">
        <v>79</v>
      </c>
      <c r="B80" s="1100">
        <v>41652</v>
      </c>
      <c r="C80" s="1109" t="s">
        <v>3679</v>
      </c>
      <c r="D80" s="1042" t="s">
        <v>3149</v>
      </c>
      <c r="E80" s="1109"/>
    </row>
    <row r="81" spans="1:5" ht="33.75">
      <c r="A81" s="1112">
        <v>80</v>
      </c>
      <c r="B81" s="1100">
        <v>41652</v>
      </c>
      <c r="C81" s="1109" t="s">
        <v>3681</v>
      </c>
      <c r="D81" s="1042" t="s">
        <v>3149</v>
      </c>
      <c r="E81" s="1116" t="s">
        <v>3700</v>
      </c>
    </row>
    <row r="82" spans="1:5">
      <c r="A82" s="1041">
        <v>81</v>
      </c>
      <c r="B82" s="1100">
        <v>41652</v>
      </c>
      <c r="C82" s="1109" t="s">
        <v>3682</v>
      </c>
      <c r="D82" s="1042" t="s">
        <v>3149</v>
      </c>
      <c r="E82" s="1109"/>
    </row>
    <row r="83" spans="1:5" ht="22.5">
      <c r="A83" s="1112">
        <v>82</v>
      </c>
      <c r="B83" s="1100">
        <v>41652</v>
      </c>
      <c r="C83" s="1109" t="s">
        <v>3686</v>
      </c>
      <c r="D83" s="1042" t="s">
        <v>3149</v>
      </c>
      <c r="E83" s="1109" t="s">
        <v>3698</v>
      </c>
    </row>
    <row r="84" spans="1:5">
      <c r="A84" s="1041">
        <v>83</v>
      </c>
      <c r="B84" s="1100">
        <v>41653</v>
      </c>
      <c r="C84" s="1109" t="s">
        <v>3773</v>
      </c>
      <c r="D84" s="1042" t="s">
        <v>3151</v>
      </c>
      <c r="E84" s="1109" t="s">
        <v>3683</v>
      </c>
    </row>
    <row r="85" spans="1:5">
      <c r="A85" s="1112">
        <v>84</v>
      </c>
      <c r="B85" s="1100">
        <v>41653</v>
      </c>
      <c r="C85" s="1109" t="s">
        <v>3774</v>
      </c>
      <c r="D85" s="1042" t="s">
        <v>3151</v>
      </c>
      <c r="E85" s="1109" t="s">
        <v>3683</v>
      </c>
    </row>
    <row r="86" spans="1:5" ht="22.5">
      <c r="A86" s="1041">
        <v>85</v>
      </c>
      <c r="B86" s="1100">
        <v>41653</v>
      </c>
      <c r="C86" s="1109" t="s">
        <v>3772</v>
      </c>
      <c r="D86" s="1042" t="s">
        <v>3149</v>
      </c>
      <c r="E86" s="1109" t="s">
        <v>3767</v>
      </c>
    </row>
    <row r="87" spans="1:5" ht="22.5">
      <c r="A87" s="1112">
        <v>86</v>
      </c>
      <c r="B87" s="1100">
        <v>41653</v>
      </c>
      <c r="C87" s="1109" t="s">
        <v>3769</v>
      </c>
      <c r="D87" s="1042" t="s">
        <v>3149</v>
      </c>
      <c r="E87" s="1109" t="s">
        <v>3768</v>
      </c>
    </row>
    <row r="88" spans="1:5">
      <c r="A88" s="1041">
        <v>87</v>
      </c>
      <c r="B88" s="1100">
        <v>41653</v>
      </c>
      <c r="C88" s="1109" t="s">
        <v>3775</v>
      </c>
      <c r="D88" s="1042" t="s">
        <v>3151</v>
      </c>
      <c r="E88" s="1109" t="s">
        <v>3683</v>
      </c>
    </row>
    <row r="89" spans="1:5" ht="22.5">
      <c r="A89" s="1112">
        <v>88</v>
      </c>
      <c r="B89" s="1100">
        <v>41653</v>
      </c>
      <c r="C89" s="1109" t="s">
        <v>3770</v>
      </c>
      <c r="D89" s="1042" t="s">
        <v>3149</v>
      </c>
      <c r="E89" s="1109" t="s">
        <v>3771</v>
      </c>
    </row>
    <row r="90" spans="1:5">
      <c r="A90" s="1041">
        <v>89</v>
      </c>
      <c r="B90" s="1100">
        <v>41653</v>
      </c>
      <c r="C90" s="1109" t="s">
        <v>3776</v>
      </c>
      <c r="D90" s="1042" t="s">
        <v>3149</v>
      </c>
      <c r="E90" s="1109" t="s">
        <v>3779</v>
      </c>
    </row>
    <row r="91" spans="1:5" ht="22.5">
      <c r="A91" s="1112">
        <v>90</v>
      </c>
      <c r="B91" s="1100">
        <v>41653</v>
      </c>
      <c r="C91" s="1109" t="s">
        <v>3780</v>
      </c>
      <c r="D91" s="1042" t="s">
        <v>3149</v>
      </c>
      <c r="E91" s="1109" t="s">
        <v>3781</v>
      </c>
    </row>
    <row r="92" spans="1:5">
      <c r="A92" s="1041">
        <v>91</v>
      </c>
      <c r="B92" s="1100">
        <v>41653</v>
      </c>
      <c r="C92" s="1109" t="s">
        <v>3777</v>
      </c>
      <c r="D92" s="1042" t="s">
        <v>3151</v>
      </c>
      <c r="E92" s="1109" t="s">
        <v>3683</v>
      </c>
    </row>
    <row r="93" spans="1:5" ht="22.5">
      <c r="A93" s="1112">
        <v>92</v>
      </c>
      <c r="B93" s="1100">
        <v>41653</v>
      </c>
      <c r="C93" s="1109" t="s">
        <v>3778</v>
      </c>
      <c r="D93" s="1042" t="s">
        <v>3149</v>
      </c>
      <c r="E93" s="1109" t="s">
        <v>3782</v>
      </c>
    </row>
    <row r="94" spans="1:5">
      <c r="A94" s="1041">
        <v>93</v>
      </c>
      <c r="B94" s="1100">
        <v>41655</v>
      </c>
      <c r="C94" s="1109" t="s">
        <v>3784</v>
      </c>
      <c r="D94" s="1042" t="s">
        <v>3149</v>
      </c>
      <c r="E94" s="1109" t="s">
        <v>3785</v>
      </c>
    </row>
    <row r="95" spans="1:5">
      <c r="A95" s="1112">
        <v>94</v>
      </c>
      <c r="B95" s="1100">
        <v>41655</v>
      </c>
      <c r="C95" s="1109" t="s">
        <v>3786</v>
      </c>
      <c r="D95" s="1042" t="s">
        <v>3149</v>
      </c>
      <c r="E95" s="1109" t="s">
        <v>3787</v>
      </c>
    </row>
    <row r="96" spans="1:5">
      <c r="A96" s="1041">
        <v>95</v>
      </c>
      <c r="B96" s="1100">
        <v>41660</v>
      </c>
      <c r="C96" s="1109" t="s">
        <v>3795</v>
      </c>
      <c r="D96" s="1042" t="s">
        <v>3149</v>
      </c>
      <c r="E96" s="1125"/>
    </row>
    <row r="97" spans="1:6">
      <c r="A97" s="1112">
        <v>96</v>
      </c>
      <c r="B97" s="1100">
        <v>41660</v>
      </c>
      <c r="C97" s="1109" t="s">
        <v>3796</v>
      </c>
      <c r="D97" s="1042" t="s">
        <v>3149</v>
      </c>
      <c r="E97" s="1125"/>
    </row>
    <row r="98" spans="1:6" ht="22.5">
      <c r="A98" s="1041">
        <v>97</v>
      </c>
      <c r="B98" s="1100">
        <v>41660</v>
      </c>
      <c r="C98" s="1109" t="s">
        <v>3797</v>
      </c>
      <c r="D98" s="1042" t="s">
        <v>3149</v>
      </c>
      <c r="E98" s="1125"/>
      <c r="F98" s="565"/>
    </row>
    <row r="99" spans="1:6">
      <c r="A99" s="1112">
        <v>98</v>
      </c>
      <c r="B99" s="1100">
        <v>41660</v>
      </c>
      <c r="C99" s="1109" t="s">
        <v>3798</v>
      </c>
      <c r="D99" s="1042" t="s">
        <v>3149</v>
      </c>
    </row>
    <row r="100" spans="1:6">
      <c r="A100" s="1041">
        <v>99</v>
      </c>
      <c r="B100" s="1100">
        <v>41660</v>
      </c>
      <c r="C100" s="1109" t="s">
        <v>3799</v>
      </c>
      <c r="D100" s="1042" t="s">
        <v>3149</v>
      </c>
      <c r="E100" s="1126"/>
    </row>
    <row r="101" spans="1:6">
      <c r="A101" s="1112">
        <v>100</v>
      </c>
      <c r="B101" s="1100">
        <v>41661</v>
      </c>
      <c r="C101" s="1109" t="s">
        <v>3800</v>
      </c>
      <c r="D101" s="1042" t="s">
        <v>3149</v>
      </c>
    </row>
    <row r="102" spans="1:6">
      <c r="A102" s="1112">
        <v>101</v>
      </c>
      <c r="B102" s="1100">
        <v>41661</v>
      </c>
      <c r="C102" s="1109" t="s">
        <v>3801</v>
      </c>
      <c r="D102" s="1042" t="s">
        <v>3149</v>
      </c>
    </row>
    <row r="103" spans="1:6">
      <c r="A103" s="1041">
        <v>102</v>
      </c>
      <c r="B103" s="1100">
        <v>41661</v>
      </c>
      <c r="C103" s="1109" t="s">
        <v>3802</v>
      </c>
      <c r="D103" s="1042" t="s">
        <v>3149</v>
      </c>
    </row>
    <row r="104" spans="1:6">
      <c r="A104" s="1112">
        <v>103</v>
      </c>
      <c r="B104" s="1100">
        <v>41661</v>
      </c>
      <c r="C104" s="1109" t="s">
        <v>3803</v>
      </c>
      <c r="D104" s="1042" t="s">
        <v>3149</v>
      </c>
    </row>
    <row r="105" spans="1:6" ht="22.5">
      <c r="A105" s="1112">
        <v>104</v>
      </c>
      <c r="B105" s="1100">
        <v>42001</v>
      </c>
      <c r="C105" s="1109" t="s">
        <v>4439</v>
      </c>
      <c r="D105" s="1042" t="s">
        <v>3150</v>
      </c>
    </row>
    <row r="106" spans="1:6">
      <c r="A106" s="1041">
        <v>105</v>
      </c>
      <c r="B106" s="1100">
        <v>42001</v>
      </c>
      <c r="C106" s="1109" t="s">
        <v>4435</v>
      </c>
      <c r="D106" s="1042" t="s">
        <v>3149</v>
      </c>
      <c r="E106" s="1109" t="s">
        <v>4474</v>
      </c>
    </row>
    <row r="107" spans="1:6">
      <c r="A107" s="1112">
        <v>106</v>
      </c>
      <c r="B107" s="1100">
        <v>42001</v>
      </c>
      <c r="C107" s="1109" t="s">
        <v>4436</v>
      </c>
      <c r="D107" s="1042" t="s">
        <v>3149</v>
      </c>
      <c r="E107" s="1109" t="s">
        <v>4473</v>
      </c>
    </row>
    <row r="108" spans="1:6">
      <c r="A108" s="1112">
        <v>107</v>
      </c>
      <c r="B108" s="1100">
        <v>42001</v>
      </c>
      <c r="C108" s="1109" t="s">
        <v>4437</v>
      </c>
      <c r="D108" s="1042" t="s">
        <v>3149</v>
      </c>
      <c r="E108" s="1109" t="s">
        <v>4472</v>
      </c>
    </row>
    <row r="109" spans="1:6">
      <c r="A109" s="1041">
        <v>108</v>
      </c>
      <c r="B109" s="1100">
        <v>42001</v>
      </c>
      <c r="C109" s="1109" t="s">
        <v>4438</v>
      </c>
      <c r="D109" s="1042" t="s">
        <v>3149</v>
      </c>
      <c r="F109" s="565"/>
    </row>
    <row r="110" spans="1:6">
      <c r="A110" s="1112">
        <v>109</v>
      </c>
      <c r="B110" s="1100">
        <v>42001</v>
      </c>
      <c r="C110" s="1109" t="s">
        <v>4440</v>
      </c>
      <c r="D110" s="1042" t="s">
        <v>3149</v>
      </c>
    </row>
    <row r="111" spans="1:6">
      <c r="A111" s="1112">
        <v>110</v>
      </c>
      <c r="B111" s="1100">
        <v>42002</v>
      </c>
      <c r="C111" s="1109" t="s">
        <v>4441</v>
      </c>
      <c r="D111" s="1042" t="s">
        <v>3149</v>
      </c>
    </row>
    <row r="112" spans="1:6">
      <c r="A112" s="1041">
        <v>111</v>
      </c>
      <c r="B112" s="1100">
        <v>42002</v>
      </c>
      <c r="C112" s="1109" t="s">
        <v>4442</v>
      </c>
      <c r="D112" s="1042" t="s">
        <v>3149</v>
      </c>
    </row>
    <row r="113" spans="1:6">
      <c r="A113" s="1112">
        <v>112</v>
      </c>
      <c r="B113" s="1100">
        <v>42002</v>
      </c>
      <c r="C113" s="1109" t="s">
        <v>4443</v>
      </c>
      <c r="D113" s="1042" t="s">
        <v>3149</v>
      </c>
    </row>
    <row r="114" spans="1:6">
      <c r="A114" s="1112">
        <v>113</v>
      </c>
      <c r="B114" s="1100">
        <v>42002</v>
      </c>
      <c r="C114" s="1109" t="s">
        <v>4444</v>
      </c>
      <c r="D114" s="1042" t="s">
        <v>3149</v>
      </c>
      <c r="E114" s="1125"/>
      <c r="F114" s="565"/>
    </row>
    <row r="115" spans="1:6">
      <c r="A115" s="1041">
        <v>114</v>
      </c>
      <c r="B115" s="1100">
        <v>42002</v>
      </c>
      <c r="C115" s="1109" t="s">
        <v>4445</v>
      </c>
      <c r="D115" s="1042" t="s">
        <v>3149</v>
      </c>
    </row>
    <row r="116" spans="1:6">
      <c r="A116" s="1112">
        <v>115</v>
      </c>
      <c r="B116" s="1100">
        <v>42002</v>
      </c>
      <c r="C116" s="1109" t="s">
        <v>4446</v>
      </c>
      <c r="D116" s="1042" t="s">
        <v>3149</v>
      </c>
      <c r="E116" s="1125"/>
    </row>
    <row r="117" spans="1:6">
      <c r="E117" s="1125"/>
    </row>
    <row r="118" spans="1:6">
      <c r="E118" s="1125"/>
      <c r="F118" s="565"/>
    </row>
    <row r="120" spans="1:6">
      <c r="E120" s="1126"/>
    </row>
    <row r="125" spans="1:6">
      <c r="E125" s="1127"/>
    </row>
  </sheetData>
  <autoFilter ref="A2:E116"/>
  <dataValidations count="1">
    <dataValidation type="list" allowBlank="1" showInputMessage="1" showErrorMessage="1" sqref="D3:D116">
      <formula1>Completed</formula1>
    </dataValidation>
  </dataValidations>
  <pageMargins left="0.25" right="0.25" top="0.75" bottom="0.75" header="0.3" footer="0.3"/>
  <pageSetup orientation="landscape" horizontalDpi="4294967292"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ntrols" enableFormatConditionsCalculation="0">
    <tabColor indexed="13"/>
  </sheetPr>
  <dimension ref="A1:T193"/>
  <sheetViews>
    <sheetView workbookViewId="0">
      <pane ySplit="1" topLeftCell="A2" activePane="bottomLeft" state="frozen"/>
      <selection activeCell="J26" sqref="J26"/>
      <selection pane="bottomLeft" activeCell="K27" sqref="K27"/>
    </sheetView>
  </sheetViews>
  <sheetFormatPr defaultRowHeight="11.25"/>
  <cols>
    <col min="1" max="1" width="10.1640625" bestFit="1" customWidth="1"/>
    <col min="2" max="3" width="4.6640625" customWidth="1"/>
    <col min="4" max="4" width="26.6640625" customWidth="1"/>
    <col min="5" max="5" width="19.83203125" customWidth="1"/>
    <col min="12" max="12" width="16.6640625" bestFit="1" customWidth="1"/>
  </cols>
  <sheetData>
    <row r="1" spans="1:14" s="139" customFormat="1" ht="15.75">
      <c r="A1" s="138" t="s">
        <v>927</v>
      </c>
      <c r="B1" s="140"/>
      <c r="C1" s="140"/>
      <c r="D1" s="140"/>
      <c r="E1" s="138"/>
      <c r="F1" s="138"/>
      <c r="G1" s="138"/>
      <c r="H1" s="138"/>
      <c r="I1" s="138"/>
    </row>
    <row r="2" spans="1:14">
      <c r="D2" s="3" t="s">
        <v>1227</v>
      </c>
    </row>
    <row r="3" spans="1:14" ht="12" thickBot="1">
      <c r="D3" s="3"/>
    </row>
    <row r="4" spans="1:14" ht="12" thickBot="1">
      <c r="D4" s="3" t="s">
        <v>928</v>
      </c>
      <c r="E4" s="9">
        <v>0</v>
      </c>
      <c r="I4" s="374" t="s">
        <v>819</v>
      </c>
      <c r="J4" s="375"/>
      <c r="K4" s="176"/>
      <c r="L4" s="177"/>
    </row>
    <row r="5" spans="1:14" ht="12" thickBot="1">
      <c r="D5" s="3" t="s">
        <v>933</v>
      </c>
      <c r="E5" s="9">
        <v>1</v>
      </c>
      <c r="I5" s="376"/>
      <c r="J5" s="142"/>
      <c r="K5" s="21"/>
      <c r="L5" s="130"/>
    </row>
    <row r="6" spans="1:14" ht="12" thickBot="1">
      <c r="D6" s="3" t="s">
        <v>929</v>
      </c>
      <c r="E6" s="9">
        <v>1</v>
      </c>
      <c r="F6">
        <f>E6</f>
        <v>1</v>
      </c>
      <c r="I6" s="376" t="s">
        <v>695</v>
      </c>
      <c r="J6" s="21"/>
      <c r="K6" s="373">
        <v>6</v>
      </c>
      <c r="L6" s="130"/>
    </row>
    <row r="7" spans="1:14" ht="12" thickBot="1">
      <c r="D7" s="501" t="s">
        <v>211</v>
      </c>
      <c r="E7" s="9">
        <v>3</v>
      </c>
      <c r="F7">
        <f>E7</f>
        <v>3</v>
      </c>
      <c r="I7" s="376" t="s">
        <v>1225</v>
      </c>
      <c r="J7" s="21"/>
      <c r="K7" s="373">
        <v>4</v>
      </c>
      <c r="L7" s="130"/>
    </row>
    <row r="8" spans="1:14" ht="12" thickBot="1">
      <c r="D8" s="3" t="s">
        <v>930</v>
      </c>
      <c r="E8" s="9">
        <v>0</v>
      </c>
      <c r="I8" s="377" t="s">
        <v>820</v>
      </c>
      <c r="J8" s="132"/>
      <c r="K8" s="132"/>
      <c r="L8" s="133"/>
    </row>
    <row r="9" spans="1:14" ht="12" thickBot="1">
      <c r="D9" s="501" t="s">
        <v>806</v>
      </c>
      <c r="E9" s="9">
        <v>0</v>
      </c>
    </row>
    <row r="10" spans="1:14" ht="12" thickBot="1">
      <c r="D10" s="3" t="s">
        <v>931</v>
      </c>
      <c r="E10" s="9">
        <v>1</v>
      </c>
    </row>
    <row r="11" spans="1:14" ht="12" thickBot="1"/>
    <row r="12" spans="1:14" ht="12" thickBot="1">
      <c r="D12" s="3" t="s">
        <v>932</v>
      </c>
      <c r="E12" s="7" t="str">
        <f>decTeamName</f>
        <v>IIC</v>
      </c>
      <c r="F12" s="8" t="str">
        <f>decTeamName</f>
        <v>Bloomfield</v>
      </c>
      <c r="G12" s="8" t="str">
        <f>decTeamName</f>
        <v>Nextus</v>
      </c>
    </row>
    <row r="13" spans="1:14" ht="12" thickBot="1">
      <c r="L13" s="565" t="s">
        <v>3691</v>
      </c>
      <c r="N13" s="565" t="s">
        <v>531</v>
      </c>
    </row>
    <row r="14" spans="1:14" ht="12" thickBot="1">
      <c r="D14" s="134" t="s">
        <v>356</v>
      </c>
      <c r="E14" s="9">
        <v>1</v>
      </c>
      <c r="L14" s="565" t="s">
        <v>3692</v>
      </c>
      <c r="M14" s="9">
        <f>INDEX(paramPlant1ShutDownTrigger,xxIndexTeam)</f>
        <v>0</v>
      </c>
      <c r="N14" s="565" t="s">
        <v>3693</v>
      </c>
    </row>
    <row r="15" spans="1:14" ht="12" thickBot="1">
      <c r="L15" s="565" t="s">
        <v>3702</v>
      </c>
      <c r="M15" s="9">
        <v>5</v>
      </c>
      <c r="N15" s="565" t="s">
        <v>3703</v>
      </c>
    </row>
    <row r="16" spans="1:14" ht="12" thickBot="1">
      <c r="D16" s="3" t="s">
        <v>11</v>
      </c>
      <c r="E16" s="6" t="s">
        <v>13</v>
      </c>
    </row>
    <row r="17" spans="4:18" ht="12" thickBot="1"/>
    <row r="18" spans="4:18" ht="12" thickBot="1">
      <c r="D18" s="3" t="s">
        <v>12</v>
      </c>
      <c r="E18" s="6" t="s">
        <v>817</v>
      </c>
    </row>
    <row r="19" spans="4:18" ht="12" thickBot="1"/>
    <row r="20" spans="4:18" ht="12" thickBot="1">
      <c r="D20" s="3" t="s">
        <v>1105</v>
      </c>
      <c r="E20" s="6" t="str">
        <f>R23 &amp; "   " &amp; R24&amp; "   " &amp; R25&amp; "   " &amp; R26&amp; "   " &amp; R27&amp; "   " &amp; R28</f>
        <v>Revenues ($M) 4411   Operating Margin 19%   Cash OI ($M) 940   ESAT 63   CSAT 63   FTEs 0</v>
      </c>
    </row>
    <row r="21" spans="4:18" ht="12" thickBot="1"/>
    <row r="22" spans="4:18" ht="12" thickBot="1">
      <c r="D22" s="3" t="s">
        <v>1275</v>
      </c>
      <c r="E22" s="6" t="b">
        <v>0</v>
      </c>
      <c r="L22" s="71" t="s">
        <v>1105</v>
      </c>
      <c r="M22" s="565"/>
    </row>
    <row r="23" spans="4:18" ht="12" thickBot="1">
      <c r="D23" s="3"/>
      <c r="E23" s="21"/>
      <c r="J23" s="565" t="s">
        <v>2799</v>
      </c>
      <c r="L23" s="578">
        <f>INDEX(finPNLRev,xxIndexTeam)/1000000</f>
        <v>4411.4109745023989</v>
      </c>
      <c r="M23" s="565" t="s">
        <v>2551</v>
      </c>
      <c r="Q23" s="761">
        <f>ROUND(L23,0)</f>
        <v>4411</v>
      </c>
      <c r="R23" t="str">
        <f>J23&amp; " "&amp; Q23</f>
        <v>Revenues ($M) 4411</v>
      </c>
    </row>
    <row r="24" spans="4:18" ht="12" thickBot="1">
      <c r="D24" s="3" t="s">
        <v>700</v>
      </c>
      <c r="E24" s="6" t="b">
        <v>0</v>
      </c>
      <c r="J24" s="565" t="s">
        <v>403</v>
      </c>
      <c r="L24" s="713">
        <f>INDEX(finPNLOperatingMargin,xxIndexTeam)</f>
        <v>0.1900023113894177</v>
      </c>
      <c r="M24" s="565" t="s">
        <v>2552</v>
      </c>
      <c r="Q24" s="762">
        <f>ROUND(L24,3)*100</f>
        <v>19</v>
      </c>
      <c r="R24" t="str">
        <f>J24&amp; " "&amp; Q24&amp; "%"</f>
        <v>Operating Margin 19%</v>
      </c>
    </row>
    <row r="25" spans="4:18" ht="12" thickBot="1">
      <c r="D25" s="3"/>
      <c r="E25" s="21"/>
      <c r="J25" s="565" t="s">
        <v>2798</v>
      </c>
      <c r="L25" s="578">
        <f>INDEX(finCashOI,xxIndexTeam)/1000000</f>
        <v>940.48889702871475</v>
      </c>
      <c r="M25" s="565" t="s">
        <v>2553</v>
      </c>
      <c r="Q25" s="761">
        <f>ROUND(L25,0)</f>
        <v>940</v>
      </c>
      <c r="R25" t="str">
        <f>J25&amp; " "&amp; Q25</f>
        <v>Cash OI ($M) 940</v>
      </c>
    </row>
    <row r="26" spans="4:18" ht="12" thickBot="1">
      <c r="D26" s="3" t="s">
        <v>1333</v>
      </c>
      <c r="E26" s="6">
        <v>2007</v>
      </c>
      <c r="J26" s="565" t="s">
        <v>447</v>
      </c>
      <c r="L26" s="1264">
        <f>INDEX(capESAT,xxIndexTeam)</f>
        <v>63</v>
      </c>
      <c r="M26" s="565" t="s">
        <v>2554</v>
      </c>
      <c r="Q26" s="762">
        <f>ROUND(L26,1)</f>
        <v>63</v>
      </c>
      <c r="R26" t="str">
        <f>J26&amp; " "&amp; Q26</f>
        <v>ESAT 63</v>
      </c>
    </row>
    <row r="27" spans="4:18" ht="12" thickBot="1">
      <c r="D27" s="3"/>
      <c r="E27" s="21"/>
      <c r="J27" s="565" t="s">
        <v>450</v>
      </c>
      <c r="L27" s="1264">
        <f>INDEX(capCSAT,xxIndexTeam)</f>
        <v>63</v>
      </c>
      <c r="M27" s="565" t="s">
        <v>2555</v>
      </c>
      <c r="Q27" s="762">
        <f>ROUND(L27,1)</f>
        <v>63</v>
      </c>
      <c r="R27" t="str">
        <f>J27&amp;" "&amp;Q27</f>
        <v>CSAT 63</v>
      </c>
    </row>
    <row r="28" spans="4:18" ht="12" thickBot="1">
      <c r="D28" s="3" t="s">
        <v>1334</v>
      </c>
      <c r="E28" s="6" t="b">
        <v>0</v>
      </c>
      <c r="J28" s="565" t="s">
        <v>2792</v>
      </c>
      <c r="L28" s="578">
        <f>INDEX(capEmp1FTERemaining,xxIndexTeam)</f>
        <v>0</v>
      </c>
      <c r="M28" s="565" t="s">
        <v>2556</v>
      </c>
      <c r="Q28" s="762">
        <f>ROUND(L28,0)</f>
        <v>0</v>
      </c>
      <c r="R28" t="str">
        <f>J28&amp; " "&amp; Q28</f>
        <v>FTEs 0</v>
      </c>
    </row>
    <row r="29" spans="4:18" ht="12" thickBot="1">
      <c r="D29" s="3"/>
      <c r="E29" s="21"/>
    </row>
    <row r="30" spans="4:18" ht="12" thickBot="1">
      <c r="D30" s="3" t="s">
        <v>1335</v>
      </c>
      <c r="E30" s="6" t="b">
        <v>0</v>
      </c>
      <c r="L30" s="565" t="s">
        <v>3340</v>
      </c>
    </row>
    <row r="31" spans="4:18" ht="12" thickBot="1">
      <c r="D31" s="3"/>
      <c r="E31" s="21"/>
      <c r="L31">
        <f>INDEX(cbalPNLRev, xxIndexTeam)</f>
        <v>4411410974.5023985</v>
      </c>
      <c r="M31">
        <f>INDEX(obalPNLRev, xxIndexTeam)</f>
        <v>4411410974.5023985</v>
      </c>
      <c r="N31" s="565" t="s">
        <v>4429</v>
      </c>
    </row>
    <row r="32" spans="4:18" ht="12" thickBot="1">
      <c r="D32" s="3" t="s">
        <v>1332</v>
      </c>
      <c r="E32" s="6" t="b">
        <v>0</v>
      </c>
      <c r="L32">
        <f>INDEX(cbalPNLOperatingMargin, xxIndexTeam)</f>
        <v>0.1900023113894177</v>
      </c>
      <c r="M32">
        <f>INDEX(obalPNLOperatingMargin, xxIndexTeam)</f>
        <v>0.1900023113894177</v>
      </c>
      <c r="N32" s="565" t="s">
        <v>4430</v>
      </c>
    </row>
    <row r="33" spans="4:14">
      <c r="L33">
        <f>INDEX(cbalPNLCashOI, xxIndexTeam)</f>
        <v>940488897.02871478</v>
      </c>
      <c r="M33">
        <f>INDEX(obalPNLCashOI, xxIndexTeam)</f>
        <v>923659287.46109343</v>
      </c>
      <c r="N33" s="565" t="s">
        <v>4431</v>
      </c>
    </row>
    <row r="34" spans="4:14">
      <c r="D34" s="3" t="s">
        <v>1297</v>
      </c>
      <c r="E34" s="291"/>
      <c r="L34">
        <f>INDEX(cbalESAT,xxIndexTeam)</f>
        <v>63</v>
      </c>
      <c r="M34">
        <f>INDEX(obalESAT,xxIndexTeam)</f>
        <v>63</v>
      </c>
      <c r="N34" s="565" t="s">
        <v>4432</v>
      </c>
    </row>
    <row r="35" spans="4:14">
      <c r="L35">
        <f>INDEX(cbalCSAT, xxIndexTeam)</f>
        <v>63</v>
      </c>
      <c r="M35">
        <f>INDEX(obalCSAT, xxIndexTeam)</f>
        <v>63</v>
      </c>
      <c r="N35" s="565" t="s">
        <v>4433</v>
      </c>
    </row>
    <row r="36" spans="4:14">
      <c r="D36" s="3" t="s">
        <v>1298</v>
      </c>
      <c r="E36" s="293"/>
    </row>
    <row r="39" spans="4:14" ht="12" thickBot="1">
      <c r="D39" s="3" t="s">
        <v>1107</v>
      </c>
    </row>
    <row r="40" spans="4:14">
      <c r="D40" s="308"/>
      <c r="E40" s="176"/>
      <c r="F40" s="176"/>
      <c r="G40" s="176"/>
      <c r="H40" s="176"/>
      <c r="I40" s="176"/>
      <c r="J40" s="176"/>
      <c r="K40" s="176"/>
      <c r="L40" s="177"/>
    </row>
    <row r="41" spans="4:14">
      <c r="D41" s="49" t="s">
        <v>1146</v>
      </c>
      <c r="E41" s="124"/>
      <c r="F41" s="21" t="s">
        <v>1224</v>
      </c>
      <c r="G41" s="21"/>
      <c r="H41" s="21"/>
      <c r="I41" s="303"/>
      <c r="K41" s="321"/>
      <c r="L41" s="130"/>
    </row>
    <row r="42" spans="4:14">
      <c r="D42" s="49" t="s">
        <v>1147</v>
      </c>
      <c r="E42" s="334"/>
      <c r="F42" s="21" t="s">
        <v>1152</v>
      </c>
      <c r="G42" s="21"/>
      <c r="H42" s="21"/>
      <c r="I42" s="309"/>
      <c r="K42" s="322"/>
      <c r="L42" s="130"/>
    </row>
    <row r="43" spans="4:14">
      <c r="D43" s="49" t="s">
        <v>257</v>
      </c>
      <c r="E43" s="310"/>
      <c r="F43" s="21" t="s">
        <v>258</v>
      </c>
      <c r="G43" s="21"/>
      <c r="H43" s="21"/>
      <c r="I43" s="310"/>
      <c r="K43" s="128"/>
      <c r="L43" s="130"/>
    </row>
    <row r="44" spans="4:14" ht="12.75">
      <c r="D44" s="49" t="s">
        <v>1148</v>
      </c>
      <c r="E44" s="335" t="s">
        <v>386</v>
      </c>
      <c r="F44" s="21" t="s">
        <v>1153</v>
      </c>
      <c r="G44" s="21"/>
      <c r="H44" s="21"/>
      <c r="I44" s="59" t="s">
        <v>386</v>
      </c>
      <c r="K44" s="3" t="s">
        <v>386</v>
      </c>
      <c r="L44" s="130"/>
    </row>
    <row r="45" spans="4:14" ht="19.5">
      <c r="D45" s="49" t="s">
        <v>384</v>
      </c>
      <c r="E45" s="311" t="s">
        <v>386</v>
      </c>
      <c r="F45" s="21" t="s">
        <v>385</v>
      </c>
      <c r="G45" s="21"/>
      <c r="H45" s="21"/>
      <c r="I45" s="311" t="s">
        <v>386</v>
      </c>
      <c r="K45" s="3" t="s">
        <v>386</v>
      </c>
      <c r="L45" s="130"/>
    </row>
    <row r="46" spans="4:14" ht="13.5" thickBot="1">
      <c r="D46" s="49"/>
      <c r="E46" s="312"/>
      <c r="F46" s="21"/>
      <c r="G46" s="21"/>
      <c r="H46" s="21"/>
      <c r="I46" s="312"/>
      <c r="L46" s="130"/>
    </row>
    <row r="47" spans="4:14" ht="12.75" thickTop="1" thickBot="1">
      <c r="D47" s="49" t="s">
        <v>1101</v>
      </c>
      <c r="E47" s="304"/>
      <c r="F47" s="21" t="s">
        <v>1154</v>
      </c>
      <c r="G47" s="21"/>
      <c r="H47" s="21"/>
      <c r="I47" s="304"/>
      <c r="K47" s="306"/>
      <c r="L47" s="130"/>
    </row>
    <row r="48" spans="4:14" ht="12.75" thickTop="1" thickBot="1">
      <c r="D48" s="49"/>
      <c r="E48" s="21"/>
      <c r="F48" s="21"/>
      <c r="G48" s="21"/>
      <c r="H48" s="21"/>
      <c r="I48" s="21"/>
      <c r="K48" s="21"/>
      <c r="L48" s="130"/>
    </row>
    <row r="49" spans="4:12" ht="12.75" thickTop="1" thickBot="1">
      <c r="D49" s="49" t="s">
        <v>1184</v>
      </c>
      <c r="E49" s="305"/>
      <c r="F49" s="21" t="s">
        <v>259</v>
      </c>
      <c r="G49" s="21"/>
      <c r="H49" s="21"/>
      <c r="I49" s="305"/>
      <c r="K49" s="306"/>
      <c r="L49" s="130"/>
    </row>
    <row r="50" spans="4:12" ht="12" thickTop="1">
      <c r="D50" s="49"/>
      <c r="E50" s="21"/>
      <c r="F50" s="21"/>
      <c r="G50" s="21"/>
      <c r="H50" s="21"/>
      <c r="I50" s="21"/>
      <c r="L50" s="130"/>
    </row>
    <row r="51" spans="4:12">
      <c r="D51" s="49" t="s">
        <v>1149</v>
      </c>
      <c r="E51" s="124"/>
      <c r="F51" s="21" t="s">
        <v>1155</v>
      </c>
      <c r="G51" s="21"/>
      <c r="H51" s="21"/>
      <c r="I51" s="124"/>
      <c r="K51" s="322"/>
      <c r="L51" s="130"/>
    </row>
    <row r="52" spans="4:12">
      <c r="D52" s="49" t="s">
        <v>1182</v>
      </c>
      <c r="E52" s="313"/>
      <c r="F52" s="21" t="s">
        <v>1188</v>
      </c>
      <c r="G52" s="21"/>
      <c r="H52" s="21"/>
      <c r="I52" s="313"/>
      <c r="K52" s="323"/>
      <c r="L52" s="130"/>
    </row>
    <row r="53" spans="4:12" ht="12.75">
      <c r="D53" s="49" t="s">
        <v>1150</v>
      </c>
      <c r="E53" s="335" t="s">
        <v>386</v>
      </c>
      <c r="F53" s="21" t="s">
        <v>1156</v>
      </c>
      <c r="G53" s="21"/>
      <c r="H53" s="21"/>
      <c r="I53" s="314" t="s">
        <v>386</v>
      </c>
      <c r="K53" s="3" t="s">
        <v>386</v>
      </c>
      <c r="L53" s="130"/>
    </row>
    <row r="54" spans="4:12" ht="19.5">
      <c r="D54" s="49" t="s">
        <v>1183</v>
      </c>
      <c r="E54" s="336" t="s">
        <v>386</v>
      </c>
      <c r="F54" s="21" t="s">
        <v>1187</v>
      </c>
      <c r="G54" s="21"/>
      <c r="H54" s="21"/>
      <c r="I54" s="315" t="s">
        <v>386</v>
      </c>
      <c r="K54" s="3" t="s">
        <v>386</v>
      </c>
      <c r="L54" s="130"/>
    </row>
    <row r="55" spans="4:12" ht="17.25" thickBot="1">
      <c r="D55" s="49"/>
      <c r="E55" s="315"/>
      <c r="F55" s="21"/>
      <c r="G55" s="21"/>
      <c r="H55" s="21"/>
      <c r="I55" s="315"/>
      <c r="L55" s="130"/>
    </row>
    <row r="56" spans="4:12" ht="12.75" thickTop="1" thickBot="1">
      <c r="D56" s="49" t="s">
        <v>1102</v>
      </c>
      <c r="E56" s="304"/>
      <c r="F56" s="21" t="s">
        <v>1157</v>
      </c>
      <c r="G56" s="21"/>
      <c r="H56" s="21"/>
      <c r="I56" s="306"/>
      <c r="K56" s="306"/>
      <c r="L56" s="130"/>
    </row>
    <row r="57" spans="4:12" ht="12.75" thickTop="1" thickBot="1">
      <c r="D57" s="49"/>
      <c r="E57" s="21"/>
      <c r="F57" s="21"/>
      <c r="G57" s="21"/>
      <c r="H57" s="21"/>
      <c r="I57" s="21"/>
      <c r="L57" s="130"/>
    </row>
    <row r="58" spans="4:12" ht="12.75" thickTop="1" thickBot="1">
      <c r="D58" s="49" t="s">
        <v>1185</v>
      </c>
      <c r="E58" s="305"/>
      <c r="F58" s="21" t="s">
        <v>1186</v>
      </c>
      <c r="G58" s="21"/>
      <c r="H58" s="21"/>
      <c r="I58" s="307"/>
      <c r="K58" s="306"/>
      <c r="L58" s="130"/>
    </row>
    <row r="59" spans="4:12" ht="12" thickTop="1">
      <c r="D59" s="49"/>
      <c r="E59" s="21"/>
      <c r="F59" s="21"/>
      <c r="G59" s="21"/>
      <c r="H59" s="21"/>
      <c r="I59" s="21"/>
      <c r="L59" s="130"/>
    </row>
    <row r="60" spans="4:12">
      <c r="D60" s="49" t="s">
        <v>1151</v>
      </c>
      <c r="E60" s="299"/>
      <c r="F60" s="21" t="s">
        <v>1158</v>
      </c>
      <c r="G60" s="21"/>
      <c r="H60" s="21"/>
      <c r="I60" s="299"/>
      <c r="K60" s="324"/>
      <c r="L60" s="130"/>
    </row>
    <row r="61" spans="4:12" ht="12.75">
      <c r="D61" s="49" t="s">
        <v>1103</v>
      </c>
      <c r="E61" s="335" t="s">
        <v>386</v>
      </c>
      <c r="F61" s="21" t="s">
        <v>1159</v>
      </c>
      <c r="G61" s="21"/>
      <c r="H61" s="21"/>
      <c r="I61" s="316" t="s">
        <v>386</v>
      </c>
      <c r="K61" s="3" t="s">
        <v>386</v>
      </c>
      <c r="L61" s="130"/>
    </row>
    <row r="62" spans="4:12" ht="12.75" thickBot="1">
      <c r="D62" s="49"/>
      <c r="E62" s="316"/>
      <c r="F62" s="21"/>
      <c r="G62" s="21"/>
      <c r="H62" s="21"/>
      <c r="I62" s="316"/>
      <c r="L62" s="130"/>
    </row>
    <row r="63" spans="4:12" ht="12" thickBot="1">
      <c r="D63" s="49" t="s">
        <v>1104</v>
      </c>
      <c r="E63" s="6"/>
      <c r="F63" s="21" t="s">
        <v>1160</v>
      </c>
      <c r="G63" s="21"/>
      <c r="H63" s="21"/>
      <c r="I63" s="317"/>
      <c r="K63" s="306"/>
      <c r="L63" s="130"/>
    </row>
    <row r="64" spans="4:12">
      <c r="D64" s="49"/>
      <c r="E64" s="21"/>
      <c r="F64" s="21"/>
      <c r="G64" s="21"/>
      <c r="H64" s="21"/>
      <c r="I64" s="21"/>
      <c r="L64" s="130"/>
    </row>
    <row r="65" spans="1:20">
      <c r="D65" s="49" t="s">
        <v>1105</v>
      </c>
      <c r="E65" s="124"/>
      <c r="F65" s="21" t="s">
        <v>392</v>
      </c>
      <c r="G65" s="21"/>
      <c r="H65" s="21"/>
      <c r="I65" s="320"/>
      <c r="K65" s="119"/>
      <c r="L65" s="130"/>
    </row>
    <row r="66" spans="1:20" ht="20.25">
      <c r="D66" s="49" t="s">
        <v>1106</v>
      </c>
      <c r="E66" s="337" t="s">
        <v>386</v>
      </c>
      <c r="F66" s="21" t="s">
        <v>390</v>
      </c>
      <c r="G66" s="21"/>
      <c r="H66" s="21"/>
      <c r="I66" s="319" t="s">
        <v>386</v>
      </c>
      <c r="K66" s="3" t="s">
        <v>386</v>
      </c>
      <c r="L66" s="130"/>
    </row>
    <row r="67" spans="1:20" ht="12" thickBot="1">
      <c r="D67" s="49"/>
      <c r="E67" s="21"/>
      <c r="F67" s="21"/>
      <c r="G67" s="21"/>
      <c r="H67" s="21"/>
      <c r="I67" s="21"/>
      <c r="L67" s="130"/>
    </row>
    <row r="68" spans="1:20" ht="12.75" thickTop="1" thickBot="1">
      <c r="D68" s="49" t="s">
        <v>391</v>
      </c>
      <c r="E68" s="318"/>
      <c r="F68" s="21" t="s">
        <v>1217</v>
      </c>
      <c r="G68" s="21"/>
      <c r="H68" s="21"/>
      <c r="I68" s="318"/>
      <c r="K68" s="6"/>
      <c r="L68" s="130"/>
    </row>
    <row r="69" spans="1:20" ht="12" thickTop="1">
      <c r="D69" s="129"/>
      <c r="E69" s="21"/>
      <c r="F69" s="21"/>
      <c r="G69" s="21"/>
      <c r="H69" s="21"/>
      <c r="I69" s="21"/>
      <c r="K69" s="21"/>
      <c r="L69" s="130"/>
    </row>
    <row r="70" spans="1:20" ht="12" thickBot="1">
      <c r="D70" s="131"/>
      <c r="E70" s="132"/>
      <c r="F70" s="132"/>
      <c r="G70" s="132"/>
      <c r="H70" s="132"/>
      <c r="I70" s="132"/>
      <c r="J70" s="132"/>
      <c r="K70" s="132"/>
      <c r="L70" s="133"/>
    </row>
    <row r="72" spans="1:20" ht="12" thickBot="1"/>
    <row r="73" spans="1:20">
      <c r="A73" s="3" t="s">
        <v>1252</v>
      </c>
      <c r="D73" s="175" t="s">
        <v>440</v>
      </c>
      <c r="E73" s="176" t="s">
        <v>994</v>
      </c>
      <c r="F73" s="176" t="s">
        <v>1258</v>
      </c>
      <c r="G73" s="176"/>
      <c r="H73" s="176"/>
      <c r="I73" s="176"/>
      <c r="J73" s="177"/>
      <c r="S73" s="123"/>
      <c r="T73" s="123"/>
    </row>
    <row r="74" spans="1:20">
      <c r="D74" s="129" t="s">
        <v>1257</v>
      </c>
      <c r="E74" s="188" t="s">
        <v>1258</v>
      </c>
      <c r="F74" s="21"/>
      <c r="G74" s="21"/>
      <c r="H74" s="21"/>
      <c r="I74" s="21"/>
      <c r="J74" s="130"/>
      <c r="S74" s="123"/>
      <c r="T74" s="123"/>
    </row>
    <row r="75" spans="1:20">
      <c r="D75" s="129"/>
      <c r="E75" s="21"/>
      <c r="F75" s="21"/>
      <c r="G75" s="21"/>
      <c r="H75" s="21"/>
      <c r="I75" s="21"/>
      <c r="J75" s="130"/>
      <c r="S75" s="123"/>
      <c r="T75" s="123"/>
    </row>
    <row r="76" spans="1:20">
      <c r="D76" s="129"/>
      <c r="E76" s="21" t="s">
        <v>1253</v>
      </c>
      <c r="F76" s="21" t="s">
        <v>1255</v>
      </c>
      <c r="G76" s="21" t="s">
        <v>995</v>
      </c>
      <c r="H76" s="21"/>
      <c r="I76" s="21"/>
      <c r="J76" s="130"/>
      <c r="S76" s="123"/>
      <c r="T76" s="123"/>
    </row>
    <row r="77" spans="1:20">
      <c r="D77" s="129" t="s">
        <v>1252</v>
      </c>
      <c r="E77" s="188" t="s">
        <v>1259</v>
      </c>
      <c r="F77" s="21">
        <v>1</v>
      </c>
      <c r="G77" s="21" t="b">
        <v>1</v>
      </c>
      <c r="H77" s="21"/>
      <c r="I77" s="21"/>
      <c r="J77" s="130"/>
      <c r="S77" s="123"/>
      <c r="T77" s="123"/>
    </row>
    <row r="78" spans="1:20">
      <c r="D78" s="129"/>
      <c r="E78" s="21" t="s">
        <v>1260</v>
      </c>
      <c r="F78" s="21">
        <v>2</v>
      </c>
      <c r="G78" s="21" t="b">
        <v>1</v>
      </c>
      <c r="H78" s="21"/>
      <c r="I78" s="21"/>
      <c r="J78" s="130"/>
      <c r="S78" s="123"/>
      <c r="T78" s="123"/>
    </row>
    <row r="79" spans="1:20">
      <c r="D79" s="129"/>
      <c r="E79" s="21" t="s">
        <v>1261</v>
      </c>
      <c r="F79" s="21">
        <v>3</v>
      </c>
      <c r="G79" s="21" t="b">
        <v>1</v>
      </c>
      <c r="H79" s="21"/>
      <c r="I79" s="21"/>
      <c r="J79" s="130"/>
      <c r="S79" s="123"/>
      <c r="T79" s="123"/>
    </row>
    <row r="80" spans="1:20">
      <c r="D80" s="129"/>
      <c r="E80" s="21" t="s">
        <v>1263</v>
      </c>
      <c r="F80" s="21">
        <v>4</v>
      </c>
      <c r="G80" s="21" t="b">
        <v>1</v>
      </c>
      <c r="H80" s="21"/>
      <c r="I80" s="21"/>
      <c r="J80" s="130"/>
      <c r="S80" s="123"/>
      <c r="T80" s="123"/>
    </row>
    <row r="81" spans="4:20">
      <c r="D81" s="129"/>
      <c r="E81" s="299"/>
      <c r="F81" s="299"/>
      <c r="G81" s="299"/>
      <c r="H81" s="299"/>
      <c r="I81" s="299"/>
      <c r="J81" s="300"/>
      <c r="S81" s="123"/>
      <c r="T81" s="123"/>
    </row>
    <row r="82" spans="4:20">
      <c r="D82" s="129" t="s">
        <v>1254</v>
      </c>
      <c r="E82" s="21" t="s">
        <v>1256</v>
      </c>
      <c r="F82" s="21" t="s">
        <v>1255</v>
      </c>
      <c r="G82" s="21" t="s">
        <v>1256</v>
      </c>
      <c r="H82" s="21" t="s">
        <v>992</v>
      </c>
      <c r="I82" s="21" t="s">
        <v>995</v>
      </c>
      <c r="J82" s="130" t="s">
        <v>1139</v>
      </c>
      <c r="S82" s="123"/>
      <c r="T82" s="123"/>
    </row>
    <row r="83" spans="4:20">
      <c r="D83" s="129"/>
      <c r="E83" s="188" t="s">
        <v>1143</v>
      </c>
      <c r="F83" s="21">
        <v>1</v>
      </c>
      <c r="G83" s="21">
        <v>1</v>
      </c>
      <c r="H83" s="21" t="s">
        <v>1144</v>
      </c>
      <c r="I83" s="21" t="b">
        <v>1</v>
      </c>
      <c r="J83" s="130" t="b">
        <v>0</v>
      </c>
      <c r="S83" s="123"/>
      <c r="T83" s="123"/>
    </row>
    <row r="84" spans="4:20">
      <c r="D84" s="129"/>
      <c r="E84" s="563" t="s">
        <v>1375</v>
      </c>
      <c r="F84" s="21">
        <v>1</v>
      </c>
      <c r="G84" s="21">
        <v>2</v>
      </c>
      <c r="H84" s="563"/>
      <c r="I84" s="21" t="b">
        <v>1</v>
      </c>
      <c r="J84" s="130" t="b">
        <v>0</v>
      </c>
      <c r="S84" s="123"/>
      <c r="T84" s="123"/>
    </row>
    <row r="85" spans="4:20">
      <c r="D85" s="129"/>
      <c r="E85" s="563" t="s">
        <v>1500</v>
      </c>
      <c r="F85" s="21">
        <v>1</v>
      </c>
      <c r="G85" s="21">
        <v>3</v>
      </c>
      <c r="H85" s="563"/>
      <c r="I85" s="21" t="b">
        <v>1</v>
      </c>
      <c r="J85" s="130" t="b">
        <v>0</v>
      </c>
      <c r="S85" s="123"/>
      <c r="T85" s="123"/>
    </row>
    <row r="86" spans="4:20">
      <c r="D86" s="129"/>
      <c r="E86" s="563" t="s">
        <v>1369</v>
      </c>
      <c r="F86" s="21">
        <v>1</v>
      </c>
      <c r="G86" s="21">
        <v>4</v>
      </c>
      <c r="H86" s="563" t="s">
        <v>1370</v>
      </c>
      <c r="I86" s="21" t="b">
        <v>1</v>
      </c>
      <c r="J86" s="130" t="b">
        <v>0</v>
      </c>
      <c r="S86" s="123"/>
      <c r="T86" s="123"/>
    </row>
    <row r="87" spans="4:20">
      <c r="D87" s="129"/>
      <c r="E87" s="563" t="s">
        <v>1371</v>
      </c>
      <c r="F87" s="21">
        <v>1</v>
      </c>
      <c r="G87" s="21">
        <v>5</v>
      </c>
      <c r="H87" s="563" t="s">
        <v>1372</v>
      </c>
      <c r="I87" s="21" t="b">
        <v>1</v>
      </c>
      <c r="J87" s="130" t="b">
        <v>0</v>
      </c>
      <c r="S87" s="123"/>
      <c r="T87" s="123"/>
    </row>
    <row r="88" spans="4:20">
      <c r="D88" s="129"/>
      <c r="E88" s="563" t="s">
        <v>1373</v>
      </c>
      <c r="F88" s="21">
        <v>1</v>
      </c>
      <c r="G88" s="21">
        <v>6</v>
      </c>
      <c r="H88" s="563" t="s">
        <v>1374</v>
      </c>
      <c r="I88" s="21" t="b">
        <v>1</v>
      </c>
      <c r="J88" s="130" t="b">
        <v>0</v>
      </c>
      <c r="S88" s="123"/>
      <c r="T88" s="123"/>
    </row>
    <row r="89" spans="4:20">
      <c r="D89" s="129"/>
      <c r="E89" s="21" t="s">
        <v>581</v>
      </c>
      <c r="F89" s="21">
        <v>2</v>
      </c>
      <c r="G89" s="21">
        <v>1</v>
      </c>
      <c r="H89" s="21" t="s">
        <v>993</v>
      </c>
      <c r="I89" s="21" t="b">
        <v>1</v>
      </c>
      <c r="J89" s="130" t="b">
        <v>0</v>
      </c>
      <c r="S89" s="123"/>
      <c r="T89" s="123"/>
    </row>
    <row r="90" spans="4:20">
      <c r="D90" s="129"/>
      <c r="E90" s="21" t="s">
        <v>582</v>
      </c>
      <c r="F90" s="21">
        <v>2</v>
      </c>
      <c r="G90" s="21">
        <v>2</v>
      </c>
      <c r="H90" s="21" t="s">
        <v>241</v>
      </c>
      <c r="I90" s="21" t="b">
        <v>1</v>
      </c>
      <c r="J90" s="130" t="b">
        <v>0</v>
      </c>
      <c r="S90" s="123"/>
      <c r="T90" s="123"/>
    </row>
    <row r="91" spans="4:20" ht="12" customHeight="1">
      <c r="D91" s="129"/>
      <c r="E91" s="21" t="s">
        <v>583</v>
      </c>
      <c r="F91" s="21">
        <v>2</v>
      </c>
      <c r="G91" s="21">
        <v>3</v>
      </c>
      <c r="H91" s="21" t="s">
        <v>242</v>
      </c>
      <c r="I91" s="21" t="b">
        <v>1</v>
      </c>
      <c r="J91" s="130" t="b">
        <v>0</v>
      </c>
      <c r="S91" s="123"/>
      <c r="T91" s="123"/>
    </row>
    <row r="92" spans="4:20">
      <c r="D92" s="129"/>
      <c r="E92" s="563" t="s">
        <v>2033</v>
      </c>
      <c r="F92" s="21">
        <v>3</v>
      </c>
      <c r="G92" s="21">
        <v>1</v>
      </c>
      <c r="H92" s="21" t="s">
        <v>1141</v>
      </c>
      <c r="I92" s="21" t="b">
        <v>1</v>
      </c>
      <c r="J92" s="130" t="b">
        <v>0</v>
      </c>
      <c r="S92" s="123"/>
      <c r="T92" s="123"/>
    </row>
    <row r="93" spans="4:20">
      <c r="D93" s="129"/>
      <c r="E93" s="21" t="s">
        <v>590</v>
      </c>
      <c r="F93" s="21">
        <v>4</v>
      </c>
      <c r="G93" s="21">
        <v>1</v>
      </c>
      <c r="H93" s="21" t="s">
        <v>1303</v>
      </c>
      <c r="I93" s="21" t="b">
        <v>1</v>
      </c>
      <c r="J93" s="130" t="b">
        <v>0</v>
      </c>
      <c r="S93" s="123"/>
      <c r="T93" s="123"/>
    </row>
    <row r="94" spans="4:20">
      <c r="D94" s="129"/>
      <c r="E94" s="21" t="s">
        <v>1022</v>
      </c>
      <c r="F94" s="21">
        <v>4</v>
      </c>
      <c r="G94" s="21">
        <v>2</v>
      </c>
      <c r="H94" s="21"/>
      <c r="I94" s="21" t="b">
        <v>1</v>
      </c>
      <c r="J94" s="130" t="b">
        <v>0</v>
      </c>
      <c r="S94" s="123"/>
      <c r="T94" s="123"/>
    </row>
    <row r="95" spans="4:20">
      <c r="D95" s="129"/>
      <c r="E95" s="21" t="s">
        <v>761</v>
      </c>
      <c r="F95" s="21">
        <v>4</v>
      </c>
      <c r="G95" s="21">
        <v>3</v>
      </c>
      <c r="H95" s="563" t="s">
        <v>3704</v>
      </c>
      <c r="I95" s="21" t="b">
        <v>1</v>
      </c>
      <c r="J95" s="130" t="b">
        <v>0</v>
      </c>
      <c r="S95" s="123"/>
      <c r="T95" s="123"/>
    </row>
    <row r="96" spans="4:20">
      <c r="D96" s="129"/>
      <c r="E96" s="299"/>
      <c r="F96" s="299"/>
      <c r="G96" s="299"/>
      <c r="H96" s="299"/>
      <c r="I96" s="299"/>
      <c r="J96" s="300"/>
      <c r="S96" s="123"/>
      <c r="T96" s="123"/>
    </row>
    <row r="97" spans="4:20">
      <c r="D97" s="129" t="s">
        <v>1140</v>
      </c>
      <c r="E97" s="21" t="s">
        <v>1142</v>
      </c>
      <c r="F97" s="21" t="s">
        <v>1255</v>
      </c>
      <c r="G97" s="21" t="s">
        <v>1256</v>
      </c>
      <c r="H97" s="21" t="s">
        <v>992</v>
      </c>
      <c r="I97" s="21" t="s">
        <v>995</v>
      </c>
      <c r="J97" s="130"/>
      <c r="S97" s="123"/>
      <c r="T97" s="123"/>
    </row>
    <row r="98" spans="4:20">
      <c r="D98" s="129"/>
      <c r="E98" s="817" t="s">
        <v>2969</v>
      </c>
      <c r="F98" s="21">
        <v>1</v>
      </c>
      <c r="G98" s="21">
        <v>2</v>
      </c>
      <c r="H98" s="563" t="s">
        <v>2971</v>
      </c>
      <c r="I98" s="21" t="b">
        <v>1</v>
      </c>
      <c r="J98" s="130"/>
      <c r="S98" s="123"/>
      <c r="T98" s="123"/>
    </row>
    <row r="99" spans="4:20">
      <c r="D99" s="129"/>
      <c r="E99" s="818" t="s">
        <v>2970</v>
      </c>
      <c r="F99" s="142">
        <v>1</v>
      </c>
      <c r="G99" s="142">
        <v>2</v>
      </c>
      <c r="H99" s="563" t="s">
        <v>2972</v>
      </c>
      <c r="I99" s="21" t="b">
        <v>1</v>
      </c>
      <c r="J99" s="130"/>
      <c r="S99" s="123"/>
      <c r="T99" s="123"/>
    </row>
    <row r="100" spans="4:20">
      <c r="D100" s="129"/>
      <c r="E100" s="608" t="s">
        <v>2974</v>
      </c>
      <c r="F100" s="142">
        <v>1</v>
      </c>
      <c r="G100" s="142">
        <v>3</v>
      </c>
      <c r="H100" s="563" t="s">
        <v>1368</v>
      </c>
      <c r="I100" s="21" t="b">
        <v>1</v>
      </c>
      <c r="J100" s="130"/>
      <c r="S100" s="123"/>
      <c r="T100" s="123"/>
    </row>
    <row r="101" spans="4:20">
      <c r="D101" s="129"/>
      <c r="E101" s="608" t="s">
        <v>2973</v>
      </c>
      <c r="F101" s="142">
        <v>1</v>
      </c>
      <c r="G101" s="142">
        <v>3</v>
      </c>
      <c r="H101" s="563" t="s">
        <v>2975</v>
      </c>
      <c r="I101" s="21" t="b">
        <v>1</v>
      </c>
      <c r="J101" s="130"/>
      <c r="S101" s="123"/>
      <c r="T101" s="123"/>
    </row>
    <row r="102" spans="4:20">
      <c r="D102" s="129"/>
      <c r="E102" s="21" t="s">
        <v>1023</v>
      </c>
      <c r="F102" s="21">
        <v>4</v>
      </c>
      <c r="G102" s="21">
        <v>2</v>
      </c>
      <c r="H102" s="21" t="s">
        <v>1024</v>
      </c>
      <c r="I102" s="21" t="b">
        <v>1</v>
      </c>
      <c r="J102" s="130"/>
      <c r="S102" s="123"/>
      <c r="T102" s="123"/>
    </row>
    <row r="103" spans="4:20">
      <c r="D103" s="129"/>
      <c r="E103" s="21" t="s">
        <v>1025</v>
      </c>
      <c r="F103" s="21">
        <v>4</v>
      </c>
      <c r="G103" s="21">
        <v>2</v>
      </c>
      <c r="H103" s="21" t="s">
        <v>1205</v>
      </c>
      <c r="I103" s="21" t="b">
        <v>1</v>
      </c>
      <c r="J103" s="130"/>
      <c r="M103" s="563"/>
      <c r="O103" s="563"/>
      <c r="S103" s="123"/>
      <c r="T103" s="123"/>
    </row>
    <row r="104" spans="4:20" ht="12" thickBot="1">
      <c r="D104" s="131"/>
      <c r="E104" s="301"/>
      <c r="F104" s="301"/>
      <c r="G104" s="301"/>
      <c r="H104" s="301"/>
      <c r="I104" s="301"/>
      <c r="J104" s="302"/>
      <c r="M104" s="21"/>
      <c r="O104" s="21"/>
      <c r="S104" s="123"/>
      <c r="T104" s="123"/>
    </row>
    <row r="105" spans="4:20" ht="12" thickBot="1">
      <c r="M105" s="21"/>
      <c r="N105" s="21"/>
      <c r="O105" s="21"/>
      <c r="P105" s="21"/>
      <c r="S105" s="123"/>
      <c r="T105" s="123"/>
    </row>
    <row r="106" spans="4:20">
      <c r="D106" s="175" t="s">
        <v>441</v>
      </c>
      <c r="E106" s="176" t="s">
        <v>994</v>
      </c>
      <c r="F106" s="176" t="s">
        <v>1071</v>
      </c>
      <c r="G106" s="176"/>
      <c r="H106" s="176"/>
      <c r="I106" s="176"/>
      <c r="J106" s="177"/>
      <c r="M106" s="563"/>
      <c r="N106" s="21"/>
      <c r="O106" s="21"/>
      <c r="P106" s="563"/>
      <c r="R106" s="21"/>
      <c r="S106" s="1124"/>
      <c r="T106" s="123"/>
    </row>
    <row r="107" spans="4:20">
      <c r="D107" s="129" t="s">
        <v>1257</v>
      </c>
      <c r="E107" s="188"/>
      <c r="F107" s="21"/>
      <c r="G107" s="21"/>
      <c r="H107" s="21"/>
      <c r="I107" s="21"/>
      <c r="J107" s="130"/>
      <c r="M107" s="563"/>
      <c r="N107" s="21"/>
      <c r="O107" s="21"/>
      <c r="P107" s="563"/>
      <c r="R107" s="21"/>
      <c r="S107" s="1124"/>
      <c r="T107" s="123"/>
    </row>
    <row r="108" spans="4:20">
      <c r="D108" s="129"/>
      <c r="E108" s="21"/>
      <c r="F108" s="21"/>
      <c r="G108" s="21"/>
      <c r="H108" s="21"/>
      <c r="I108" s="21"/>
      <c r="J108" s="130"/>
      <c r="M108" s="563"/>
      <c r="N108" s="21"/>
      <c r="O108" s="21"/>
      <c r="P108" s="563"/>
      <c r="R108" s="21"/>
      <c r="S108" s="1124"/>
      <c r="T108" s="123"/>
    </row>
    <row r="109" spans="4:20">
      <c r="D109" s="129"/>
      <c r="E109" s="21" t="s">
        <v>1253</v>
      </c>
      <c r="F109" s="21" t="s">
        <v>1255</v>
      </c>
      <c r="G109" s="21" t="s">
        <v>995</v>
      </c>
      <c r="H109" s="21"/>
      <c r="I109" s="21"/>
      <c r="J109" s="130"/>
      <c r="M109" s="563"/>
      <c r="N109" s="21"/>
      <c r="O109" s="21"/>
      <c r="P109" s="563"/>
      <c r="Q109" s="21"/>
      <c r="R109" s="21"/>
      <c r="S109" s="1124"/>
      <c r="T109" s="123"/>
    </row>
    <row r="110" spans="4:20">
      <c r="D110" s="129" t="s">
        <v>1252</v>
      </c>
      <c r="E110" s="188" t="s">
        <v>915</v>
      </c>
      <c r="F110" s="21">
        <v>1</v>
      </c>
      <c r="G110" s="21" t="b">
        <v>1</v>
      </c>
      <c r="H110" s="21"/>
      <c r="I110" s="21"/>
      <c r="J110" s="130"/>
      <c r="R110" s="21"/>
      <c r="S110" s="1124"/>
      <c r="T110" s="123"/>
    </row>
    <row r="111" spans="4:20">
      <c r="D111" s="129"/>
      <c r="E111" s="299"/>
      <c r="F111" s="299"/>
      <c r="G111" s="299"/>
      <c r="H111" s="299"/>
      <c r="I111" s="299"/>
      <c r="J111" s="300"/>
      <c r="R111" s="21"/>
      <c r="S111" s="1124"/>
      <c r="T111" s="123"/>
    </row>
    <row r="112" spans="4:20">
      <c r="D112" s="129" t="s">
        <v>1254</v>
      </c>
      <c r="E112" s="21" t="s">
        <v>1256</v>
      </c>
      <c r="F112" s="21" t="s">
        <v>1255</v>
      </c>
      <c r="G112" s="21" t="s">
        <v>1256</v>
      </c>
      <c r="H112" s="21" t="s">
        <v>992</v>
      </c>
      <c r="I112" s="21" t="s">
        <v>995</v>
      </c>
      <c r="J112" s="130" t="s">
        <v>1139</v>
      </c>
      <c r="R112" s="21"/>
      <c r="S112" s="1124"/>
      <c r="T112" s="123"/>
    </row>
    <row r="113" spans="4:20">
      <c r="D113" s="129"/>
      <c r="E113" s="188" t="s">
        <v>442</v>
      </c>
      <c r="F113" s="21">
        <v>1</v>
      </c>
      <c r="G113" s="21">
        <v>1</v>
      </c>
      <c r="H113" s="21"/>
      <c r="I113" s="21" t="b">
        <v>1</v>
      </c>
      <c r="J113" s="130" t="b">
        <v>0</v>
      </c>
      <c r="S113" s="123"/>
      <c r="T113" s="123"/>
    </row>
    <row r="114" spans="4:20">
      <c r="D114" s="129"/>
      <c r="E114" s="21" t="s">
        <v>220</v>
      </c>
      <c r="F114" s="21">
        <v>1</v>
      </c>
      <c r="G114" s="21">
        <v>2</v>
      </c>
      <c r="H114" s="21"/>
      <c r="I114" s="21" t="b">
        <v>1</v>
      </c>
      <c r="J114" s="130" t="b">
        <v>0</v>
      </c>
      <c r="S114" s="123"/>
      <c r="T114" s="123"/>
    </row>
    <row r="115" spans="4:20">
      <c r="D115" s="129"/>
      <c r="E115" s="563" t="s">
        <v>3736</v>
      </c>
      <c r="F115" s="21">
        <v>1</v>
      </c>
      <c r="G115" s="21">
        <f>G114+1</f>
        <v>3</v>
      </c>
      <c r="H115" s="563"/>
      <c r="I115" s="21" t="b">
        <v>1</v>
      </c>
      <c r="J115" s="130" t="b">
        <v>1</v>
      </c>
      <c r="M115" s="563"/>
      <c r="O115" s="563"/>
      <c r="S115" s="123"/>
      <c r="T115" s="123"/>
    </row>
    <row r="116" spans="4:20">
      <c r="D116" s="129"/>
      <c r="E116" s="563" t="s">
        <v>3735</v>
      </c>
      <c r="F116" s="21">
        <v>1</v>
      </c>
      <c r="G116" s="21">
        <f t="shared" ref="G116:G117" si="0">G115+1</f>
        <v>4</v>
      </c>
      <c r="H116" s="21"/>
      <c r="I116" s="21" t="b">
        <v>1</v>
      </c>
      <c r="J116" s="130" t="b">
        <v>0</v>
      </c>
      <c r="M116" s="21"/>
      <c r="O116" s="21"/>
      <c r="S116" s="123"/>
      <c r="T116" s="123"/>
    </row>
    <row r="117" spans="4:20">
      <c r="D117" s="129"/>
      <c r="E117" s="563" t="s">
        <v>761</v>
      </c>
      <c r="F117" s="21">
        <v>1</v>
      </c>
      <c r="G117" s="21">
        <f t="shared" si="0"/>
        <v>5</v>
      </c>
      <c r="H117" s="563" t="s">
        <v>3704</v>
      </c>
      <c r="I117" s="21" t="b">
        <f>IF(xxYear=0,FALSE,TRUE)</f>
        <v>0</v>
      </c>
      <c r="J117" s="130" t="b">
        <v>0</v>
      </c>
      <c r="S117" s="123"/>
      <c r="T117" s="123"/>
    </row>
    <row r="118" spans="4:20">
      <c r="D118" s="129"/>
      <c r="E118" s="299"/>
      <c r="F118" s="299"/>
      <c r="G118" s="299"/>
      <c r="H118" s="299"/>
      <c r="I118" s="299"/>
      <c r="J118" s="300"/>
      <c r="S118" s="123"/>
      <c r="T118" s="123"/>
    </row>
    <row r="119" spans="4:20">
      <c r="D119" s="129" t="s">
        <v>1140</v>
      </c>
      <c r="E119" s="21" t="s">
        <v>1142</v>
      </c>
      <c r="F119" s="21" t="s">
        <v>1255</v>
      </c>
      <c r="G119" s="21" t="s">
        <v>1256</v>
      </c>
      <c r="H119" s="21" t="s">
        <v>992</v>
      </c>
      <c r="I119" s="21" t="s">
        <v>995</v>
      </c>
      <c r="J119" s="130" t="s">
        <v>1139</v>
      </c>
      <c r="S119" s="123"/>
      <c r="T119" s="123"/>
    </row>
    <row r="120" spans="4:20">
      <c r="D120" s="129"/>
      <c r="E120" s="188" t="s">
        <v>655</v>
      </c>
      <c r="F120" s="21">
        <v>1</v>
      </c>
      <c r="G120" s="21">
        <v>1</v>
      </c>
      <c r="H120" s="21" t="s">
        <v>274</v>
      </c>
      <c r="I120" s="21" t="b">
        <v>1</v>
      </c>
      <c r="J120" s="130" t="b">
        <v>0</v>
      </c>
      <c r="S120" s="123"/>
      <c r="T120" s="123"/>
    </row>
    <row r="121" spans="4:20">
      <c r="D121" s="129"/>
      <c r="E121" s="21" t="s">
        <v>656</v>
      </c>
      <c r="F121" s="21">
        <v>1</v>
      </c>
      <c r="G121" s="21">
        <v>1</v>
      </c>
      <c r="H121" s="21" t="s">
        <v>275</v>
      </c>
      <c r="I121" s="21" t="b">
        <v>1</v>
      </c>
      <c r="J121" s="130" t="b">
        <v>1</v>
      </c>
      <c r="S121" s="123"/>
      <c r="T121" s="123"/>
    </row>
    <row r="122" spans="4:20">
      <c r="D122" s="129"/>
      <c r="E122" s="21" t="s">
        <v>657</v>
      </c>
      <c r="F122" s="21">
        <v>1</v>
      </c>
      <c r="G122" s="21">
        <v>1</v>
      </c>
      <c r="H122" s="21" t="s">
        <v>276</v>
      </c>
      <c r="I122" s="21" t="b">
        <v>1</v>
      </c>
      <c r="J122" s="130" t="b">
        <v>0</v>
      </c>
      <c r="S122" s="123"/>
      <c r="T122" s="123"/>
    </row>
    <row r="123" spans="4:20">
      <c r="D123" s="129"/>
      <c r="E123" s="21" t="s">
        <v>569</v>
      </c>
      <c r="F123" s="21">
        <v>1</v>
      </c>
      <c r="G123" s="21">
        <v>1</v>
      </c>
      <c r="H123" s="21" t="s">
        <v>1201</v>
      </c>
      <c r="I123" s="21" t="b">
        <v>1</v>
      </c>
      <c r="J123" s="130" t="b">
        <v>0</v>
      </c>
      <c r="S123" s="123"/>
      <c r="T123" s="123"/>
    </row>
    <row r="124" spans="4:20">
      <c r="D124" s="129"/>
      <c r="E124" s="21" t="s">
        <v>570</v>
      </c>
      <c r="F124" s="21">
        <v>1</v>
      </c>
      <c r="G124" s="21">
        <v>1</v>
      </c>
      <c r="H124" s="21" t="s">
        <v>1202</v>
      </c>
      <c r="I124" s="21" t="b">
        <v>1</v>
      </c>
      <c r="J124" s="130" t="b">
        <v>0</v>
      </c>
      <c r="S124" s="123"/>
      <c r="T124" s="123"/>
    </row>
    <row r="125" spans="4:20">
      <c r="D125" s="129"/>
      <c r="E125" s="21" t="s">
        <v>1219</v>
      </c>
      <c r="F125" s="21">
        <v>1</v>
      </c>
      <c r="G125" s="21">
        <v>1</v>
      </c>
      <c r="H125" s="21" t="s">
        <v>1218</v>
      </c>
      <c r="I125" s="21" t="b">
        <v>1</v>
      </c>
      <c r="J125" s="130" t="b">
        <v>0</v>
      </c>
      <c r="S125" s="123"/>
      <c r="T125" s="123"/>
    </row>
    <row r="126" spans="4:20">
      <c r="D126" s="129"/>
      <c r="E126" s="21" t="s">
        <v>571</v>
      </c>
      <c r="F126" s="21">
        <v>1</v>
      </c>
      <c r="G126" s="21">
        <v>1</v>
      </c>
      <c r="H126" s="21" t="s">
        <v>1203</v>
      </c>
      <c r="I126" s="21" t="b">
        <v>1</v>
      </c>
      <c r="J126" s="130" t="b">
        <v>0</v>
      </c>
      <c r="S126" s="123"/>
      <c r="T126" s="123"/>
    </row>
    <row r="127" spans="4:20">
      <c r="D127" s="129"/>
      <c r="E127" s="21" t="s">
        <v>572</v>
      </c>
      <c r="F127" s="21">
        <v>1</v>
      </c>
      <c r="G127" s="21">
        <v>1</v>
      </c>
      <c r="H127" s="21" t="s">
        <v>1204</v>
      </c>
      <c r="I127" s="21" t="b">
        <v>1</v>
      </c>
      <c r="J127" s="130" t="b">
        <v>0</v>
      </c>
      <c r="S127" s="123"/>
      <c r="T127" s="123"/>
    </row>
    <row r="128" spans="4:20">
      <c r="D128" s="129"/>
      <c r="E128" s="21" t="s">
        <v>221</v>
      </c>
      <c r="F128" s="21">
        <v>1</v>
      </c>
      <c r="G128" s="21">
        <v>2</v>
      </c>
      <c r="H128" s="21" t="s">
        <v>222</v>
      </c>
      <c r="I128" s="21" t="b">
        <v>1</v>
      </c>
      <c r="J128" s="130" t="b">
        <v>0</v>
      </c>
      <c r="S128" s="123"/>
      <c r="T128" s="123"/>
    </row>
    <row r="129" spans="4:20">
      <c r="D129" s="129"/>
      <c r="E129" s="21" t="s">
        <v>223</v>
      </c>
      <c r="F129" s="21">
        <v>1</v>
      </c>
      <c r="G129" s="21">
        <v>2</v>
      </c>
      <c r="H129" s="21" t="s">
        <v>1243</v>
      </c>
      <c r="I129" s="21" t="b">
        <v>1</v>
      </c>
      <c r="J129" s="130" t="b">
        <v>0</v>
      </c>
      <c r="S129" s="123"/>
      <c r="T129" s="123"/>
    </row>
    <row r="130" spans="4:20">
      <c r="D130" s="129"/>
      <c r="E130" s="21" t="s">
        <v>510</v>
      </c>
      <c r="F130" s="21">
        <v>1</v>
      </c>
      <c r="G130" s="21">
        <v>2</v>
      </c>
      <c r="H130" s="21" t="s">
        <v>363</v>
      </c>
      <c r="I130" s="21" t="b">
        <v>1</v>
      </c>
      <c r="J130" s="130" t="b">
        <v>1</v>
      </c>
      <c r="S130" s="123"/>
      <c r="T130" s="123"/>
    </row>
    <row r="131" spans="4:20">
      <c r="D131" s="129"/>
      <c r="E131" s="21" t="s">
        <v>511</v>
      </c>
      <c r="F131" s="21">
        <v>1</v>
      </c>
      <c r="G131" s="21">
        <v>2</v>
      </c>
      <c r="H131" s="21" t="s">
        <v>364</v>
      </c>
      <c r="I131" s="21" t="b">
        <v>1</v>
      </c>
      <c r="J131" s="130" t="b">
        <v>0</v>
      </c>
      <c r="S131" s="123"/>
      <c r="T131" s="123"/>
    </row>
    <row r="132" spans="4:20">
      <c r="D132" s="129"/>
      <c r="E132" s="21" t="s">
        <v>512</v>
      </c>
      <c r="F132" s="21">
        <v>1</v>
      </c>
      <c r="G132" s="21">
        <v>2</v>
      </c>
      <c r="H132" s="21" t="s">
        <v>1004</v>
      </c>
      <c r="I132" s="21" t="b">
        <v>1</v>
      </c>
      <c r="J132" s="130" t="b">
        <v>0</v>
      </c>
      <c r="S132" s="123"/>
      <c r="T132" s="123"/>
    </row>
    <row r="133" spans="4:20">
      <c r="D133" s="129"/>
      <c r="E133" s="21" t="s">
        <v>513</v>
      </c>
      <c r="F133" s="21">
        <v>1</v>
      </c>
      <c r="G133" s="21">
        <v>2</v>
      </c>
      <c r="H133" s="21" t="s">
        <v>1005</v>
      </c>
      <c r="I133" s="21" t="b">
        <v>1</v>
      </c>
      <c r="J133" s="130" t="b">
        <v>0</v>
      </c>
      <c r="S133" s="123"/>
      <c r="T133" s="123"/>
    </row>
    <row r="134" spans="4:20">
      <c r="D134" s="129"/>
      <c r="E134" s="21" t="s">
        <v>514</v>
      </c>
      <c r="F134" s="21">
        <v>1</v>
      </c>
      <c r="G134" s="21">
        <v>2</v>
      </c>
      <c r="H134" s="21" t="s">
        <v>821</v>
      </c>
      <c r="I134" s="21" t="b">
        <v>1</v>
      </c>
      <c r="J134" s="130" t="b">
        <v>1</v>
      </c>
      <c r="S134" s="123"/>
      <c r="T134" s="123"/>
    </row>
    <row r="135" spans="4:20">
      <c r="D135" s="129"/>
      <c r="E135" s="21" t="s">
        <v>515</v>
      </c>
      <c r="F135" s="21">
        <v>1</v>
      </c>
      <c r="G135" s="21">
        <v>2</v>
      </c>
      <c r="H135" s="21" t="s">
        <v>822</v>
      </c>
      <c r="I135" s="21" t="b">
        <v>1</v>
      </c>
      <c r="J135" s="130" t="b">
        <v>0</v>
      </c>
      <c r="S135" s="123"/>
      <c r="T135" s="123"/>
    </row>
    <row r="136" spans="4:20">
      <c r="D136" s="129"/>
      <c r="E136" s="21" t="s">
        <v>516</v>
      </c>
      <c r="F136" s="21">
        <v>1</v>
      </c>
      <c r="G136" s="21">
        <v>2</v>
      </c>
      <c r="H136" s="21" t="s">
        <v>823</v>
      </c>
      <c r="I136" s="21" t="b">
        <v>1</v>
      </c>
      <c r="J136" s="130" t="b">
        <v>0</v>
      </c>
      <c r="S136" s="123"/>
      <c r="T136" s="123"/>
    </row>
    <row r="137" spans="4:20">
      <c r="D137" s="129"/>
      <c r="E137" s="563" t="s">
        <v>3706</v>
      </c>
      <c r="F137" s="21">
        <v>1</v>
      </c>
      <c r="G137" s="21">
        <v>3</v>
      </c>
      <c r="H137" s="563" t="s">
        <v>3705</v>
      </c>
      <c r="I137" s="21" t="b">
        <v>1</v>
      </c>
      <c r="J137" s="130" t="b">
        <v>0</v>
      </c>
      <c r="S137" s="123"/>
      <c r="T137" s="123"/>
    </row>
    <row r="138" spans="4:20">
      <c r="D138" s="129"/>
      <c r="E138" s="563" t="s">
        <v>3744</v>
      </c>
      <c r="F138" s="21">
        <v>1</v>
      </c>
      <c r="G138" s="21">
        <v>3</v>
      </c>
      <c r="H138" s="563" t="s">
        <v>3729</v>
      </c>
      <c r="I138" s="21" t="b">
        <v>1</v>
      </c>
      <c r="J138" s="130" t="b">
        <v>0</v>
      </c>
      <c r="S138" s="123"/>
      <c r="T138" s="123"/>
    </row>
    <row r="139" spans="4:20">
      <c r="D139" s="129"/>
      <c r="E139" s="563" t="s">
        <v>3737</v>
      </c>
      <c r="F139" s="21">
        <v>1</v>
      </c>
      <c r="G139" s="21">
        <v>3</v>
      </c>
      <c r="H139" s="563" t="s">
        <v>3701</v>
      </c>
      <c r="I139" s="21" t="b">
        <v>1</v>
      </c>
      <c r="J139" s="130" t="b">
        <v>0</v>
      </c>
      <c r="S139" s="123"/>
      <c r="T139" s="123"/>
    </row>
    <row r="140" spans="4:20">
      <c r="D140" s="129"/>
      <c r="E140" s="563" t="s">
        <v>3738</v>
      </c>
      <c r="F140" s="21">
        <v>1</v>
      </c>
      <c r="G140" s="21">
        <v>4</v>
      </c>
      <c r="H140" s="563" t="s">
        <v>3734</v>
      </c>
      <c r="I140" s="21" t="b">
        <v>1</v>
      </c>
      <c r="J140" s="130" t="b">
        <v>0</v>
      </c>
      <c r="S140" s="123"/>
      <c r="T140" s="123"/>
    </row>
    <row r="141" spans="4:20">
      <c r="D141" s="129"/>
      <c r="E141" s="21" t="s">
        <v>14</v>
      </c>
      <c r="F141" s="21">
        <v>1</v>
      </c>
      <c r="G141" s="21">
        <v>4</v>
      </c>
      <c r="H141" s="21" t="s">
        <v>1242</v>
      </c>
      <c r="I141" s="21" t="b">
        <v>1</v>
      </c>
      <c r="J141" s="130" t="b">
        <v>0</v>
      </c>
      <c r="S141" s="123"/>
      <c r="T141" s="123"/>
    </row>
    <row r="142" spans="4:20">
      <c r="D142" s="129"/>
      <c r="E142" s="21" t="s">
        <v>654</v>
      </c>
      <c r="F142" s="21">
        <v>1</v>
      </c>
      <c r="G142" s="21">
        <v>4</v>
      </c>
      <c r="H142" s="21" t="s">
        <v>1100</v>
      </c>
      <c r="I142" s="21" t="b">
        <v>1</v>
      </c>
      <c r="J142" s="130" t="b">
        <v>0</v>
      </c>
      <c r="S142" s="123"/>
      <c r="T142" s="123"/>
    </row>
    <row r="143" spans="4:20" ht="12" thickBot="1">
      <c r="D143" s="131"/>
      <c r="E143" s="301"/>
      <c r="F143" s="301"/>
      <c r="G143" s="301"/>
      <c r="H143" s="301"/>
      <c r="I143" s="301"/>
      <c r="J143" s="302"/>
      <c r="S143" s="123"/>
      <c r="T143" s="123"/>
    </row>
    <row r="144" spans="4:20" ht="12" thickBot="1"/>
    <row r="145" spans="4:20">
      <c r="D145" s="175" t="s">
        <v>1006</v>
      </c>
      <c r="E145" s="176" t="s">
        <v>994</v>
      </c>
      <c r="F145" s="176" t="s">
        <v>1007</v>
      </c>
      <c r="G145" s="176"/>
      <c r="H145" s="176"/>
      <c r="I145" s="176"/>
      <c r="J145" s="177"/>
    </row>
    <row r="146" spans="4:20">
      <c r="D146" s="129"/>
      <c r="E146" s="21"/>
      <c r="F146" s="21"/>
      <c r="G146" s="21"/>
      <c r="H146" s="21"/>
      <c r="I146" s="21"/>
      <c r="J146" s="130"/>
    </row>
    <row r="147" spans="4:20">
      <c r="D147" s="129"/>
      <c r="E147" s="21" t="s">
        <v>1008</v>
      </c>
      <c r="F147" s="21" t="s">
        <v>1009</v>
      </c>
      <c r="G147" s="21" t="s">
        <v>1010</v>
      </c>
      <c r="H147" s="21" t="s">
        <v>1011</v>
      </c>
      <c r="I147" s="21" t="s">
        <v>1012</v>
      </c>
      <c r="J147" s="130"/>
    </row>
    <row r="148" spans="4:20">
      <c r="D148" s="129"/>
      <c r="E148" s="356" t="s">
        <v>1013</v>
      </c>
      <c r="F148" s="356"/>
      <c r="G148" s="188">
        <v>3</v>
      </c>
      <c r="H148" s="356" t="s">
        <v>1014</v>
      </c>
      <c r="I148" s="356" t="s">
        <v>1015</v>
      </c>
      <c r="J148" s="130"/>
    </row>
    <row r="149" spans="4:20">
      <c r="D149" s="129"/>
      <c r="E149" s="356" t="s">
        <v>1016</v>
      </c>
      <c r="F149" s="356"/>
      <c r="G149" s="356">
        <v>960</v>
      </c>
      <c r="H149" s="356" t="s">
        <v>1017</v>
      </c>
      <c r="I149" s="356" t="s">
        <v>1018</v>
      </c>
      <c r="J149" s="130"/>
    </row>
    <row r="150" spans="4:20">
      <c r="D150" s="129"/>
      <c r="E150" s="356" t="s">
        <v>1019</v>
      </c>
      <c r="F150" s="356"/>
      <c r="G150" s="356">
        <v>1016</v>
      </c>
      <c r="H150" s="356" t="s">
        <v>1020</v>
      </c>
      <c r="I150" s="356" t="s">
        <v>1021</v>
      </c>
      <c r="J150" s="130"/>
    </row>
    <row r="151" spans="4:20" ht="12" thickBot="1">
      <c r="D151" s="131"/>
      <c r="E151" s="301"/>
      <c r="F151" s="301"/>
      <c r="G151" s="301"/>
      <c r="H151" s="301"/>
      <c r="I151" s="301"/>
      <c r="J151" s="302"/>
    </row>
    <row r="152" spans="4:20">
      <c r="S152" s="123"/>
      <c r="T152" s="123"/>
    </row>
    <row r="154" spans="4:20" ht="12" thickBot="1">
      <c r="D154" s="3" t="s">
        <v>818</v>
      </c>
    </row>
    <row r="155" spans="4:20">
      <c r="D155" s="175"/>
      <c r="E155" s="176"/>
      <c r="F155" s="176"/>
      <c r="G155" s="176"/>
      <c r="H155" s="176"/>
      <c r="I155" s="176"/>
      <c r="J155" s="176"/>
      <c r="K155" s="177"/>
    </row>
    <row r="156" spans="4:20">
      <c r="D156" s="129"/>
      <c r="E156" s="21"/>
      <c r="F156" s="21"/>
      <c r="G156" s="21"/>
      <c r="H156" s="21"/>
      <c r="I156" s="21"/>
      <c r="J156" s="21"/>
      <c r="K156" s="130"/>
    </row>
    <row r="157" spans="4:20">
      <c r="D157" s="129"/>
      <c r="E157" s="21"/>
      <c r="F157" s="21"/>
      <c r="G157" s="21"/>
      <c r="H157" s="21"/>
      <c r="I157" s="21"/>
      <c r="J157" s="21"/>
      <c r="K157" s="130"/>
    </row>
    <row r="158" spans="4:20">
      <c r="D158" s="129"/>
      <c r="E158" s="21"/>
      <c r="F158" s="21"/>
      <c r="G158" s="21"/>
      <c r="H158" s="21"/>
      <c r="I158" s="21"/>
      <c r="J158" s="21"/>
      <c r="K158" s="130"/>
    </row>
    <row r="159" spans="4:20">
      <c r="D159" s="129"/>
      <c r="E159" s="21"/>
      <c r="F159" s="21"/>
      <c r="G159" s="21"/>
      <c r="H159" s="21"/>
      <c r="I159" s="21"/>
      <c r="J159" s="21"/>
      <c r="K159" s="130"/>
    </row>
    <row r="160" spans="4:20">
      <c r="D160" s="129"/>
      <c r="E160" s="21"/>
      <c r="F160" s="21"/>
      <c r="G160" s="21"/>
      <c r="H160" s="21"/>
      <c r="I160" s="21"/>
      <c r="J160" s="21"/>
      <c r="K160" s="130"/>
    </row>
    <row r="161" spans="4:20">
      <c r="D161" s="129"/>
      <c r="E161" s="21"/>
      <c r="F161" s="21"/>
      <c r="G161" s="21"/>
      <c r="H161" s="21"/>
      <c r="I161" s="21"/>
      <c r="J161" s="21"/>
      <c r="K161" s="130"/>
    </row>
    <row r="162" spans="4:20">
      <c r="D162" s="129"/>
      <c r="E162" s="21"/>
      <c r="F162" s="21"/>
      <c r="G162" s="21"/>
      <c r="H162" s="21"/>
      <c r="I162" s="21"/>
      <c r="J162" s="21"/>
      <c r="K162" s="130"/>
    </row>
    <row r="163" spans="4:20">
      <c r="D163" s="129"/>
      <c r="E163" s="21"/>
      <c r="F163" s="21"/>
      <c r="G163" s="21"/>
      <c r="H163" s="21"/>
      <c r="I163" s="21"/>
      <c r="J163" s="21"/>
      <c r="K163" s="130"/>
    </row>
    <row r="164" spans="4:20">
      <c r="D164" s="129"/>
      <c r="E164" s="21"/>
      <c r="F164" s="21"/>
      <c r="G164" s="21"/>
      <c r="H164" s="21"/>
      <c r="I164" s="21"/>
      <c r="J164" s="21"/>
      <c r="K164" s="130"/>
    </row>
    <row r="165" spans="4:20">
      <c r="D165" s="129"/>
      <c r="E165" s="21"/>
      <c r="F165" s="21"/>
      <c r="G165" s="21"/>
      <c r="H165" s="21"/>
      <c r="I165" s="21"/>
      <c r="J165" s="21"/>
      <c r="K165" s="130"/>
    </row>
    <row r="166" spans="4:20">
      <c r="D166" s="129"/>
      <c r="E166" s="21"/>
      <c r="F166" s="21"/>
      <c r="G166" s="21"/>
      <c r="H166" s="21"/>
      <c r="I166" s="21"/>
      <c r="J166" s="21"/>
      <c r="K166" s="130"/>
    </row>
    <row r="167" spans="4:20">
      <c r="D167" s="129"/>
      <c r="E167" s="21"/>
      <c r="F167" s="21"/>
      <c r="G167" s="21"/>
      <c r="H167" s="21"/>
      <c r="I167" s="21"/>
      <c r="J167" s="21"/>
      <c r="K167" s="130"/>
    </row>
    <row r="168" spans="4:20">
      <c r="D168" s="129"/>
      <c r="E168" s="21"/>
      <c r="F168" s="21"/>
      <c r="G168" s="21"/>
      <c r="H168" s="21"/>
      <c r="I168" s="21"/>
      <c r="J168" s="21"/>
      <c r="K168" s="130"/>
    </row>
    <row r="169" spans="4:20" ht="12" thickBot="1">
      <c r="D169" s="131"/>
      <c r="E169" s="132"/>
      <c r="F169" s="132"/>
      <c r="G169" s="132"/>
      <c r="H169" s="132"/>
      <c r="I169" s="132"/>
      <c r="J169" s="132"/>
      <c r="K169" s="133"/>
    </row>
    <row r="172" spans="4:20">
      <c r="D172" s="129"/>
      <c r="E172" s="21" t="s">
        <v>1262</v>
      </c>
      <c r="F172" s="21">
        <v>4</v>
      </c>
      <c r="G172" s="21" t="b">
        <v>1</v>
      </c>
      <c r="H172" s="21"/>
      <c r="I172" s="21"/>
      <c r="J172" s="130"/>
      <c r="S172" s="123"/>
      <c r="T172" s="123"/>
    </row>
    <row r="175" spans="4:20">
      <c r="D175" s="129"/>
      <c r="E175" s="21" t="s">
        <v>580</v>
      </c>
      <c r="F175" s="21">
        <v>1</v>
      </c>
      <c r="G175" s="21">
        <v>7</v>
      </c>
      <c r="H175" s="21" t="s">
        <v>1145</v>
      </c>
      <c r="I175" s="21" t="b">
        <v>1</v>
      </c>
      <c r="J175" s="130" t="b">
        <v>1</v>
      </c>
      <c r="S175" s="123"/>
      <c r="T175" s="123"/>
    </row>
    <row r="177" spans="4:20">
      <c r="D177" s="129"/>
      <c r="E177" s="21" t="s">
        <v>1264</v>
      </c>
      <c r="F177" s="21">
        <v>4</v>
      </c>
      <c r="G177" s="21">
        <v>1</v>
      </c>
      <c r="H177" s="21"/>
      <c r="I177" s="21" t="b">
        <v>1</v>
      </c>
      <c r="J177" s="130" t="b">
        <v>0</v>
      </c>
      <c r="S177" s="123"/>
      <c r="T177" s="123"/>
    </row>
    <row r="178" spans="4:20">
      <c r="D178" s="129"/>
      <c r="E178" s="21" t="s">
        <v>1265</v>
      </c>
      <c r="F178" s="21">
        <v>4</v>
      </c>
      <c r="G178" s="21">
        <v>2</v>
      </c>
      <c r="H178" s="21"/>
      <c r="I178" s="21" t="b">
        <v>1</v>
      </c>
      <c r="J178" s="130" t="b">
        <v>0</v>
      </c>
      <c r="S178" s="123"/>
      <c r="T178" s="123"/>
    </row>
    <row r="179" spans="4:20">
      <c r="D179" s="129"/>
      <c r="E179" s="21" t="s">
        <v>991</v>
      </c>
      <c r="F179" s="21">
        <v>4</v>
      </c>
      <c r="G179" s="21">
        <v>3</v>
      </c>
      <c r="H179" s="21"/>
      <c r="I179" s="21" t="b">
        <v>1</v>
      </c>
      <c r="J179" s="130" t="b">
        <v>0</v>
      </c>
      <c r="S179" s="123"/>
      <c r="T179" s="123"/>
    </row>
    <row r="181" spans="4:20">
      <c r="D181" s="129"/>
      <c r="E181" s="21" t="s">
        <v>1302</v>
      </c>
      <c r="F181" s="21">
        <v>4</v>
      </c>
      <c r="G181" s="21">
        <v>1</v>
      </c>
      <c r="H181" s="21" t="s">
        <v>240</v>
      </c>
      <c r="I181" s="21" t="b">
        <v>1</v>
      </c>
      <c r="J181" s="130" t="b">
        <v>0</v>
      </c>
      <c r="S181" s="123"/>
      <c r="T181" s="123"/>
    </row>
    <row r="182" spans="4:20">
      <c r="D182" s="129"/>
      <c r="E182" s="21" t="s">
        <v>591</v>
      </c>
      <c r="F182" s="21">
        <v>4</v>
      </c>
      <c r="G182" s="21">
        <v>3</v>
      </c>
      <c r="H182" s="21" t="s">
        <v>436</v>
      </c>
      <c r="I182" s="21" t="b">
        <v>1</v>
      </c>
      <c r="J182" s="130" t="b">
        <v>0</v>
      </c>
      <c r="S182" s="123"/>
      <c r="T182" s="123"/>
    </row>
    <row r="183" spans="4:20">
      <c r="D183" s="129"/>
      <c r="E183" s="21" t="s">
        <v>760</v>
      </c>
      <c r="F183" s="21">
        <v>4</v>
      </c>
      <c r="G183" s="21">
        <v>4</v>
      </c>
      <c r="H183" s="21" t="s">
        <v>437</v>
      </c>
      <c r="I183" s="21" t="b">
        <v>1</v>
      </c>
      <c r="J183" s="130" t="b">
        <v>0</v>
      </c>
      <c r="S183" s="123"/>
      <c r="T183" s="123"/>
    </row>
    <row r="184" spans="4:20">
      <c r="D184" s="129"/>
      <c r="E184" s="21" t="s">
        <v>1208</v>
      </c>
      <c r="F184" s="21">
        <v>4</v>
      </c>
      <c r="G184" s="21">
        <v>5</v>
      </c>
      <c r="H184" s="21" t="s">
        <v>438</v>
      </c>
      <c r="I184" s="21" t="b">
        <v>1</v>
      </c>
      <c r="J184" s="130" t="b">
        <v>0</v>
      </c>
      <c r="S184" s="123"/>
      <c r="T184" s="123"/>
    </row>
    <row r="185" spans="4:20">
      <c r="D185" s="129"/>
      <c r="E185" s="21" t="s">
        <v>761</v>
      </c>
      <c r="F185" s="21">
        <v>4</v>
      </c>
      <c r="G185" s="21">
        <v>6</v>
      </c>
      <c r="H185" s="21" t="s">
        <v>439</v>
      </c>
      <c r="I185" s="21" t="b">
        <v>1</v>
      </c>
      <c r="J185" s="130" t="b">
        <v>0</v>
      </c>
      <c r="S185" s="123"/>
      <c r="T185" s="123"/>
    </row>
    <row r="187" spans="4:20">
      <c r="D187" s="129"/>
      <c r="E187" s="563" t="s">
        <v>1249</v>
      </c>
      <c r="F187" s="21">
        <v>4</v>
      </c>
      <c r="G187" s="21">
        <v>1</v>
      </c>
      <c r="H187" s="21" t="s">
        <v>1250</v>
      </c>
      <c r="I187" s="21" t="b">
        <v>1</v>
      </c>
      <c r="J187" s="130"/>
      <c r="S187" s="123"/>
      <c r="T187" s="123"/>
    </row>
    <row r="188" spans="4:20">
      <c r="D188" s="129"/>
      <c r="E188" s="21" t="s">
        <v>584</v>
      </c>
      <c r="F188" s="21">
        <v>4</v>
      </c>
      <c r="G188" s="21">
        <v>1</v>
      </c>
      <c r="H188" s="21" t="s">
        <v>770</v>
      </c>
      <c r="I188" s="21" t="b">
        <v>1</v>
      </c>
      <c r="J188" s="130"/>
      <c r="S188" s="123"/>
      <c r="T188" s="123"/>
    </row>
    <row r="189" spans="4:20">
      <c r="D189" s="129"/>
      <c r="E189" s="21" t="s">
        <v>587</v>
      </c>
      <c r="F189" s="21">
        <v>4</v>
      </c>
      <c r="G189" s="21">
        <v>1</v>
      </c>
      <c r="H189" s="21" t="s">
        <v>771</v>
      </c>
      <c r="I189" s="21" t="b">
        <v>1</v>
      </c>
      <c r="J189" s="130"/>
      <c r="S189" s="123"/>
      <c r="T189" s="123"/>
    </row>
    <row r="190" spans="4:20">
      <c r="D190" s="129"/>
      <c r="E190" s="21" t="s">
        <v>585</v>
      </c>
      <c r="F190" s="21">
        <v>4</v>
      </c>
      <c r="G190" s="21">
        <v>2</v>
      </c>
      <c r="H190" s="21" t="s">
        <v>772</v>
      </c>
      <c r="I190" s="21" t="b">
        <v>1</v>
      </c>
      <c r="J190" s="130"/>
      <c r="S190" s="123"/>
      <c r="T190" s="123"/>
    </row>
    <row r="191" spans="4:20">
      <c r="D191" s="129"/>
      <c r="E191" s="21" t="s">
        <v>588</v>
      </c>
      <c r="F191" s="21">
        <v>4</v>
      </c>
      <c r="G191" s="21">
        <v>2</v>
      </c>
      <c r="H191" s="21" t="s">
        <v>1246</v>
      </c>
      <c r="I191" s="21" t="b">
        <v>1</v>
      </c>
      <c r="J191" s="130"/>
      <c r="S191" s="123"/>
      <c r="T191" s="123"/>
    </row>
    <row r="192" spans="4:20">
      <c r="D192" s="129"/>
      <c r="E192" s="21" t="s">
        <v>586</v>
      </c>
      <c r="F192" s="21">
        <v>4</v>
      </c>
      <c r="G192" s="21">
        <v>3</v>
      </c>
      <c r="H192" s="21" t="s">
        <v>1247</v>
      </c>
      <c r="I192" s="21" t="b">
        <v>1</v>
      </c>
      <c r="J192" s="130"/>
      <c r="S192" s="123"/>
      <c r="T192" s="123"/>
    </row>
    <row r="193" spans="4:20">
      <c r="D193" s="129"/>
      <c r="E193" s="21" t="s">
        <v>589</v>
      </c>
      <c r="F193" s="21">
        <v>4</v>
      </c>
      <c r="G193" s="21">
        <v>3</v>
      </c>
      <c r="H193" s="21" t="s">
        <v>1248</v>
      </c>
      <c r="I193" s="21" t="b">
        <v>1</v>
      </c>
      <c r="J193" s="130"/>
      <c r="S193" s="123"/>
      <c r="T193" s="123"/>
    </row>
  </sheetData>
  <phoneticPr fontId="0" type="noConversion"/>
  <pageMargins left="0.5" right="0.5" top="0.5" bottom="0.5"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ToolDataImportBalances">
                <anchor moveWithCells="1" sizeWithCells="1">
                  <from>
                    <xdr:col>5</xdr:col>
                    <xdr:colOff>219075</xdr:colOff>
                    <xdr:row>8</xdr:row>
                    <xdr:rowOff>66675</xdr:rowOff>
                  </from>
                  <to>
                    <xdr:col>8</xdr:col>
                    <xdr:colOff>238125</xdr:colOff>
                    <xdr:row>10</xdr:row>
                    <xdr:rowOff>9525</xdr:rowOff>
                  </to>
                </anchor>
              </controlPr>
            </control>
          </mc:Choice>
        </mc:AlternateContent>
        <mc:AlternateContent xmlns:mc="http://schemas.openxmlformats.org/markup-compatibility/2006">
          <mc:Choice Requires="x14">
            <control shapeId="14339" r:id="rId5" name="Button 3">
              <controlPr defaultSize="0" print="0" autoFill="0" autoPict="0" macro="[0]!ToolZoomToFit">
                <anchor moveWithCells="1" sizeWithCells="1">
                  <from>
                    <xdr:col>8</xdr:col>
                    <xdr:colOff>400050</xdr:colOff>
                    <xdr:row>8</xdr:row>
                    <xdr:rowOff>85725</xdr:rowOff>
                  </from>
                  <to>
                    <xdr:col>11</xdr:col>
                    <xdr:colOff>457200</xdr:colOff>
                    <xdr:row>10</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oolIntro" enableFormatConditionsCalculation="0">
    <tabColor rgb="FFC00000"/>
  </sheetPr>
  <dimension ref="A1:R38"/>
  <sheetViews>
    <sheetView showGridLines="0" zoomScaleNormal="100" workbookViewId="0">
      <selection activeCell="I16" sqref="I16"/>
    </sheetView>
  </sheetViews>
  <sheetFormatPr defaultRowHeight="11.25"/>
  <cols>
    <col min="1" max="1" width="1.83203125" style="1130" customWidth="1"/>
    <col min="2" max="2" width="8.83203125" style="1130" customWidth="1"/>
    <col min="3" max="3" width="1.83203125" style="1130" customWidth="1"/>
    <col min="4" max="4" width="15.6640625" style="1130" customWidth="1"/>
    <col min="5" max="5" width="62.33203125" style="1130" customWidth="1"/>
    <col min="6" max="6" width="2.33203125" style="1130" customWidth="1"/>
    <col min="7" max="7" width="0.33203125" style="1130" customWidth="1"/>
    <col min="8" max="8" width="25" style="1130" customWidth="1"/>
    <col min="9" max="9" width="39" style="1130" customWidth="1"/>
    <col min="10" max="10" width="7.6640625" style="1130" customWidth="1"/>
    <col min="11" max="11" width="2.33203125" style="1130" customWidth="1"/>
    <col min="12" max="12" width="12.83203125" style="1130" customWidth="1"/>
    <col min="13" max="13" width="10.83203125" style="1130" customWidth="1"/>
    <col min="14" max="15" width="1.83203125" style="1130" customWidth="1"/>
    <col min="16" max="16384" width="9.33203125" style="1130"/>
  </cols>
  <sheetData>
    <row r="1" spans="1:18" ht="22.5" customHeight="1">
      <c r="B1" s="1130" t="s">
        <v>698</v>
      </c>
      <c r="D1" s="1132"/>
      <c r="E1" s="1132"/>
      <c r="F1" s="1132"/>
      <c r="G1" s="1132"/>
      <c r="H1" s="1132"/>
      <c r="I1" s="1132"/>
      <c r="J1" s="1132"/>
      <c r="K1" s="1132"/>
      <c r="L1" s="1132"/>
      <c r="M1" s="1132"/>
      <c r="N1" s="1132"/>
      <c r="O1" s="1132"/>
      <c r="P1" s="1132"/>
    </row>
    <row r="2" spans="1:18">
      <c r="A2" s="1130" t="s">
        <v>174</v>
      </c>
      <c r="D2" s="1132"/>
      <c r="E2" s="1132"/>
      <c r="F2" s="1132"/>
      <c r="G2" s="1132"/>
      <c r="H2" s="1132"/>
      <c r="I2" s="1132"/>
      <c r="J2" s="1132"/>
      <c r="K2" s="1132"/>
      <c r="L2" s="1132"/>
      <c r="M2" s="1132"/>
      <c r="N2" s="1132"/>
      <c r="O2" s="1132"/>
      <c r="P2" s="1132"/>
    </row>
    <row r="3" spans="1:18" ht="7.5" customHeight="1">
      <c r="C3" s="1131"/>
      <c r="D3" s="1131"/>
      <c r="E3" s="1131"/>
      <c r="F3" s="1131"/>
      <c r="G3" s="1132"/>
      <c r="H3" s="1136"/>
      <c r="I3" s="1136"/>
      <c r="J3" s="1136"/>
      <c r="K3" s="1136"/>
      <c r="L3" s="1136"/>
      <c r="M3" s="1136"/>
      <c r="N3" s="1136"/>
      <c r="O3" s="1132"/>
      <c r="P3" s="1132"/>
    </row>
    <row r="4" spans="1:18" ht="9" customHeight="1">
      <c r="C4" s="1132"/>
      <c r="D4" s="1133"/>
      <c r="E4" s="1133"/>
      <c r="F4" s="1133"/>
      <c r="G4" s="1132"/>
      <c r="H4" s="1132"/>
      <c r="I4" s="1132"/>
      <c r="J4" s="1132"/>
      <c r="K4" s="1132"/>
      <c r="L4" s="1132"/>
      <c r="M4" s="1132"/>
      <c r="N4" s="1132"/>
      <c r="O4" s="1132"/>
      <c r="P4" s="1132"/>
      <c r="Q4" s="1132"/>
      <c r="R4" s="1132"/>
    </row>
    <row r="5" spans="1:18" ht="0.75" customHeight="1">
      <c r="C5" s="1132"/>
      <c r="D5" s="1133"/>
      <c r="E5" s="941"/>
      <c r="F5" s="941"/>
      <c r="G5" s="921"/>
      <c r="H5" s="921"/>
      <c r="I5" s="921"/>
      <c r="J5" s="921"/>
      <c r="K5" s="1132"/>
      <c r="L5" s="1132"/>
      <c r="M5" s="1132"/>
      <c r="N5" s="1132"/>
      <c r="O5" s="1132"/>
      <c r="P5" s="1132"/>
      <c r="Q5" s="1132"/>
      <c r="R5" s="1132"/>
    </row>
    <row r="6" spans="1:18" ht="33" customHeight="1">
      <c r="B6" s="1132"/>
      <c r="C6" s="1132"/>
      <c r="D6" s="1133"/>
      <c r="E6" s="1137"/>
      <c r="F6" s="1137"/>
      <c r="G6" s="1138"/>
      <c r="H6" s="1338"/>
      <c r="I6" s="1338"/>
      <c r="J6" s="1338"/>
      <c r="K6" s="1139"/>
      <c r="L6" s="1140"/>
      <c r="M6" s="1132"/>
      <c r="N6" s="1132"/>
      <c r="O6" s="1132"/>
      <c r="P6" s="1132"/>
      <c r="Q6" s="1132"/>
      <c r="R6" s="1132"/>
    </row>
    <row r="7" spans="1:18" ht="135.75" customHeight="1">
      <c r="B7" s="1132"/>
      <c r="C7" s="1132"/>
      <c r="D7" s="1132"/>
      <c r="E7" s="1132"/>
      <c r="F7" s="1132"/>
      <c r="G7" s="142"/>
      <c r="H7" s="142"/>
      <c r="I7" s="1251"/>
      <c r="J7" s="142"/>
      <c r="K7" s="1132"/>
      <c r="L7" s="1132"/>
      <c r="M7" s="1132"/>
      <c r="N7" s="1132"/>
      <c r="O7" s="1132"/>
      <c r="P7" s="1132"/>
      <c r="Q7" s="1132"/>
      <c r="R7" s="1132"/>
    </row>
    <row r="8" spans="1:18" ht="15.75">
      <c r="B8" s="1132"/>
      <c r="C8" s="1132"/>
      <c r="D8" s="1132"/>
      <c r="E8" s="1132"/>
      <c r="F8" s="1132"/>
      <c r="G8" s="142"/>
      <c r="H8" s="142"/>
      <c r="I8" s="1252"/>
      <c r="J8" s="142"/>
      <c r="K8" s="1132"/>
      <c r="L8" s="1132"/>
      <c r="M8" s="1132"/>
      <c r="N8" s="1132"/>
      <c r="O8" s="1132"/>
      <c r="P8" s="1132"/>
      <c r="Q8" s="1132"/>
      <c r="R8" s="1132"/>
    </row>
    <row r="9" spans="1:18" ht="15">
      <c r="B9" s="1132"/>
      <c r="C9" s="1132"/>
      <c r="D9" s="1132"/>
      <c r="E9" s="1132"/>
      <c r="F9" s="1132"/>
      <c r="G9" s="142"/>
      <c r="H9" s="142"/>
      <c r="I9" s="1253"/>
      <c r="J9" s="142"/>
      <c r="K9" s="1132"/>
      <c r="L9" s="1132"/>
      <c r="M9" s="1132"/>
      <c r="N9" s="1132"/>
      <c r="O9" s="1132"/>
      <c r="P9" s="1132"/>
      <c r="Q9" s="1132"/>
      <c r="R9" s="1132"/>
    </row>
    <row r="10" spans="1:18" ht="12.75">
      <c r="B10" s="1132"/>
      <c r="C10" s="1132"/>
      <c r="D10" s="1132"/>
      <c r="E10" s="1132"/>
      <c r="F10" s="1132"/>
      <c r="G10" s="142"/>
      <c r="H10" s="142"/>
      <c r="I10" s="1255" t="s">
        <v>3794</v>
      </c>
      <c r="J10" s="142"/>
      <c r="K10" s="1132"/>
      <c r="L10" s="1132"/>
      <c r="M10" s="1132"/>
      <c r="N10" s="1132"/>
      <c r="O10" s="1132"/>
      <c r="P10" s="1132"/>
      <c r="Q10" s="1132"/>
      <c r="R10" s="1132"/>
    </row>
    <row r="11" spans="1:18" ht="7.5" customHeight="1">
      <c r="B11" s="1132"/>
      <c r="C11" s="1132"/>
      <c r="D11" s="1132"/>
      <c r="E11" s="1132"/>
      <c r="F11" s="1132"/>
      <c r="G11" s="142"/>
      <c r="H11" s="142"/>
      <c r="I11" s="1252"/>
      <c r="J11" s="142"/>
      <c r="K11" s="1132"/>
      <c r="L11" s="1132"/>
      <c r="M11" s="1132"/>
      <c r="N11" s="1132"/>
      <c r="O11" s="1132"/>
      <c r="P11" s="1132"/>
      <c r="Q11" s="1132"/>
      <c r="R11" s="1132"/>
    </row>
    <row r="12" spans="1:18" ht="22.5" customHeight="1">
      <c r="B12" s="1132"/>
      <c r="C12" s="1132"/>
      <c r="D12" s="1132"/>
      <c r="E12" s="1132"/>
      <c r="F12" s="1132"/>
      <c r="G12" s="142"/>
      <c r="H12" s="142"/>
      <c r="I12" s="1257">
        <v>1</v>
      </c>
      <c r="J12" s="142"/>
      <c r="K12" s="1132"/>
      <c r="L12" s="1132"/>
      <c r="M12" s="1132"/>
      <c r="N12" s="1132"/>
      <c r="O12" s="1132"/>
      <c r="P12" s="1132"/>
      <c r="Q12" s="1132"/>
      <c r="R12" s="1132"/>
    </row>
    <row r="13" spans="1:18" ht="15" customHeight="1">
      <c r="B13" s="1132"/>
      <c r="C13" s="1132"/>
      <c r="D13" s="1132"/>
      <c r="E13" s="1132"/>
      <c r="F13" s="1132"/>
      <c r="G13" s="142"/>
      <c r="H13" s="142"/>
      <c r="I13" s="1253"/>
      <c r="J13" s="142"/>
      <c r="K13" s="1132"/>
      <c r="L13" s="1132"/>
      <c r="M13" s="1132"/>
      <c r="N13" s="1132"/>
      <c r="O13" s="1132"/>
      <c r="P13" s="1132"/>
      <c r="Q13" s="1132"/>
      <c r="R13" s="1132"/>
    </row>
    <row r="14" spans="1:18" ht="12.75">
      <c r="B14" s="1132"/>
      <c r="C14" s="1132"/>
      <c r="D14" s="1132"/>
      <c r="E14" s="1132"/>
      <c r="F14" s="1132"/>
      <c r="G14" s="142"/>
      <c r="H14" s="142"/>
      <c r="I14" s="1255" t="s">
        <v>3793</v>
      </c>
      <c r="J14" s="142"/>
      <c r="K14" s="1132"/>
      <c r="L14" s="1132"/>
      <c r="M14" s="1132"/>
      <c r="N14" s="1132"/>
      <c r="O14" s="1132"/>
      <c r="P14" s="1132"/>
      <c r="Q14" s="1132"/>
      <c r="R14" s="1132"/>
    </row>
    <row r="15" spans="1:18" ht="7.5" customHeight="1">
      <c r="B15" s="1132"/>
      <c r="C15" s="1132"/>
      <c r="D15" s="1132"/>
      <c r="E15" s="1132"/>
      <c r="F15" s="1132"/>
      <c r="G15" s="142"/>
      <c r="H15" s="142"/>
      <c r="I15" s="1254"/>
      <c r="J15" s="142"/>
      <c r="K15" s="1132"/>
      <c r="L15" s="1132"/>
      <c r="M15" s="1132"/>
      <c r="N15" s="1132"/>
      <c r="O15" s="1132"/>
      <c r="P15" s="1132"/>
      <c r="Q15" s="1132"/>
      <c r="R15" s="1132"/>
    </row>
    <row r="16" spans="1:18" ht="22.5" customHeight="1">
      <c r="B16" s="1132"/>
      <c r="C16" s="1132"/>
      <c r="D16" s="1132"/>
      <c r="E16" s="1132"/>
      <c r="F16" s="1132"/>
      <c r="G16" s="142"/>
      <c r="H16" s="142"/>
      <c r="I16" s="1258" t="s">
        <v>1339</v>
      </c>
      <c r="J16" s="142"/>
      <c r="K16" s="1132"/>
      <c r="L16" s="1132"/>
      <c r="M16" s="1132"/>
      <c r="N16" s="1132"/>
      <c r="O16" s="1132"/>
      <c r="P16" s="1132"/>
      <c r="Q16" s="1132"/>
      <c r="R16" s="1132"/>
    </row>
    <row r="17" spans="2:18">
      <c r="B17" s="1132"/>
      <c r="C17" s="1132"/>
      <c r="D17" s="1132"/>
      <c r="E17" s="1132"/>
      <c r="F17" s="1132"/>
      <c r="G17" s="142"/>
      <c r="H17" s="142"/>
      <c r="I17" s="142"/>
      <c r="J17" s="142"/>
      <c r="K17" s="1132"/>
      <c r="L17" s="1132"/>
      <c r="M17" s="1132"/>
      <c r="N17" s="1132"/>
      <c r="O17" s="1132"/>
      <c r="P17" s="1132"/>
      <c r="Q17" s="1132"/>
      <c r="R17" s="1132"/>
    </row>
    <row r="18" spans="2:18" ht="25.5" customHeight="1">
      <c r="B18" s="1132"/>
      <c r="C18" s="1132"/>
      <c r="D18" s="1132"/>
      <c r="E18" s="1132"/>
      <c r="F18" s="1132"/>
      <c r="G18" s="142"/>
      <c r="H18" s="1259"/>
      <c r="I18" s="1259"/>
      <c r="J18" s="1259"/>
      <c r="K18" s="1132"/>
      <c r="L18" s="1132"/>
      <c r="M18" s="1132"/>
      <c r="N18" s="1132"/>
      <c r="O18" s="1132"/>
      <c r="P18" s="1132"/>
      <c r="Q18" s="1132"/>
      <c r="R18" s="1132"/>
    </row>
    <row r="19" spans="2:18" s="1134" customFormat="1" ht="15">
      <c r="B19" s="1135"/>
      <c r="C19" s="1135"/>
      <c r="D19" s="1135"/>
      <c r="E19" s="1135"/>
      <c r="F19" s="1135"/>
      <c r="G19" s="942"/>
      <c r="H19" s="1260"/>
      <c r="I19" s="1261"/>
      <c r="J19" s="1262"/>
      <c r="K19" s="1141"/>
      <c r="L19" s="1141"/>
      <c r="M19" s="1135"/>
      <c r="N19" s="1135"/>
      <c r="O19" s="1135"/>
      <c r="P19" s="1135"/>
      <c r="Q19" s="1135"/>
      <c r="R19" s="1135"/>
    </row>
    <row r="20" spans="2:18">
      <c r="B20" s="1132"/>
      <c r="C20" s="1132"/>
      <c r="D20" s="1132"/>
      <c r="E20" s="1132"/>
      <c r="F20" s="1132"/>
      <c r="G20" s="142"/>
      <c r="H20" s="1259"/>
      <c r="I20" s="1259"/>
      <c r="J20" s="1259"/>
      <c r="K20" s="1132"/>
      <c r="L20" s="1132"/>
      <c r="M20" s="1132"/>
      <c r="N20" s="1132"/>
      <c r="O20" s="1132"/>
      <c r="P20" s="1132"/>
      <c r="Q20" s="1132"/>
      <c r="R20" s="1132"/>
    </row>
    <row r="21" spans="2:18">
      <c r="B21" s="1132"/>
      <c r="C21" s="1132"/>
      <c r="D21" s="1132"/>
      <c r="E21" s="1132"/>
      <c r="F21" s="1132"/>
      <c r="G21" s="142"/>
      <c r="H21" s="1259"/>
      <c r="I21" s="1259"/>
      <c r="J21" s="1259"/>
      <c r="K21" s="1132"/>
      <c r="L21" s="1132"/>
      <c r="M21" s="1132"/>
      <c r="N21" s="1132"/>
      <c r="O21" s="1132"/>
      <c r="P21" s="1132"/>
      <c r="Q21" s="1132"/>
      <c r="R21" s="1132"/>
    </row>
    <row r="22" spans="2:18">
      <c r="B22" s="1132"/>
      <c r="C22" s="1132"/>
      <c r="D22" s="1132"/>
      <c r="E22" s="1132"/>
      <c r="F22" s="1132"/>
      <c r="G22" s="1132"/>
      <c r="H22" s="1259"/>
      <c r="I22" s="1259"/>
      <c r="J22" s="1259"/>
      <c r="K22" s="1132"/>
      <c r="L22" s="1132"/>
      <c r="M22" s="1132"/>
      <c r="N22" s="1132"/>
      <c r="O22" s="1132"/>
      <c r="P22" s="1132"/>
      <c r="Q22" s="1132"/>
      <c r="R22" s="1132"/>
    </row>
    <row r="23" spans="2:18">
      <c r="B23" s="1132"/>
      <c r="C23" s="1132"/>
      <c r="D23" s="1132"/>
      <c r="E23" s="1132"/>
      <c r="F23" s="1132"/>
      <c r="G23" s="1132"/>
      <c r="H23" s="1132"/>
      <c r="I23" s="1132"/>
      <c r="J23" s="1132"/>
      <c r="K23" s="1132"/>
      <c r="L23" s="1132"/>
      <c r="M23" s="1132"/>
      <c r="N23" s="1132"/>
      <c r="O23" s="1132"/>
      <c r="P23" s="1132"/>
      <c r="Q23" s="1132"/>
      <c r="R23" s="1132"/>
    </row>
    <row r="24" spans="2:18">
      <c r="D24" s="1132"/>
      <c r="E24" s="1132"/>
      <c r="F24" s="1132"/>
      <c r="G24" s="1132"/>
      <c r="H24" s="1132"/>
      <c r="I24" s="1132"/>
      <c r="J24" s="1132"/>
      <c r="K24" s="1132"/>
      <c r="L24" s="1132"/>
      <c r="M24" s="1132"/>
      <c r="N24" s="1132"/>
      <c r="O24" s="1132"/>
      <c r="P24" s="1132"/>
      <c r="Q24" s="1132"/>
      <c r="R24" s="1132"/>
    </row>
    <row r="25" spans="2:18">
      <c r="D25" s="1132"/>
      <c r="E25" s="1132"/>
      <c r="F25" s="1132"/>
      <c r="G25" s="1132"/>
      <c r="H25" s="1132"/>
      <c r="I25" s="1132"/>
      <c r="J25" s="1132"/>
      <c r="K25" s="1132"/>
      <c r="L25" s="1132"/>
      <c r="M25" s="1132"/>
      <c r="N25" s="1132"/>
      <c r="O25" s="1132"/>
      <c r="P25" s="1132"/>
      <c r="Q25" s="1132"/>
      <c r="R25" s="1132"/>
    </row>
    <row r="26" spans="2:18">
      <c r="D26" s="1132"/>
      <c r="E26" s="1132"/>
      <c r="F26" s="1132"/>
      <c r="G26" s="1132"/>
      <c r="H26" s="1132"/>
      <c r="I26" s="1132"/>
      <c r="J26" s="1132"/>
      <c r="K26" s="1132"/>
      <c r="L26" s="1132"/>
      <c r="M26" s="1132"/>
      <c r="N26" s="1132"/>
      <c r="O26" s="1132"/>
      <c r="P26" s="1132"/>
      <c r="Q26" s="1132"/>
      <c r="R26" s="1132"/>
    </row>
    <row r="27" spans="2:18">
      <c r="D27" s="1132"/>
      <c r="E27" s="1132"/>
      <c r="F27" s="1132"/>
      <c r="G27" s="1132"/>
      <c r="H27" s="1132"/>
      <c r="I27" s="1132"/>
      <c r="J27" s="1132"/>
      <c r="K27" s="1132"/>
      <c r="L27" s="1132"/>
      <c r="M27" s="1132"/>
      <c r="N27" s="1132"/>
      <c r="O27" s="1132"/>
      <c r="P27" s="1132"/>
    </row>
    <row r="28" spans="2:18">
      <c r="D28" s="1132"/>
      <c r="E28" s="1132"/>
      <c r="F28" s="1132"/>
      <c r="G28" s="1132"/>
      <c r="H28" s="1132"/>
      <c r="I28" s="1132"/>
      <c r="J28" s="1132"/>
      <c r="K28" s="1132"/>
      <c r="L28" s="1132"/>
      <c r="M28" s="1132"/>
      <c r="N28" s="1132"/>
      <c r="O28" s="1132"/>
      <c r="P28" s="1132"/>
    </row>
    <row r="29" spans="2:18">
      <c r="D29" s="1132"/>
      <c r="E29" s="1132"/>
      <c r="F29" s="1132"/>
      <c r="G29" s="1132"/>
      <c r="H29" s="1132"/>
      <c r="I29" s="1132"/>
      <c r="J29" s="1132"/>
      <c r="K29" s="1132"/>
      <c r="L29" s="1132"/>
      <c r="M29" s="1132"/>
      <c r="N29" s="1132"/>
      <c r="O29" s="1132"/>
      <c r="P29" s="1132"/>
    </row>
    <row r="30" spans="2:18">
      <c r="D30" s="1132"/>
      <c r="E30" s="1132"/>
      <c r="F30" s="1132"/>
      <c r="G30" s="1132"/>
      <c r="H30" s="1132"/>
      <c r="I30" s="1132"/>
      <c r="J30" s="1132"/>
      <c r="K30" s="1132"/>
      <c r="L30" s="1132"/>
      <c r="M30" s="1132"/>
      <c r="N30" s="1132"/>
      <c r="O30" s="1132"/>
      <c r="P30" s="1132"/>
    </row>
    <row r="31" spans="2:18">
      <c r="D31" s="1132"/>
      <c r="E31" s="1132"/>
      <c r="F31" s="1132"/>
      <c r="G31" s="1132"/>
      <c r="H31" s="1132"/>
      <c r="I31" s="1132"/>
      <c r="J31" s="1132"/>
      <c r="K31" s="1132"/>
      <c r="L31" s="1132"/>
      <c r="M31" s="1132"/>
      <c r="N31" s="1132"/>
      <c r="O31" s="1132"/>
      <c r="P31" s="1132"/>
    </row>
    <row r="32" spans="2:18">
      <c r="D32" s="1132"/>
      <c r="E32" s="1132"/>
      <c r="F32" s="1132"/>
      <c r="G32" s="1132"/>
      <c r="H32" s="1132"/>
      <c r="I32" s="1132"/>
      <c r="J32" s="1132"/>
      <c r="K32" s="1132"/>
      <c r="L32" s="1132"/>
      <c r="M32" s="1132"/>
      <c r="N32" s="1132"/>
      <c r="O32" s="1132"/>
      <c r="P32" s="1132"/>
    </row>
    <row r="33" spans="4:16">
      <c r="D33" s="1132"/>
      <c r="E33" s="1132"/>
      <c r="F33" s="1132"/>
      <c r="G33" s="1132"/>
      <c r="H33" s="1132"/>
      <c r="I33" s="1132"/>
      <c r="J33" s="1132"/>
      <c r="K33" s="1132"/>
      <c r="L33" s="1132"/>
      <c r="M33" s="1132"/>
      <c r="N33" s="1132"/>
      <c r="O33" s="1132"/>
      <c r="P33" s="1132"/>
    </row>
    <row r="34" spans="4:16">
      <c r="D34" s="1132"/>
      <c r="E34" s="1132"/>
      <c r="F34" s="1132"/>
      <c r="G34" s="1132"/>
      <c r="H34" s="1132"/>
      <c r="I34" s="1132"/>
      <c r="J34" s="1132"/>
      <c r="K34" s="1132"/>
      <c r="L34" s="1132"/>
      <c r="M34" s="1132"/>
      <c r="N34" s="1132"/>
      <c r="O34" s="1132"/>
      <c r="P34" s="1132"/>
    </row>
    <row r="35" spans="4:16">
      <c r="D35" s="1132"/>
      <c r="E35" s="1132"/>
      <c r="F35" s="1132"/>
      <c r="G35" s="1132"/>
      <c r="H35" s="1132"/>
      <c r="I35" s="1132"/>
      <c r="J35" s="1132"/>
      <c r="K35" s="1132"/>
      <c r="L35" s="1132"/>
      <c r="M35" s="1132"/>
      <c r="N35" s="1132"/>
      <c r="O35" s="1132"/>
      <c r="P35" s="1132"/>
    </row>
    <row r="36" spans="4:16">
      <c r="D36" s="1132"/>
      <c r="E36" s="1132"/>
      <c r="F36" s="1132"/>
      <c r="G36" s="1132"/>
      <c r="H36" s="1132"/>
      <c r="I36" s="1132"/>
      <c r="J36" s="1132"/>
      <c r="K36" s="1132"/>
      <c r="L36" s="1132"/>
      <c r="M36" s="1132"/>
      <c r="N36" s="1132"/>
      <c r="O36" s="1132"/>
      <c r="P36" s="1132"/>
    </row>
    <row r="37" spans="4:16">
      <c r="D37" s="1132"/>
      <c r="E37" s="1132"/>
      <c r="F37" s="1132"/>
      <c r="G37" s="1132"/>
      <c r="H37" s="1132"/>
      <c r="I37" s="1132"/>
      <c r="J37" s="1132"/>
      <c r="K37" s="1132"/>
      <c r="L37" s="1132"/>
      <c r="M37" s="1132"/>
      <c r="N37" s="1132"/>
      <c r="O37" s="1132"/>
      <c r="P37" s="1132"/>
    </row>
    <row r="38" spans="4:16">
      <c r="D38" s="1132"/>
      <c r="E38" s="1132"/>
      <c r="F38" s="1132"/>
      <c r="G38" s="1132"/>
      <c r="H38" s="1132"/>
      <c r="I38" s="1132"/>
      <c r="J38" s="1132"/>
      <c r="K38" s="1132"/>
      <c r="L38" s="1132"/>
      <c r="M38" s="1132"/>
      <c r="N38" s="1132"/>
      <c r="O38" s="1132"/>
      <c r="P38" s="1132"/>
    </row>
  </sheetData>
  <mergeCells count="1">
    <mergeCell ref="H6:J6"/>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ToolMode">
                <anchor moveWithCells="1" sizeWithCells="1">
                  <from>
                    <xdr:col>8</xdr:col>
                    <xdr:colOff>9525</xdr:colOff>
                    <xdr:row>16</xdr:row>
                    <xdr:rowOff>114300</xdr:rowOff>
                  </from>
                  <to>
                    <xdr:col>8</xdr:col>
                    <xdr:colOff>962025</xdr:colOff>
                    <xdr:row>17</xdr:row>
                    <xdr:rowOff>314325</xdr:rowOff>
                  </to>
                </anchor>
              </controlPr>
            </control>
          </mc:Choice>
        </mc:AlternateContent>
        <mc:AlternateContent xmlns:mc="http://schemas.openxmlformats.org/markup-compatibility/2006">
          <mc:Choice Requires="x14">
            <control shapeId="29698" r:id="rId5" name="Button 2">
              <controlPr defaultSize="0" print="0" autoFill="0" autoPict="0" macro="[0]!SimMode">
                <anchor moveWithCells="1" sizeWithCells="1">
                  <from>
                    <xdr:col>8</xdr:col>
                    <xdr:colOff>1276350</xdr:colOff>
                    <xdr:row>16</xdr:row>
                    <xdr:rowOff>114300</xdr:rowOff>
                  </from>
                  <to>
                    <xdr:col>9</xdr:col>
                    <xdr:colOff>0</xdr:colOff>
                    <xdr:row>17</xdr:row>
                    <xdr:rowOff>314325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oolPNL" enableFormatConditionsCalculation="0">
    <tabColor rgb="FFC00000"/>
    <pageSetUpPr fitToPage="1"/>
  </sheetPr>
  <dimension ref="D1:AO65"/>
  <sheetViews>
    <sheetView showGridLines="0" zoomScaleNormal="100" workbookViewId="0">
      <pane ySplit="3" topLeftCell="A4" activePane="bottomLeft" state="frozen"/>
      <selection activeCell="B1" sqref="B1"/>
      <selection pane="bottomLeft"/>
    </sheetView>
  </sheetViews>
  <sheetFormatPr defaultRowHeight="11.25"/>
  <cols>
    <col min="1" max="1" width="8.33203125" style="1130" customWidth="1"/>
    <col min="2" max="2" width="7.5" style="1130" customWidth="1"/>
    <col min="3" max="3" width="1.83203125" style="1130" customWidth="1"/>
    <col min="4" max="5" width="2.83203125" style="1130" customWidth="1"/>
    <col min="6" max="7" width="1.83203125" style="1130" customWidth="1"/>
    <col min="8" max="8" width="27.6640625" style="1130" customWidth="1"/>
    <col min="9" max="9" width="1.83203125" style="1130" customWidth="1"/>
    <col min="10" max="10" width="18.83203125" style="1130" customWidth="1"/>
    <col min="11" max="11" width="1.83203125" style="1130" customWidth="1"/>
    <col min="12" max="12" width="18.83203125" style="1130" customWidth="1"/>
    <col min="13" max="13" width="1.83203125" style="1130" customWidth="1"/>
    <col min="14" max="14" width="18.83203125" style="1130" customWidth="1"/>
    <col min="15" max="15" width="1.83203125" style="1130" customWidth="1"/>
    <col min="16" max="16" width="10.33203125" style="1130" customWidth="1"/>
    <col min="17" max="17" width="1.83203125" style="1130" customWidth="1"/>
    <col min="18" max="18" width="10.33203125" style="1130" customWidth="1"/>
    <col min="19" max="19" width="1.83203125" style="1130" customWidth="1"/>
    <col min="20" max="20" width="2.83203125" style="1130" customWidth="1"/>
    <col min="21" max="21" width="9.33203125" style="1130"/>
    <col min="22" max="22" width="13" style="1130" customWidth="1"/>
    <col min="23" max="23" width="10.1640625" style="1130" bestFit="1" customWidth="1"/>
    <col min="24" max="16384" width="9.33203125" style="1130"/>
  </cols>
  <sheetData>
    <row r="1" spans="4:41" ht="22.5" customHeight="1">
      <c r="F1" s="1150" t="s">
        <v>531</v>
      </c>
    </row>
    <row r="2" spans="4:41" ht="12" thickBot="1"/>
    <row r="3" spans="4:41" ht="101.25" customHeight="1">
      <c r="D3" s="1177"/>
      <c r="E3" s="1178"/>
      <c r="F3" s="1178"/>
      <c r="G3" s="1178"/>
      <c r="H3" s="1178"/>
      <c r="I3" s="1178"/>
      <c r="J3" s="1178"/>
      <c r="K3" s="1178"/>
      <c r="L3" s="1178"/>
      <c r="M3" s="1178"/>
      <c r="N3" s="1178"/>
      <c r="O3" s="1178"/>
      <c r="P3" s="1178"/>
      <c r="Q3" s="1178"/>
      <c r="R3" s="1178"/>
      <c r="S3" s="1178"/>
      <c r="T3" s="1146" t="str">
        <f>INDEX(decTeamName,xxIndexTeam) &amp; " Year " &amp; xxYear</f>
        <v>IIC Year 0</v>
      </c>
    </row>
    <row r="4" spans="4:41">
      <c r="D4" s="943"/>
      <c r="E4" s="501"/>
      <c r="F4" s="501"/>
      <c r="G4" s="501"/>
      <c r="H4" s="501"/>
      <c r="I4" s="501"/>
      <c r="J4" s="501"/>
      <c r="K4" s="501"/>
      <c r="L4" s="501"/>
      <c r="M4" s="501"/>
      <c r="N4" s="501"/>
      <c r="O4" s="501"/>
      <c r="P4" s="501"/>
      <c r="Q4" s="501"/>
      <c r="R4" s="501"/>
      <c r="S4" s="501"/>
      <c r="T4" s="944"/>
    </row>
    <row r="5" spans="4:41" s="1150" customFormat="1" ht="22.5">
      <c r="D5" s="1183"/>
      <c r="E5" s="945"/>
      <c r="F5" s="945"/>
      <c r="G5" s="945"/>
      <c r="H5" s="945"/>
      <c r="I5" s="608"/>
      <c r="J5" s="946" t="str">
        <f>DataNameProd1</f>
        <v>Growth</v>
      </c>
      <c r="K5" s="608"/>
      <c r="L5" s="946" t="str">
        <f>DataNameProd2</f>
        <v>Transform</v>
      </c>
      <c r="M5" s="608"/>
      <c r="N5" s="946" t="s">
        <v>799</v>
      </c>
      <c r="O5" s="608"/>
      <c r="P5" s="946" t="s">
        <v>1900</v>
      </c>
      <c r="Q5" s="608"/>
      <c r="R5" s="946" t="s">
        <v>1741</v>
      </c>
      <c r="S5" s="671"/>
      <c r="T5" s="944"/>
      <c r="V5" s="1169"/>
    </row>
    <row r="6" spans="4:41" s="1150" customFormat="1" ht="14.25" customHeight="1">
      <c r="D6" s="1186" t="s">
        <v>1889</v>
      </c>
      <c r="E6" s="947" t="s">
        <v>807</v>
      </c>
      <c r="F6" s="947"/>
      <c r="G6" s="947"/>
      <c r="H6" s="947"/>
      <c r="I6" s="501"/>
      <c r="J6" s="609"/>
      <c r="K6" s="676"/>
      <c r="L6" s="609"/>
      <c r="M6" s="676"/>
      <c r="N6" s="609"/>
      <c r="O6" s="676"/>
      <c r="P6" s="671"/>
      <c r="Q6" s="566"/>
      <c r="R6" s="671"/>
      <c r="S6" s="566"/>
      <c r="T6" s="944"/>
      <c r="Z6" s="1171"/>
      <c r="AA6" s="1171"/>
      <c r="AB6" s="1171"/>
    </row>
    <row r="7" spans="4:41" s="1150" customFormat="1" ht="14.25" customHeight="1">
      <c r="D7" s="1184" t="s">
        <v>1889</v>
      </c>
      <c r="E7" s="607"/>
      <c r="F7" s="947"/>
      <c r="G7" s="607" t="s">
        <v>1892</v>
      </c>
      <c r="H7" s="607"/>
      <c r="I7" s="501"/>
      <c r="J7" s="609">
        <f>INDEX(finPNLProd1ExistSubRev,xxIndexTeam)+INDEX(finPNLProd1NewSubRev,xxIndexTeam)</f>
        <v>1701177451.7625</v>
      </c>
      <c r="K7" s="676"/>
      <c r="L7" s="609">
        <f>INDEX(finPNLProd2ExistSubRev,xxIndexTeam)+INDEX(finPNLProd2NewSubRev,xxIndexTeam)</f>
        <v>2158583736.0000005</v>
      </c>
      <c r="M7" s="676"/>
      <c r="N7" s="609">
        <f>INDEX(finPNLExistSubRev,xxIndexTeam)+INDEX(finPNLNewSubRev,xxIndexTeam)</f>
        <v>3859761187.7625008</v>
      </c>
      <c r="O7" s="676"/>
      <c r="P7" s="1024">
        <f>N7/$N$9</f>
        <v>0.87494935522253781</v>
      </c>
      <c r="Q7" s="676"/>
      <c r="R7" s="672">
        <f>(N7/(INDEX(obalPNLExistSubRev,xxIndexTeam)+INDEX(obalPNLNewSubRev,xxIndexTeam)))-1</f>
        <v>0</v>
      </c>
      <c r="S7" s="676"/>
      <c r="T7" s="944"/>
      <c r="AK7" s="1171" t="s">
        <v>2315</v>
      </c>
      <c r="AL7" s="1171" t="s">
        <v>2316</v>
      </c>
      <c r="AM7" s="1171" t="s">
        <v>2317</v>
      </c>
      <c r="AN7" s="1171" t="s">
        <v>2318</v>
      </c>
      <c r="AO7" s="1171" t="s">
        <v>2378</v>
      </c>
    </row>
    <row r="8" spans="4:41" s="1150" customFormat="1" ht="14.25" customHeight="1">
      <c r="D8" s="1184" t="s">
        <v>1889</v>
      </c>
      <c r="E8" s="950"/>
      <c r="F8" s="950"/>
      <c r="G8" s="950" t="s">
        <v>3078</v>
      </c>
      <c r="H8" s="950"/>
      <c r="I8" s="804"/>
      <c r="J8" s="952">
        <f>INDEX(finPNLProd1ServiceRev,xxIndexTeam)+INDEX(finPNLProd1GGORev,xxIndexTeam)</f>
        <v>307604837.33477581</v>
      </c>
      <c r="K8" s="676"/>
      <c r="L8" s="952">
        <f>INDEX(finPNLProd2ServiceRev,xxIndexTeam)+INDEX(finPNLProd2GGORev,xxIndexTeam)</f>
        <v>244044949.40512156</v>
      </c>
      <c r="M8" s="676"/>
      <c r="N8" s="952">
        <f>INDEX(finPNLServiceRev,xxIndexTeam)+INDEX(finPNLGGORev,xxIndexTeam)</f>
        <v>551649786.73989737</v>
      </c>
      <c r="O8" s="676"/>
      <c r="P8" s="1025">
        <f t="shared" ref="P8:P29" si="0">N8/$N$9</f>
        <v>0.12505064477746211</v>
      </c>
      <c r="Q8" s="676"/>
      <c r="R8" s="953">
        <f>(N8/(INDEX(obalPNLServiceRev,xxIndexTeam)+INDEX(obalPNLGGORev,xxIndexTeam)))-1</f>
        <v>0</v>
      </c>
      <c r="S8" s="676"/>
      <c r="T8" s="944"/>
      <c r="AK8" s="1171" t="s">
        <v>2319</v>
      </c>
      <c r="AL8" s="1171" t="s">
        <v>2320</v>
      </c>
      <c r="AM8" s="1171" t="s">
        <v>2321</v>
      </c>
      <c r="AN8" s="1171" t="s">
        <v>2322</v>
      </c>
      <c r="AO8" s="1171" t="s">
        <v>2379</v>
      </c>
    </row>
    <row r="9" spans="4:41" s="1150" customFormat="1" ht="14.25" customHeight="1">
      <c r="D9" s="1184" t="s">
        <v>1889</v>
      </c>
      <c r="E9" s="947" t="s">
        <v>243</v>
      </c>
      <c r="F9" s="607"/>
      <c r="G9" s="607"/>
      <c r="H9" s="607"/>
      <c r="I9" s="501"/>
      <c r="J9" s="954">
        <f>INDEX(finPNLProd1Rev,xxIndexTeam)</f>
        <v>2008782289.0972757</v>
      </c>
      <c r="K9" s="676"/>
      <c r="L9" s="954">
        <f>INDEX(finPNLProd2Rev,xxIndexTeam)</f>
        <v>2402628685.4051218</v>
      </c>
      <c r="M9" s="676"/>
      <c r="N9" s="954">
        <f>INDEX(finPNLRev,xxIndexTeam)</f>
        <v>4411410974.5023985</v>
      </c>
      <c r="O9" s="676"/>
      <c r="P9" s="1024">
        <f>N9/$N$9</f>
        <v>1</v>
      </c>
      <c r="Q9" s="676"/>
      <c r="R9" s="672">
        <f>(N9/INDEX(obalPNLRev,xxIndexTeam))-1</f>
        <v>0</v>
      </c>
      <c r="S9" s="676"/>
      <c r="T9" s="944"/>
      <c r="AK9" s="1171" t="s">
        <v>2323</v>
      </c>
      <c r="AL9" s="1171" t="s">
        <v>2324</v>
      </c>
      <c r="AM9" s="1171" t="s">
        <v>2325</v>
      </c>
      <c r="AN9" s="1171" t="s">
        <v>2326</v>
      </c>
      <c r="AO9" s="1171" t="s">
        <v>2380</v>
      </c>
    </row>
    <row r="10" spans="4:41" s="1150" customFormat="1">
      <c r="D10" s="1185"/>
      <c r="E10" s="607"/>
      <c r="F10" s="607"/>
      <c r="G10" s="607"/>
      <c r="H10" s="607"/>
      <c r="I10" s="501"/>
      <c r="J10" s="607"/>
      <c r="K10" s="676"/>
      <c r="L10" s="607"/>
      <c r="M10" s="676"/>
      <c r="N10" s="607"/>
      <c r="O10" s="672"/>
      <c r="P10" s="1024"/>
      <c r="Q10" s="672"/>
      <c r="R10" s="671"/>
      <c r="S10" s="671"/>
      <c r="T10" s="944"/>
      <c r="AK10" s="1171"/>
      <c r="AL10" s="1171"/>
      <c r="AM10" s="1171"/>
      <c r="AN10" s="1172"/>
      <c r="AO10" s="1152"/>
    </row>
    <row r="11" spans="4:41" s="1150" customFormat="1" ht="14.25" customHeight="1">
      <c r="D11" s="1186" t="s">
        <v>1889</v>
      </c>
      <c r="E11" s="947" t="s">
        <v>723</v>
      </c>
      <c r="F11" s="947"/>
      <c r="G11" s="947"/>
      <c r="H11" s="947"/>
      <c r="I11" s="501"/>
      <c r="J11" s="607"/>
      <c r="K11" s="676"/>
      <c r="L11" s="607"/>
      <c r="M11" s="676"/>
      <c r="N11" s="607"/>
      <c r="O11" s="672"/>
      <c r="P11" s="1024"/>
      <c r="Q11" s="672"/>
      <c r="R11" s="671"/>
      <c r="S11" s="671"/>
      <c r="T11" s="944"/>
      <c r="AK11" s="1171"/>
      <c r="AL11" s="1171"/>
      <c r="AM11" s="1171"/>
      <c r="AN11" s="1172"/>
      <c r="AO11" s="1152"/>
    </row>
    <row r="12" spans="4:41" s="1150" customFormat="1" ht="14.25" customHeight="1">
      <c r="D12" s="1184" t="s">
        <v>1889</v>
      </c>
      <c r="E12" s="607"/>
      <c r="F12" s="607"/>
      <c r="G12" s="607" t="s">
        <v>1427</v>
      </c>
      <c r="H12" s="607"/>
      <c r="I12" s="501"/>
      <c r="J12" s="609">
        <f>INDEX(finPNLProd1EmpExp,xxIndexTeam)</f>
        <v>1001854815.114001</v>
      </c>
      <c r="K12" s="676"/>
      <c r="L12" s="609">
        <f>INDEX(finPNLProd2EmpExp,xxIndexTeam)</f>
        <v>1025346254.1167679</v>
      </c>
      <c r="M12" s="676"/>
      <c r="N12" s="609">
        <f>INDEX(finPNLEmpExp,xxIndexTeam)</f>
        <v>2027201069.2307689</v>
      </c>
      <c r="O12" s="676"/>
      <c r="P12" s="1024">
        <f t="shared" si="0"/>
        <v>0.45953575419470744</v>
      </c>
      <c r="Q12" s="676"/>
      <c r="R12" s="672">
        <f>(N12/INDEX(obalPNLEmpExp,xxIndexTeam))-1</f>
        <v>0</v>
      </c>
      <c r="S12" s="676"/>
      <c r="T12" s="944"/>
      <c r="AK12" s="1171" t="s">
        <v>2327</v>
      </c>
      <c r="AL12" s="1171" t="s">
        <v>2328</v>
      </c>
      <c r="AM12" s="1171" t="s">
        <v>2329</v>
      </c>
      <c r="AN12" s="1171" t="s">
        <v>2330</v>
      </c>
      <c r="AO12" s="1171" t="s">
        <v>2381</v>
      </c>
    </row>
    <row r="13" spans="4:41" s="1150" customFormat="1" ht="14.25" customHeight="1">
      <c r="D13" s="1184" t="s">
        <v>1889</v>
      </c>
      <c r="E13" s="607"/>
      <c r="F13" s="607"/>
      <c r="G13" s="607" t="s">
        <v>1533</v>
      </c>
      <c r="H13" s="607"/>
      <c r="I13" s="501"/>
      <c r="J13" s="609">
        <f>INDEX(finPNLProd1RevExp,xxIndexTeam)</f>
        <v>266948803.86617649</v>
      </c>
      <c r="K13" s="676"/>
      <c r="L13" s="609">
        <f>INDEX(finPNLProd2RevExp,xxIndexTeam)</f>
        <v>287502973.60750771</v>
      </c>
      <c r="M13" s="676"/>
      <c r="N13" s="609">
        <f>INDEX(finPNLRevExp,xxIndexTeam)</f>
        <v>554451777.47368419</v>
      </c>
      <c r="O13" s="676"/>
      <c r="P13" s="1024">
        <f t="shared" si="0"/>
        <v>0.12568581360439346</v>
      </c>
      <c r="Q13" s="676"/>
      <c r="R13" s="672">
        <f>(N13/INDEX(obalPNLRevExp,xxIndexTeam))-1</f>
        <v>0</v>
      </c>
      <c r="S13" s="676"/>
      <c r="T13" s="944"/>
      <c r="AK13" s="1171" t="s">
        <v>2331</v>
      </c>
      <c r="AL13" s="1171" t="s">
        <v>2332</v>
      </c>
      <c r="AM13" s="1171" t="s">
        <v>2333</v>
      </c>
      <c r="AN13" s="1171" t="s">
        <v>2334</v>
      </c>
      <c r="AO13" s="1171" t="s">
        <v>2382</v>
      </c>
    </row>
    <row r="14" spans="4:41" s="1150" customFormat="1" ht="14.25" customHeight="1">
      <c r="D14" s="1184" t="s">
        <v>1889</v>
      </c>
      <c r="E14" s="607"/>
      <c r="F14" s="607"/>
      <c r="G14" s="607" t="s">
        <v>1556</v>
      </c>
      <c r="H14" s="607"/>
      <c r="I14" s="501"/>
      <c r="J14" s="609">
        <f>INDEX(finPNLProd1ProdDevExp,xxIndexTeam)</f>
        <v>9026802.4796463959</v>
      </c>
      <c r="K14" s="676"/>
      <c r="L14" s="609">
        <f>INDEX(finPNLProd2ProdDevExp,xxIndexTeam)</f>
        <v>9473197.520353606</v>
      </c>
      <c r="M14" s="676"/>
      <c r="N14" s="609">
        <f>INDEX(finPNLProdDevExp,xxIndexTeam)</f>
        <v>18500000</v>
      </c>
      <c r="O14" s="676"/>
      <c r="P14" s="1024">
        <f t="shared" si="0"/>
        <v>4.1936695780394337E-3</v>
      </c>
      <c r="Q14" s="676"/>
      <c r="R14" s="672">
        <f>(N14/INDEX(obalPNLProdDevExp,xxIndexTeam))-1</f>
        <v>0</v>
      </c>
      <c r="S14" s="676"/>
      <c r="T14" s="944"/>
      <c r="AK14" s="1171" t="s">
        <v>2335</v>
      </c>
      <c r="AL14" s="1171" t="s">
        <v>2336</v>
      </c>
      <c r="AM14" s="1171" t="s">
        <v>2337</v>
      </c>
      <c r="AN14" s="1171" t="s">
        <v>2338</v>
      </c>
      <c r="AO14" s="1171" t="s">
        <v>2383</v>
      </c>
    </row>
    <row r="15" spans="4:41" s="1150" customFormat="1" ht="14.25" customHeight="1">
      <c r="D15" s="1184" t="s">
        <v>1889</v>
      </c>
      <c r="E15" s="607"/>
      <c r="F15" s="607"/>
      <c r="G15" s="607" t="s">
        <v>1557</v>
      </c>
      <c r="H15" s="607"/>
      <c r="I15" s="501"/>
      <c r="J15" s="609">
        <f>INDEX(finPNLProd1AdminInfraExp,xxIndexTeam)</f>
        <v>226584547.95816207</v>
      </c>
      <c r="K15" s="676"/>
      <c r="L15" s="609">
        <f>INDEX(finPNLProd2AdminInfraExp,xxIndexTeam)</f>
        <v>253415452.04183793</v>
      </c>
      <c r="M15" s="676"/>
      <c r="N15" s="609">
        <f>INDEX(finPNLAdminInfraExp,xxIndexTeam)</f>
        <v>480000000</v>
      </c>
      <c r="O15" s="676"/>
      <c r="P15" s="1024">
        <f t="shared" si="0"/>
        <v>0.10880872418696909</v>
      </c>
      <c r="Q15" s="676"/>
      <c r="R15" s="672">
        <f>(N15/INDEX(obalPNLAdminInfraExp,xxIndexTeam))-1</f>
        <v>0</v>
      </c>
      <c r="S15" s="676"/>
      <c r="T15" s="944"/>
      <c r="AK15" s="1171" t="s">
        <v>2339</v>
      </c>
      <c r="AL15" s="1171" t="s">
        <v>2340</v>
      </c>
      <c r="AM15" s="1171" t="s">
        <v>2341</v>
      </c>
      <c r="AN15" s="1171" t="s">
        <v>2342</v>
      </c>
      <c r="AO15" s="1171" t="s">
        <v>2384</v>
      </c>
    </row>
    <row r="16" spans="4:41" s="1150" customFormat="1" ht="14.25" customHeight="1">
      <c r="D16" s="1184" t="s">
        <v>1889</v>
      </c>
      <c r="E16" s="607"/>
      <c r="F16" s="607"/>
      <c r="G16" s="607" t="s">
        <v>1893</v>
      </c>
      <c r="H16" s="607"/>
      <c r="I16" s="804"/>
      <c r="J16" s="951">
        <f>INDEX(finPNLProd1OtherOpExp,xxIndexTeam)</f>
        <v>84958921.674553424</v>
      </c>
      <c r="K16" s="676"/>
      <c r="L16" s="951">
        <f>INDEX(finPNLProd2OtherOpExp,xxIndexTeam)</f>
        <v>96041078.325446576</v>
      </c>
      <c r="M16" s="676"/>
      <c r="N16" s="951">
        <f>INDEX(finPNLOtherOpExp,xxIndexTeam)</f>
        <v>181000000</v>
      </c>
      <c r="O16" s="676"/>
      <c r="P16" s="1025">
        <f t="shared" si="0"/>
        <v>4.1029956412169596E-2</v>
      </c>
      <c r="Q16" s="676"/>
      <c r="R16" s="953">
        <f>(N16/INDEX(obalPNLOtherOpExp,xxIndexTeam))-1</f>
        <v>0</v>
      </c>
      <c r="S16" s="676"/>
      <c r="T16" s="944"/>
      <c r="AK16" s="1171" t="s">
        <v>2343</v>
      </c>
      <c r="AL16" s="1171" t="s">
        <v>2344</v>
      </c>
      <c r="AM16" s="1171" t="s">
        <v>2345</v>
      </c>
      <c r="AN16" s="1171" t="s">
        <v>2346</v>
      </c>
      <c r="AO16" s="1171" t="s">
        <v>2385</v>
      </c>
    </row>
    <row r="17" spans="4:41" s="1150" customFormat="1" ht="14.25" customHeight="1">
      <c r="D17" s="1184" t="s">
        <v>1889</v>
      </c>
      <c r="E17" s="955"/>
      <c r="F17" s="955" t="s">
        <v>1894</v>
      </c>
      <c r="G17" s="955"/>
      <c r="H17" s="955"/>
      <c r="I17" s="501"/>
      <c r="J17" s="609">
        <f>INDEX(finPNLProd1OperatingExp,xxIndexTeam)</f>
        <v>1589373891.0925393</v>
      </c>
      <c r="K17" s="676"/>
      <c r="L17" s="609">
        <f>INDEX(finPNLProd2OperatingExp,xxIndexTeam)</f>
        <v>1671778955.6119137</v>
      </c>
      <c r="M17" s="676"/>
      <c r="N17" s="609">
        <f>INDEX(finPNLOperatingExp,xxIndexTeam)</f>
        <v>3261152846.704453</v>
      </c>
      <c r="O17" s="676"/>
      <c r="P17" s="1024">
        <f t="shared" si="0"/>
        <v>0.73925391797627893</v>
      </c>
      <c r="Q17" s="676"/>
      <c r="R17" s="672">
        <f>(N17/INDEX(obalPNLOperatingExp,xxIndexTeam))-1</f>
        <v>0</v>
      </c>
      <c r="S17" s="676"/>
      <c r="T17" s="944"/>
      <c r="AK17" s="1171" t="s">
        <v>2347</v>
      </c>
      <c r="AL17" s="1171" t="s">
        <v>2348</v>
      </c>
      <c r="AM17" s="1171" t="s">
        <v>2349</v>
      </c>
      <c r="AN17" s="1171" t="s">
        <v>2350</v>
      </c>
      <c r="AO17" s="1171" t="s">
        <v>2386</v>
      </c>
    </row>
    <row r="18" spans="4:41" s="1150" customFormat="1" ht="14.25" customHeight="1">
      <c r="D18" s="1186" t="s">
        <v>1889</v>
      </c>
      <c r="E18" s="947" t="s">
        <v>1615</v>
      </c>
      <c r="F18" s="947"/>
      <c r="G18" s="947"/>
      <c r="H18" s="947"/>
      <c r="I18" s="501"/>
      <c r="J18" s="673">
        <f>INDEX(finPNLProd1EBITDA,xxIndexTeam)</f>
        <v>419408398.00473642</v>
      </c>
      <c r="K18" s="677"/>
      <c r="L18" s="673">
        <f>INDEX(finPNLProd2EBITDA,xxIndexTeam)</f>
        <v>730849729.79320812</v>
      </c>
      <c r="M18" s="677"/>
      <c r="N18" s="673">
        <f>INDEX(finPNLEBITDA,xxIndexTeam)</f>
        <v>1150258127.7979455</v>
      </c>
      <c r="O18" s="677"/>
      <c r="P18" s="1024">
        <f t="shared" si="0"/>
        <v>0.26074608202372102</v>
      </c>
      <c r="Q18" s="677"/>
      <c r="R18" s="672">
        <f>(N18/(INDEX(obalPNLRev,xxIndexTeam)-INDEX(obalPNLOperatingExp,xxIndexTeam)))-1</f>
        <v>0</v>
      </c>
      <c r="S18" s="677"/>
      <c r="T18" s="944"/>
      <c r="AK18" s="1173" t="s">
        <v>2351</v>
      </c>
      <c r="AL18" s="1173" t="s">
        <v>2352</v>
      </c>
      <c r="AM18" s="1173" t="s">
        <v>2353</v>
      </c>
      <c r="AN18" s="1173" t="s">
        <v>2354</v>
      </c>
      <c r="AO18" s="1173" t="s">
        <v>2387</v>
      </c>
    </row>
    <row r="19" spans="4:41" s="1150" customFormat="1" ht="14.25" customHeight="1">
      <c r="D19" s="1185"/>
      <c r="E19" s="947"/>
      <c r="F19" s="947" t="s">
        <v>1895</v>
      </c>
      <c r="G19" s="947"/>
      <c r="H19" s="947"/>
      <c r="I19" s="501"/>
      <c r="J19" s="956">
        <f>INDEX(finPNLProd1EBITDAMargin,xxIndexTeam)</f>
        <v>0.20878738342183106</v>
      </c>
      <c r="K19" s="677"/>
      <c r="L19" s="956">
        <f>INDEX(finPNLProd2EBITDAMargin,xxIndexTeam)</f>
        <v>0.30418754851000834</v>
      </c>
      <c r="M19" s="677"/>
      <c r="N19" s="956">
        <f>INDEX(finPNLEBITDAMargin,xxIndexTeam)</f>
        <v>0.26074608202372102</v>
      </c>
      <c r="O19" s="672"/>
      <c r="P19" s="1024"/>
      <c r="Q19" s="672"/>
      <c r="R19" s="671"/>
      <c r="S19" s="671"/>
      <c r="T19" s="944"/>
      <c r="AK19" s="1173" t="s">
        <v>2355</v>
      </c>
      <c r="AL19" s="1173" t="s">
        <v>2356</v>
      </c>
      <c r="AM19" s="1173" t="s">
        <v>2357</v>
      </c>
      <c r="AN19" s="1172"/>
      <c r="AO19" s="1152"/>
    </row>
    <row r="20" spans="4:41" s="1150" customFormat="1">
      <c r="D20" s="1185"/>
      <c r="E20" s="607"/>
      <c r="F20" s="607"/>
      <c r="G20" s="607"/>
      <c r="H20" s="607"/>
      <c r="I20" s="501"/>
      <c r="J20" s="607"/>
      <c r="K20" s="676"/>
      <c r="L20" s="607"/>
      <c r="M20" s="676"/>
      <c r="N20" s="607"/>
      <c r="O20" s="672"/>
      <c r="P20" s="1024"/>
      <c r="Q20" s="672"/>
      <c r="R20" s="671"/>
      <c r="S20" s="671"/>
      <c r="T20" s="944"/>
      <c r="AK20" s="1171"/>
      <c r="AL20" s="1171"/>
      <c r="AM20" s="1171"/>
      <c r="AN20" s="1172"/>
      <c r="AO20" s="1152"/>
    </row>
    <row r="21" spans="4:41" s="1150" customFormat="1" ht="14.25" customHeight="1">
      <c r="D21" s="1184" t="s">
        <v>1889</v>
      </c>
      <c r="E21" s="607"/>
      <c r="F21" s="607" t="s">
        <v>1883</v>
      </c>
      <c r="G21" s="607"/>
      <c r="H21" s="607"/>
      <c r="I21" s="501"/>
      <c r="J21" s="609">
        <f>INDEX(finPNLProd1DeprAmortExp,xxIndexTeam)</f>
        <v>140091400.05580094</v>
      </c>
      <c r="K21" s="676"/>
      <c r="L21" s="609">
        <f>INDEX(finPNLProd2DeprAmortExp,xxIndexTeam)</f>
        <v>171988446.09804523</v>
      </c>
      <c r="M21" s="676"/>
      <c r="N21" s="609">
        <f>INDEX(finPNLDeprAmortExp,xxIndexTeam)</f>
        <v>312079846.15384614</v>
      </c>
      <c r="O21" s="676"/>
      <c r="P21" s="1024">
        <f t="shared" si="0"/>
        <v>7.0743770634303316E-2</v>
      </c>
      <c r="Q21" s="676"/>
      <c r="R21" s="672">
        <f>(N21/INDEX(obalPNLDeprAmortExp,xxIndexTeam))-1</f>
        <v>0</v>
      </c>
      <c r="S21" s="676"/>
      <c r="T21" s="944"/>
      <c r="AK21" s="1171" t="s">
        <v>2358</v>
      </c>
      <c r="AL21" s="1171" t="s">
        <v>2359</v>
      </c>
      <c r="AM21" s="1171" t="s">
        <v>2360</v>
      </c>
      <c r="AN21" s="1171" t="s">
        <v>2361</v>
      </c>
      <c r="AO21" s="1171" t="s">
        <v>2388</v>
      </c>
    </row>
    <row r="22" spans="4:41" s="1150" customFormat="1" ht="14.25" customHeight="1">
      <c r="D22" s="1187"/>
      <c r="E22" s="947" t="s">
        <v>1884</v>
      </c>
      <c r="F22" s="947"/>
      <c r="G22" s="947"/>
      <c r="H22" s="947"/>
      <c r="I22" s="501"/>
      <c r="J22" s="673">
        <f>INDEX(finPNLProd1OperatingIncome,xxIndexTeam)</f>
        <v>279316997.94893551</v>
      </c>
      <c r="K22" s="677"/>
      <c r="L22" s="673">
        <f>INDEX(finPNLProd2OperatingIncome,xxIndexTeam)</f>
        <v>558861283.69516289</v>
      </c>
      <c r="M22" s="677"/>
      <c r="N22" s="673">
        <f>INDEX(finPNLOperatingIncome,xxIndexTeam)</f>
        <v>838178281.64409935</v>
      </c>
      <c r="O22" s="677"/>
      <c r="P22" s="1024">
        <f t="shared" si="0"/>
        <v>0.1900023113894177</v>
      </c>
      <c r="Q22" s="677"/>
      <c r="R22" s="672">
        <f>(N22/INDEX(obalPNLOperatingIncome,xxIndexTeam))-1</f>
        <v>0</v>
      </c>
      <c r="S22" s="677"/>
      <c r="T22" s="944"/>
      <c r="AK22" s="1173" t="s">
        <v>2362</v>
      </c>
      <c r="AL22" s="1173" t="s">
        <v>2363</v>
      </c>
      <c r="AM22" s="1173" t="s">
        <v>2364</v>
      </c>
      <c r="AN22" s="1173" t="s">
        <v>2365</v>
      </c>
      <c r="AO22" s="1173" t="s">
        <v>2389</v>
      </c>
    </row>
    <row r="23" spans="4:41" s="1150" customFormat="1" ht="14.25" customHeight="1">
      <c r="D23" s="1185"/>
      <c r="E23" s="947"/>
      <c r="F23" s="947" t="s">
        <v>473</v>
      </c>
      <c r="G23" s="947"/>
      <c r="H23" s="947"/>
      <c r="I23" s="501"/>
      <c r="J23" s="956">
        <f>INDEX(finPNLProd1OperatingMargin,xxIndexTeam)</f>
        <v>0.13904791946092745</v>
      </c>
      <c r="K23" s="677"/>
      <c r="L23" s="956">
        <f>INDEX(finPNLProd2OperatingMargin,xxIndexTeam)</f>
        <v>0.23260410028815165</v>
      </c>
      <c r="M23" s="677"/>
      <c r="N23" s="956">
        <f>INDEX(finPNLOperatingMargin,xxIndexTeam)</f>
        <v>0.1900023113894177</v>
      </c>
      <c r="O23" s="672"/>
      <c r="P23" s="1024"/>
      <c r="Q23" s="672"/>
      <c r="R23" s="671"/>
      <c r="S23" s="671"/>
      <c r="T23" s="944"/>
      <c r="AK23" s="1173" t="s">
        <v>2366</v>
      </c>
      <c r="AL23" s="1173" t="s">
        <v>2367</v>
      </c>
      <c r="AM23" s="1173" t="s">
        <v>2368</v>
      </c>
      <c r="AN23" s="1172"/>
      <c r="AO23" s="1152"/>
    </row>
    <row r="24" spans="4:41" s="1150" customFormat="1">
      <c r="D24" s="1187"/>
      <c r="E24" s="947"/>
      <c r="F24" s="947"/>
      <c r="G24" s="947"/>
      <c r="H24" s="947"/>
      <c r="I24" s="501"/>
      <c r="J24" s="958"/>
      <c r="K24" s="948"/>
      <c r="L24" s="958"/>
      <c r="M24" s="671"/>
      <c r="N24" s="671"/>
      <c r="O24" s="672"/>
      <c r="P24" s="1024"/>
      <c r="Q24" s="672"/>
      <c r="R24" s="671"/>
      <c r="S24" s="671"/>
      <c r="T24" s="944"/>
      <c r="AN24" s="1172"/>
      <c r="AO24" s="1152"/>
    </row>
    <row r="25" spans="4:41" s="1150" customFormat="1" ht="14.25" customHeight="1">
      <c r="D25" s="1187"/>
      <c r="E25" s="947"/>
      <c r="F25" s="1194" t="s">
        <v>688</v>
      </c>
      <c r="G25" s="947"/>
      <c r="H25" s="947"/>
      <c r="I25" s="501"/>
      <c r="J25" s="958"/>
      <c r="K25" s="948"/>
      <c r="L25" s="958"/>
      <c r="M25" s="671"/>
      <c r="N25" s="609">
        <f>INDEX(finPNLExtraOrdExp,xxIndexTeam)</f>
        <v>0</v>
      </c>
      <c r="O25" s="678"/>
      <c r="P25" s="1024">
        <f t="shared" si="0"/>
        <v>0</v>
      </c>
      <c r="Q25" s="678"/>
      <c r="R25" s="672">
        <f>IF(INDEX(obalPNLExtraOrdExp,xxIndexTeam)=0,0,(N25/INDEX(obalPNLExtraOrdExp,xxIndexTeam))-1)</f>
        <v>0</v>
      </c>
      <c r="S25" s="678"/>
      <c r="T25" s="944"/>
      <c r="AM25" s="1174" t="s">
        <v>2369</v>
      </c>
      <c r="AN25" s="1174" t="s">
        <v>2370</v>
      </c>
      <c r="AO25" s="1174" t="s">
        <v>2390</v>
      </c>
    </row>
    <row r="26" spans="4:41" s="1150" customFormat="1" ht="14.25" customHeight="1">
      <c r="D26" s="1186" t="s">
        <v>1889</v>
      </c>
      <c r="E26" s="607"/>
      <c r="F26" s="607" t="s">
        <v>1896</v>
      </c>
      <c r="G26" s="607"/>
      <c r="H26" s="607"/>
      <c r="I26" s="501"/>
      <c r="J26" s="958"/>
      <c r="K26" s="948"/>
      <c r="L26" s="958"/>
      <c r="M26" s="671"/>
      <c r="N26" s="609">
        <f>INDEX(finPNLNetIntExp,xxIndexTeam)</f>
        <v>117428869.59805554</v>
      </c>
      <c r="O26" s="678"/>
      <c r="P26" s="1024">
        <f t="shared" si="0"/>
        <v>2.6619344757671637E-2</v>
      </c>
      <c r="Q26" s="678"/>
      <c r="R26" s="672">
        <f>(N26/INDEX(obalPNLNetIntExp,xxIndexTeam))-1</f>
        <v>0</v>
      </c>
      <c r="S26" s="678"/>
      <c r="T26" s="944"/>
      <c r="AM26" s="1174" t="s">
        <v>2371</v>
      </c>
      <c r="AN26" s="1174" t="s">
        <v>2372</v>
      </c>
      <c r="AO26" s="1174" t="s">
        <v>2391</v>
      </c>
    </row>
    <row r="27" spans="4:41" s="1150" customFormat="1" ht="14.25" customHeight="1">
      <c r="D27" s="1186" t="s">
        <v>1889</v>
      </c>
      <c r="E27" s="607"/>
      <c r="F27" s="607" t="s">
        <v>1897</v>
      </c>
      <c r="G27" s="607"/>
      <c r="H27" s="607"/>
      <c r="I27" s="501"/>
      <c r="J27" s="958"/>
      <c r="K27" s="948"/>
      <c r="L27" s="958"/>
      <c r="M27" s="671"/>
      <c r="N27" s="609">
        <f>INDEX(finPNLTaxExp,xxIndexTeam)</f>
        <v>144149882.40920877</v>
      </c>
      <c r="O27" s="678"/>
      <c r="P27" s="1024">
        <f t="shared" si="0"/>
        <v>3.2676593326349215E-2</v>
      </c>
      <c r="Q27" s="678"/>
      <c r="R27" s="671"/>
      <c r="S27" s="671"/>
      <c r="T27" s="944"/>
      <c r="AM27" s="1174" t="s">
        <v>2373</v>
      </c>
      <c r="AN27" s="1174" t="s">
        <v>2374</v>
      </c>
      <c r="AO27" s="1152"/>
    </row>
    <row r="28" spans="4:41" s="1150" customFormat="1" ht="5.25" customHeight="1">
      <c r="D28" s="1185"/>
      <c r="E28" s="607"/>
      <c r="F28" s="607"/>
      <c r="G28" s="607"/>
      <c r="H28" s="607"/>
      <c r="I28" s="501"/>
      <c r="J28" s="958"/>
      <c r="K28" s="948"/>
      <c r="L28" s="958"/>
      <c r="M28" s="671"/>
      <c r="N28" s="609"/>
      <c r="O28" s="672"/>
      <c r="P28" s="1024"/>
      <c r="Q28" s="672"/>
      <c r="R28" s="671"/>
      <c r="S28" s="671"/>
      <c r="T28" s="944"/>
      <c r="AM28" s="1174"/>
      <c r="AN28" s="1172"/>
      <c r="AO28" s="1152"/>
    </row>
    <row r="29" spans="4:41" s="1150" customFormat="1" ht="14.25" customHeight="1">
      <c r="D29" s="957"/>
      <c r="E29" s="947" t="s">
        <v>1898</v>
      </c>
      <c r="F29" s="947"/>
      <c r="G29" s="947"/>
      <c r="H29" s="947"/>
      <c r="I29" s="501"/>
      <c r="J29" s="958"/>
      <c r="K29" s="948"/>
      <c r="L29" s="958"/>
      <c r="M29" s="671"/>
      <c r="N29" s="673">
        <f>INDEX(finPNLNetEarn,xxIndexTeam)</f>
        <v>576599529.6368351</v>
      </c>
      <c r="O29" s="679"/>
      <c r="P29" s="1024">
        <f t="shared" si="0"/>
        <v>0.13070637330539686</v>
      </c>
      <c r="Q29" s="679"/>
      <c r="R29" s="672">
        <f>(N29/INDEX(obalPNLNetEarn,xxIndexTeam))-1</f>
        <v>0</v>
      </c>
      <c r="S29" s="679"/>
      <c r="T29" s="944"/>
      <c r="AM29" s="1175" t="s">
        <v>2375</v>
      </c>
      <c r="AN29" s="1175" t="s">
        <v>2376</v>
      </c>
      <c r="AO29" s="1175" t="s">
        <v>2392</v>
      </c>
    </row>
    <row r="30" spans="4:41" s="1150" customFormat="1" ht="14.25" customHeight="1">
      <c r="D30" s="957"/>
      <c r="E30" s="947"/>
      <c r="F30" s="947" t="s">
        <v>1899</v>
      </c>
      <c r="G30" s="947"/>
      <c r="H30" s="947"/>
      <c r="I30" s="501"/>
      <c r="J30" s="958"/>
      <c r="K30" s="948"/>
      <c r="L30" s="958"/>
      <c r="M30" s="671"/>
      <c r="N30" s="956">
        <f>INDEX(finProfitMargin,xxIndexTeam)</f>
        <v>0.13070637330539686</v>
      </c>
      <c r="O30" s="566"/>
      <c r="P30" s="959"/>
      <c r="Q30" s="566"/>
      <c r="R30" s="671"/>
      <c r="S30" s="671"/>
      <c r="T30" s="944"/>
      <c r="AM30" s="1175" t="s">
        <v>2377</v>
      </c>
    </row>
    <row r="31" spans="4:41" s="1150" customFormat="1" ht="14.25" customHeight="1">
      <c r="D31" s="957"/>
      <c r="E31" s="947"/>
      <c r="F31" s="947"/>
      <c r="G31" s="947"/>
      <c r="H31" s="947"/>
      <c r="I31" s="501"/>
      <c r="J31" s="958"/>
      <c r="K31" s="948"/>
      <c r="L31" s="958"/>
      <c r="M31" s="671"/>
      <c r="N31" s="956"/>
      <c r="O31" s="566"/>
      <c r="P31" s="959"/>
      <c r="Q31" s="566"/>
      <c r="R31" s="671"/>
      <c r="S31" s="671"/>
      <c r="T31" s="944"/>
      <c r="AM31" s="1175"/>
    </row>
    <row r="32" spans="4:41" s="1150" customFormat="1" ht="14.25" customHeight="1" thickBot="1">
      <c r="D32" s="1266"/>
      <c r="E32" s="1267"/>
      <c r="F32" s="1267"/>
      <c r="G32" s="1267"/>
      <c r="H32" s="1267"/>
      <c r="I32" s="1268"/>
      <c r="J32" s="1269"/>
      <c r="K32" s="1270"/>
      <c r="L32" s="1269"/>
      <c r="M32" s="1271"/>
      <c r="N32" s="1272"/>
      <c r="O32" s="1273"/>
      <c r="P32" s="1274"/>
      <c r="Q32" s="1273"/>
      <c r="R32" s="1271"/>
      <c r="S32" s="1271"/>
      <c r="T32" s="1275"/>
      <c r="AM32" s="1175"/>
    </row>
    <row r="33" spans="4:41" s="1150" customFormat="1" ht="14.25" customHeight="1">
      <c r="D33" s="957"/>
      <c r="E33" s="947"/>
      <c r="F33" s="947"/>
      <c r="G33" s="947"/>
      <c r="H33" s="947"/>
      <c r="I33" s="501"/>
      <c r="J33" s="958"/>
      <c r="K33" s="948"/>
      <c r="L33" s="958"/>
      <c r="M33" s="671"/>
      <c r="N33" s="956"/>
      <c r="O33" s="566"/>
      <c r="P33" s="959"/>
      <c r="Q33" s="566"/>
      <c r="R33" s="671"/>
      <c r="S33" s="671"/>
      <c r="T33" s="944"/>
      <c r="AM33" s="1175"/>
    </row>
    <row r="34" spans="4:41" s="1150" customFormat="1">
      <c r="D34" s="1184" t="s">
        <v>1889</v>
      </c>
      <c r="E34" s="1296" t="s">
        <v>1409</v>
      </c>
      <c r="F34" s="947"/>
      <c r="G34" s="947"/>
      <c r="H34" s="947"/>
      <c r="I34" s="501"/>
      <c r="J34" s="609"/>
      <c r="K34" s="948"/>
      <c r="L34" s="609"/>
      <c r="M34" s="671"/>
      <c r="N34" s="609"/>
      <c r="O34" s="671"/>
      <c r="P34" s="671"/>
      <c r="Q34" s="671"/>
      <c r="R34" s="671"/>
      <c r="S34" s="671"/>
      <c r="T34" s="944"/>
      <c r="V34" s="1169"/>
      <c r="AK34" s="1170" t="str">
        <f>DataNameProd1</f>
        <v>Growth</v>
      </c>
      <c r="AL34" s="1170" t="str">
        <f>DataNameProd2</f>
        <v>Transform</v>
      </c>
      <c r="AM34" s="1170" t="s">
        <v>799</v>
      </c>
      <c r="AN34" s="1150" t="s">
        <v>1900</v>
      </c>
      <c r="AO34" s="1150" t="s">
        <v>2164</v>
      </c>
    </row>
    <row r="35" spans="4:41" s="1150" customFormat="1">
      <c r="D35" s="1184" t="s">
        <v>1889</v>
      </c>
      <c r="E35" s="1194"/>
      <c r="F35" s="607"/>
      <c r="G35" s="607" t="s">
        <v>1891</v>
      </c>
      <c r="H35" s="607"/>
      <c r="I35" s="501"/>
      <c r="J35" s="609">
        <f>INDEX(capProd1NewSales,xxIndexTeam)</f>
        <v>124286400</v>
      </c>
      <c r="K35" s="676"/>
      <c r="L35" s="609">
        <f>INDEX(capProd2NewSales,xxIndexTeam)</f>
        <v>55872000</v>
      </c>
      <c r="M35" s="676"/>
      <c r="N35" s="609">
        <f>J35+L35</f>
        <v>180158400</v>
      </c>
      <c r="O35" s="676"/>
      <c r="P35" s="671"/>
      <c r="Q35" s="566"/>
      <c r="R35" s="671"/>
      <c r="S35" s="566"/>
      <c r="T35" s="944"/>
      <c r="AK35" s="1171" t="s">
        <v>2303</v>
      </c>
      <c r="AL35" s="1171" t="s">
        <v>2304</v>
      </c>
      <c r="AM35" s="1171" t="s">
        <v>2305</v>
      </c>
    </row>
    <row r="36" spans="4:41" s="1150" customFormat="1">
      <c r="D36" s="1184" t="s">
        <v>1889</v>
      </c>
      <c r="E36" s="1194"/>
      <c r="F36" s="607"/>
      <c r="G36" s="949" t="s">
        <v>1744</v>
      </c>
      <c r="H36" s="607"/>
      <c r="I36" s="501"/>
      <c r="J36" s="609">
        <f>INDEX(capProd1CancelledSales,xxIndexTeam)</f>
        <v>81000748.237499997</v>
      </c>
      <c r="K36" s="676"/>
      <c r="L36" s="609">
        <f>INDEX(capProd2CancelledSales,xxIndexTeam)</f>
        <v>275352264</v>
      </c>
      <c r="M36" s="676"/>
      <c r="N36" s="609">
        <f t="shared" ref="N36:N39" si="1">J36+L36</f>
        <v>356353012.23750001</v>
      </c>
      <c r="O36" s="676"/>
      <c r="P36" s="671"/>
      <c r="Q36" s="566"/>
      <c r="R36" s="671"/>
      <c r="S36" s="566"/>
      <c r="T36" s="944"/>
      <c r="AK36" s="1171" t="s">
        <v>2306</v>
      </c>
      <c r="AL36" s="1171" t="s">
        <v>2307</v>
      </c>
      <c r="AM36" s="1171" t="s">
        <v>2308</v>
      </c>
    </row>
    <row r="37" spans="4:41" s="1150" customFormat="1">
      <c r="D37" s="1184" t="s">
        <v>1889</v>
      </c>
      <c r="E37" s="1192"/>
      <c r="F37" s="950"/>
      <c r="G37" s="950" t="s">
        <v>529</v>
      </c>
      <c r="H37" s="950"/>
      <c r="I37" s="804"/>
      <c r="J37" s="951">
        <f>INDEX(capProd1ServiceSales,xxIndexTeam)</f>
        <v>165715200</v>
      </c>
      <c r="K37" s="676"/>
      <c r="L37" s="951">
        <f>INDEX(capProd2ServiceSales,xxIndexTeam)</f>
        <v>59596800</v>
      </c>
      <c r="M37" s="676"/>
      <c r="N37" s="951">
        <f t="shared" si="1"/>
        <v>225312000</v>
      </c>
      <c r="O37" s="676"/>
      <c r="P37" s="671"/>
      <c r="Q37" s="566"/>
      <c r="R37" s="671"/>
      <c r="S37" s="566"/>
      <c r="T37" s="944"/>
      <c r="AK37" s="1171" t="s">
        <v>2309</v>
      </c>
      <c r="AL37" s="1171" t="s">
        <v>2310</v>
      </c>
      <c r="AM37" s="1171" t="s">
        <v>2311</v>
      </c>
    </row>
    <row r="38" spans="4:41" s="1150" customFormat="1">
      <c r="D38" s="1185"/>
      <c r="E38" s="1296"/>
      <c r="F38" s="947"/>
      <c r="G38" s="607"/>
      <c r="H38" s="607"/>
      <c r="I38" s="501"/>
      <c r="J38" s="609"/>
      <c r="K38" s="676"/>
      <c r="L38" s="609"/>
      <c r="M38" s="676"/>
      <c r="N38" s="609">
        <f t="shared" si="1"/>
        <v>0</v>
      </c>
      <c r="O38" s="676"/>
      <c r="P38" s="671"/>
      <c r="Q38" s="566"/>
      <c r="R38" s="671"/>
      <c r="S38" s="566"/>
      <c r="T38" s="944"/>
      <c r="AK38" s="1171"/>
      <c r="AL38" s="1171"/>
      <c r="AM38" s="1171"/>
    </row>
    <row r="39" spans="4:41" s="1150" customFormat="1">
      <c r="D39" s="1184" t="s">
        <v>1889</v>
      </c>
      <c r="E39" s="1296" t="s">
        <v>2162</v>
      </c>
      <c r="F39" s="947"/>
      <c r="G39" s="607"/>
      <c r="H39" s="607"/>
      <c r="I39" s="501"/>
      <c r="J39" s="609">
        <f>INDEX(capProd1NetNewSales,xxIndexTeam)</f>
        <v>209000851.76249999</v>
      </c>
      <c r="K39" s="676"/>
      <c r="L39" s="609">
        <f>INDEX(capProd2NetNewSales,xxIndexTeam)</f>
        <v>-159883464</v>
      </c>
      <c r="M39" s="676"/>
      <c r="N39" s="609">
        <f t="shared" si="1"/>
        <v>49117387.762499988</v>
      </c>
      <c r="O39" s="676"/>
      <c r="P39" s="671"/>
      <c r="Q39" s="566"/>
      <c r="R39" s="671"/>
      <c r="S39" s="566"/>
      <c r="T39" s="944"/>
      <c r="AK39" s="1171" t="s">
        <v>2312</v>
      </c>
      <c r="AL39" s="1171" t="s">
        <v>2313</v>
      </c>
      <c r="AM39" s="1171" t="s">
        <v>2314</v>
      </c>
    </row>
    <row r="40" spans="4:41" s="1150" customFormat="1">
      <c r="D40" s="1185"/>
      <c r="E40" s="947"/>
      <c r="F40" s="947"/>
      <c r="G40" s="607"/>
      <c r="H40" s="607"/>
      <c r="I40" s="501"/>
      <c r="J40" s="609"/>
      <c r="K40" s="676"/>
      <c r="L40" s="609"/>
      <c r="M40" s="676"/>
      <c r="N40" s="609"/>
      <c r="O40" s="676"/>
      <c r="P40" s="671"/>
      <c r="Q40" s="566"/>
      <c r="R40" s="671"/>
      <c r="S40" s="566"/>
      <c r="T40" s="944"/>
      <c r="Z40" s="1171"/>
      <c r="AA40" s="1171"/>
      <c r="AB40" s="1171"/>
    </row>
    <row r="41" spans="4:41" ht="36" customHeight="1" thickBot="1">
      <c r="D41" s="960"/>
      <c r="E41" s="961"/>
      <c r="F41" s="961"/>
      <c r="G41" s="961"/>
      <c r="H41" s="961"/>
      <c r="I41" s="961"/>
      <c r="J41" s="961"/>
      <c r="K41" s="961"/>
      <c r="L41" s="961"/>
      <c r="M41" s="961"/>
      <c r="N41" s="961"/>
      <c r="O41" s="961"/>
      <c r="P41" s="961"/>
      <c r="Q41" s="961"/>
      <c r="R41" s="961"/>
      <c r="S41" s="961"/>
      <c r="T41" s="962"/>
    </row>
    <row r="45" spans="4:41">
      <c r="J45" s="1149"/>
    </row>
    <row r="46" spans="4:41">
      <c r="J46" s="1176"/>
    </row>
    <row r="47" spans="4:41">
      <c r="J47" s="1176"/>
    </row>
    <row r="65" spans="12:12">
      <c r="L65" s="1150" t="s">
        <v>531</v>
      </c>
    </row>
  </sheetData>
  <phoneticPr fontId="0" type="noConversion"/>
  <printOptions horizontalCentered="1"/>
  <pageMargins left="0.5" right="0.5" top="0.5" bottom="0.5" header="0.5" footer="0.5"/>
  <pageSetup scale="47" orientation="portrait" blackAndWhite="1" r:id="rId1"/>
  <headerFooter alignWithMargins="0">
    <oddFooter>&amp;CPage &amp;P of &amp;N</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oolBalSheet" enableFormatConditionsCalculation="0">
    <tabColor rgb="FFC00000"/>
    <pageSetUpPr fitToPage="1"/>
  </sheetPr>
  <dimension ref="A1:AU74"/>
  <sheetViews>
    <sheetView showGridLines="0" zoomScaleNormal="100" workbookViewId="0">
      <pane ySplit="3" topLeftCell="A4" activePane="bottomLeft" state="frozen"/>
      <selection pane="bottomLeft" sqref="A1:Q33"/>
    </sheetView>
  </sheetViews>
  <sheetFormatPr defaultRowHeight="11.25"/>
  <cols>
    <col min="1" max="1" width="8.33203125" style="1130" customWidth="1"/>
    <col min="2" max="2" width="7.5" style="1130" customWidth="1"/>
    <col min="3" max="3" width="1.6640625" style="1130" customWidth="1"/>
    <col min="4" max="4" width="2.83203125" style="1130" customWidth="1"/>
    <col min="5" max="6" width="1.83203125" style="1130" customWidth="1"/>
    <col min="7" max="7" width="28.33203125" style="1130" customWidth="1"/>
    <col min="8" max="8" width="1.83203125" style="1130" customWidth="1"/>
    <col min="9" max="9" width="22.1640625" style="1149" customWidth="1"/>
    <col min="10" max="10" width="1.83203125" style="1130" customWidth="1"/>
    <col min="11" max="11" width="22.1640625" style="1130" customWidth="1"/>
    <col min="12" max="12" width="1.83203125" style="1130" customWidth="1"/>
    <col min="13" max="13" width="12.5" style="1130" customWidth="1"/>
    <col min="14" max="14" width="1.83203125" style="1130" customWidth="1"/>
    <col min="15" max="15" width="12.5" style="1130" customWidth="1"/>
    <col min="16" max="16" width="1.83203125" style="1130" customWidth="1"/>
    <col min="17" max="17" width="2.83203125" style="1130" customWidth="1"/>
    <col min="18" max="16384" width="9.33203125" style="1130"/>
  </cols>
  <sheetData>
    <row r="1" spans="1:36" ht="22.5" customHeight="1">
      <c r="B1" s="1150" t="s">
        <v>1078</v>
      </c>
      <c r="C1" s="1150"/>
    </row>
    <row r="2" spans="1:36" ht="12" thickBot="1">
      <c r="A2" s="1150" t="s">
        <v>1079</v>
      </c>
    </row>
    <row r="3" spans="1:36" s="1147" customFormat="1" ht="94.5" customHeight="1">
      <c r="D3" s="1144"/>
      <c r="E3" s="1145"/>
      <c r="F3" s="1145"/>
      <c r="G3" s="1145"/>
      <c r="H3" s="1145"/>
      <c r="I3" s="1168"/>
      <c r="J3" s="1145"/>
      <c r="K3" s="1145"/>
      <c r="L3" s="1145"/>
      <c r="M3" s="1145"/>
      <c r="N3" s="1145"/>
      <c r="O3" s="1145"/>
      <c r="P3" s="1145"/>
      <c r="Q3" s="1146" t="str">
        <f>INDEX(decTeamName,xxIndexTeam) &amp; " Year " &amp; xxYear</f>
        <v>IIC Year 0</v>
      </c>
    </row>
    <row r="4" spans="1:36" ht="6" customHeight="1">
      <c r="D4" s="963"/>
      <c r="E4" s="501"/>
      <c r="F4" s="501"/>
      <c r="G4" s="501"/>
      <c r="H4" s="501"/>
      <c r="I4" s="674"/>
      <c r="J4" s="501"/>
      <c r="K4" s="501"/>
      <c r="L4" s="501"/>
      <c r="M4" s="501"/>
      <c r="N4" s="501"/>
      <c r="O4" s="501"/>
      <c r="P4" s="501"/>
      <c r="Q4" s="964"/>
    </row>
    <row r="5" spans="1:36" s="1148" customFormat="1" ht="27.75" customHeight="1">
      <c r="D5" s="965"/>
      <c r="E5" s="966"/>
      <c r="F5" s="967"/>
      <c r="G5" s="967"/>
      <c r="H5" s="967"/>
      <c r="I5" s="968" t="str">
        <f>"Year "&amp; xxYear</f>
        <v>Year 0</v>
      </c>
      <c r="J5" s="969"/>
      <c r="K5" s="968" t="str">
        <f>"Year "&amp; xxYear-1</f>
        <v>Year -1</v>
      </c>
      <c r="L5" s="970"/>
      <c r="M5" s="968" t="s">
        <v>1900</v>
      </c>
      <c r="N5" s="969"/>
      <c r="O5" s="946" t="s">
        <v>1741</v>
      </c>
      <c r="P5" s="967"/>
      <c r="Q5" s="971"/>
    </row>
    <row r="6" spans="1:36" ht="14.25" customHeight="1">
      <c r="D6" s="963"/>
      <c r="E6" s="501" t="s">
        <v>622</v>
      </c>
      <c r="F6" s="501"/>
      <c r="G6" s="501"/>
      <c r="H6" s="501"/>
      <c r="I6" s="674"/>
      <c r="J6" s="501"/>
      <c r="K6" s="501"/>
      <c r="L6" s="501"/>
      <c r="M6" s="501"/>
      <c r="N6" s="501"/>
      <c r="O6" s="501"/>
      <c r="P6" s="501"/>
      <c r="Q6" s="964"/>
      <c r="AG6" s="1130" t="s">
        <v>2036</v>
      </c>
      <c r="AH6" s="1150" t="s">
        <v>2473</v>
      </c>
      <c r="AI6" s="1130" t="s">
        <v>1900</v>
      </c>
      <c r="AJ6" s="1130" t="s">
        <v>2164</v>
      </c>
    </row>
    <row r="7" spans="1:36" ht="14.25" customHeight="1">
      <c r="D7" s="1188"/>
      <c r="E7" s="607"/>
      <c r="F7" s="607"/>
      <c r="G7" s="607" t="s">
        <v>1235</v>
      </c>
      <c r="H7" s="607"/>
      <c r="I7" s="609">
        <f>INDEX(cbalCashValue,xxIndexTeam)</f>
        <v>840642482.06400204</v>
      </c>
      <c r="J7" s="609"/>
      <c r="K7" s="609">
        <f>INDEX(obalCashValue,xxIndexTeam)</f>
        <v>425041932.21870798</v>
      </c>
      <c r="L7" s="609"/>
      <c r="M7" s="973">
        <f>I7/$I$16</f>
        <v>6.6420034214029366E-2</v>
      </c>
      <c r="N7" s="609"/>
      <c r="O7" s="973">
        <f>I7/K7-1</f>
        <v>0.97778717425800754</v>
      </c>
      <c r="P7" s="609"/>
      <c r="Q7" s="964"/>
      <c r="AG7" s="1151" t="s">
        <v>2393</v>
      </c>
      <c r="AH7" s="1151" t="s">
        <v>2394</v>
      </c>
      <c r="AI7" s="1151" t="s">
        <v>2395</v>
      </c>
      <c r="AJ7" s="1151" t="s">
        <v>2396</v>
      </c>
    </row>
    <row r="8" spans="1:36" ht="14.25" customHeight="1">
      <c r="D8" s="1188"/>
      <c r="E8" s="607"/>
      <c r="F8" s="607"/>
      <c r="G8" s="607" t="s">
        <v>624</v>
      </c>
      <c r="H8" s="607"/>
      <c r="I8" s="609">
        <f>INDEX(cbalARValue,xxIndexTeam)</f>
        <v>846024022.50730908</v>
      </c>
      <c r="J8" s="609"/>
      <c r="K8" s="609">
        <f>INDEX(obalARValue,xxIndexTeam)</f>
        <v>803722821.38194358</v>
      </c>
      <c r="L8" s="609"/>
      <c r="M8" s="973">
        <f t="shared" ref="M8:M16" si="0">I8/$I$16</f>
        <v>6.6845235304855782E-2</v>
      </c>
      <c r="N8" s="609"/>
      <c r="O8" s="973">
        <f>I8/K8-1</f>
        <v>5.2631578947368585E-2</v>
      </c>
      <c r="P8" s="609"/>
      <c r="Q8" s="964"/>
      <c r="AG8" s="1151" t="s">
        <v>2397</v>
      </c>
      <c r="AH8" s="1151" t="s">
        <v>2398</v>
      </c>
      <c r="AI8" s="1151" t="s">
        <v>2399</v>
      </c>
      <c r="AJ8" s="1151" t="s">
        <v>2400</v>
      </c>
    </row>
    <row r="9" spans="1:36" ht="14.25" customHeight="1">
      <c r="D9" s="1189" t="s">
        <v>1889</v>
      </c>
      <c r="E9" s="607"/>
      <c r="F9" s="950"/>
      <c r="G9" s="950" t="s">
        <v>1568</v>
      </c>
      <c r="H9" s="950"/>
      <c r="I9" s="951">
        <f>INDEX(cbalOtherCurrentAssets,xxIndexTeam)</f>
        <v>325283747</v>
      </c>
      <c r="J9" s="609"/>
      <c r="K9" s="951">
        <f>INDEX(obalOtherCurrentAssets,xxIndexTeam)</f>
        <v>325283747</v>
      </c>
      <c r="L9" s="609"/>
      <c r="M9" s="974">
        <f t="shared" si="0"/>
        <v>2.5701006154198566E-2</v>
      </c>
      <c r="N9" s="609"/>
      <c r="O9" s="974">
        <f>I9/K9-1</f>
        <v>0</v>
      </c>
      <c r="P9" s="609"/>
      <c r="Q9" s="964"/>
      <c r="AG9" s="1151" t="s">
        <v>2401</v>
      </c>
      <c r="AH9" s="1151" t="s">
        <v>2402</v>
      </c>
      <c r="AI9" s="1151" t="s">
        <v>2403</v>
      </c>
      <c r="AJ9" s="1151" t="s">
        <v>2404</v>
      </c>
    </row>
    <row r="10" spans="1:36" ht="14.25" customHeight="1">
      <c r="D10" s="1190"/>
      <c r="E10" s="947"/>
      <c r="F10" s="947" t="s">
        <v>367</v>
      </c>
      <c r="G10" s="947"/>
      <c r="H10" s="947"/>
      <c r="I10" s="673">
        <f>SUM(I7:I9)</f>
        <v>2011950251.571311</v>
      </c>
      <c r="J10" s="609"/>
      <c r="K10" s="673">
        <f>SUM(K7:K9)</f>
        <v>1554048500.6006515</v>
      </c>
      <c r="L10" s="609"/>
      <c r="M10" s="973">
        <f t="shared" si="0"/>
        <v>0.15896627567308372</v>
      </c>
      <c r="N10" s="609"/>
      <c r="O10" s="973">
        <f>I10/K10-1</f>
        <v>0.29465087530645095</v>
      </c>
      <c r="P10" s="609"/>
      <c r="Q10" s="964"/>
      <c r="AG10" s="1151" t="s">
        <v>2405</v>
      </c>
      <c r="AH10" s="1151" t="s">
        <v>2406</v>
      </c>
      <c r="AI10" s="1151" t="s">
        <v>2407</v>
      </c>
      <c r="AJ10" s="1151" t="s">
        <v>2408</v>
      </c>
    </row>
    <row r="11" spans="1:36">
      <c r="D11" s="1188"/>
      <c r="E11" s="607"/>
      <c r="F11" s="607"/>
      <c r="G11" s="607"/>
      <c r="H11" s="607"/>
      <c r="I11" s="609"/>
      <c r="J11" s="609"/>
      <c r="K11" s="609"/>
      <c r="L11" s="609"/>
      <c r="M11" s="973"/>
      <c r="N11" s="609"/>
      <c r="O11" s="973"/>
      <c r="P11" s="609"/>
      <c r="Q11" s="964"/>
      <c r="AG11" s="1151"/>
      <c r="AH11" s="1151"/>
      <c r="AI11" s="1151"/>
      <c r="AJ11" s="1151"/>
    </row>
    <row r="12" spans="1:36" ht="14.25" customHeight="1">
      <c r="D12" s="1189" t="s">
        <v>1889</v>
      </c>
      <c r="E12" s="607"/>
      <c r="F12" s="607"/>
      <c r="G12" s="607" t="s">
        <v>1904</v>
      </c>
      <c r="H12" s="607"/>
      <c r="I12" s="609">
        <f>INDEX(cbalPlant1Value,xxIndexTeam)+INDEX(cbalPlant2Value,xxIndexTeam)</f>
        <v>1419750000</v>
      </c>
      <c r="J12" s="609"/>
      <c r="K12" s="609">
        <f>INDEX(obalPlant1Value,xxIndexTeam)+INDEX(obalPlant2Value,xxIndexTeam)</f>
        <v>1567500000</v>
      </c>
      <c r="L12" s="609"/>
      <c r="M12" s="973">
        <f t="shared" si="0"/>
        <v>0.11217591971302339</v>
      </c>
      <c r="N12" s="609"/>
      <c r="O12" s="973">
        <f>I12/K12-1</f>
        <v>-9.4258373205741597E-2</v>
      </c>
      <c r="P12" s="609"/>
      <c r="Q12" s="964"/>
      <c r="AG12" s="1151" t="s">
        <v>2409</v>
      </c>
      <c r="AH12" s="1151" t="s">
        <v>2410</v>
      </c>
      <c r="AI12" s="1151" t="s">
        <v>2411</v>
      </c>
      <c r="AJ12" s="1151" t="s">
        <v>2412</v>
      </c>
    </row>
    <row r="13" spans="1:36" ht="14.25" customHeight="1">
      <c r="D13" s="1189" t="s">
        <v>1889</v>
      </c>
      <c r="E13" s="607"/>
      <c r="F13" s="607"/>
      <c r="G13" s="607" t="s">
        <v>4447</v>
      </c>
      <c r="H13" s="607"/>
      <c r="I13" s="609">
        <f>INDEX(cbalProd1SoftwareValue,xxIndexTeam)+INDEX(cbalProd2SoftwareValue,xxIndexTeam)</f>
        <v>617319384.61538458</v>
      </c>
      <c r="J13" s="609"/>
      <c r="K13" s="609">
        <f>INDEX(obalProd1SoftwareValue,xxIndexTeam)+INDEX(obalProd2SoftwareValue,xxIndexTeam)</f>
        <v>571880000</v>
      </c>
      <c r="L13" s="609"/>
      <c r="M13" s="973">
        <f t="shared" si="0"/>
        <v>4.877504470921528E-2</v>
      </c>
      <c r="N13" s="609"/>
      <c r="O13" s="973">
        <f>I13/K13-1</f>
        <v>7.9456152716277151E-2</v>
      </c>
      <c r="P13" s="609"/>
      <c r="Q13" s="964"/>
      <c r="AG13" s="1151" t="s">
        <v>2413</v>
      </c>
      <c r="AH13" s="1151" t="s">
        <v>2414</v>
      </c>
      <c r="AI13" s="1151" t="s">
        <v>2415</v>
      </c>
      <c r="AJ13" s="1151" t="s">
        <v>2416</v>
      </c>
    </row>
    <row r="14" spans="1:36" ht="14.25" customHeight="1">
      <c r="D14" s="1189" t="s">
        <v>1889</v>
      </c>
      <c r="E14" s="607"/>
      <c r="F14" s="607"/>
      <c r="G14" s="607" t="s">
        <v>1639</v>
      </c>
      <c r="H14" s="607"/>
      <c r="I14" s="609">
        <f>INDEX(cbalOtherValue,xxIndexTeam)</f>
        <v>3080400000</v>
      </c>
      <c r="J14" s="609"/>
      <c r="K14" s="609">
        <f>INDEX(obalOtherValue,xxIndexTeam)</f>
        <v>3080400000</v>
      </c>
      <c r="L14" s="609"/>
      <c r="M14" s="973">
        <f t="shared" si="0"/>
        <v>0.2433855982278551</v>
      </c>
      <c r="N14" s="609"/>
      <c r="O14" s="973">
        <f>I14/K14-1</f>
        <v>0</v>
      </c>
      <c r="P14" s="609"/>
      <c r="Q14" s="964"/>
      <c r="AG14" s="1151" t="s">
        <v>2417</v>
      </c>
      <c r="AH14" s="1151" t="s">
        <v>2418</v>
      </c>
      <c r="AI14" s="1151" t="s">
        <v>2419</v>
      </c>
      <c r="AJ14" s="1151" t="s">
        <v>2420</v>
      </c>
    </row>
    <row r="15" spans="1:36" ht="14.25" customHeight="1">
      <c r="D15" s="1189" t="s">
        <v>1889</v>
      </c>
      <c r="E15" s="607"/>
      <c r="F15" s="950"/>
      <c r="G15" s="950" t="s">
        <v>1640</v>
      </c>
      <c r="H15" s="950"/>
      <c r="I15" s="951">
        <f>INDEX(cbalGoodwillValue,xxIndexTeam)</f>
        <v>5527040000</v>
      </c>
      <c r="J15" s="609"/>
      <c r="K15" s="951">
        <f>INDEX(obalGoodwillValue,xxIndexTeam)</f>
        <v>5527040000</v>
      </c>
      <c r="L15" s="609"/>
      <c r="M15" s="974">
        <f t="shared" si="0"/>
        <v>0.43669716167682254</v>
      </c>
      <c r="N15" s="609"/>
      <c r="O15" s="974">
        <f>I15/K15-1</f>
        <v>0</v>
      </c>
      <c r="P15" s="609"/>
      <c r="Q15" s="964"/>
      <c r="AG15" s="1151" t="s">
        <v>2421</v>
      </c>
      <c r="AH15" s="1151" t="s">
        <v>2422</v>
      </c>
      <c r="AI15" s="1151" t="s">
        <v>2423</v>
      </c>
      <c r="AJ15" s="1151" t="s">
        <v>2424</v>
      </c>
    </row>
    <row r="16" spans="1:36" ht="14.25" customHeight="1">
      <c r="D16" s="1191"/>
      <c r="E16" s="607"/>
      <c r="F16" s="947" t="s">
        <v>370</v>
      </c>
      <c r="G16" s="607"/>
      <c r="H16" s="501"/>
      <c r="I16" s="674">
        <f>INDEX(cbalAssetsValue,xxIndexTeam)</f>
        <v>12656459636.186695</v>
      </c>
      <c r="J16" s="674"/>
      <c r="K16" s="674">
        <f>INDEX(obalAssetsValue,xxIndexTeam)</f>
        <v>12300868500.600651</v>
      </c>
      <c r="L16" s="674"/>
      <c r="M16" s="973">
        <f t="shared" si="0"/>
        <v>1</v>
      </c>
      <c r="N16" s="674"/>
      <c r="O16" s="973">
        <f t="shared" ref="O16" si="1">I16/K16-1</f>
        <v>2.8907807246998818E-2</v>
      </c>
      <c r="P16" s="674"/>
      <c r="Q16" s="964"/>
      <c r="AG16" s="1142" t="s">
        <v>2425</v>
      </c>
      <c r="AH16" s="1142" t="s">
        <v>2426</v>
      </c>
      <c r="AI16" s="1142" t="s">
        <v>2427</v>
      </c>
      <c r="AJ16" s="1142" t="s">
        <v>2428</v>
      </c>
    </row>
    <row r="17" spans="4:36">
      <c r="D17" s="1191"/>
      <c r="E17" s="607"/>
      <c r="F17" s="947"/>
      <c r="G17" s="607"/>
      <c r="H17" s="501"/>
      <c r="I17" s="674"/>
      <c r="J17" s="674"/>
      <c r="K17" s="674"/>
      <c r="L17" s="674"/>
      <c r="M17" s="976"/>
      <c r="N17" s="674"/>
      <c r="O17" s="976"/>
      <c r="P17" s="674"/>
      <c r="Q17" s="964"/>
      <c r="AG17" s="1142"/>
      <c r="AH17" s="1142"/>
      <c r="AI17" s="1142"/>
      <c r="AJ17" s="1142"/>
    </row>
    <row r="18" spans="4:36" ht="14.25" customHeight="1">
      <c r="D18" s="1191"/>
      <c r="E18" s="501" t="s">
        <v>623</v>
      </c>
      <c r="F18" s="501"/>
      <c r="G18" s="501"/>
      <c r="H18" s="501"/>
      <c r="I18" s="671"/>
      <c r="J18" s="671"/>
      <c r="K18" s="671"/>
      <c r="L18" s="671"/>
      <c r="M18" s="959"/>
      <c r="N18" s="671"/>
      <c r="O18" s="959"/>
      <c r="P18" s="671"/>
      <c r="Q18" s="964"/>
      <c r="AG18" s="1152"/>
      <c r="AH18" s="1152"/>
      <c r="AI18" s="1152"/>
      <c r="AJ18" s="1152"/>
    </row>
    <row r="19" spans="4:36" ht="14.25" customHeight="1">
      <c r="D19" s="1190"/>
      <c r="E19" s="947"/>
      <c r="F19" s="947"/>
      <c r="G19" s="607" t="s">
        <v>1905</v>
      </c>
      <c r="H19" s="947"/>
      <c r="I19" s="609">
        <f>INDEX(cbalAPValue,xxIndexTeam)</f>
        <v>893466533.34368575</v>
      </c>
      <c r="J19" s="609"/>
      <c r="K19" s="609">
        <f>INDEX(obalAPValue,xxIndexTeam)</f>
        <v>848793206.67650139</v>
      </c>
      <c r="L19" s="609"/>
      <c r="M19" s="973">
        <f>I19/$I$16</f>
        <v>7.0593717281658488E-2</v>
      </c>
      <c r="N19" s="609"/>
      <c r="O19" s="973">
        <f t="shared" ref="O19:O32" si="2">I19/K19-1</f>
        <v>5.2631578947368585E-2</v>
      </c>
      <c r="P19" s="609"/>
      <c r="Q19" s="964"/>
      <c r="AG19" s="1151" t="s">
        <v>2429</v>
      </c>
      <c r="AH19" s="1151" t="s">
        <v>2430</v>
      </c>
      <c r="AI19" s="1151" t="s">
        <v>2431</v>
      </c>
      <c r="AJ19" s="1151" t="s">
        <v>2432</v>
      </c>
    </row>
    <row r="20" spans="4:36" ht="14.25" customHeight="1">
      <c r="D20" s="1189" t="s">
        <v>1889</v>
      </c>
      <c r="E20" s="607"/>
      <c r="F20" s="607"/>
      <c r="G20" s="607" t="s">
        <v>374</v>
      </c>
      <c r="H20" s="607"/>
      <c r="I20" s="609">
        <f>INDEX(cbalDeferredRevValue,xxIndexTeam)+INDEX(cbalOtherCurrLiabValue,xxIndexTeam)</f>
        <v>254332570.815</v>
      </c>
      <c r="J20" s="609"/>
      <c r="K20" s="609">
        <f>INDEX(obalDeferredRevValue,xxIndexTeam)+INDEX(obalOtherCurrLiabValue,xxIndexTeam)</f>
        <v>246976525</v>
      </c>
      <c r="L20" s="609"/>
      <c r="M20" s="973">
        <f t="shared" ref="M20:M25" si="3">I20/$I$16</f>
        <v>2.0095080150836608E-2</v>
      </c>
      <c r="N20" s="609"/>
      <c r="O20" s="973">
        <f t="shared" si="2"/>
        <v>2.9784392727203457E-2</v>
      </c>
      <c r="P20" s="609"/>
      <c r="Q20" s="964"/>
      <c r="AG20" s="1151" t="s">
        <v>2433</v>
      </c>
      <c r="AH20" s="1151" t="s">
        <v>2434</v>
      </c>
      <c r="AI20" s="1151" t="s">
        <v>2435</v>
      </c>
      <c r="AJ20" s="1151" t="s">
        <v>2436</v>
      </c>
    </row>
    <row r="21" spans="4:36" ht="14.25" customHeight="1">
      <c r="D21" s="1188"/>
      <c r="E21" s="607"/>
      <c r="F21" s="950"/>
      <c r="G21" s="950" t="s">
        <v>1906</v>
      </c>
      <c r="H21" s="950"/>
      <c r="I21" s="951">
        <f>INDEX(cbalSpecLoansValue,xxIndexTeam)</f>
        <v>0</v>
      </c>
      <c r="J21" s="609"/>
      <c r="K21" s="951">
        <f>INDEX(obalSpecLoansValue,xxIndexTeam)</f>
        <v>0</v>
      </c>
      <c r="L21" s="609"/>
      <c r="M21" s="974">
        <f t="shared" si="3"/>
        <v>0</v>
      </c>
      <c r="N21" s="609"/>
      <c r="O21" s="974">
        <f>IF(K21=0,0,I21/K21-1)</f>
        <v>0</v>
      </c>
      <c r="P21" s="609"/>
      <c r="Q21" s="964"/>
      <c r="AG21" s="1151" t="s">
        <v>2437</v>
      </c>
      <c r="AH21" s="1151" t="s">
        <v>2438</v>
      </c>
      <c r="AI21" s="1151" t="s">
        <v>2439</v>
      </c>
      <c r="AJ21" s="1151" t="s">
        <v>2440</v>
      </c>
    </row>
    <row r="22" spans="4:36" ht="14.25" customHeight="1">
      <c r="D22" s="1188"/>
      <c r="E22" s="607"/>
      <c r="F22" s="947" t="s">
        <v>372</v>
      </c>
      <c r="G22" s="607"/>
      <c r="H22" s="607"/>
      <c r="I22" s="673">
        <f>SUM(I19:I21)</f>
        <v>1147799104.1586857</v>
      </c>
      <c r="J22" s="609"/>
      <c r="K22" s="673">
        <f>SUM(K19:K21)</f>
        <v>1095769731.6765013</v>
      </c>
      <c r="L22" s="609"/>
      <c r="M22" s="973">
        <f t="shared" si="3"/>
        <v>9.0688797432495083E-2</v>
      </c>
      <c r="N22" s="609"/>
      <c r="O22" s="973">
        <f t="shared" si="2"/>
        <v>4.7482031103907918E-2</v>
      </c>
      <c r="P22" s="609"/>
      <c r="Q22" s="964"/>
      <c r="AG22" s="1151" t="s">
        <v>2441</v>
      </c>
      <c r="AH22" s="1151" t="s">
        <v>2442</v>
      </c>
      <c r="AI22" s="1151" t="s">
        <v>2443</v>
      </c>
      <c r="AJ22" s="1151" t="s">
        <v>2444</v>
      </c>
    </row>
    <row r="23" spans="4:36" ht="14.25" customHeight="1">
      <c r="D23" s="1189" t="s">
        <v>1889</v>
      </c>
      <c r="E23" s="607"/>
      <c r="F23" s="607"/>
      <c r="G23" s="607" t="s">
        <v>1907</v>
      </c>
      <c r="H23" s="607"/>
      <c r="I23" s="609">
        <f>INDEX(cbalOtherLTLiabValue,xxIndexTeam)</f>
        <v>1303862682.4039743</v>
      </c>
      <c r="J23" s="609"/>
      <c r="K23" s="609">
        <f>INDEX(obalOtherLTLiabValue,xxIndexTeam)</f>
        <v>1259770707.6366901</v>
      </c>
      <c r="L23" s="609"/>
      <c r="M23" s="973">
        <f t="shared" si="3"/>
        <v>0.10301954258014125</v>
      </c>
      <c r="N23" s="609"/>
      <c r="O23" s="973">
        <f t="shared" si="2"/>
        <v>3.499999999999992E-2</v>
      </c>
      <c r="P23" s="609"/>
      <c r="Q23" s="964"/>
      <c r="AG23" s="1151" t="s">
        <v>2445</v>
      </c>
      <c r="AH23" s="1151" t="s">
        <v>2446</v>
      </c>
      <c r="AI23" s="1151" t="s">
        <v>2447</v>
      </c>
      <c r="AJ23" s="1151" t="s">
        <v>2448</v>
      </c>
    </row>
    <row r="24" spans="4:36" ht="14.25" customHeight="1">
      <c r="D24" s="1188"/>
      <c r="E24" s="607"/>
      <c r="F24" s="950"/>
      <c r="G24" s="950" t="s">
        <v>1908</v>
      </c>
      <c r="H24" s="950"/>
      <c r="I24" s="951">
        <f>INDEX(cbalLTDebtValue,xxIndexTeam)</f>
        <v>2033079126.9769499</v>
      </c>
      <c r="J24" s="609"/>
      <c r="K24" s="951">
        <f>INDEX(obalLTDebtValue,xxIndexTeam)</f>
        <v>2033079126.9769499</v>
      </c>
      <c r="L24" s="609"/>
      <c r="M24" s="974">
        <f t="shared" si="3"/>
        <v>0.16063569002851913</v>
      </c>
      <c r="N24" s="609"/>
      <c r="O24" s="974">
        <f t="shared" si="2"/>
        <v>0</v>
      </c>
      <c r="P24" s="609"/>
      <c r="Q24" s="964"/>
      <c r="AG24" s="1151" t="s">
        <v>2449</v>
      </c>
      <c r="AH24" s="1151" t="s">
        <v>2450</v>
      </c>
      <c r="AI24" s="1151" t="s">
        <v>2451</v>
      </c>
      <c r="AJ24" s="1151" t="s">
        <v>2452</v>
      </c>
    </row>
    <row r="25" spans="4:36" ht="14.25" customHeight="1">
      <c r="D25" s="1188"/>
      <c r="E25" s="607"/>
      <c r="F25" s="947" t="s">
        <v>378</v>
      </c>
      <c r="G25" s="607"/>
      <c r="H25" s="607"/>
      <c r="I25" s="673">
        <f>INDEX(cbalTotalLiabilities,xxIndexTeam)</f>
        <v>4484740913.5396099</v>
      </c>
      <c r="J25" s="673"/>
      <c r="K25" s="673">
        <f>INDEX(obalTotalLiabilities,xxIndexTeam)</f>
        <v>4388619566.2901411</v>
      </c>
      <c r="L25" s="673"/>
      <c r="M25" s="973">
        <f t="shared" si="3"/>
        <v>0.35434403004115544</v>
      </c>
      <c r="N25" s="673"/>
      <c r="O25" s="973">
        <f t="shared" si="2"/>
        <v>2.190241049549968E-2</v>
      </c>
      <c r="P25" s="673"/>
      <c r="Q25" s="964"/>
      <c r="AG25" s="1153" t="s">
        <v>2453</v>
      </c>
      <c r="AH25" s="1153" t="s">
        <v>2454</v>
      </c>
      <c r="AI25" s="1153" t="s">
        <v>2455</v>
      </c>
      <c r="AJ25" s="1153" t="s">
        <v>2456</v>
      </c>
    </row>
    <row r="26" spans="4:36">
      <c r="D26" s="1188"/>
      <c r="E26" s="607"/>
      <c r="F26" s="607"/>
      <c r="G26" s="607"/>
      <c r="H26" s="607"/>
      <c r="I26" s="609"/>
      <c r="J26" s="609"/>
      <c r="K26" s="609"/>
      <c r="L26" s="609"/>
      <c r="M26" s="973"/>
      <c r="N26" s="609"/>
      <c r="O26" s="973"/>
      <c r="P26" s="609"/>
      <c r="Q26" s="964"/>
      <c r="AG26" s="1151"/>
      <c r="AH26" s="1151"/>
      <c r="AI26" s="1151"/>
      <c r="AJ26" s="1151"/>
    </row>
    <row r="27" spans="4:36" ht="14.25" customHeight="1">
      <c r="D27" s="972"/>
      <c r="E27" s="607"/>
      <c r="F27" s="947" t="s">
        <v>379</v>
      </c>
      <c r="G27" s="607"/>
      <c r="H27" s="607"/>
      <c r="I27" s="609"/>
      <c r="J27" s="609"/>
      <c r="K27" s="609"/>
      <c r="L27" s="609"/>
      <c r="M27" s="973"/>
      <c r="N27" s="609"/>
      <c r="O27" s="973"/>
      <c r="P27" s="609"/>
      <c r="Q27" s="964"/>
      <c r="AG27" s="1151"/>
      <c r="AH27" s="1151"/>
      <c r="AI27" s="1151"/>
      <c r="AJ27" s="1151"/>
    </row>
    <row r="28" spans="4:36" ht="14.25" customHeight="1">
      <c r="D28" s="975"/>
      <c r="E28" s="947"/>
      <c r="F28" s="947"/>
      <c r="G28" s="607" t="s">
        <v>1909</v>
      </c>
      <c r="H28" s="947"/>
      <c r="I28" s="609">
        <f>INDEX(cbalCStockValue,xxIndexTeam)</f>
        <v>3652822092.18256</v>
      </c>
      <c r="J28" s="609"/>
      <c r="K28" s="609">
        <f>INDEX(obalCStockValue,xxIndexTeam)</f>
        <v>3652822092.18256</v>
      </c>
      <c r="L28" s="609"/>
      <c r="M28" s="973">
        <f t="shared" ref="M28:M32" si="4">I28/$I$16</f>
        <v>0.28861326130560239</v>
      </c>
      <c r="N28" s="609"/>
      <c r="O28" s="973">
        <f t="shared" si="2"/>
        <v>0</v>
      </c>
      <c r="P28" s="609"/>
      <c r="Q28" s="964"/>
      <c r="AG28" s="1151" t="s">
        <v>2457</v>
      </c>
      <c r="AH28" s="1151" t="s">
        <v>2458</v>
      </c>
      <c r="AI28" s="1151" t="s">
        <v>2459</v>
      </c>
      <c r="AJ28" s="1151" t="s">
        <v>2460</v>
      </c>
    </row>
    <row r="29" spans="4:36" ht="14.25" customHeight="1">
      <c r="D29" s="972"/>
      <c r="E29" s="607"/>
      <c r="F29" s="950"/>
      <c r="G29" s="950" t="s">
        <v>381</v>
      </c>
      <c r="H29" s="950"/>
      <c r="I29" s="951">
        <f>INDEX(cbalRetEarnValue,xxIndexTeam)+INDEX(cbalNetEarnValue,xxIndexTeam)</f>
        <v>4518896630.4645252</v>
      </c>
      <c r="J29" s="609"/>
      <c r="K29" s="951">
        <f>INDEX(obalRetEarnValue,xxIndexTeam)+INDEX(obalNetEarnValue,xxIndexTeam)</f>
        <v>4259426842.1279497</v>
      </c>
      <c r="L29" s="609"/>
      <c r="M29" s="974">
        <f t="shared" si="4"/>
        <v>0.35704270865324217</v>
      </c>
      <c r="N29" s="609"/>
      <c r="O29" s="974">
        <f t="shared" si="2"/>
        <v>6.0916596986778648E-2</v>
      </c>
      <c r="P29" s="609"/>
      <c r="Q29" s="964"/>
      <c r="AG29" s="1151" t="s">
        <v>2461</v>
      </c>
      <c r="AH29" s="1151" t="s">
        <v>2462</v>
      </c>
      <c r="AI29" s="1151" t="s">
        <v>2463</v>
      </c>
      <c r="AJ29" s="1151" t="s">
        <v>2464</v>
      </c>
    </row>
    <row r="30" spans="4:36" ht="14.25" customHeight="1">
      <c r="D30" s="972"/>
      <c r="E30" s="607"/>
      <c r="F30" s="947" t="s">
        <v>444</v>
      </c>
      <c r="G30" s="607"/>
      <c r="H30" s="607"/>
      <c r="I30" s="673">
        <f>INDEX(cbalEquity,xxIndexTeam)</f>
        <v>8171718722.6470852</v>
      </c>
      <c r="J30" s="673"/>
      <c r="K30" s="673">
        <f>INDEX(obalEquity,xxIndexTeam)</f>
        <v>7912248934.3105097</v>
      </c>
      <c r="L30" s="673"/>
      <c r="M30" s="973">
        <f t="shared" si="4"/>
        <v>0.64565596995884456</v>
      </c>
      <c r="N30" s="673"/>
      <c r="O30" s="973">
        <f t="shared" si="2"/>
        <v>3.279343085521691E-2</v>
      </c>
      <c r="P30" s="673"/>
      <c r="Q30" s="964"/>
      <c r="AG30" s="1153" t="s">
        <v>2465</v>
      </c>
      <c r="AH30" s="1153" t="s">
        <v>2466</v>
      </c>
      <c r="AI30" s="1153" t="s">
        <v>2467</v>
      </c>
      <c r="AJ30" s="1153" t="s">
        <v>2468</v>
      </c>
    </row>
    <row r="31" spans="4:36">
      <c r="D31" s="972"/>
      <c r="E31" s="607"/>
      <c r="F31" s="607"/>
      <c r="G31" s="607"/>
      <c r="H31" s="607"/>
      <c r="I31" s="609"/>
      <c r="J31" s="609"/>
      <c r="K31" s="609"/>
      <c r="L31" s="609"/>
      <c r="M31" s="973"/>
      <c r="N31" s="609"/>
      <c r="O31" s="973"/>
      <c r="P31" s="609"/>
      <c r="Q31" s="964"/>
      <c r="AG31" s="1151"/>
      <c r="AH31" s="1151"/>
      <c r="AI31" s="1151"/>
      <c r="AJ31" s="1151"/>
    </row>
    <row r="32" spans="4:36" ht="14.25" customHeight="1">
      <c r="D32" s="972"/>
      <c r="E32" s="607"/>
      <c r="F32" s="947" t="s">
        <v>1910</v>
      </c>
      <c r="G32" s="607"/>
      <c r="H32" s="607"/>
      <c r="I32" s="673">
        <f>INDEX(cbalTotalLiabilities,xxIndexTeam)+INDEX(cbalEquity,xxIndexTeam)</f>
        <v>12656459636.186695</v>
      </c>
      <c r="J32" s="673"/>
      <c r="K32" s="673">
        <f>INDEX(obalTotalLiabilities,xxIndexTeam)+INDEX(obalEquity,xxIndexTeam)</f>
        <v>12300868500.600651</v>
      </c>
      <c r="L32" s="673"/>
      <c r="M32" s="973">
        <f t="shared" si="4"/>
        <v>1</v>
      </c>
      <c r="N32" s="673"/>
      <c r="O32" s="973">
        <f t="shared" si="2"/>
        <v>2.8907807246998818E-2</v>
      </c>
      <c r="P32" s="673"/>
      <c r="Q32" s="964"/>
      <c r="AG32" s="1153" t="s">
        <v>2469</v>
      </c>
      <c r="AH32" s="1153" t="s">
        <v>2470</v>
      </c>
      <c r="AI32" s="1153" t="s">
        <v>2471</v>
      </c>
      <c r="AJ32" s="1153" t="s">
        <v>2472</v>
      </c>
    </row>
    <row r="33" spans="2:47" ht="28.5" customHeight="1" thickBot="1">
      <c r="D33" s="977"/>
      <c r="E33" s="978"/>
      <c r="F33" s="978"/>
      <c r="G33" s="978"/>
      <c r="H33" s="978"/>
      <c r="I33" s="979"/>
      <c r="J33" s="978"/>
      <c r="K33" s="978"/>
      <c r="L33" s="978"/>
      <c r="M33" s="978"/>
      <c r="N33" s="978"/>
      <c r="O33" s="978"/>
      <c r="P33" s="978"/>
      <c r="Q33" s="980"/>
    </row>
    <row r="37" spans="2:47">
      <c r="B37" s="1132"/>
      <c r="C37" s="1132"/>
      <c r="D37" s="1132"/>
      <c r="E37" s="1132"/>
      <c r="F37" s="1132"/>
      <c r="G37" s="1132"/>
      <c r="H37" s="1132"/>
      <c r="I37" s="1157"/>
      <c r="J37" s="1132"/>
      <c r="K37" s="1132"/>
      <c r="L37" s="1132"/>
      <c r="M37" s="1132"/>
      <c r="N37" s="1132"/>
      <c r="O37" s="1132"/>
      <c r="P37" s="1132"/>
      <c r="Q37" s="1132"/>
      <c r="R37" s="1132"/>
      <c r="S37" s="1132"/>
      <c r="T37" s="1132"/>
      <c r="U37" s="1132"/>
      <c r="V37" s="1132"/>
      <c r="W37" s="1132"/>
      <c r="X37" s="1132"/>
      <c r="Y37" s="1132"/>
      <c r="Z37" s="1132"/>
      <c r="AA37" s="1132"/>
      <c r="AB37" s="1132"/>
      <c r="AC37" s="1132"/>
      <c r="AD37" s="1132"/>
      <c r="AE37" s="1132"/>
      <c r="AF37" s="1132"/>
      <c r="AG37" s="1132"/>
      <c r="AH37" s="1132"/>
      <c r="AI37" s="1132"/>
      <c r="AJ37" s="1132"/>
      <c r="AK37" s="1132"/>
      <c r="AL37" s="1132"/>
      <c r="AM37" s="1132"/>
      <c r="AN37" s="1132"/>
      <c r="AO37" s="1132"/>
      <c r="AP37" s="1132"/>
      <c r="AQ37" s="1132"/>
      <c r="AR37" s="1132"/>
      <c r="AS37" s="1132"/>
      <c r="AT37" s="1132"/>
      <c r="AU37" s="1132"/>
    </row>
    <row r="38" spans="2:47">
      <c r="B38" s="1132"/>
      <c r="C38" s="1132"/>
      <c r="D38" s="1132"/>
      <c r="E38" s="1132"/>
      <c r="F38" s="1132"/>
      <c r="G38" s="1132"/>
      <c r="H38" s="1132"/>
      <c r="I38" s="1157"/>
      <c r="J38" s="1132"/>
      <c r="K38" s="1132"/>
      <c r="L38" s="1132"/>
      <c r="M38" s="1132"/>
      <c r="N38" s="1132"/>
      <c r="O38" s="1132"/>
      <c r="P38" s="1132"/>
      <c r="Q38" s="1132"/>
      <c r="R38" s="1132"/>
      <c r="S38" s="1132"/>
      <c r="T38" s="1132"/>
      <c r="U38" s="1132"/>
      <c r="V38" s="1132"/>
      <c r="W38" s="1132"/>
      <c r="X38" s="1132"/>
      <c r="Y38" s="1132"/>
      <c r="Z38" s="1132"/>
      <c r="AA38" s="1132"/>
      <c r="AB38" s="1132"/>
      <c r="AC38" s="1132"/>
      <c r="AD38" s="1132"/>
      <c r="AE38" s="1132"/>
      <c r="AF38" s="1132"/>
      <c r="AG38" s="1132"/>
      <c r="AH38" s="1132"/>
      <c r="AI38" s="1132"/>
      <c r="AJ38" s="1132"/>
      <c r="AK38" s="1132"/>
      <c r="AL38" s="1132"/>
      <c r="AM38" s="1132"/>
      <c r="AN38" s="1132"/>
      <c r="AO38" s="1132"/>
      <c r="AP38" s="1132"/>
      <c r="AQ38" s="1132"/>
      <c r="AR38" s="1132"/>
      <c r="AS38" s="1132"/>
      <c r="AT38" s="1132"/>
      <c r="AU38" s="1132"/>
    </row>
    <row r="39" spans="2:47">
      <c r="B39" s="1132"/>
      <c r="C39" s="1132"/>
      <c r="D39" s="1132"/>
      <c r="E39" s="1132"/>
      <c r="F39" s="1132"/>
      <c r="G39" s="1158"/>
      <c r="H39" s="1158"/>
      <c r="I39" s="1159"/>
      <c r="J39" s="1160"/>
      <c r="K39" s="1160"/>
      <c r="L39" s="1160"/>
      <c r="M39" s="1160"/>
      <c r="N39" s="1161"/>
      <c r="O39" s="1160"/>
      <c r="P39" s="1161"/>
      <c r="Q39" s="1132"/>
      <c r="R39" s="1132"/>
      <c r="S39" s="1132"/>
      <c r="T39" s="1132"/>
      <c r="U39" s="1132"/>
      <c r="V39" s="1132"/>
      <c r="W39" s="1132"/>
      <c r="X39" s="1132"/>
      <c r="Y39" s="1132"/>
      <c r="Z39" s="1132"/>
      <c r="AA39" s="1132"/>
      <c r="AB39" s="1132"/>
      <c r="AC39" s="1132"/>
      <c r="AD39" s="1132"/>
      <c r="AE39" s="1132"/>
      <c r="AF39" s="1132"/>
      <c r="AG39" s="1132"/>
      <c r="AH39" s="1132"/>
      <c r="AI39" s="1132"/>
      <c r="AJ39" s="1132"/>
      <c r="AK39" s="1132"/>
      <c r="AL39" s="1132"/>
      <c r="AM39" s="1132"/>
      <c r="AN39" s="1132"/>
      <c r="AO39" s="1132"/>
      <c r="AP39" s="1132"/>
      <c r="AQ39" s="1132"/>
      <c r="AR39" s="1132"/>
      <c r="AS39" s="1132"/>
      <c r="AT39" s="1132"/>
      <c r="AU39" s="1132"/>
    </row>
    <row r="40" spans="2:47" ht="12.75">
      <c r="B40" s="1132"/>
      <c r="C40" s="1132"/>
      <c r="D40" s="1132"/>
      <c r="E40" s="1132"/>
      <c r="F40" s="1132"/>
      <c r="G40" s="1158"/>
      <c r="H40" s="1158"/>
      <c r="I40" s="1159"/>
      <c r="J40" s="1162"/>
      <c r="K40" s="1162"/>
      <c r="L40" s="1162"/>
      <c r="M40" s="1162"/>
      <c r="N40" s="1163"/>
      <c r="O40" s="1162"/>
      <c r="P40" s="1163"/>
      <c r="Q40" s="1155"/>
      <c r="R40" s="1154"/>
      <c r="S40" s="1155"/>
      <c r="T40" s="1154"/>
      <c r="U40" s="1154"/>
      <c r="V40" s="1154"/>
      <c r="W40" s="1154"/>
      <c r="X40" s="1154"/>
      <c r="Y40" s="1154"/>
      <c r="Z40" s="1154"/>
      <c r="AA40" s="1154"/>
      <c r="AB40" s="1155"/>
      <c r="AC40" s="1154"/>
      <c r="AD40" s="1155"/>
      <c r="AE40" s="1132"/>
      <c r="AF40" s="1132"/>
      <c r="AG40" s="1132"/>
      <c r="AH40" s="1132"/>
      <c r="AI40" s="1132"/>
      <c r="AJ40" s="1132"/>
      <c r="AK40" s="1132"/>
      <c r="AL40" s="1132"/>
      <c r="AM40" s="1132"/>
      <c r="AN40" s="1132"/>
      <c r="AO40" s="1132"/>
      <c r="AP40" s="1132"/>
      <c r="AQ40" s="1132"/>
      <c r="AR40" s="1132"/>
      <c r="AS40" s="1132"/>
      <c r="AT40" s="1132"/>
      <c r="AU40" s="1132"/>
    </row>
    <row r="41" spans="2:47" ht="12.75">
      <c r="B41" s="1132"/>
      <c r="C41" s="1132"/>
      <c r="D41" s="1132"/>
      <c r="E41" s="1132"/>
      <c r="F41" s="1132"/>
      <c r="G41" s="1164"/>
      <c r="H41" s="1158"/>
      <c r="I41" s="1159"/>
      <c r="J41" s="1165"/>
      <c r="K41" s="1165"/>
      <c r="L41" s="1165"/>
      <c r="M41" s="1165"/>
      <c r="N41" s="1166"/>
      <c r="O41" s="1165"/>
      <c r="P41" s="1166"/>
      <c r="Q41" s="1154"/>
      <c r="R41" s="1154"/>
      <c r="S41" s="1154"/>
      <c r="T41" s="1154"/>
      <c r="U41" s="1154"/>
      <c r="V41" s="1154"/>
      <c r="W41" s="1154"/>
      <c r="X41" s="1154"/>
      <c r="Y41" s="1154"/>
      <c r="Z41" s="1154"/>
      <c r="AA41" s="1154"/>
      <c r="AB41" s="1154"/>
      <c r="AC41" s="1154"/>
      <c r="AD41" s="1154"/>
      <c r="AE41" s="1132"/>
      <c r="AF41" s="1132"/>
      <c r="AG41" s="1132"/>
      <c r="AH41" s="1132"/>
      <c r="AI41" s="1132"/>
      <c r="AJ41" s="1132"/>
      <c r="AK41" s="1132"/>
      <c r="AL41" s="1132"/>
      <c r="AM41" s="1132"/>
      <c r="AN41" s="1132"/>
      <c r="AO41" s="1132"/>
      <c r="AP41" s="1132"/>
      <c r="AQ41" s="1132"/>
      <c r="AR41" s="1132"/>
      <c r="AS41" s="1132"/>
      <c r="AT41" s="1132"/>
      <c r="AU41" s="1132"/>
    </row>
    <row r="42" spans="2:47" ht="12.75">
      <c r="B42" s="1132"/>
      <c r="C42" s="1132"/>
      <c r="D42" s="1132"/>
      <c r="E42" s="1132"/>
      <c r="F42" s="1132"/>
      <c r="G42" s="1158"/>
      <c r="H42" s="1164"/>
      <c r="I42" s="1159"/>
      <c r="J42" s="1165"/>
      <c r="K42" s="1165"/>
      <c r="L42" s="1165"/>
      <c r="M42" s="1165"/>
      <c r="N42" s="1166"/>
      <c r="O42" s="1165"/>
      <c r="P42" s="1166"/>
      <c r="Q42" s="1154"/>
      <c r="R42" s="1154"/>
      <c r="S42" s="1154"/>
      <c r="T42" s="1154"/>
      <c r="U42" s="1154"/>
      <c r="V42" s="1154"/>
      <c r="W42" s="1154"/>
      <c r="X42" s="1154"/>
      <c r="Y42" s="1154"/>
      <c r="Z42" s="1154"/>
      <c r="AA42" s="1154"/>
      <c r="AB42" s="1154"/>
      <c r="AC42" s="1154"/>
      <c r="AD42" s="1154"/>
      <c r="AE42" s="1132"/>
      <c r="AF42" s="1132"/>
      <c r="AG42" s="1132"/>
      <c r="AH42" s="1132"/>
      <c r="AI42" s="1132"/>
      <c r="AJ42" s="1132"/>
      <c r="AK42" s="1132"/>
      <c r="AL42" s="1132"/>
      <c r="AM42" s="1132"/>
      <c r="AN42" s="1132"/>
      <c r="AO42" s="1132"/>
      <c r="AP42" s="1132"/>
      <c r="AQ42" s="1132"/>
      <c r="AR42" s="1132"/>
      <c r="AS42" s="1132"/>
      <c r="AT42" s="1132"/>
      <c r="AU42" s="1132"/>
    </row>
    <row r="43" spans="2:47" ht="12.75">
      <c r="B43" s="1132"/>
      <c r="C43" s="1132"/>
      <c r="D43" s="1132"/>
      <c r="E43" s="1132"/>
      <c r="F43" s="1132"/>
      <c r="G43" s="1158"/>
      <c r="H43" s="1158"/>
      <c r="I43" s="1159"/>
      <c r="J43" s="1165"/>
      <c r="K43" s="1165"/>
      <c r="L43" s="1165"/>
      <c r="M43" s="1165"/>
      <c r="N43" s="1166"/>
      <c r="O43" s="1165"/>
      <c r="P43" s="1166"/>
      <c r="Q43" s="1156"/>
      <c r="R43" s="1156"/>
      <c r="S43" s="1156"/>
      <c r="T43" s="1154"/>
      <c r="U43" s="1154"/>
      <c r="V43" s="1154"/>
      <c r="W43" s="1154"/>
      <c r="X43" s="1154"/>
      <c r="Y43" s="1154"/>
      <c r="Z43" s="1154"/>
      <c r="AA43" s="1154"/>
      <c r="AB43" s="1154"/>
      <c r="AC43" s="1154"/>
      <c r="AD43" s="1154"/>
      <c r="AE43" s="1132"/>
      <c r="AF43" s="1132"/>
      <c r="AG43" s="1132"/>
      <c r="AH43" s="1132"/>
      <c r="AI43" s="1132"/>
      <c r="AJ43" s="1132"/>
      <c r="AK43" s="1132"/>
      <c r="AL43" s="1132"/>
      <c r="AM43" s="1132"/>
      <c r="AN43" s="1132"/>
      <c r="AO43" s="1132"/>
      <c r="AP43" s="1132"/>
      <c r="AQ43" s="1132"/>
      <c r="AR43" s="1132"/>
      <c r="AS43" s="1132"/>
      <c r="AT43" s="1132"/>
      <c r="AU43" s="1132"/>
    </row>
    <row r="44" spans="2:47" ht="12.75">
      <c r="B44" s="1132"/>
      <c r="C44" s="1132"/>
      <c r="D44" s="1132"/>
      <c r="E44" s="1132"/>
      <c r="F44" s="1132"/>
      <c r="G44" s="1158"/>
      <c r="H44" s="1158"/>
      <c r="I44" s="1159"/>
      <c r="J44" s="1166"/>
      <c r="K44" s="1165"/>
      <c r="L44" s="1165"/>
      <c r="M44" s="1165"/>
      <c r="N44" s="1166"/>
      <c r="O44" s="1165"/>
      <c r="P44" s="1166"/>
      <c r="Q44" s="1156"/>
      <c r="R44" s="1156"/>
      <c r="S44" s="1156"/>
      <c r="T44" s="1154"/>
      <c r="U44" s="1154"/>
      <c r="V44" s="1154"/>
      <c r="W44" s="1154"/>
      <c r="X44" s="1154"/>
      <c r="Y44" s="1154"/>
      <c r="Z44" s="1154"/>
      <c r="AA44" s="1154"/>
      <c r="AB44" s="1156"/>
      <c r="AC44" s="1156"/>
      <c r="AD44" s="1156"/>
      <c r="AE44" s="1132"/>
      <c r="AF44" s="1132"/>
      <c r="AG44" s="1132"/>
      <c r="AH44" s="1132"/>
      <c r="AI44" s="1132"/>
      <c r="AJ44" s="1132"/>
      <c r="AK44" s="1132"/>
      <c r="AL44" s="1132"/>
      <c r="AM44" s="1132"/>
      <c r="AN44" s="1132"/>
      <c r="AO44" s="1132"/>
      <c r="AP44" s="1132"/>
      <c r="AQ44" s="1132"/>
      <c r="AR44" s="1132"/>
      <c r="AS44" s="1132"/>
      <c r="AT44" s="1132"/>
      <c r="AU44" s="1132"/>
    </row>
    <row r="45" spans="2:47" ht="12.75">
      <c r="B45" s="1132"/>
      <c r="C45" s="1132"/>
      <c r="D45" s="1132"/>
      <c r="E45" s="1132"/>
      <c r="F45" s="1132"/>
      <c r="G45" s="1158"/>
      <c r="H45" s="1158"/>
      <c r="I45" s="1159"/>
      <c r="J45" s="1166"/>
      <c r="K45" s="1165"/>
      <c r="L45" s="1165"/>
      <c r="M45" s="1165"/>
      <c r="N45" s="1166"/>
      <c r="O45" s="1165"/>
      <c r="P45" s="1166"/>
      <c r="Q45" s="1156"/>
      <c r="R45" s="1156"/>
      <c r="S45" s="1156"/>
      <c r="T45" s="1154"/>
      <c r="U45" s="1154"/>
      <c r="V45" s="1154"/>
      <c r="W45" s="1154"/>
      <c r="X45" s="1154"/>
      <c r="Y45" s="1154"/>
      <c r="Z45" s="1154"/>
      <c r="AA45" s="1154"/>
      <c r="AB45" s="1156"/>
      <c r="AC45" s="1156"/>
      <c r="AD45" s="1156"/>
      <c r="AE45" s="1132"/>
      <c r="AF45" s="1132"/>
      <c r="AG45" s="1132"/>
      <c r="AH45" s="1132"/>
      <c r="AI45" s="1132"/>
      <c r="AJ45" s="1132"/>
      <c r="AK45" s="1132"/>
      <c r="AL45" s="1132"/>
      <c r="AM45" s="1132"/>
      <c r="AN45" s="1132"/>
      <c r="AO45" s="1132"/>
      <c r="AP45" s="1132"/>
      <c r="AQ45" s="1132"/>
      <c r="AR45" s="1132"/>
      <c r="AS45" s="1132"/>
      <c r="AT45" s="1132"/>
      <c r="AU45" s="1132"/>
    </row>
    <row r="46" spans="2:47" ht="12.75">
      <c r="B46" s="1132"/>
      <c r="C46" s="1132"/>
      <c r="D46" s="1132"/>
      <c r="E46" s="1132"/>
      <c r="F46" s="1132"/>
      <c r="G46" s="1158"/>
      <c r="H46" s="1158"/>
      <c r="I46" s="1159"/>
      <c r="J46" s="1166"/>
      <c r="K46" s="1165"/>
      <c r="L46" s="1165"/>
      <c r="M46" s="1165"/>
      <c r="N46" s="1166"/>
      <c r="O46" s="1165"/>
      <c r="P46" s="1166"/>
      <c r="Q46" s="1156"/>
      <c r="R46" s="1156"/>
      <c r="S46" s="1156"/>
      <c r="T46" s="1154"/>
      <c r="U46" s="1154"/>
      <c r="V46" s="1154"/>
      <c r="W46" s="1154"/>
      <c r="X46" s="1154"/>
      <c r="Y46" s="1154"/>
      <c r="Z46" s="1154"/>
      <c r="AA46" s="1154"/>
      <c r="AB46" s="1156"/>
      <c r="AC46" s="1156"/>
      <c r="AD46" s="1156"/>
      <c r="AE46" s="1132"/>
      <c r="AF46" s="1132"/>
      <c r="AG46" s="1132"/>
      <c r="AH46" s="1132"/>
      <c r="AI46" s="1132"/>
      <c r="AJ46" s="1132"/>
      <c r="AK46" s="1132"/>
      <c r="AL46" s="1132"/>
      <c r="AM46" s="1132"/>
      <c r="AN46" s="1132"/>
      <c r="AO46" s="1132"/>
      <c r="AP46" s="1132"/>
      <c r="AQ46" s="1132"/>
      <c r="AR46" s="1132"/>
      <c r="AS46" s="1132"/>
      <c r="AT46" s="1132"/>
      <c r="AU46" s="1132"/>
    </row>
    <row r="47" spans="2:47" ht="12.75">
      <c r="B47" s="1132"/>
      <c r="C47" s="1132"/>
      <c r="D47" s="1132"/>
      <c r="E47" s="1132"/>
      <c r="F47" s="1132"/>
      <c r="G47" s="1158"/>
      <c r="H47" s="1158"/>
      <c r="I47" s="1159"/>
      <c r="J47" s="1166"/>
      <c r="K47" s="1165"/>
      <c r="L47" s="1165"/>
      <c r="M47" s="1165"/>
      <c r="N47" s="1166"/>
      <c r="O47" s="1165"/>
      <c r="P47" s="1166"/>
      <c r="Q47" s="1156"/>
      <c r="R47" s="1156"/>
      <c r="S47" s="1156"/>
      <c r="T47" s="1154"/>
      <c r="U47" s="1154"/>
      <c r="V47" s="1154"/>
      <c r="W47" s="1154"/>
      <c r="X47" s="1154"/>
      <c r="Y47" s="1154"/>
      <c r="Z47" s="1154"/>
      <c r="AA47" s="1154"/>
      <c r="AB47" s="1156"/>
      <c r="AC47" s="1156"/>
      <c r="AD47" s="1156"/>
      <c r="AE47" s="1132"/>
      <c r="AF47" s="1132"/>
      <c r="AG47" s="1132"/>
      <c r="AH47" s="1132"/>
      <c r="AI47" s="1132"/>
      <c r="AJ47" s="1132"/>
      <c r="AK47" s="1132"/>
      <c r="AL47" s="1132"/>
      <c r="AM47" s="1132"/>
      <c r="AN47" s="1132"/>
      <c r="AO47" s="1132"/>
      <c r="AP47" s="1132"/>
      <c r="AQ47" s="1132"/>
      <c r="AR47" s="1132"/>
      <c r="AS47" s="1132"/>
      <c r="AT47" s="1132"/>
      <c r="AU47" s="1132"/>
    </row>
    <row r="48" spans="2:47" ht="12.75">
      <c r="B48" s="1132"/>
      <c r="C48" s="1132"/>
      <c r="D48" s="1132"/>
      <c r="E48" s="1132"/>
      <c r="F48" s="1132"/>
      <c r="G48" s="1158"/>
      <c r="H48" s="1158"/>
      <c r="I48" s="1159"/>
      <c r="J48" s="1166"/>
      <c r="K48" s="1165"/>
      <c r="L48" s="1165"/>
      <c r="M48" s="1165"/>
      <c r="N48" s="1166"/>
      <c r="O48" s="1165"/>
      <c r="P48" s="1166"/>
      <c r="Q48" s="1156"/>
      <c r="R48" s="1156"/>
      <c r="S48" s="1156"/>
      <c r="T48" s="1154"/>
      <c r="U48" s="1154"/>
      <c r="V48" s="1154"/>
      <c r="W48" s="1154"/>
      <c r="X48" s="1154"/>
      <c r="Y48" s="1154"/>
      <c r="Z48" s="1154"/>
      <c r="AA48" s="1154"/>
      <c r="AB48" s="1156"/>
      <c r="AC48" s="1156"/>
      <c r="AD48" s="1156"/>
      <c r="AE48" s="1132"/>
      <c r="AF48" s="1132"/>
      <c r="AG48" s="1132"/>
      <c r="AH48" s="1132"/>
      <c r="AI48" s="1132"/>
      <c r="AJ48" s="1132"/>
      <c r="AK48" s="1132"/>
      <c r="AL48" s="1132"/>
      <c r="AM48" s="1132"/>
      <c r="AN48" s="1132"/>
      <c r="AO48" s="1132"/>
      <c r="AP48" s="1132"/>
      <c r="AQ48" s="1132"/>
      <c r="AR48" s="1132"/>
      <c r="AS48" s="1132"/>
      <c r="AT48" s="1132"/>
      <c r="AU48" s="1132"/>
    </row>
    <row r="49" spans="2:47" ht="12.75">
      <c r="B49" s="1132"/>
      <c r="C49" s="1132"/>
      <c r="D49" s="1132"/>
      <c r="E49" s="1132"/>
      <c r="F49" s="1132"/>
      <c r="G49" s="1158"/>
      <c r="H49" s="1158"/>
      <c r="I49" s="1159"/>
      <c r="J49" s="1166"/>
      <c r="K49" s="1165"/>
      <c r="L49" s="1165"/>
      <c r="M49" s="1165"/>
      <c r="N49" s="1166"/>
      <c r="O49" s="1165"/>
      <c r="P49" s="1166"/>
      <c r="Q49" s="1156"/>
      <c r="R49" s="1156"/>
      <c r="S49" s="1156"/>
      <c r="T49" s="1154"/>
      <c r="U49" s="1154"/>
      <c r="V49" s="1154"/>
      <c r="W49" s="1154"/>
      <c r="X49" s="1154"/>
      <c r="Y49" s="1154"/>
      <c r="Z49" s="1154"/>
      <c r="AA49" s="1154"/>
      <c r="AB49" s="1156"/>
      <c r="AC49" s="1156"/>
      <c r="AD49" s="1156"/>
      <c r="AE49" s="1132"/>
      <c r="AF49" s="1132"/>
      <c r="AG49" s="1132"/>
      <c r="AH49" s="1132"/>
      <c r="AI49" s="1132"/>
      <c r="AJ49" s="1132"/>
      <c r="AK49" s="1132"/>
      <c r="AL49" s="1132"/>
      <c r="AM49" s="1132"/>
      <c r="AN49" s="1132"/>
      <c r="AO49" s="1132"/>
      <c r="AP49" s="1132"/>
      <c r="AQ49" s="1132"/>
      <c r="AR49" s="1132"/>
      <c r="AS49" s="1132"/>
      <c r="AT49" s="1132"/>
      <c r="AU49" s="1132"/>
    </row>
    <row r="50" spans="2:47" ht="12.75">
      <c r="B50" s="1132"/>
      <c r="C50" s="1132"/>
      <c r="D50" s="1132"/>
      <c r="E50" s="1132"/>
      <c r="F50" s="1132"/>
      <c r="G50" s="1158"/>
      <c r="H50" s="1158"/>
      <c r="I50" s="1159"/>
      <c r="J50" s="1166"/>
      <c r="K50" s="1165"/>
      <c r="L50" s="1165"/>
      <c r="M50" s="1165"/>
      <c r="N50" s="1166"/>
      <c r="O50" s="1165"/>
      <c r="P50" s="1166"/>
      <c r="Q50" s="1156"/>
      <c r="R50" s="1156"/>
      <c r="S50" s="1156"/>
      <c r="T50" s="1154"/>
      <c r="U50" s="1154"/>
      <c r="V50" s="1154"/>
      <c r="W50" s="1154"/>
      <c r="X50" s="1154"/>
      <c r="Y50" s="1154"/>
      <c r="Z50" s="1154"/>
      <c r="AA50" s="1154"/>
      <c r="AB50" s="1156"/>
      <c r="AC50" s="1156"/>
      <c r="AD50" s="1156"/>
      <c r="AE50" s="1132"/>
      <c r="AF50" s="1132"/>
      <c r="AG50" s="1132"/>
      <c r="AH50" s="1132"/>
      <c r="AI50" s="1132"/>
      <c r="AJ50" s="1132"/>
      <c r="AK50" s="1132"/>
      <c r="AL50" s="1132"/>
      <c r="AM50" s="1132"/>
      <c r="AN50" s="1132"/>
      <c r="AO50" s="1132"/>
      <c r="AP50" s="1132"/>
      <c r="AQ50" s="1132"/>
      <c r="AR50" s="1132"/>
      <c r="AS50" s="1132"/>
      <c r="AT50" s="1132"/>
      <c r="AU50" s="1132"/>
    </row>
    <row r="51" spans="2:47" ht="12.75">
      <c r="B51" s="1132"/>
      <c r="C51" s="1132"/>
      <c r="D51" s="1132"/>
      <c r="E51" s="1132"/>
      <c r="F51" s="1132"/>
      <c r="G51" s="1158"/>
      <c r="H51" s="1158"/>
      <c r="I51" s="1159"/>
      <c r="J51" s="1166"/>
      <c r="K51" s="1165"/>
      <c r="L51" s="1165"/>
      <c r="M51" s="1165"/>
      <c r="N51" s="1166"/>
      <c r="O51" s="1165"/>
      <c r="P51" s="1166"/>
      <c r="Q51" s="1156"/>
      <c r="R51" s="1156"/>
      <c r="S51" s="1156"/>
      <c r="T51" s="1154"/>
      <c r="U51" s="1154"/>
      <c r="V51" s="1154"/>
      <c r="W51" s="1154"/>
      <c r="X51" s="1154"/>
      <c r="Y51" s="1154"/>
      <c r="Z51" s="1154"/>
      <c r="AA51" s="1154"/>
      <c r="AB51" s="1156"/>
      <c r="AC51" s="1156"/>
      <c r="AD51" s="1156"/>
      <c r="AE51" s="1132"/>
      <c r="AF51" s="1132"/>
      <c r="AG51" s="1132"/>
      <c r="AH51" s="1132"/>
      <c r="AI51" s="1132"/>
      <c r="AJ51" s="1132"/>
      <c r="AK51" s="1132"/>
      <c r="AL51" s="1132"/>
      <c r="AM51" s="1132"/>
      <c r="AN51" s="1132"/>
      <c r="AO51" s="1132"/>
      <c r="AP51" s="1132"/>
      <c r="AQ51" s="1132"/>
      <c r="AR51" s="1132"/>
      <c r="AS51" s="1132"/>
      <c r="AT51" s="1132"/>
      <c r="AU51" s="1132"/>
    </row>
    <row r="52" spans="2:47" ht="12.75">
      <c r="B52" s="1132"/>
      <c r="C52" s="1132"/>
      <c r="D52" s="1132"/>
      <c r="E52" s="1132"/>
      <c r="F52" s="1132"/>
      <c r="G52" s="1158"/>
      <c r="H52" s="1158"/>
      <c r="I52" s="1159"/>
      <c r="J52" s="1166"/>
      <c r="K52" s="1165"/>
      <c r="L52" s="1165"/>
      <c r="M52" s="1165"/>
      <c r="N52" s="1166"/>
      <c r="O52" s="1165"/>
      <c r="P52" s="1166"/>
      <c r="Q52" s="1156"/>
      <c r="R52" s="1156"/>
      <c r="S52" s="1156"/>
      <c r="T52" s="1154"/>
      <c r="U52" s="1154"/>
      <c r="V52" s="1154"/>
      <c r="W52" s="1154"/>
      <c r="X52" s="1154"/>
      <c r="Y52" s="1154"/>
      <c r="Z52" s="1154"/>
      <c r="AA52" s="1154"/>
      <c r="AB52" s="1156"/>
      <c r="AC52" s="1156"/>
      <c r="AD52" s="1156"/>
      <c r="AE52" s="1132"/>
      <c r="AF52" s="1132"/>
      <c r="AG52" s="1132"/>
      <c r="AH52" s="1132"/>
      <c r="AI52" s="1132"/>
      <c r="AJ52" s="1132"/>
      <c r="AK52" s="1132"/>
      <c r="AL52" s="1132"/>
      <c r="AM52" s="1132"/>
      <c r="AN52" s="1132"/>
      <c r="AO52" s="1132"/>
      <c r="AP52" s="1132"/>
      <c r="AQ52" s="1132"/>
      <c r="AR52" s="1132"/>
      <c r="AS52" s="1132"/>
      <c r="AT52" s="1132"/>
      <c r="AU52" s="1132"/>
    </row>
    <row r="53" spans="2:47" ht="12.75">
      <c r="B53" s="1132"/>
      <c r="C53" s="1132"/>
      <c r="D53" s="1132"/>
      <c r="E53" s="1132"/>
      <c r="F53" s="1132"/>
      <c r="G53" s="1158"/>
      <c r="H53" s="1158"/>
      <c r="I53" s="1159"/>
      <c r="J53" s="1158"/>
      <c r="K53" s="1165"/>
      <c r="L53" s="1165"/>
      <c r="M53" s="1165"/>
      <c r="N53" s="1158"/>
      <c r="O53" s="1165"/>
      <c r="P53" s="1158"/>
      <c r="Q53" s="1156"/>
      <c r="R53" s="1156"/>
      <c r="S53" s="1156"/>
      <c r="T53" s="1154"/>
      <c r="U53" s="1154"/>
      <c r="V53" s="1154"/>
      <c r="W53" s="1154"/>
      <c r="X53" s="1154"/>
      <c r="Y53" s="1154"/>
      <c r="Z53" s="1154"/>
      <c r="AA53" s="1154"/>
      <c r="AB53" s="1156"/>
      <c r="AC53" s="1156"/>
      <c r="AD53" s="1156"/>
      <c r="AE53" s="1132"/>
      <c r="AF53" s="1132"/>
      <c r="AG53" s="1132"/>
      <c r="AH53" s="1132"/>
      <c r="AI53" s="1132"/>
      <c r="AJ53" s="1132"/>
      <c r="AK53" s="1132"/>
      <c r="AL53" s="1132"/>
      <c r="AM53" s="1132"/>
      <c r="AN53" s="1132"/>
      <c r="AO53" s="1132"/>
      <c r="AP53" s="1132"/>
      <c r="AQ53" s="1132"/>
      <c r="AR53" s="1132"/>
      <c r="AS53" s="1132"/>
      <c r="AT53" s="1132"/>
      <c r="AU53" s="1132"/>
    </row>
    <row r="54" spans="2:47" ht="12.75">
      <c r="B54" s="1132"/>
      <c r="C54" s="1132"/>
      <c r="D54" s="1132"/>
      <c r="E54" s="1132"/>
      <c r="F54" s="1132"/>
      <c r="G54" s="1164"/>
      <c r="H54" s="1158"/>
      <c r="I54" s="1159"/>
      <c r="J54" s="1166"/>
      <c r="K54" s="1165"/>
      <c r="L54" s="1165"/>
      <c r="M54" s="1165"/>
      <c r="N54" s="1166"/>
      <c r="O54" s="1165"/>
      <c r="P54" s="1166"/>
      <c r="Q54" s="1156"/>
      <c r="R54" s="1156"/>
      <c r="S54" s="1156"/>
      <c r="T54" s="1154"/>
      <c r="U54" s="1154"/>
      <c r="V54" s="1154"/>
      <c r="W54" s="1154"/>
      <c r="X54" s="1154"/>
      <c r="Y54" s="1154"/>
      <c r="Z54" s="1154"/>
      <c r="AA54" s="1154"/>
      <c r="AB54" s="1156"/>
      <c r="AC54" s="1156"/>
      <c r="AD54" s="1156"/>
      <c r="AE54" s="1132"/>
      <c r="AF54" s="1132"/>
      <c r="AG54" s="1132"/>
      <c r="AH54" s="1132"/>
      <c r="AI54" s="1132"/>
      <c r="AJ54" s="1132"/>
      <c r="AK54" s="1132"/>
      <c r="AL54" s="1132"/>
      <c r="AM54" s="1132"/>
      <c r="AN54" s="1132"/>
      <c r="AO54" s="1132"/>
      <c r="AP54" s="1132"/>
      <c r="AQ54" s="1132"/>
      <c r="AR54" s="1132"/>
      <c r="AS54" s="1132"/>
      <c r="AT54" s="1132"/>
      <c r="AU54" s="1132"/>
    </row>
    <row r="55" spans="2:47" ht="12.75">
      <c r="B55" s="1132"/>
      <c r="C55" s="1132"/>
      <c r="D55" s="1132"/>
      <c r="E55" s="1132"/>
      <c r="F55" s="1132"/>
      <c r="G55" s="1164"/>
      <c r="H55" s="1158"/>
      <c r="I55" s="1159"/>
      <c r="J55" s="1166"/>
      <c r="K55" s="1165"/>
      <c r="L55" s="1165"/>
      <c r="M55" s="1165"/>
      <c r="N55" s="1166"/>
      <c r="O55" s="1165"/>
      <c r="P55" s="1166"/>
      <c r="Q55" s="1156"/>
      <c r="R55" s="1156"/>
      <c r="S55" s="1156"/>
      <c r="T55" s="1154"/>
      <c r="U55" s="1154"/>
      <c r="V55" s="1154"/>
      <c r="W55" s="1154"/>
      <c r="X55" s="1154"/>
      <c r="Y55" s="1154"/>
      <c r="Z55" s="1154"/>
      <c r="AA55" s="1154"/>
      <c r="AB55" s="1156"/>
      <c r="AC55" s="1156"/>
      <c r="AD55" s="1156"/>
      <c r="AE55" s="1132"/>
      <c r="AF55" s="1132"/>
      <c r="AG55" s="1132"/>
      <c r="AH55" s="1132"/>
      <c r="AI55" s="1132"/>
      <c r="AJ55" s="1132"/>
      <c r="AK55" s="1132"/>
      <c r="AL55" s="1132"/>
      <c r="AM55" s="1132"/>
      <c r="AN55" s="1132"/>
      <c r="AO55" s="1132"/>
      <c r="AP55" s="1132"/>
      <c r="AQ55" s="1132"/>
      <c r="AR55" s="1132"/>
      <c r="AS55" s="1132"/>
      <c r="AT55" s="1132"/>
      <c r="AU55" s="1132"/>
    </row>
    <row r="56" spans="2:47" ht="12.75">
      <c r="B56" s="1132"/>
      <c r="C56" s="1132"/>
      <c r="D56" s="1132"/>
      <c r="E56" s="1132"/>
      <c r="F56" s="1132"/>
      <c r="G56" s="1158"/>
      <c r="H56" s="1158"/>
      <c r="I56" s="1159"/>
      <c r="J56" s="1166"/>
      <c r="K56" s="1165"/>
      <c r="L56" s="1165"/>
      <c r="M56" s="1165"/>
      <c r="N56" s="1166"/>
      <c r="O56" s="1165"/>
      <c r="P56" s="1166"/>
      <c r="Q56" s="1156"/>
      <c r="R56" s="1156"/>
      <c r="S56" s="1156"/>
      <c r="T56" s="1154"/>
      <c r="U56" s="1154"/>
      <c r="V56" s="1154"/>
      <c r="W56" s="1154"/>
      <c r="X56" s="1154"/>
      <c r="Y56" s="1154"/>
      <c r="Z56" s="1154"/>
      <c r="AA56" s="1154"/>
      <c r="AB56" s="1156"/>
      <c r="AC56" s="1156"/>
      <c r="AD56" s="1156"/>
      <c r="AE56" s="1132"/>
      <c r="AF56" s="1132"/>
      <c r="AG56" s="1132"/>
      <c r="AH56" s="1132"/>
      <c r="AI56" s="1132"/>
      <c r="AJ56" s="1132"/>
      <c r="AK56" s="1132"/>
      <c r="AL56" s="1132"/>
      <c r="AM56" s="1132"/>
      <c r="AN56" s="1132"/>
      <c r="AO56" s="1132"/>
      <c r="AP56" s="1132"/>
      <c r="AQ56" s="1132"/>
      <c r="AR56" s="1132"/>
      <c r="AS56" s="1132"/>
      <c r="AT56" s="1132"/>
      <c r="AU56" s="1132"/>
    </row>
    <row r="57" spans="2:47" ht="12.75">
      <c r="B57" s="1132"/>
      <c r="C57" s="1132"/>
      <c r="D57" s="1132"/>
      <c r="E57" s="1132"/>
      <c r="F57" s="1132"/>
      <c r="G57" s="1158"/>
      <c r="H57" s="1158"/>
      <c r="I57" s="1159"/>
      <c r="J57" s="1166"/>
      <c r="K57" s="1165"/>
      <c r="L57" s="1165"/>
      <c r="M57" s="1165"/>
      <c r="N57" s="1166"/>
      <c r="O57" s="1165"/>
      <c r="P57" s="1166"/>
      <c r="Q57" s="1154"/>
      <c r="R57" s="1154"/>
      <c r="S57" s="1154"/>
      <c r="T57" s="1154"/>
      <c r="U57" s="1154"/>
      <c r="V57" s="1154"/>
      <c r="W57" s="1154"/>
      <c r="X57" s="1154"/>
      <c r="Y57" s="1154"/>
      <c r="Z57" s="1154"/>
      <c r="AA57" s="1154"/>
      <c r="AB57" s="1156"/>
      <c r="AC57" s="1156"/>
      <c r="AD57" s="1156"/>
      <c r="AE57" s="1132"/>
      <c r="AF57" s="1132"/>
      <c r="AG57" s="1132"/>
      <c r="AH57" s="1132"/>
      <c r="AI57" s="1132"/>
      <c r="AJ57" s="1132"/>
      <c r="AK57" s="1132"/>
      <c r="AL57" s="1132"/>
      <c r="AM57" s="1132"/>
      <c r="AN57" s="1132"/>
      <c r="AO57" s="1132"/>
      <c r="AP57" s="1132"/>
      <c r="AQ57" s="1132"/>
      <c r="AR57" s="1132"/>
      <c r="AS57" s="1132"/>
      <c r="AT57" s="1132"/>
      <c r="AU57" s="1132"/>
    </row>
    <row r="58" spans="2:47" ht="12.75">
      <c r="B58" s="1132"/>
      <c r="C58" s="1132"/>
      <c r="D58" s="1132"/>
      <c r="E58" s="1132"/>
      <c r="F58" s="1132"/>
      <c r="G58" s="1158"/>
      <c r="H58" s="1158"/>
      <c r="I58" s="1159"/>
      <c r="J58" s="1166"/>
      <c r="K58" s="1165"/>
      <c r="L58" s="1165"/>
      <c r="M58" s="1165"/>
      <c r="N58" s="1166"/>
      <c r="O58" s="1165"/>
      <c r="P58" s="1166"/>
      <c r="Q58" s="1154"/>
      <c r="R58" s="1154"/>
      <c r="S58" s="1154"/>
      <c r="T58" s="1154"/>
      <c r="U58" s="1154"/>
      <c r="V58" s="1154"/>
      <c r="W58" s="1154"/>
      <c r="X58" s="1154"/>
      <c r="Y58" s="1154"/>
      <c r="Z58" s="1154"/>
      <c r="AA58" s="1154"/>
      <c r="AB58" s="1156"/>
      <c r="AC58" s="1156"/>
      <c r="AD58" s="1156"/>
      <c r="AE58" s="1132"/>
      <c r="AF58" s="1132"/>
      <c r="AG58" s="1132"/>
      <c r="AH58" s="1132"/>
      <c r="AI58" s="1132"/>
      <c r="AJ58" s="1132"/>
      <c r="AK58" s="1132"/>
      <c r="AL58" s="1132"/>
      <c r="AM58" s="1132"/>
      <c r="AN58" s="1132"/>
      <c r="AO58" s="1132"/>
      <c r="AP58" s="1132"/>
      <c r="AQ58" s="1132"/>
      <c r="AR58" s="1132"/>
      <c r="AS58" s="1132"/>
      <c r="AT58" s="1132"/>
      <c r="AU58" s="1132"/>
    </row>
    <row r="59" spans="2:47" ht="12.75">
      <c r="B59" s="1132"/>
      <c r="C59" s="1132"/>
      <c r="D59" s="1132"/>
      <c r="E59" s="1132"/>
      <c r="F59" s="1132"/>
      <c r="G59" s="1158"/>
      <c r="H59" s="1158"/>
      <c r="I59" s="1159"/>
      <c r="J59" s="1166"/>
      <c r="K59" s="1165"/>
      <c r="L59" s="1165"/>
      <c r="M59" s="1165"/>
      <c r="N59" s="1166"/>
      <c r="O59" s="1165"/>
      <c r="P59" s="1166"/>
      <c r="Q59" s="1154"/>
      <c r="R59" s="1154"/>
      <c r="S59" s="1154"/>
      <c r="T59" s="1154"/>
      <c r="U59" s="1154"/>
      <c r="V59" s="1154"/>
      <c r="W59" s="1154"/>
      <c r="X59" s="1154"/>
      <c r="Y59" s="1154"/>
      <c r="Z59" s="1154"/>
      <c r="AA59" s="1154"/>
      <c r="AB59" s="1156"/>
      <c r="AC59" s="1156"/>
      <c r="AD59" s="1156"/>
      <c r="AE59" s="1132"/>
      <c r="AF59" s="1132"/>
      <c r="AG59" s="1132"/>
      <c r="AH59" s="1132"/>
      <c r="AI59" s="1132"/>
      <c r="AJ59" s="1132"/>
      <c r="AK59" s="1132"/>
      <c r="AL59" s="1132"/>
      <c r="AM59" s="1132"/>
      <c r="AN59" s="1132"/>
      <c r="AO59" s="1132"/>
      <c r="AP59" s="1132"/>
      <c r="AQ59" s="1132"/>
      <c r="AR59" s="1132"/>
      <c r="AS59" s="1132"/>
      <c r="AT59" s="1132"/>
      <c r="AU59" s="1132"/>
    </row>
    <row r="60" spans="2:47" ht="12.75">
      <c r="B60" s="1132"/>
      <c r="C60" s="1132"/>
      <c r="D60" s="1132"/>
      <c r="E60" s="1132"/>
      <c r="F60" s="1132"/>
      <c r="G60" s="1158"/>
      <c r="H60" s="1158"/>
      <c r="I60" s="1159"/>
      <c r="J60" s="1166"/>
      <c r="K60" s="1165"/>
      <c r="L60" s="1165"/>
      <c r="M60" s="1165"/>
      <c r="N60" s="1166"/>
      <c r="O60" s="1165"/>
      <c r="P60" s="1166"/>
      <c r="Q60" s="1154"/>
      <c r="R60" s="1154"/>
      <c r="S60" s="1154"/>
      <c r="T60" s="1154"/>
      <c r="U60" s="1154"/>
      <c r="V60" s="1154"/>
      <c r="W60" s="1154"/>
      <c r="X60" s="1154"/>
      <c r="Y60" s="1154"/>
      <c r="Z60" s="1154"/>
      <c r="AA60" s="1154"/>
      <c r="AB60" s="1154"/>
      <c r="AC60" s="1154"/>
      <c r="AD60" s="1154"/>
      <c r="AE60" s="1132"/>
      <c r="AF60" s="1132"/>
      <c r="AG60" s="1132"/>
      <c r="AH60" s="1132"/>
      <c r="AI60" s="1132"/>
      <c r="AJ60" s="1132"/>
      <c r="AK60" s="1132"/>
      <c r="AL60" s="1132"/>
      <c r="AM60" s="1132"/>
      <c r="AN60" s="1132"/>
      <c r="AO60" s="1132"/>
      <c r="AP60" s="1132"/>
      <c r="AQ60" s="1132"/>
      <c r="AR60" s="1132"/>
      <c r="AS60" s="1132"/>
      <c r="AT60" s="1132"/>
      <c r="AU60" s="1132"/>
    </row>
    <row r="61" spans="2:47">
      <c r="B61" s="1132"/>
      <c r="C61" s="1132"/>
      <c r="D61" s="1132"/>
      <c r="E61" s="1132"/>
      <c r="F61" s="1132"/>
      <c r="G61" s="1158"/>
      <c r="H61" s="1158"/>
      <c r="I61" s="1159"/>
      <c r="J61" s="1166"/>
      <c r="K61" s="1165"/>
      <c r="L61" s="1165"/>
      <c r="M61" s="1165"/>
      <c r="N61" s="1166"/>
      <c r="O61" s="1165"/>
      <c r="P61" s="1166"/>
      <c r="Q61" s="1132"/>
      <c r="R61" s="1132"/>
      <c r="S61" s="1132"/>
      <c r="T61" s="1132"/>
      <c r="U61" s="1132"/>
      <c r="V61" s="1132"/>
      <c r="W61" s="1132"/>
      <c r="X61" s="1132"/>
      <c r="Y61" s="1132"/>
      <c r="Z61" s="1132"/>
      <c r="AA61" s="1132"/>
      <c r="AB61" s="1132"/>
      <c r="AC61" s="1132"/>
      <c r="AD61" s="1132"/>
      <c r="AE61" s="1132"/>
      <c r="AF61" s="1132"/>
      <c r="AG61" s="1132"/>
      <c r="AH61" s="1132"/>
      <c r="AI61" s="1132"/>
      <c r="AJ61" s="1132"/>
      <c r="AK61" s="1132"/>
      <c r="AL61" s="1132"/>
      <c r="AM61" s="1132"/>
      <c r="AN61" s="1132"/>
      <c r="AO61" s="1132"/>
      <c r="AP61" s="1132"/>
      <c r="AQ61" s="1132"/>
      <c r="AR61" s="1132"/>
      <c r="AS61" s="1132"/>
      <c r="AT61" s="1132"/>
      <c r="AU61" s="1132"/>
    </row>
    <row r="62" spans="2:47">
      <c r="B62" s="1132"/>
      <c r="C62" s="1132"/>
      <c r="D62" s="1132"/>
      <c r="E62" s="1132"/>
      <c r="F62" s="1132"/>
      <c r="G62" s="1158"/>
      <c r="H62" s="1158"/>
      <c r="I62" s="1159"/>
      <c r="J62" s="1166"/>
      <c r="K62" s="1165"/>
      <c r="L62" s="1165"/>
      <c r="M62" s="1165"/>
      <c r="N62" s="1166"/>
      <c r="O62" s="1165"/>
      <c r="P62" s="1166"/>
      <c r="Q62" s="1132"/>
      <c r="R62" s="1132"/>
      <c r="S62" s="1132"/>
      <c r="T62" s="1132"/>
      <c r="U62" s="1132"/>
      <c r="V62" s="1132"/>
      <c r="W62" s="1132"/>
      <c r="X62" s="1132"/>
      <c r="Y62" s="1132"/>
      <c r="Z62" s="1132"/>
      <c r="AA62" s="1132"/>
      <c r="AB62" s="1132"/>
      <c r="AC62" s="1132"/>
      <c r="AD62" s="1132"/>
      <c r="AE62" s="1132"/>
      <c r="AF62" s="1132"/>
      <c r="AG62" s="1132"/>
      <c r="AH62" s="1132"/>
      <c r="AI62" s="1132"/>
      <c r="AJ62" s="1132"/>
      <c r="AK62" s="1132"/>
      <c r="AL62" s="1132"/>
      <c r="AM62" s="1132"/>
      <c r="AN62" s="1132"/>
      <c r="AO62" s="1132"/>
      <c r="AP62" s="1132"/>
      <c r="AQ62" s="1132"/>
      <c r="AR62" s="1132"/>
      <c r="AS62" s="1132"/>
      <c r="AT62" s="1132"/>
      <c r="AU62" s="1132"/>
    </row>
    <row r="63" spans="2:47">
      <c r="B63" s="1132"/>
      <c r="C63" s="1132"/>
      <c r="D63" s="1132"/>
      <c r="E63" s="1132"/>
      <c r="F63" s="1132"/>
      <c r="G63" s="1158"/>
      <c r="H63" s="1158"/>
      <c r="I63" s="1159"/>
      <c r="J63" s="1166"/>
      <c r="K63" s="1165"/>
      <c r="L63" s="1165"/>
      <c r="M63" s="1165"/>
      <c r="N63" s="1166"/>
      <c r="O63" s="1165"/>
      <c r="P63" s="1166"/>
      <c r="Q63" s="1132"/>
      <c r="R63" s="1132"/>
      <c r="S63" s="1132"/>
      <c r="T63" s="1132"/>
      <c r="U63" s="1132"/>
      <c r="V63" s="1132"/>
      <c r="W63" s="1132"/>
      <c r="X63" s="1132"/>
      <c r="Y63" s="1132"/>
      <c r="Z63" s="1132"/>
      <c r="AA63" s="1132"/>
      <c r="AB63" s="1132"/>
      <c r="AC63" s="1132"/>
      <c r="AD63" s="1132"/>
      <c r="AE63" s="1132"/>
      <c r="AF63" s="1132"/>
      <c r="AG63" s="1132"/>
      <c r="AH63" s="1132"/>
      <c r="AI63" s="1132"/>
      <c r="AJ63" s="1132"/>
      <c r="AK63" s="1132"/>
      <c r="AL63" s="1132"/>
      <c r="AM63" s="1132"/>
      <c r="AN63" s="1132"/>
      <c r="AO63" s="1132"/>
      <c r="AP63" s="1132"/>
      <c r="AQ63" s="1132"/>
      <c r="AR63" s="1132"/>
      <c r="AS63" s="1132"/>
      <c r="AT63" s="1132"/>
      <c r="AU63" s="1132"/>
    </row>
    <row r="64" spans="2:47">
      <c r="B64" s="1132"/>
      <c r="C64" s="1132"/>
      <c r="D64" s="1132"/>
      <c r="E64" s="1132"/>
      <c r="F64" s="1132"/>
      <c r="G64" s="1158"/>
      <c r="H64" s="1158"/>
      <c r="I64" s="1159"/>
      <c r="J64" s="1166"/>
      <c r="K64" s="1167"/>
      <c r="L64" s="1167"/>
      <c r="M64" s="1167"/>
      <c r="N64" s="1166"/>
      <c r="O64" s="1167"/>
      <c r="P64" s="1166"/>
      <c r="Q64" s="1132"/>
      <c r="R64" s="1132"/>
      <c r="S64" s="1132"/>
      <c r="T64" s="1132"/>
      <c r="U64" s="1132"/>
      <c r="V64" s="1132"/>
      <c r="W64" s="1132"/>
      <c r="X64" s="1132"/>
      <c r="Y64" s="1132"/>
      <c r="Z64" s="1132"/>
      <c r="AA64" s="1132"/>
      <c r="AB64" s="1132"/>
      <c r="AC64" s="1132"/>
      <c r="AD64" s="1132"/>
      <c r="AE64" s="1132"/>
      <c r="AF64" s="1132"/>
      <c r="AG64" s="1132"/>
      <c r="AH64" s="1132"/>
      <c r="AI64" s="1132"/>
      <c r="AJ64" s="1132"/>
      <c r="AK64" s="1132"/>
      <c r="AL64" s="1132"/>
      <c r="AM64" s="1132"/>
      <c r="AN64" s="1132"/>
      <c r="AO64" s="1132"/>
      <c r="AP64" s="1132"/>
      <c r="AQ64" s="1132"/>
      <c r="AR64" s="1132"/>
      <c r="AS64" s="1132"/>
      <c r="AT64" s="1132"/>
      <c r="AU64" s="1132"/>
    </row>
    <row r="65" spans="2:47">
      <c r="B65" s="1132"/>
      <c r="C65" s="1132"/>
      <c r="D65" s="1132"/>
      <c r="E65" s="1132"/>
      <c r="F65" s="1132"/>
      <c r="G65" s="1158"/>
      <c r="H65" s="1158"/>
      <c r="I65" s="1159"/>
      <c r="J65" s="1166"/>
      <c r="K65" s="1165"/>
      <c r="L65" s="1165"/>
      <c r="M65" s="1165"/>
      <c r="N65" s="1166"/>
      <c r="O65" s="1165"/>
      <c r="P65" s="1166"/>
      <c r="Q65" s="1132"/>
      <c r="R65" s="1132"/>
      <c r="S65" s="1132"/>
      <c r="T65" s="1132"/>
      <c r="U65" s="1132"/>
      <c r="V65" s="1132"/>
      <c r="W65" s="1132"/>
      <c r="X65" s="1132"/>
      <c r="Y65" s="1132"/>
      <c r="Z65" s="1132"/>
      <c r="AA65" s="1132"/>
      <c r="AB65" s="1132"/>
      <c r="AC65" s="1132"/>
      <c r="AD65" s="1132"/>
      <c r="AE65" s="1132"/>
      <c r="AF65" s="1132"/>
      <c r="AG65" s="1132"/>
      <c r="AH65" s="1132"/>
      <c r="AI65" s="1132"/>
      <c r="AJ65" s="1132"/>
      <c r="AK65" s="1132"/>
      <c r="AL65" s="1132"/>
      <c r="AM65" s="1132"/>
      <c r="AN65" s="1132"/>
      <c r="AO65" s="1132"/>
      <c r="AP65" s="1132"/>
      <c r="AQ65" s="1132"/>
      <c r="AR65" s="1132"/>
      <c r="AS65" s="1132"/>
      <c r="AT65" s="1132"/>
      <c r="AU65" s="1132"/>
    </row>
    <row r="66" spans="2:47">
      <c r="B66" s="1132"/>
      <c r="C66" s="1132"/>
      <c r="D66" s="1132"/>
      <c r="E66" s="1132"/>
      <c r="F66" s="1132"/>
      <c r="G66" s="1158"/>
      <c r="H66" s="1158"/>
      <c r="I66" s="1159"/>
      <c r="J66" s="1166"/>
      <c r="K66" s="1165"/>
      <c r="L66" s="1165"/>
      <c r="M66" s="1165"/>
      <c r="N66" s="1166"/>
      <c r="O66" s="1165"/>
      <c r="P66" s="1166"/>
      <c r="Q66" s="1132"/>
      <c r="R66" s="1132"/>
      <c r="S66" s="1132"/>
      <c r="T66" s="1132"/>
      <c r="U66" s="1132"/>
      <c r="V66" s="1132"/>
      <c r="W66" s="1132"/>
      <c r="X66" s="1132"/>
      <c r="Y66" s="1132"/>
      <c r="Z66" s="1132"/>
      <c r="AA66" s="1132"/>
      <c r="AB66" s="1132"/>
      <c r="AC66" s="1132"/>
      <c r="AD66" s="1132"/>
      <c r="AE66" s="1132"/>
      <c r="AF66" s="1132"/>
      <c r="AG66" s="1132"/>
      <c r="AH66" s="1132"/>
      <c r="AI66" s="1132"/>
      <c r="AJ66" s="1132"/>
      <c r="AK66" s="1132"/>
      <c r="AL66" s="1132"/>
      <c r="AM66" s="1132"/>
      <c r="AN66" s="1132"/>
      <c r="AO66" s="1132"/>
      <c r="AP66" s="1132"/>
      <c r="AQ66" s="1132"/>
      <c r="AR66" s="1132"/>
      <c r="AS66" s="1132"/>
      <c r="AT66" s="1132"/>
      <c r="AU66" s="1132"/>
    </row>
    <row r="67" spans="2:47">
      <c r="B67" s="1132"/>
      <c r="C67" s="1132"/>
      <c r="D67" s="1132"/>
      <c r="E67" s="1132"/>
      <c r="F67" s="1132"/>
      <c r="G67" s="1158"/>
      <c r="H67" s="1158"/>
      <c r="I67" s="1159"/>
      <c r="J67" s="1166"/>
      <c r="K67" s="1165"/>
      <c r="L67" s="1165"/>
      <c r="M67" s="1165"/>
      <c r="N67" s="1166"/>
      <c r="O67" s="1165"/>
      <c r="P67" s="1166"/>
      <c r="Q67" s="1132"/>
      <c r="R67" s="1132"/>
      <c r="S67" s="1132"/>
      <c r="T67" s="1132"/>
      <c r="U67" s="1132"/>
      <c r="V67" s="1132"/>
      <c r="W67" s="1132"/>
      <c r="X67" s="1132"/>
      <c r="Y67" s="1132"/>
      <c r="Z67" s="1132"/>
      <c r="AA67" s="1132"/>
      <c r="AB67" s="1132"/>
      <c r="AC67" s="1132"/>
      <c r="AD67" s="1132"/>
      <c r="AE67" s="1132"/>
      <c r="AF67" s="1132"/>
      <c r="AG67" s="1132"/>
      <c r="AH67" s="1132"/>
      <c r="AI67" s="1132"/>
      <c r="AJ67" s="1132"/>
      <c r="AK67" s="1132"/>
      <c r="AL67" s="1132"/>
      <c r="AM67" s="1132"/>
      <c r="AN67" s="1132"/>
      <c r="AO67" s="1132"/>
      <c r="AP67" s="1132"/>
      <c r="AQ67" s="1132"/>
      <c r="AR67" s="1132"/>
      <c r="AS67" s="1132"/>
      <c r="AT67" s="1132"/>
      <c r="AU67" s="1132"/>
    </row>
    <row r="68" spans="2:47">
      <c r="B68" s="1132"/>
      <c r="C68" s="1132"/>
      <c r="D68" s="1132"/>
      <c r="E68" s="1132"/>
      <c r="F68" s="1132"/>
      <c r="G68" s="1158"/>
      <c r="H68" s="1158"/>
      <c r="I68" s="1159"/>
      <c r="J68" s="1166"/>
      <c r="K68" s="1165"/>
      <c r="L68" s="1165"/>
      <c r="M68" s="1165"/>
      <c r="N68" s="1166"/>
      <c r="O68" s="1165"/>
      <c r="P68" s="1166"/>
      <c r="Q68" s="1132"/>
      <c r="R68" s="1132"/>
      <c r="S68" s="1132"/>
      <c r="T68" s="1132"/>
      <c r="U68" s="1132"/>
      <c r="V68" s="1132"/>
      <c r="W68" s="1132"/>
      <c r="X68" s="1132"/>
      <c r="Y68" s="1132"/>
      <c r="Z68" s="1132"/>
      <c r="AA68" s="1132"/>
      <c r="AB68" s="1132"/>
      <c r="AC68" s="1132"/>
      <c r="AD68" s="1132"/>
      <c r="AE68" s="1132"/>
      <c r="AF68" s="1132"/>
      <c r="AG68" s="1132"/>
      <c r="AH68" s="1132"/>
      <c r="AI68" s="1132"/>
      <c r="AJ68" s="1132"/>
      <c r="AK68" s="1132"/>
      <c r="AL68" s="1132"/>
      <c r="AM68" s="1132"/>
      <c r="AN68" s="1132"/>
      <c r="AO68" s="1132"/>
      <c r="AP68" s="1132"/>
      <c r="AQ68" s="1132"/>
      <c r="AR68" s="1132"/>
      <c r="AS68" s="1132"/>
      <c r="AT68" s="1132"/>
      <c r="AU68" s="1132"/>
    </row>
    <row r="69" spans="2:47">
      <c r="B69" s="1132"/>
      <c r="C69" s="1132"/>
      <c r="D69" s="1132"/>
      <c r="E69" s="1132"/>
      <c r="F69" s="1132"/>
      <c r="G69" s="1132"/>
      <c r="H69" s="1132"/>
      <c r="I69" s="1157"/>
      <c r="J69" s="1132"/>
      <c r="K69" s="1132"/>
      <c r="L69" s="1132"/>
      <c r="M69" s="1132"/>
      <c r="N69" s="1132"/>
      <c r="O69" s="1132"/>
      <c r="P69" s="1132"/>
      <c r="Q69" s="1132"/>
      <c r="R69" s="1132"/>
      <c r="S69" s="1132"/>
      <c r="T69" s="1132"/>
      <c r="U69" s="1132"/>
      <c r="V69" s="1132"/>
      <c r="W69" s="1132"/>
      <c r="X69" s="1132"/>
      <c r="Y69" s="1132"/>
      <c r="Z69" s="1132"/>
      <c r="AA69" s="1132"/>
      <c r="AB69" s="1132"/>
      <c r="AC69" s="1132"/>
      <c r="AD69" s="1132"/>
      <c r="AE69" s="1132"/>
      <c r="AF69" s="1132"/>
      <c r="AG69" s="1132"/>
      <c r="AH69" s="1132"/>
      <c r="AI69" s="1132"/>
      <c r="AJ69" s="1132"/>
      <c r="AK69" s="1132"/>
      <c r="AL69" s="1132"/>
      <c r="AM69" s="1132"/>
      <c r="AN69" s="1132"/>
      <c r="AO69" s="1132"/>
      <c r="AP69" s="1132"/>
      <c r="AQ69" s="1132"/>
      <c r="AR69" s="1132"/>
      <c r="AS69" s="1132"/>
      <c r="AT69" s="1132"/>
      <c r="AU69" s="1132"/>
    </row>
    <row r="70" spans="2:47">
      <c r="B70" s="1132"/>
      <c r="C70" s="1132"/>
      <c r="D70" s="1132"/>
      <c r="E70" s="1132"/>
      <c r="F70" s="1132"/>
      <c r="G70" s="1132"/>
      <c r="H70" s="1132"/>
      <c r="I70" s="1157"/>
      <c r="J70" s="1132"/>
      <c r="K70" s="1132"/>
      <c r="L70" s="1132"/>
      <c r="M70" s="1132"/>
      <c r="N70" s="1132"/>
      <c r="O70" s="1132"/>
      <c r="P70" s="1132"/>
      <c r="Q70" s="1132"/>
      <c r="R70" s="1132"/>
      <c r="S70" s="1132"/>
      <c r="T70" s="1132"/>
      <c r="U70" s="1132"/>
      <c r="V70" s="1132"/>
      <c r="W70" s="1132"/>
      <c r="X70" s="1132"/>
      <c r="Y70" s="1132"/>
      <c r="Z70" s="1132"/>
      <c r="AA70" s="1132"/>
      <c r="AB70" s="1132"/>
      <c r="AC70" s="1132"/>
      <c r="AD70" s="1132"/>
      <c r="AE70" s="1132"/>
      <c r="AF70" s="1132"/>
      <c r="AG70" s="1132"/>
      <c r="AH70" s="1132"/>
      <c r="AI70" s="1132"/>
      <c r="AJ70" s="1132"/>
      <c r="AK70" s="1132"/>
      <c r="AL70" s="1132"/>
      <c r="AM70" s="1132"/>
      <c r="AN70" s="1132"/>
      <c r="AO70" s="1132"/>
      <c r="AP70" s="1132"/>
      <c r="AQ70" s="1132"/>
      <c r="AR70" s="1132"/>
      <c r="AS70" s="1132"/>
      <c r="AT70" s="1132"/>
      <c r="AU70" s="1132"/>
    </row>
    <row r="71" spans="2:47">
      <c r="B71" s="1132"/>
      <c r="C71" s="1132"/>
      <c r="D71" s="1132"/>
      <c r="E71" s="1132"/>
      <c r="F71" s="1132"/>
      <c r="G71" s="1132"/>
      <c r="H71" s="1132"/>
      <c r="I71" s="1157"/>
      <c r="J71" s="1132"/>
      <c r="K71" s="1132"/>
      <c r="L71" s="1132"/>
      <c r="M71" s="1132"/>
      <c r="N71" s="1132"/>
      <c r="O71" s="1132"/>
      <c r="P71" s="1132"/>
      <c r="Q71" s="1132"/>
      <c r="R71" s="1132"/>
      <c r="S71" s="1132"/>
      <c r="T71" s="1132"/>
      <c r="U71" s="1132"/>
      <c r="V71" s="1132"/>
      <c r="W71" s="1132"/>
      <c r="X71" s="1132"/>
      <c r="Y71" s="1132"/>
      <c r="Z71" s="1132"/>
      <c r="AA71" s="1132"/>
      <c r="AB71" s="1132"/>
      <c r="AC71" s="1132"/>
      <c r="AD71" s="1132"/>
      <c r="AE71" s="1132"/>
      <c r="AF71" s="1132"/>
      <c r="AG71" s="1132"/>
      <c r="AH71" s="1132"/>
      <c r="AI71" s="1132"/>
      <c r="AJ71" s="1132"/>
      <c r="AK71" s="1132"/>
      <c r="AL71" s="1132"/>
      <c r="AM71" s="1132"/>
      <c r="AN71" s="1132"/>
      <c r="AO71" s="1132"/>
      <c r="AP71" s="1132"/>
      <c r="AQ71" s="1132"/>
      <c r="AR71" s="1132"/>
      <c r="AS71" s="1132"/>
      <c r="AT71" s="1132"/>
      <c r="AU71" s="1132"/>
    </row>
    <row r="72" spans="2:47">
      <c r="B72" s="1132"/>
      <c r="C72" s="1132"/>
      <c r="D72" s="1132"/>
      <c r="E72" s="1132"/>
      <c r="F72" s="1132"/>
      <c r="G72" s="1132"/>
      <c r="H72" s="1132"/>
      <c r="I72" s="1157"/>
      <c r="J72" s="1132"/>
      <c r="K72" s="1132"/>
      <c r="L72" s="1132"/>
      <c r="M72" s="1132"/>
      <c r="N72" s="1132"/>
      <c r="O72" s="1132"/>
      <c r="P72" s="1132"/>
      <c r="Q72" s="1132"/>
      <c r="R72" s="1132"/>
      <c r="S72" s="1132"/>
      <c r="T72" s="1132"/>
      <c r="U72" s="1132"/>
      <c r="V72" s="1132"/>
      <c r="W72" s="1132"/>
      <c r="X72" s="1132"/>
      <c r="Y72" s="1132"/>
      <c r="Z72" s="1132"/>
      <c r="AA72" s="1132"/>
      <c r="AB72" s="1132"/>
      <c r="AC72" s="1132"/>
      <c r="AD72" s="1132"/>
      <c r="AE72" s="1132"/>
      <c r="AF72" s="1132"/>
      <c r="AG72" s="1132"/>
      <c r="AH72" s="1132"/>
      <c r="AI72" s="1132"/>
      <c r="AJ72" s="1132"/>
      <c r="AK72" s="1132"/>
      <c r="AL72" s="1132"/>
      <c r="AM72" s="1132"/>
      <c r="AN72" s="1132"/>
      <c r="AO72" s="1132"/>
      <c r="AP72" s="1132"/>
      <c r="AQ72" s="1132"/>
      <c r="AR72" s="1132"/>
      <c r="AS72" s="1132"/>
      <c r="AT72" s="1132"/>
      <c r="AU72" s="1132"/>
    </row>
    <row r="73" spans="2:47">
      <c r="B73" s="1132"/>
      <c r="C73" s="1132"/>
      <c r="D73" s="1132"/>
      <c r="E73" s="1132"/>
      <c r="F73" s="1132"/>
      <c r="G73" s="1132"/>
      <c r="H73" s="1132"/>
      <c r="I73" s="1157"/>
      <c r="J73" s="1132"/>
      <c r="K73" s="1132"/>
      <c r="L73" s="1132"/>
      <c r="M73" s="1132"/>
      <c r="N73" s="1132"/>
      <c r="O73" s="1132"/>
      <c r="P73" s="1132"/>
      <c r="Q73" s="1132"/>
      <c r="R73" s="1132"/>
      <c r="S73" s="1132"/>
      <c r="T73" s="1132"/>
      <c r="U73" s="1132"/>
      <c r="V73" s="1132"/>
      <c r="W73" s="1132"/>
      <c r="X73" s="1132"/>
      <c r="Y73" s="1132"/>
      <c r="Z73" s="1132"/>
      <c r="AA73" s="1132"/>
      <c r="AB73" s="1132"/>
      <c r="AC73" s="1132"/>
      <c r="AD73" s="1132"/>
      <c r="AE73" s="1132"/>
      <c r="AF73" s="1132"/>
      <c r="AG73" s="1132"/>
      <c r="AH73" s="1132"/>
      <c r="AI73" s="1132"/>
      <c r="AJ73" s="1132"/>
      <c r="AK73" s="1132"/>
      <c r="AL73" s="1132"/>
      <c r="AM73" s="1132"/>
      <c r="AN73" s="1132"/>
      <c r="AO73" s="1132"/>
      <c r="AP73" s="1132"/>
      <c r="AQ73" s="1132"/>
      <c r="AR73" s="1132"/>
      <c r="AS73" s="1132"/>
      <c r="AT73" s="1132"/>
      <c r="AU73" s="1132"/>
    </row>
    <row r="74" spans="2:47">
      <c r="B74" s="1132"/>
      <c r="C74" s="1132"/>
      <c r="D74" s="1132"/>
      <c r="E74" s="1132"/>
      <c r="F74" s="1132"/>
      <c r="G74" s="1132"/>
      <c r="H74" s="1132"/>
      <c r="I74" s="1157"/>
      <c r="J74" s="1132"/>
      <c r="K74" s="1132"/>
      <c r="L74" s="1132"/>
      <c r="M74" s="1132"/>
      <c r="N74" s="1132"/>
      <c r="O74" s="1132"/>
      <c r="P74" s="1132"/>
      <c r="Q74" s="1132"/>
      <c r="R74" s="1132"/>
      <c r="S74" s="1132"/>
      <c r="T74" s="1132"/>
      <c r="U74" s="1132"/>
      <c r="V74" s="1132"/>
      <c r="W74" s="1132"/>
      <c r="X74" s="1132"/>
      <c r="Y74" s="1132"/>
      <c r="Z74" s="1132"/>
      <c r="AA74" s="1132"/>
      <c r="AB74" s="1132"/>
      <c r="AC74" s="1132"/>
      <c r="AD74" s="1132"/>
      <c r="AE74" s="1132"/>
      <c r="AF74" s="1132"/>
      <c r="AG74" s="1132"/>
      <c r="AH74" s="1132"/>
      <c r="AI74" s="1132"/>
      <c r="AJ74" s="1132"/>
      <c r="AK74" s="1132"/>
      <c r="AL74" s="1132"/>
      <c r="AM74" s="1132"/>
      <c r="AN74" s="1132"/>
      <c r="AO74" s="1132"/>
      <c r="AP74" s="1132"/>
      <c r="AQ74" s="1132"/>
      <c r="AR74" s="1132"/>
      <c r="AS74" s="1132"/>
      <c r="AT74" s="1132"/>
      <c r="AU74" s="1132"/>
    </row>
  </sheetData>
  <phoneticPr fontId="0" type="noConversion"/>
  <printOptions horizontalCentered="1"/>
  <pageMargins left="0.5" right="0.5" top="0.5" bottom="0.5" header="0.5" footer="0.5"/>
  <pageSetup scale="30" orientation="portrait" blackAndWhite="1" r:id="rId1"/>
  <headerFooter alignWithMargins="0">
    <oddFooter>&amp;CPage &amp;P of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oolCashFlow">
    <tabColor rgb="FFC00000"/>
    <pageSetUpPr fitToPage="1"/>
  </sheetPr>
  <dimension ref="A1:Z34"/>
  <sheetViews>
    <sheetView showGridLines="0" zoomScaleNormal="100" workbookViewId="0">
      <pane ySplit="3" topLeftCell="A9" activePane="bottomLeft" state="frozen"/>
      <selection activeCell="B1" sqref="B1"/>
      <selection pane="bottomLeft"/>
    </sheetView>
  </sheetViews>
  <sheetFormatPr defaultRowHeight="11.25"/>
  <cols>
    <col min="1" max="1" width="8.33203125" style="1130" customWidth="1"/>
    <col min="2" max="2" width="7.5" style="1130" customWidth="1"/>
    <col min="3" max="3" width="1.6640625" style="1130" customWidth="1"/>
    <col min="4" max="6" width="2.83203125" style="1130" customWidth="1"/>
    <col min="7" max="7" width="46.33203125" style="1130" customWidth="1"/>
    <col min="8" max="8" width="5.1640625" style="1130" customWidth="1"/>
    <col min="9" max="10" width="21.1640625" style="1130" customWidth="1"/>
    <col min="11" max="11" width="4" style="1130" customWidth="1"/>
    <col min="12" max="12" width="15" style="1130" bestFit="1" customWidth="1"/>
    <col min="13" max="14" width="9.33203125" style="1130"/>
    <col min="15" max="15" width="12.5" style="1130" bestFit="1" customWidth="1"/>
    <col min="16" max="16384" width="9.33203125" style="1130"/>
  </cols>
  <sheetData>
    <row r="1" spans="1:26" ht="22.5" customHeight="1">
      <c r="B1" s="1130" t="s">
        <v>175</v>
      </c>
    </row>
    <row r="2" spans="1:26" ht="12" thickBot="1">
      <c r="A2" s="1130" t="s">
        <v>176</v>
      </c>
    </row>
    <row r="3" spans="1:26" ht="91.5" customHeight="1">
      <c r="D3" s="1144"/>
      <c r="E3" s="1145"/>
      <c r="F3" s="1145"/>
      <c r="G3" s="1145"/>
      <c r="H3" s="1145"/>
      <c r="I3" s="1145"/>
      <c r="J3" s="1145"/>
      <c r="K3" s="1146" t="str">
        <f>INDEX(decTeamName,xxIndexTeam) &amp; " Year " &amp; xxYear</f>
        <v>IIC Year 0</v>
      </c>
    </row>
    <row r="4" spans="1:26">
      <c r="D4" s="931"/>
      <c r="E4" s="608"/>
      <c r="F4" s="608"/>
      <c r="G4" s="608"/>
      <c r="H4" s="608"/>
      <c r="I4" s="670"/>
      <c r="J4" s="670"/>
      <c r="K4" s="932"/>
    </row>
    <row r="5" spans="1:26" ht="14.25" customHeight="1">
      <c r="D5" s="931"/>
      <c r="E5" s="501" t="s">
        <v>1914</v>
      </c>
      <c r="F5" s="608"/>
      <c r="G5" s="608"/>
      <c r="H5" s="608"/>
      <c r="I5" s="670"/>
      <c r="J5" s="674">
        <f>INDEX(obalCashValue,xxIndexTeam)</f>
        <v>425041932.21870798</v>
      </c>
      <c r="K5" s="717"/>
      <c r="Z5" s="1142" t="s">
        <v>2474</v>
      </c>
    </row>
    <row r="6" spans="1:26" ht="4.5" customHeight="1">
      <c r="D6" s="972"/>
      <c r="E6" s="607"/>
      <c r="F6" s="607"/>
      <c r="G6" s="607"/>
      <c r="H6" s="607"/>
      <c r="I6" s="670"/>
      <c r="J6" s="670"/>
      <c r="K6" s="718"/>
      <c r="Z6" s="1143"/>
    </row>
    <row r="7" spans="1:26" ht="14.25" customHeight="1">
      <c r="D7" s="972"/>
      <c r="E7" s="607" t="s">
        <v>1915</v>
      </c>
      <c r="F7" s="607"/>
      <c r="G7" s="607"/>
      <c r="H7" s="607"/>
      <c r="I7" s="670"/>
      <c r="J7" s="670"/>
      <c r="K7" s="718"/>
      <c r="Z7" s="1143"/>
    </row>
    <row r="8" spans="1:26" ht="14.25" customHeight="1">
      <c r="D8" s="972"/>
      <c r="E8" s="607"/>
      <c r="F8" s="607" t="s">
        <v>443</v>
      </c>
      <c r="G8" s="607"/>
      <c r="H8" s="607"/>
      <c r="I8" s="670"/>
      <c r="J8" s="670">
        <f>INDEX(finPNLNetEarn,xxIndexTeam)</f>
        <v>576599529.6368351</v>
      </c>
      <c r="K8" s="718"/>
      <c r="Z8" s="1143" t="s">
        <v>2475</v>
      </c>
    </row>
    <row r="9" spans="1:26" ht="14.25" customHeight="1">
      <c r="D9" s="972"/>
      <c r="E9" s="607"/>
      <c r="F9" s="607" t="s">
        <v>1916</v>
      </c>
      <c r="G9" s="607"/>
      <c r="H9" s="607"/>
      <c r="I9" s="670"/>
      <c r="J9" s="670">
        <f>INDEX(finCashFlowDep,xxIndexTeam)+INDEX(finCashFlowAmort,xxIndexTeam)</f>
        <v>312079846.15384614</v>
      </c>
      <c r="K9" s="718"/>
      <c r="Z9" s="1143" t="s">
        <v>2476</v>
      </c>
    </row>
    <row r="10" spans="1:26" ht="14.25" customHeight="1">
      <c r="D10" s="972"/>
      <c r="E10" s="607"/>
      <c r="F10" s="607" t="s">
        <v>1931</v>
      </c>
      <c r="G10" s="607"/>
      <c r="H10" s="607"/>
      <c r="I10" s="670"/>
      <c r="J10" s="670">
        <f>INDEX(finCashFlowAssetLoss,xxIndexTeam)</f>
        <v>0</v>
      </c>
      <c r="K10" s="718"/>
      <c r="Z10" s="1143" t="s">
        <v>2477</v>
      </c>
    </row>
    <row r="11" spans="1:26" ht="14.25" customHeight="1">
      <c r="D11" s="972"/>
      <c r="E11" s="607"/>
      <c r="F11" s="607" t="s">
        <v>1917</v>
      </c>
      <c r="G11" s="607"/>
      <c r="H11" s="607"/>
      <c r="I11" s="670"/>
      <c r="J11" s="670"/>
      <c r="K11" s="718"/>
      <c r="Z11" s="1143"/>
    </row>
    <row r="12" spans="1:26" ht="14.25" customHeight="1">
      <c r="D12" s="972"/>
      <c r="E12" s="607"/>
      <c r="F12" s="607"/>
      <c r="G12" s="607" t="s">
        <v>1069</v>
      </c>
      <c r="H12" s="607"/>
      <c r="I12" s="670">
        <f>INDEX(finCashFlowARChange,xxIndexTeam)</f>
        <v>-42301201.125365496</v>
      </c>
      <c r="J12" s="670"/>
      <c r="K12" s="718"/>
      <c r="Z12" s="1143" t="s">
        <v>2478</v>
      </c>
    </row>
    <row r="13" spans="1:26" ht="14.25" customHeight="1">
      <c r="D13" s="972"/>
      <c r="E13" s="607"/>
      <c r="F13" s="607"/>
      <c r="G13" s="607" t="s">
        <v>1918</v>
      </c>
      <c r="H13" s="607"/>
      <c r="I13" s="670">
        <f>INDEX(finCashFlowOtherCurrAssetsChange,xxIndexTeam)</f>
        <v>0</v>
      </c>
      <c r="J13" s="670"/>
      <c r="K13" s="718"/>
      <c r="Z13" s="1143" t="s">
        <v>2479</v>
      </c>
    </row>
    <row r="14" spans="1:26" ht="14.25" customHeight="1">
      <c r="D14" s="972"/>
      <c r="E14" s="607"/>
      <c r="F14" s="607"/>
      <c r="G14" s="607" t="s">
        <v>1919</v>
      </c>
      <c r="H14" s="607"/>
      <c r="I14" s="670">
        <f>INDEX(finCashFlowAPChange,xxIndexTeam)</f>
        <v>44673326.667184353</v>
      </c>
      <c r="J14" s="670"/>
      <c r="K14" s="718"/>
      <c r="Z14" s="1143" t="s">
        <v>2480</v>
      </c>
    </row>
    <row r="15" spans="1:26" ht="14.25" customHeight="1">
      <c r="D15" s="972"/>
      <c r="E15" s="607"/>
      <c r="F15" s="607"/>
      <c r="G15" s="607" t="s">
        <v>1920</v>
      </c>
      <c r="H15" s="607"/>
      <c r="I15" s="670">
        <f>INDEX(finCashFlowOtherCurrLiabChange,xxIndexTeam)+INDEX(finCashFlowDeferredRevLiabChange,xxIndexTeam)+INDEX(finCashFlowOtherLTLiabChange,xxIndexTeam)</f>
        <v>51448020.582284153</v>
      </c>
      <c r="J15" s="670"/>
      <c r="K15" s="718"/>
      <c r="Z15" s="1143" t="s">
        <v>2481</v>
      </c>
    </row>
    <row r="16" spans="1:26" ht="14.25" customHeight="1">
      <c r="D16" s="1188"/>
      <c r="E16" s="1192"/>
      <c r="F16" s="950" t="s">
        <v>1917</v>
      </c>
      <c r="G16" s="950"/>
      <c r="H16" s="950"/>
      <c r="I16" s="981"/>
      <c r="J16" s="981">
        <f>INDEX(finCashFlowWorkCap,xxIndexTeam)</f>
        <v>53820146.12410301</v>
      </c>
      <c r="K16" s="718"/>
      <c r="Z16" s="1143" t="s">
        <v>2482</v>
      </c>
    </row>
    <row r="17" spans="4:26" ht="14.25" customHeight="1">
      <c r="D17" s="1188"/>
      <c r="E17" s="1193" t="s">
        <v>1921</v>
      </c>
      <c r="F17" s="607"/>
      <c r="G17" s="607"/>
      <c r="H17" s="607"/>
      <c r="I17" s="670"/>
      <c r="J17" s="670">
        <f>INDEX(finCashFlowOperating,xxIndexTeam)</f>
        <v>942499521.91478419</v>
      </c>
      <c r="K17" s="718"/>
      <c r="Z17" s="1143" t="s">
        <v>2483</v>
      </c>
    </row>
    <row r="18" spans="4:26">
      <c r="D18" s="1188"/>
      <c r="E18" s="1194"/>
      <c r="F18" s="607"/>
      <c r="G18" s="607"/>
      <c r="H18" s="607"/>
      <c r="I18" s="670"/>
      <c r="J18" s="670"/>
      <c r="K18" s="718"/>
      <c r="Z18" s="1143"/>
    </row>
    <row r="19" spans="4:26" ht="14.25" customHeight="1">
      <c r="D19" s="1188"/>
      <c r="E19" s="1194" t="s">
        <v>1922</v>
      </c>
      <c r="F19" s="607"/>
      <c r="G19" s="607"/>
      <c r="H19" s="607"/>
      <c r="I19" s="670"/>
      <c r="J19" s="670"/>
      <c r="K19" s="718"/>
      <c r="Z19" s="1143"/>
    </row>
    <row r="20" spans="4:26" ht="14.25" customHeight="1">
      <c r="D20" s="1188"/>
      <c r="E20" s="1194"/>
      <c r="F20" s="607" t="s">
        <v>2023</v>
      </c>
      <c r="G20" s="607"/>
      <c r="H20" s="607"/>
      <c r="I20" s="670"/>
      <c r="J20" s="670">
        <f>INDEX(finCashFlowPropertyDivest,xxIndexTeam)</f>
        <v>0</v>
      </c>
      <c r="K20" s="718"/>
      <c r="Z20" s="1143" t="s">
        <v>2484</v>
      </c>
    </row>
    <row r="21" spans="4:26" ht="14.25" customHeight="1">
      <c r="D21" s="1189" t="s">
        <v>1889</v>
      </c>
      <c r="E21" s="1194"/>
      <c r="F21" s="607" t="s">
        <v>1923</v>
      </c>
      <c r="G21" s="607"/>
      <c r="H21" s="607"/>
      <c r="I21" s="670"/>
      <c r="J21" s="670">
        <f>INDEX(finCashFlowAcquireInvest,xxIndexTeam)</f>
        <v>0</v>
      </c>
      <c r="K21" s="718"/>
      <c r="Z21" s="1143" t="s">
        <v>2485</v>
      </c>
    </row>
    <row r="22" spans="4:26" ht="14.25" customHeight="1">
      <c r="D22" s="1189" t="s">
        <v>1889</v>
      </c>
      <c r="E22" s="1192"/>
      <c r="F22" s="950" t="s">
        <v>1924</v>
      </c>
      <c r="G22" s="950"/>
      <c r="H22" s="950"/>
      <c r="I22" s="981"/>
      <c r="J22" s="981">
        <f>INDEX(finCashFlowDCInvest,xxIndexTeam)+INDEX(finCashFlowPropertyInvest,xxIndexTeam)+INDEX(finCashFlowSoftwareInvest,xxIndexTeam)</f>
        <v>-209769230.76923075</v>
      </c>
      <c r="K22" s="718"/>
      <c r="Z22" s="1143" t="s">
        <v>2486</v>
      </c>
    </row>
    <row r="23" spans="4:26" ht="14.25" customHeight="1">
      <c r="D23" s="1188"/>
      <c r="E23" s="1193" t="s">
        <v>1925</v>
      </c>
      <c r="F23" s="947"/>
      <c r="G23" s="947"/>
      <c r="H23" s="947"/>
      <c r="I23" s="674"/>
      <c r="J23" s="674">
        <f>INDEX(finCashFlowInvest,xxIndexTeam)</f>
        <v>-209769230.76923075</v>
      </c>
      <c r="K23" s="717"/>
      <c r="Z23" s="1142" t="s">
        <v>2487</v>
      </c>
    </row>
    <row r="24" spans="4:26">
      <c r="D24" s="1188"/>
      <c r="E24" s="1194"/>
      <c r="F24" s="607"/>
      <c r="G24" s="607"/>
      <c r="H24" s="607"/>
      <c r="I24" s="670"/>
      <c r="J24" s="670"/>
      <c r="K24" s="718"/>
      <c r="Z24" s="1143"/>
    </row>
    <row r="25" spans="4:26" ht="14.25" customHeight="1">
      <c r="D25" s="1188"/>
      <c r="E25" s="1194" t="s">
        <v>1926</v>
      </c>
      <c r="F25" s="607"/>
      <c r="G25" s="607"/>
      <c r="H25" s="607"/>
      <c r="I25" s="670"/>
      <c r="J25" s="670">
        <f>INDEX(finCashFlowOperating,xxIndexTeam)+INDEX(finCashFlowInvest,xxIndexTeam)</f>
        <v>732730291.14555347</v>
      </c>
      <c r="K25" s="718"/>
      <c r="Z25" s="1143" t="s">
        <v>2488</v>
      </c>
    </row>
    <row r="26" spans="4:26">
      <c r="D26" s="1188"/>
      <c r="E26" s="1194"/>
      <c r="F26" s="607"/>
      <c r="G26" s="607"/>
      <c r="H26" s="607"/>
      <c r="I26" s="670"/>
      <c r="J26" s="670"/>
      <c r="K26" s="718"/>
      <c r="Z26" s="1143"/>
    </row>
    <row r="27" spans="4:26" ht="14.25" customHeight="1">
      <c r="D27" s="1188"/>
      <c r="E27" s="1194" t="s">
        <v>1927</v>
      </c>
      <c r="F27" s="607"/>
      <c r="G27" s="607"/>
      <c r="H27" s="607"/>
      <c r="I27" s="670"/>
      <c r="J27" s="670"/>
      <c r="K27" s="718"/>
      <c r="Z27" s="1143"/>
    </row>
    <row r="28" spans="4:26" ht="14.25" customHeight="1">
      <c r="D28" s="1188"/>
      <c r="E28" s="1194"/>
      <c r="F28" s="607" t="s">
        <v>1928</v>
      </c>
      <c r="G28" s="607"/>
      <c r="H28" s="607"/>
      <c r="I28" s="670"/>
      <c r="J28" s="670">
        <f>INDEX(finCashFlowLTDebtChange,xxIndexTeam)+INDEX(finCashFlowSpecLoansChange,xxIndexTeam)</f>
        <v>0</v>
      </c>
      <c r="K28" s="718"/>
      <c r="Z28" s="1143" t="s">
        <v>2489</v>
      </c>
    </row>
    <row r="29" spans="4:26" ht="14.25" customHeight="1">
      <c r="D29" s="1189" t="s">
        <v>1889</v>
      </c>
      <c r="E29" s="1192"/>
      <c r="F29" s="950" t="s">
        <v>921</v>
      </c>
      <c r="G29" s="950"/>
      <c r="H29" s="950"/>
      <c r="I29" s="981"/>
      <c r="J29" s="981">
        <f>INDEX(finCashFlowDividendPayOut,xxIndexTeam)</f>
        <v>-317129741.30025935</v>
      </c>
      <c r="K29" s="718"/>
      <c r="Z29" s="1143" t="s">
        <v>2490</v>
      </c>
    </row>
    <row r="30" spans="4:26" ht="14.25" customHeight="1">
      <c r="D30" s="1188"/>
      <c r="E30" s="1193" t="s">
        <v>1929</v>
      </c>
      <c r="F30" s="947"/>
      <c r="G30" s="947"/>
      <c r="H30" s="947"/>
      <c r="I30" s="674"/>
      <c r="J30" s="674">
        <f>INDEX(finCashFlowFinance,xxIndexTeam)</f>
        <v>-317129741.30025935</v>
      </c>
      <c r="K30" s="717"/>
      <c r="Z30" s="1142" t="s">
        <v>2491</v>
      </c>
    </row>
    <row r="31" spans="4:26">
      <c r="D31" s="1188"/>
      <c r="E31" s="1194"/>
      <c r="F31" s="607"/>
      <c r="G31" s="607"/>
      <c r="H31" s="607"/>
      <c r="I31" s="670"/>
      <c r="J31" s="670"/>
      <c r="K31" s="718"/>
      <c r="Z31" s="1143"/>
    </row>
    <row r="32" spans="4:26" ht="14.25" customHeight="1">
      <c r="D32" s="1195"/>
      <c r="E32" s="1193" t="s">
        <v>1930</v>
      </c>
      <c r="F32" s="501"/>
      <c r="G32" s="501"/>
      <c r="H32" s="501"/>
      <c r="I32" s="674"/>
      <c r="J32" s="674">
        <f>INDEX(finCashClosingValue,xxIndexTeam)</f>
        <v>840642482.06400204</v>
      </c>
      <c r="K32" s="717"/>
      <c r="Z32" s="1142" t="s">
        <v>2492</v>
      </c>
    </row>
    <row r="33" spans="4:11">
      <c r="D33" s="931"/>
      <c r="E33" s="608"/>
      <c r="F33" s="608"/>
      <c r="G33" s="608"/>
      <c r="H33" s="608"/>
      <c r="I33" s="670"/>
      <c r="J33" s="670"/>
      <c r="K33" s="932"/>
    </row>
    <row r="34" spans="4:11" ht="18.75" customHeight="1" thickBot="1">
      <c r="D34" s="937"/>
      <c r="E34" s="929"/>
      <c r="F34" s="929"/>
      <c r="G34" s="929"/>
      <c r="H34" s="929"/>
      <c r="I34" s="929"/>
      <c r="J34" s="929"/>
      <c r="K34" s="938"/>
    </row>
  </sheetData>
  <phoneticPr fontId="0" type="noConversion"/>
  <printOptions horizontalCentered="1"/>
  <pageMargins left="0.5" right="0.5" top="0.5" bottom="0.5" header="0.5" footer="0.5"/>
  <pageSetup scale="62" orientation="portrait" blackAndWhite="1" r:id="rId1"/>
  <headerFooter alignWithMargins="0">
    <oddFooter>&amp;CPage &amp;P of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oolProfitTree">
    <tabColor rgb="FFC00000"/>
  </sheetPr>
  <dimension ref="C1:AH31"/>
  <sheetViews>
    <sheetView showGridLines="0" zoomScaleNormal="100" workbookViewId="0">
      <pane ySplit="3" topLeftCell="A4" activePane="bottomLeft" state="frozen"/>
      <selection pane="bottomLeft" sqref="A1:R21"/>
    </sheetView>
  </sheetViews>
  <sheetFormatPr defaultRowHeight="11.25"/>
  <cols>
    <col min="1" max="2" width="8.83203125" style="1130" customWidth="1"/>
    <col min="3" max="3" width="4.83203125" style="1130" customWidth="1"/>
    <col min="4" max="4" width="17.83203125" style="1130" customWidth="1"/>
    <col min="5" max="5" width="4.83203125" style="1130" customWidth="1"/>
    <col min="6" max="6" width="17.83203125" style="1130" customWidth="1"/>
    <col min="7" max="7" width="4.83203125" style="1130" customWidth="1"/>
    <col min="8" max="8" width="17.83203125" style="1130" customWidth="1"/>
    <col min="9" max="10" width="2.83203125" style="1130" customWidth="1"/>
    <col min="11" max="11" width="5.33203125" style="1130" customWidth="1"/>
    <col min="12" max="13" width="2.83203125" style="1130" customWidth="1"/>
    <col min="14" max="14" width="17.83203125" style="1130" customWidth="1"/>
    <col min="15" max="16" width="2.83203125" style="1130" customWidth="1"/>
    <col min="17" max="17" width="4.6640625" style="1130" customWidth="1"/>
    <col min="18" max="18" width="4.83203125" style="1130" customWidth="1"/>
    <col min="19" max="16384" width="9.33203125" style="1130"/>
  </cols>
  <sheetData>
    <row r="1" spans="3:34" ht="22.5" customHeight="1"/>
    <row r="2" spans="3:34" ht="12" thickBot="1"/>
    <row r="3" spans="3:34" ht="107.25" customHeight="1">
      <c r="C3" s="1144"/>
      <c r="D3" s="1145"/>
      <c r="E3" s="1145"/>
      <c r="F3" s="1145"/>
      <c r="G3" s="1145"/>
      <c r="H3" s="1145"/>
      <c r="I3" s="1145"/>
      <c r="J3" s="1145"/>
      <c r="K3" s="1145"/>
      <c r="L3" s="1145"/>
      <c r="M3" s="1145"/>
      <c r="N3" s="1145"/>
      <c r="O3" s="1145"/>
      <c r="P3" s="1145"/>
      <c r="Q3" s="1145"/>
      <c r="R3" s="1146" t="str">
        <f>INDEX(decTeamName,xxIndexTeam) &amp; " Year " &amp; xxYear</f>
        <v>IIC Year 0</v>
      </c>
    </row>
    <row r="4" spans="3:34" ht="33.75" customHeight="1">
      <c r="C4" s="963"/>
      <c r="D4" s="501"/>
      <c r="E4" s="501"/>
      <c r="F4" s="501"/>
      <c r="G4" s="501"/>
      <c r="H4" s="501"/>
      <c r="I4" s="501"/>
      <c r="J4" s="501"/>
      <c r="K4" s="501"/>
      <c r="L4" s="501"/>
      <c r="M4" s="501"/>
      <c r="N4" s="501"/>
      <c r="O4" s="501"/>
      <c r="P4" s="501"/>
      <c r="Q4" s="501"/>
      <c r="R4" s="964"/>
    </row>
    <row r="5" spans="3:34" ht="14.25" customHeight="1">
      <c r="C5" s="972"/>
      <c r="D5" s="947" t="s">
        <v>807</v>
      </c>
      <c r="E5" s="607"/>
      <c r="F5" s="607"/>
      <c r="G5" s="607"/>
      <c r="H5" s="609"/>
      <c r="I5" s="609"/>
      <c r="J5" s="608"/>
      <c r="K5" s="608"/>
      <c r="L5" s="608"/>
      <c r="M5" s="608"/>
      <c r="N5" s="670">
        <f>INDEX(finPNLRev,xxIndexTeam)</f>
        <v>4411410974.5023985</v>
      </c>
      <c r="O5" s="670"/>
      <c r="P5" s="501"/>
      <c r="Q5" s="501"/>
      <c r="R5" s="964"/>
      <c r="AH5" s="1143" t="s">
        <v>2493</v>
      </c>
    </row>
    <row r="6" spans="3:34" ht="6" customHeight="1">
      <c r="C6" s="972"/>
      <c r="D6" s="947"/>
      <c r="E6" s="607"/>
      <c r="F6" s="607"/>
      <c r="G6" s="607"/>
      <c r="H6" s="609"/>
      <c r="I6" s="609"/>
      <c r="J6" s="608"/>
      <c r="K6" s="608"/>
      <c r="L6" s="608"/>
      <c r="M6" s="608"/>
      <c r="N6" s="670"/>
      <c r="O6" s="670"/>
      <c r="P6" s="501"/>
      <c r="Q6" s="501"/>
      <c r="R6" s="964"/>
      <c r="AH6" s="1143"/>
    </row>
    <row r="7" spans="3:34" ht="14.25" customHeight="1">
      <c r="C7" s="972"/>
      <c r="D7" s="607" t="s">
        <v>3804</v>
      </c>
      <c r="E7" s="607"/>
      <c r="F7" s="607"/>
      <c r="G7" s="607"/>
      <c r="H7" s="609">
        <f>INDEX(finPNLEmpExp,xxIndexTeam)</f>
        <v>2027201069.2307689</v>
      </c>
      <c r="I7" s="609"/>
      <c r="J7" s="608"/>
      <c r="K7" s="608"/>
      <c r="L7" s="608"/>
      <c r="M7" s="608"/>
      <c r="N7" s="670"/>
      <c r="O7" s="670"/>
      <c r="P7" s="501"/>
      <c r="Q7" s="501"/>
      <c r="R7" s="964"/>
      <c r="AH7" s="1143"/>
    </row>
    <row r="8" spans="3:34" ht="14.25" customHeight="1">
      <c r="C8" s="972"/>
      <c r="D8" s="607" t="s">
        <v>3805</v>
      </c>
      <c r="E8" s="607"/>
      <c r="F8" s="607"/>
      <c r="G8" s="607"/>
      <c r="H8" s="609">
        <f>INDEX(finPNLRevExp,xxIndexTeam)</f>
        <v>554451777.47368419</v>
      </c>
      <c r="I8" s="609"/>
      <c r="J8" s="608"/>
      <c r="K8" s="608"/>
      <c r="L8" s="608"/>
      <c r="M8" s="608"/>
      <c r="N8" s="670"/>
      <c r="O8" s="670"/>
      <c r="P8" s="501"/>
      <c r="Q8" s="501"/>
      <c r="R8" s="964"/>
      <c r="AH8" s="1143"/>
    </row>
    <row r="9" spans="3:34" ht="14.25" customHeight="1">
      <c r="C9" s="972"/>
      <c r="D9" s="607" t="s">
        <v>3806</v>
      </c>
      <c r="E9" s="607"/>
      <c r="F9" s="607"/>
      <c r="G9" s="607"/>
      <c r="H9" s="609">
        <f>INDEX(finPNLProdDevExp,xxIndexTeam)</f>
        <v>18500000</v>
      </c>
      <c r="I9" s="609"/>
      <c r="J9" s="608"/>
      <c r="K9" s="608"/>
      <c r="L9" s="608"/>
      <c r="M9" s="608"/>
      <c r="N9" s="670"/>
      <c r="O9" s="670"/>
      <c r="P9" s="501"/>
      <c r="Q9" s="501"/>
      <c r="R9" s="964"/>
      <c r="AH9" s="1143"/>
    </row>
    <row r="10" spans="3:34" ht="14.25" customHeight="1">
      <c r="C10" s="972"/>
      <c r="D10" s="607" t="s">
        <v>3807</v>
      </c>
      <c r="E10" s="607"/>
      <c r="F10" s="607"/>
      <c r="G10" s="607"/>
      <c r="H10" s="609">
        <f>INDEX(finPNLAdminInfraExp,xxIndexTeam)</f>
        <v>480000000</v>
      </c>
      <c r="I10" s="609"/>
      <c r="J10" s="608"/>
      <c r="K10" s="608"/>
      <c r="L10" s="608"/>
      <c r="M10" s="608"/>
      <c r="N10" s="670"/>
      <c r="O10" s="670"/>
      <c r="P10" s="501"/>
      <c r="Q10" s="501"/>
      <c r="R10" s="964"/>
      <c r="AH10" s="1143"/>
    </row>
    <row r="11" spans="3:34" ht="14.25" customHeight="1">
      <c r="C11" s="972"/>
      <c r="D11" s="950" t="s">
        <v>3808</v>
      </c>
      <c r="E11" s="950"/>
      <c r="F11" s="950"/>
      <c r="G11" s="950"/>
      <c r="H11" s="951">
        <f>INDEX(finPNLOtherOpExp,xxIndexTeam)</f>
        <v>181000000</v>
      </c>
      <c r="I11" s="951"/>
      <c r="J11" s="982"/>
      <c r="K11" s="982"/>
      <c r="L11" s="982"/>
      <c r="M11" s="982"/>
      <c r="N11" s="981"/>
      <c r="O11" s="670"/>
      <c r="P11" s="501"/>
      <c r="Q11" s="501"/>
      <c r="R11" s="964"/>
      <c r="AH11" s="1143"/>
    </row>
    <row r="12" spans="3:34" ht="14.25" customHeight="1">
      <c r="C12" s="972"/>
      <c r="D12" s="1179" t="s">
        <v>2032</v>
      </c>
      <c r="E12" s="607"/>
      <c r="F12" s="607"/>
      <c r="G12" s="607"/>
      <c r="H12" s="609"/>
      <c r="I12" s="609"/>
      <c r="J12" s="608"/>
      <c r="K12" s="608"/>
      <c r="L12" s="608"/>
      <c r="M12" s="608"/>
      <c r="N12" s="670">
        <f>INDEX(finPNLOperatingExp,xxIndexTeam)</f>
        <v>3261152846.704453</v>
      </c>
      <c r="O12" s="670"/>
      <c r="P12" s="501"/>
      <c r="Q12" s="501"/>
      <c r="R12" s="964"/>
      <c r="AH12" s="1143" t="s">
        <v>2494</v>
      </c>
    </row>
    <row r="13" spans="3:34" ht="6" customHeight="1">
      <c r="C13" s="972"/>
      <c r="D13" s="1179"/>
      <c r="E13" s="607"/>
      <c r="F13" s="607"/>
      <c r="G13" s="607"/>
      <c r="H13" s="609"/>
      <c r="I13" s="609"/>
      <c r="J13" s="608"/>
      <c r="K13" s="608"/>
      <c r="L13" s="608"/>
      <c r="M13" s="608"/>
      <c r="N13" s="670"/>
      <c r="O13" s="670"/>
      <c r="P13" s="501"/>
      <c r="Q13" s="501"/>
      <c r="R13" s="964"/>
      <c r="AH13" s="1143"/>
    </row>
    <row r="14" spans="3:34" ht="14.25" customHeight="1">
      <c r="C14" s="972"/>
      <c r="D14" s="947" t="s">
        <v>2029</v>
      </c>
      <c r="E14" s="607"/>
      <c r="F14" s="607"/>
      <c r="G14" s="607"/>
      <c r="H14" s="609"/>
      <c r="I14" s="670"/>
      <c r="J14" s="608"/>
      <c r="K14" s="608"/>
      <c r="L14" s="608"/>
      <c r="M14" s="608"/>
      <c r="N14" s="670">
        <f>INDEX(finPNLEBITDA,xxIndexTeam)</f>
        <v>1150258127.7979455</v>
      </c>
      <c r="O14" s="670"/>
      <c r="P14" s="501"/>
      <c r="Q14" s="501"/>
      <c r="R14" s="964"/>
      <c r="AH14" s="1143" t="s">
        <v>2495</v>
      </c>
    </row>
    <row r="15" spans="3:34" ht="6" customHeight="1">
      <c r="C15" s="972"/>
      <c r="D15" s="947"/>
      <c r="E15" s="607"/>
      <c r="F15" s="607"/>
      <c r="G15" s="607"/>
      <c r="H15" s="609"/>
      <c r="I15" s="670"/>
      <c r="J15" s="608"/>
      <c r="K15" s="608"/>
      <c r="L15" s="608"/>
      <c r="M15" s="608"/>
      <c r="N15" s="608"/>
      <c r="O15" s="608"/>
      <c r="P15" s="501"/>
      <c r="Q15" s="501"/>
      <c r="R15" s="964"/>
      <c r="AH15" s="1181"/>
    </row>
    <row r="16" spans="3:34" ht="14.25" customHeight="1">
      <c r="C16" s="972"/>
      <c r="D16" s="1179" t="s">
        <v>2031</v>
      </c>
      <c r="E16" s="607"/>
      <c r="F16" s="607"/>
      <c r="G16" s="607"/>
      <c r="H16" s="609"/>
      <c r="I16" s="609"/>
      <c r="J16" s="608"/>
      <c r="K16" s="608"/>
      <c r="L16" s="608"/>
      <c r="M16" s="608"/>
      <c r="N16" s="670">
        <f>INDEX(finCashFlowDCInvest,xxIndexTeam)+INDEX(finCashFlowPropertyInvest,xxIndexTeam)+INDEX(finCashFlowSoftwareInvest,xxIndexTeam)</f>
        <v>-209769230.76923075</v>
      </c>
      <c r="O16" s="670"/>
      <c r="P16" s="501"/>
      <c r="Q16" s="501"/>
      <c r="R16" s="964"/>
      <c r="AH16" s="1143" t="s">
        <v>2497</v>
      </c>
    </row>
    <row r="17" spans="3:34" ht="6" customHeight="1">
      <c r="C17" s="972"/>
      <c r="D17" s="947"/>
      <c r="E17" s="607"/>
      <c r="F17" s="607"/>
      <c r="G17" s="607"/>
      <c r="H17" s="609"/>
      <c r="I17" s="609"/>
      <c r="J17" s="608"/>
      <c r="K17" s="608"/>
      <c r="L17" s="608"/>
      <c r="M17" s="608"/>
      <c r="N17" s="608"/>
      <c r="O17" s="608"/>
      <c r="P17" s="501"/>
      <c r="Q17" s="501"/>
      <c r="R17" s="964"/>
      <c r="AH17" s="1181"/>
    </row>
    <row r="18" spans="3:34" ht="14.25" customHeight="1">
      <c r="C18" s="972"/>
      <c r="D18" s="947" t="s">
        <v>2030</v>
      </c>
      <c r="E18" s="607"/>
      <c r="F18" s="607"/>
      <c r="G18" s="607"/>
      <c r="H18" s="609"/>
      <c r="I18" s="609"/>
      <c r="J18" s="608"/>
      <c r="K18" s="608"/>
      <c r="L18" s="608"/>
      <c r="M18" s="608"/>
      <c r="N18" s="670">
        <f>INDEX(finCashOI,xxIndexTeam)</f>
        <v>940488897.02871478</v>
      </c>
      <c r="O18" s="670"/>
      <c r="P18" s="501"/>
      <c r="Q18" s="501"/>
      <c r="R18" s="964"/>
      <c r="AH18" s="1143" t="s">
        <v>2496</v>
      </c>
    </row>
    <row r="19" spans="3:34" ht="14.25" customHeight="1">
      <c r="C19" s="972"/>
      <c r="D19" s="607" t="s">
        <v>4434</v>
      </c>
      <c r="E19" s="607"/>
      <c r="F19" s="607"/>
      <c r="G19" s="607"/>
      <c r="H19" s="609"/>
      <c r="I19" s="609"/>
      <c r="J19" s="608"/>
      <c r="K19" s="608"/>
      <c r="L19" s="608"/>
      <c r="M19" s="608"/>
      <c r="N19" s="670">
        <f>INDEX(obalPNLCashOI,xxIndexTeam)</f>
        <v>923659287.46109343</v>
      </c>
      <c r="O19" s="501"/>
      <c r="P19" s="501"/>
      <c r="Q19" s="501"/>
      <c r="R19" s="964"/>
      <c r="W19" s="1182"/>
    </row>
    <row r="20" spans="3:34" ht="14.25" customHeight="1">
      <c r="C20" s="972"/>
      <c r="D20" s="607" t="s">
        <v>1741</v>
      </c>
      <c r="E20" s="607"/>
      <c r="F20" s="607"/>
      <c r="G20" s="607"/>
      <c r="H20" s="609"/>
      <c r="I20" s="609"/>
      <c r="J20" s="608"/>
      <c r="K20" s="608"/>
      <c r="L20" s="608"/>
      <c r="M20" s="608"/>
      <c r="N20" s="1298">
        <f>tlOutputCOICashOI/N19-1</f>
        <v>1.8220581762222743E-2</v>
      </c>
      <c r="O20" s="501"/>
      <c r="P20" s="501"/>
      <c r="Q20" s="501"/>
      <c r="R20" s="964"/>
      <c r="W20" s="1182"/>
    </row>
    <row r="21" spans="3:34" ht="36" customHeight="1" thickBot="1">
      <c r="C21" s="977"/>
      <c r="D21" s="978"/>
      <c r="E21" s="978"/>
      <c r="F21" s="978"/>
      <c r="G21" s="978"/>
      <c r="H21" s="978"/>
      <c r="I21" s="978"/>
      <c r="J21" s="978"/>
      <c r="K21" s="983"/>
      <c r="L21" s="978"/>
      <c r="M21" s="978"/>
      <c r="N21" s="978"/>
      <c r="O21" s="978"/>
      <c r="P21" s="978"/>
      <c r="Q21" s="978"/>
      <c r="R21" s="980"/>
    </row>
    <row r="31" spans="3:34">
      <c r="K31" s="1180"/>
    </row>
  </sheetData>
  <phoneticPr fontId="0" type="noConversion"/>
  <pageMargins left="0.5" right="0.5" top="0.5" bottom="0.5"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V84"/>
  <sheetViews>
    <sheetView showGridLines="0" zoomScaleNormal="100" workbookViewId="0">
      <pane ySplit="5" topLeftCell="A6" activePane="bottomLeft" state="frozen"/>
      <selection pane="bottomLeft" sqref="A1:O72"/>
    </sheetView>
  </sheetViews>
  <sheetFormatPr defaultRowHeight="11.25"/>
  <cols>
    <col min="1" max="2" width="8.83203125" style="1197" customWidth="1"/>
    <col min="3" max="3" width="1.83203125" style="1197" customWidth="1"/>
    <col min="4" max="4" width="26.6640625" style="1197" customWidth="1"/>
    <col min="5" max="5" width="1.83203125" style="1197" customWidth="1"/>
    <col min="6" max="6" width="37.5" style="1197" customWidth="1"/>
    <col min="7" max="7" width="1.83203125" style="1197" customWidth="1"/>
    <col min="8" max="8" width="9" style="1197" customWidth="1"/>
    <col min="9" max="9" width="2.33203125" style="1197" customWidth="1"/>
    <col min="10" max="10" width="17.83203125" style="1197" customWidth="1"/>
    <col min="11" max="11" width="1.83203125" style="1197" customWidth="1"/>
    <col min="12" max="12" width="17.83203125" style="1197" customWidth="1"/>
    <col min="13" max="13" width="1.83203125" style="1197" customWidth="1"/>
    <col min="14" max="14" width="17.83203125" style="1197" customWidth="1"/>
    <col min="15" max="15" width="1.83203125" style="1197" customWidth="1"/>
    <col min="16" max="16384" width="9.33203125" style="1197"/>
  </cols>
  <sheetData>
    <row r="1" spans="1:15" ht="22.5" customHeight="1">
      <c r="A1" s="1147"/>
      <c r="B1" s="1196" t="s">
        <v>2796</v>
      </c>
    </row>
    <row r="2" spans="1:15" ht="12" thickBot="1">
      <c r="A2" s="1196" t="s">
        <v>2797</v>
      </c>
      <c r="B2" s="1147"/>
    </row>
    <row r="3" spans="1:15" ht="17.25" customHeight="1" thickBot="1">
      <c r="C3" s="1339" t="str">
        <f>xxDashboard</f>
        <v>Revenues ($M) 4411   Operating Margin 19%   Cash OI ($M) 940   ESAT 63   CSAT 63   FTEs 0</v>
      </c>
      <c r="D3" s="1340"/>
      <c r="E3" s="1340"/>
      <c r="F3" s="1340"/>
      <c r="G3" s="1340"/>
      <c r="H3" s="1340"/>
      <c r="I3" s="1340"/>
      <c r="J3" s="1340"/>
      <c r="K3" s="1340"/>
      <c r="L3" s="1340"/>
      <c r="M3" s="1340"/>
      <c r="N3" s="1340"/>
      <c r="O3" s="1341"/>
    </row>
    <row r="4" spans="1:15" ht="12" thickBot="1"/>
    <row r="5" spans="1:15" s="1198" customFormat="1" ht="110.25" customHeight="1">
      <c r="C5" s="1201"/>
      <c r="D5" s="1202"/>
      <c r="E5" s="1202"/>
      <c r="F5" s="1202"/>
      <c r="G5" s="1202"/>
      <c r="H5" s="1202"/>
      <c r="I5" s="1202"/>
      <c r="J5" s="1202"/>
      <c r="K5" s="1202"/>
      <c r="L5" s="1202"/>
      <c r="M5" s="1202"/>
      <c r="N5" s="1202"/>
      <c r="O5" s="1146" t="str">
        <f>INDEX(decTeamName,xxIndexTeam)</f>
        <v>IIC</v>
      </c>
    </row>
    <row r="6" spans="1:15" ht="14.25" customHeight="1">
      <c r="C6" s="865"/>
      <c r="D6" s="866"/>
      <c r="E6" s="866"/>
      <c r="F6" s="866"/>
      <c r="G6" s="866"/>
      <c r="H6" s="866"/>
      <c r="I6" s="866"/>
      <c r="J6" s="866"/>
      <c r="K6" s="866"/>
      <c r="L6" s="866"/>
      <c r="M6" s="866"/>
      <c r="N6" s="866"/>
      <c r="O6" s="867"/>
    </row>
    <row r="7" spans="1:15" ht="14.25" customHeight="1">
      <c r="C7" s="865"/>
      <c r="D7" s="868" t="s">
        <v>2793</v>
      </c>
      <c r="E7" s="868"/>
      <c r="F7" s="868" t="s">
        <v>2794</v>
      </c>
      <c r="G7" s="868"/>
      <c r="H7" s="868" t="s">
        <v>3330</v>
      </c>
      <c r="I7" s="868"/>
      <c r="J7" s="869" t="s">
        <v>1060</v>
      </c>
      <c r="K7" s="869"/>
      <c r="L7" s="869" t="s">
        <v>3699</v>
      </c>
      <c r="M7" s="869"/>
      <c r="N7" s="869" t="s">
        <v>2792</v>
      </c>
      <c r="O7" s="867"/>
    </row>
    <row r="8" spans="1:15" ht="4.5" customHeight="1">
      <c r="C8" s="865"/>
      <c r="D8" s="617"/>
      <c r="E8" s="866"/>
      <c r="F8" s="617"/>
      <c r="G8" s="866"/>
      <c r="H8" s="617"/>
      <c r="I8" s="866"/>
      <c r="J8" s="870"/>
      <c r="K8" s="871"/>
      <c r="L8" s="870"/>
      <c r="M8" s="871"/>
      <c r="N8" s="870"/>
      <c r="O8" s="867"/>
    </row>
    <row r="9" spans="1:15" ht="14.25" customHeight="1">
      <c r="C9" s="865"/>
      <c r="D9" s="1099" t="s">
        <v>3332</v>
      </c>
      <c r="E9" s="866"/>
      <c r="F9" s="617"/>
      <c r="G9" s="866"/>
      <c r="H9" s="617"/>
      <c r="I9" s="866"/>
      <c r="J9" s="870"/>
      <c r="K9" s="871"/>
      <c r="L9" s="870"/>
      <c r="M9" s="871"/>
      <c r="N9" s="870"/>
      <c r="O9" s="867"/>
    </row>
    <row r="10" spans="1:15" ht="14.25" customHeight="1">
      <c r="C10" s="872">
        <v>1</v>
      </c>
      <c r="D10" s="868" t="str">
        <f>VLOOKUP($C10,dataTableEventTitles,3,FALSE)</f>
        <v>CaseConnect Opportunity</v>
      </c>
      <c r="E10" s="866"/>
      <c r="F10" s="617" t="str">
        <f>VLOOKUP(C10,dataTableEventTitles,4,FALSE)</f>
        <v>Acquire</v>
      </c>
      <c r="G10" s="866"/>
      <c r="H10" s="617"/>
      <c r="I10" s="1096">
        <f>IF(INDEX(decEvent101Chosen,xxIndexTeam)=TRUE,101,0)</f>
        <v>0</v>
      </c>
      <c r="J10" s="873">
        <f>IF(INDEX(obalEvent101Year,xxIndexTeam)&gt;0,0,IF(I10=0,0,INDEX(DataPage!$O$309:$O$335,MATCH(I10,DataPage!$L$309:$L$335,0))))</f>
        <v>0</v>
      </c>
      <c r="K10" s="873"/>
      <c r="L10" s="873">
        <f>IF(INDEX(obalEvent101Year,xxIndexTeam)&gt;0,0,IF(I10=0,0,INDEX(DataPage!$P$309:$P$335,MATCH(I10,DataPage!$L$309:$L$335,0))))</f>
        <v>0</v>
      </c>
      <c r="M10" s="873"/>
      <c r="N10" s="873">
        <f>IF(INDEX(obalEvent101Year,xxIndexTeam)&gt;0,0,IF(I10=0,0,INDEX(DataPage!$N$309:$N$335,MATCH(I10,DataPage!$L$309:$L$335,0))))</f>
        <v>0</v>
      </c>
      <c r="O10" s="867"/>
    </row>
    <row r="11" spans="1:15" ht="14.25" customHeight="1">
      <c r="C11" s="872">
        <v>1</v>
      </c>
      <c r="D11" s="866"/>
      <c r="E11" s="866"/>
      <c r="F11" s="617" t="str">
        <f>VLOOKUP(C11,dataTableEventTitles,5,FALSE)</f>
        <v>Invest</v>
      </c>
      <c r="G11" s="866"/>
      <c r="H11" s="617"/>
      <c r="I11" s="1096">
        <f>IF(INDEX(decEvent102Chosen,xxIndexTeam)=TRUE,102,0)</f>
        <v>0</v>
      </c>
      <c r="J11" s="873">
        <f>IF(INDEX(obalEvent102Year,xxIndexTeam)&gt;0,0,IF(I11=0,0,INDEX(DataPage!$O$309:$O$335,MATCH(I11,DataPage!$L$309:$L$335,0))))</f>
        <v>0</v>
      </c>
      <c r="K11" s="873"/>
      <c r="L11" s="873">
        <f>IF(INDEX(obalEvent102Year,xxIndexTeam)&gt;0,0,IF(I11=0,0,INDEX(DataPage!$P$309:$P$335,MATCH(I11,DataPage!$L$309:$L$335,0))))</f>
        <v>0</v>
      </c>
      <c r="M11" s="873"/>
      <c r="N11" s="873">
        <f>IF(INDEX(obalEvent102Year,xxIndexTeam)&gt;0,0,IF(I11=0,0,INDEX(DataPage!$N$309:$N$335,MATCH(I11,DataPage!$L$309:$L$335,0))))</f>
        <v>0</v>
      </c>
      <c r="O11" s="867"/>
    </row>
    <row r="12" spans="1:15" ht="14.25" customHeight="1">
      <c r="C12" s="872">
        <v>1</v>
      </c>
      <c r="D12" s="866"/>
      <c r="E12" s="866"/>
      <c r="F12" s="617" t="str">
        <f>VLOOKUP(C12,dataTableEventTitles,6,FALSE)</f>
        <v>Due Diligence</v>
      </c>
      <c r="G12" s="866"/>
      <c r="H12" s="617"/>
      <c r="I12" s="1096">
        <f>IF(INDEX(decEvent103Chosen,xxIndexTeam)=TRUE,103,0)</f>
        <v>0</v>
      </c>
      <c r="J12" s="873">
        <f>IF(INDEX(obalEvent103Year,xxIndexTeam)&gt;0,0,IF(I12=0,0,INDEX(DataPage!$O$309:$O$335,MATCH(I12,DataPage!$L$309:$L$335,0))))</f>
        <v>0</v>
      </c>
      <c r="K12" s="873"/>
      <c r="L12" s="873">
        <f>IF(INDEX(obalEvent103Year,xxIndexTeam)&gt;0,0,IF(I12=0,0,INDEX(DataPage!$P$309:$P$335,MATCH(I12,DataPage!$L$309:$L$335,0))))</f>
        <v>0</v>
      </c>
      <c r="M12" s="873"/>
      <c r="N12" s="873">
        <f>IF(INDEX(obalEvent103Year,xxIndexTeam)&gt;0,0,IF(I12=0,0,INDEX(DataPage!$N$309:$N$335,MATCH(I12,DataPage!$L$309:$L$335,0))))</f>
        <v>0</v>
      </c>
      <c r="O12" s="867"/>
    </row>
    <row r="13" spans="1:15" ht="6.75" customHeight="1">
      <c r="C13" s="872"/>
      <c r="D13" s="866"/>
      <c r="E13" s="866"/>
      <c r="F13" s="617"/>
      <c r="G13" s="866"/>
      <c r="H13" s="617"/>
      <c r="I13" s="1096"/>
      <c r="J13" s="873"/>
      <c r="K13" s="873"/>
      <c r="L13" s="873"/>
      <c r="M13" s="873"/>
      <c r="N13" s="873"/>
      <c r="O13" s="867"/>
    </row>
    <row r="14" spans="1:15" ht="14.25" customHeight="1">
      <c r="C14" s="872">
        <v>2</v>
      </c>
      <c r="D14" s="868" t="str">
        <f>VLOOKUP($C14,dataTableEventTitles,3,FALSE)</f>
        <v>Leading in Business</v>
      </c>
      <c r="E14" s="866"/>
      <c r="F14" s="617" t="str">
        <f>VLOOKUP(C14,dataTableEventTitles,4,FALSE)</f>
        <v>One-on-one Coaching</v>
      </c>
      <c r="G14" s="866"/>
      <c r="H14" s="617"/>
      <c r="I14" s="1096">
        <f>IF(INDEX(decEvent201Chosen,xxIndexTeam)=TRUE,201,0)</f>
        <v>0</v>
      </c>
      <c r="J14" s="873">
        <f>IF(INDEX(obalEvent201Year,xxIndexTeam)&gt;0,0,IF(I14=0,0,INDEX(DataPage!$O$309:$O$335,MATCH(I14,DataPage!$L$309:$L$335,0))))</f>
        <v>0</v>
      </c>
      <c r="K14" s="873"/>
      <c r="L14" s="873">
        <f>IF(INDEX(obalEvent201Year,xxIndexTeam)&gt;0,0,IF(I14=0,0,INDEX(DataPage!$P$309:$P$335,MATCH(I14,DataPage!$L$309:$L$335,0))))</f>
        <v>0</v>
      </c>
      <c r="M14" s="873"/>
      <c r="N14" s="873">
        <f>IF(INDEX(obalEvent201Year,xxIndexTeam)&gt;0,0,IF(I14=0,0,INDEX(DataPage!$N$309:$N$335,MATCH(I14,DataPage!$L$309:$L$335,0))))</f>
        <v>0</v>
      </c>
      <c r="O14" s="867"/>
    </row>
    <row r="15" spans="1:15" ht="14.25" customHeight="1">
      <c r="C15" s="872">
        <v>2</v>
      </c>
      <c r="D15" s="866"/>
      <c r="E15" s="866"/>
      <c r="F15" s="617" t="str">
        <f>VLOOKUP(C15,dataTableEventTitles,5,FALSE)</f>
        <v>Ideation</v>
      </c>
      <c r="G15" s="866"/>
      <c r="H15" s="617"/>
      <c r="I15" s="1096">
        <f>IF(INDEX(decEvent202Chosen,xxIndexTeam)=TRUE,202,0)</f>
        <v>0</v>
      </c>
      <c r="J15" s="873">
        <f>IF(INDEX(obalEvent202Year,xxIndexTeam)&gt;0,0,IF(I15=0,0,INDEX(DataPage!$O$309:$O$335,MATCH(I15,DataPage!$L$309:$L$335,0))))</f>
        <v>0</v>
      </c>
      <c r="K15" s="873"/>
      <c r="L15" s="873">
        <f>IF(INDEX(obalEvent202Year,xxIndexTeam)&gt;0,0,IF(I15=0,0,INDEX(DataPage!$P$309:$P$335,MATCH(I15,DataPage!$L$309:$L$335,0))))</f>
        <v>0</v>
      </c>
      <c r="M15" s="873"/>
      <c r="N15" s="873">
        <f>IF(INDEX(obalEvent202Year,xxIndexTeam)&gt;0,0,IF(I15=0,0,INDEX(DataPage!$N$309:$N$335,MATCH(I15,DataPage!$L$309:$L$335,0))))</f>
        <v>0</v>
      </c>
      <c r="O15" s="867"/>
    </row>
    <row r="16" spans="1:15" ht="14.25" customHeight="1">
      <c r="C16" s="872">
        <v>2</v>
      </c>
      <c r="D16" s="866"/>
      <c r="E16" s="866"/>
      <c r="F16" s="617" t="str">
        <f>VLOOKUP(C16,dataTableEventTitles,6,FALSE)</f>
        <v>Innovation Workshop</v>
      </c>
      <c r="G16" s="866"/>
      <c r="H16" s="617"/>
      <c r="I16" s="1096">
        <f>IF(INDEX(decEvent203Chosen,xxIndexTeam)=TRUE,203,0)</f>
        <v>0</v>
      </c>
      <c r="J16" s="873">
        <f>IF(INDEX(obalEvent203Year,xxIndexTeam)&gt;0,0,IF(I16=0,0,INDEX(DataPage!$O$309:$O$335,MATCH(I16,DataPage!$L$309:$L$335,0))))</f>
        <v>0</v>
      </c>
      <c r="K16" s="873"/>
      <c r="L16" s="873">
        <f>IF(INDEX(obalEvent203Year,xxIndexTeam)&gt;0,0,IF(I16=0,0,INDEX(DataPage!$P$309:$P$335,MATCH(I16,DataPage!$L$309:$L$335,0))))</f>
        <v>0</v>
      </c>
      <c r="M16" s="873"/>
      <c r="N16" s="873">
        <f>IF(INDEX(obalEvent203Year,xxIndexTeam)&gt;0,0,IF(I16=0,0,INDEX(DataPage!$N$309:$N$335,MATCH(I16,DataPage!$L$309:$L$335,0))))</f>
        <v>0</v>
      </c>
      <c r="O16" s="867"/>
    </row>
    <row r="17" spans="3:15" ht="6.75" customHeight="1">
      <c r="C17" s="872"/>
      <c r="D17" s="866"/>
      <c r="E17" s="866"/>
      <c r="F17" s="617"/>
      <c r="G17" s="866"/>
      <c r="H17" s="617"/>
      <c r="I17" s="1096"/>
      <c r="J17" s="873"/>
      <c r="K17" s="873"/>
      <c r="L17" s="873"/>
      <c r="M17" s="873"/>
      <c r="N17" s="873"/>
      <c r="O17" s="867"/>
    </row>
    <row r="18" spans="3:15" ht="14.25" customHeight="1">
      <c r="C18" s="872">
        <v>3</v>
      </c>
      <c r="D18" s="868" t="str">
        <f>VLOOKUP($C18,dataTableEventTitles,3,FALSE)</f>
        <v>Service Team Development</v>
      </c>
      <c r="E18" s="866"/>
      <c r="F18" s="617" t="str">
        <f>VLOOKUP(C18,dataTableEventTitles,4,FALSE)</f>
        <v>No Service</v>
      </c>
      <c r="G18" s="866"/>
      <c r="H18" s="617"/>
      <c r="I18" s="1096">
        <f>IF(INDEX(decEvent301Chosen,xxIndexTeam)=TRUE,301,0)</f>
        <v>0</v>
      </c>
      <c r="J18" s="873">
        <f>IF(INDEX(obalEvent301Year,xxIndexTeam)&gt;0,0,IF(I18=0,0,INDEX(DataPage!$O$309:$O$335,MATCH(I18,DataPage!$L$309:$L$335,0))))</f>
        <v>0</v>
      </c>
      <c r="K18" s="873"/>
      <c r="L18" s="873">
        <f>IF(INDEX(obalEvent301Year,xxIndexTeam)&gt;0,0,IF(I18=0,0,INDEX(DataPage!$P$309:$P$335,MATCH(I18,DataPage!$L$309:$L$335,0))))</f>
        <v>0</v>
      </c>
      <c r="M18" s="873"/>
      <c r="N18" s="873">
        <f>IF(INDEX(obalEvent301Year,xxIndexTeam)&gt;0,0,IF(I18=0,0,INDEX(DataPage!$N$309:$N$335,MATCH(I18,DataPage!$L$309:$L$335,0))))</f>
        <v>0</v>
      </c>
      <c r="O18" s="867"/>
    </row>
    <row r="19" spans="3:15" ht="14.25" customHeight="1">
      <c r="C19" s="872">
        <v>3</v>
      </c>
      <c r="D19" s="866"/>
      <c r="E19" s="866"/>
      <c r="F19" s="617" t="str">
        <f>VLOOKUP(C19,dataTableEventTitles,5,FALSE)</f>
        <v>Service</v>
      </c>
      <c r="G19" s="866"/>
      <c r="H19" s="617"/>
      <c r="I19" s="1096">
        <f>IF(INDEX(decEvent302Chosen,xxIndexTeam)=TRUE,302,0)</f>
        <v>0</v>
      </c>
      <c r="J19" s="873">
        <f>IF(INDEX(obalEvent302Year,xxIndexTeam)&gt;0,0,IF(I19=0,0,INDEX(DataPage!$O$309:$O$335,MATCH(I19,DataPage!$L$309:$L$335,0))))</f>
        <v>0</v>
      </c>
      <c r="K19" s="873"/>
      <c r="L19" s="873">
        <f>IF(INDEX(obalEvent302Year,xxIndexTeam)&gt;0,0,IF(I19=0,0,INDEX(DataPage!$P$309:$P$335,MATCH(I19,DataPage!$L$309:$L$335,0))))</f>
        <v>0</v>
      </c>
      <c r="M19" s="873"/>
      <c r="N19" s="873">
        <f>IF(INDEX(obalEvent302Year,xxIndexTeam)&gt;0,0,IF(I19=0,0,INDEX(DataPage!$N$309:$N$335,MATCH(I19,DataPage!$L$309:$L$335,0))))</f>
        <v>0</v>
      </c>
      <c r="O19" s="867"/>
    </row>
    <row r="20" spans="3:15" ht="6.75" customHeight="1">
      <c r="C20" s="872"/>
      <c r="D20" s="866"/>
      <c r="E20" s="866"/>
      <c r="F20" s="617"/>
      <c r="G20" s="866"/>
      <c r="H20" s="617"/>
      <c r="I20" s="1096"/>
      <c r="J20" s="873"/>
      <c r="K20" s="873"/>
      <c r="L20" s="873"/>
      <c r="M20" s="873"/>
      <c r="N20" s="873"/>
      <c r="O20" s="867"/>
    </row>
    <row r="21" spans="3:15" ht="14.25" customHeight="1">
      <c r="C21" s="865"/>
      <c r="D21" s="1099" t="s">
        <v>3333</v>
      </c>
      <c r="E21" s="866"/>
      <c r="F21" s="617"/>
      <c r="G21" s="866"/>
      <c r="H21" s="617"/>
      <c r="I21" s="866"/>
      <c r="J21" s="870"/>
      <c r="K21" s="871"/>
      <c r="L21" s="870"/>
      <c r="M21" s="871"/>
      <c r="N21" s="870"/>
      <c r="O21" s="867"/>
    </row>
    <row r="22" spans="3:15" ht="14.25" customHeight="1">
      <c r="C22" s="872">
        <v>4</v>
      </c>
      <c r="D22" s="868" t="str">
        <f>VLOOKUP($C22,dataTableEventTitles,3,FALSE)</f>
        <v>Innovating for Zipfer</v>
      </c>
      <c r="E22" s="866"/>
      <c r="F22" s="617" t="str">
        <f>VLOOKUP(C22,dataTableEventTitles,4,FALSE)</f>
        <v>Build</v>
      </c>
      <c r="G22" s="866"/>
      <c r="H22" s="617"/>
      <c r="I22" s="1096">
        <f>IF(INDEX(decEvent401Chosen,xxIndexTeam)=TRUE,401,0)</f>
        <v>0</v>
      </c>
      <c r="J22" s="873">
        <f>IF(INDEX(obalEvent401Year,xxIndexTeam)&gt;0,0,IF(I22=0,0,INDEX(DataPage!$O$309:$O$335,MATCH(I22,DataPage!$L$309:$L$335,0))))</f>
        <v>0</v>
      </c>
      <c r="K22" s="873"/>
      <c r="L22" s="873">
        <f>IF(INDEX(obalEvent401Year,xxIndexTeam)&gt;0,0,IF(I22=0,0,INDEX(DataPage!$P$309:$P$335,MATCH(I22,DataPage!$L$309:$L$335,0))))</f>
        <v>0</v>
      </c>
      <c r="M22" s="873"/>
      <c r="N22" s="873">
        <f>IF(INDEX(obalEvent401Year,xxIndexTeam)&gt;0,0,IF(I22=0,0,INDEX(DataPage!$N$309:$N$335,MATCH(I22,DataPage!$L$309:$L$335,0))))</f>
        <v>0</v>
      </c>
      <c r="O22" s="867"/>
    </row>
    <row r="23" spans="3:15" ht="14.25" customHeight="1">
      <c r="C23" s="872">
        <v>4</v>
      </c>
      <c r="D23" s="866"/>
      <c r="E23" s="866"/>
      <c r="F23" s="617" t="str">
        <f>VLOOKUP(C23,dataTableEventTitles,5,FALSE)</f>
        <v>Innovation Process</v>
      </c>
      <c r="G23" s="866"/>
      <c r="H23" s="617"/>
      <c r="I23" s="1096">
        <f>IF(INDEX(decEvent402Chosen,xxIndexTeam)=TRUE,402,0)</f>
        <v>0</v>
      </c>
      <c r="J23" s="873">
        <f>IF(INDEX(obalEvent402Year,xxIndexTeam)&gt;0,0,IF(I23=0,0,INDEX(DataPage!$O$309:$O$335,MATCH(I23,DataPage!$L$309:$L$335,0))))</f>
        <v>0</v>
      </c>
      <c r="K23" s="873"/>
      <c r="L23" s="873">
        <f>IF(INDEX(obalEvent402Year,xxIndexTeam)&gt;0,0,IF(I23=0,0,INDEX(DataPage!$P$309:$P$335,MATCH(I23,DataPage!$L$309:$L$335,0))))</f>
        <v>0</v>
      </c>
      <c r="M23" s="873"/>
      <c r="N23" s="873">
        <f>IF(INDEX(obalEvent402Year,xxIndexTeam)&gt;0,0,IF(I23=0,0,INDEX(DataPage!$N$309:$N$335,MATCH(I23,DataPage!$L$309:$L$335,0))))</f>
        <v>0</v>
      </c>
      <c r="O23" s="867"/>
    </row>
    <row r="24" spans="3:15" ht="14.25" customHeight="1">
      <c r="C24" s="872">
        <v>4</v>
      </c>
      <c r="D24" s="866"/>
      <c r="E24" s="866"/>
      <c r="F24" s="617" t="str">
        <f>VLOOKUP(C24,dataTableEventTitles,6,FALSE)</f>
        <v>No Build</v>
      </c>
      <c r="G24" s="866"/>
      <c r="H24" s="617"/>
      <c r="I24" s="1096">
        <f>IF(INDEX(decEvent403Chosen,xxIndexTeam)=TRUE,403,0)</f>
        <v>0</v>
      </c>
      <c r="J24" s="873">
        <f>IF(INDEX(obalEvent403Year,xxIndexTeam)&gt;0,0,IF(I24=0,0,INDEX(DataPage!$O$309:$O$335,MATCH(I24,DataPage!$L$309:$L$335,0))))</f>
        <v>0</v>
      </c>
      <c r="K24" s="873"/>
      <c r="L24" s="873">
        <f>IF(INDEX(obalEvent403Year,xxIndexTeam)&gt;0,0,IF(I24=0,0,INDEX(DataPage!$P$309:$P$335,MATCH(I24,DataPage!$L$309:$L$335,0))))</f>
        <v>0</v>
      </c>
      <c r="M24" s="873"/>
      <c r="N24" s="873">
        <f>IF(INDEX(obalEvent403Year,xxIndexTeam)&gt;0,0,IF(I24=0,0,INDEX(DataPage!$N$309:$N$335,MATCH(I24,DataPage!$L$309:$L$335,0))))</f>
        <v>0</v>
      </c>
      <c r="O24" s="867"/>
    </row>
    <row r="25" spans="3:15" ht="6.75" customHeight="1">
      <c r="C25" s="872"/>
      <c r="D25" s="866"/>
      <c r="E25" s="866"/>
      <c r="F25" s="617"/>
      <c r="G25" s="866"/>
      <c r="H25" s="617"/>
      <c r="I25" s="1096"/>
      <c r="J25" s="873"/>
      <c r="K25" s="873"/>
      <c r="L25" s="873"/>
      <c r="M25" s="873"/>
      <c r="N25" s="873"/>
      <c r="O25" s="867"/>
    </row>
    <row r="26" spans="3:15" ht="14.25" customHeight="1">
      <c r="C26" s="872">
        <v>5</v>
      </c>
      <c r="D26" s="868" t="str">
        <f>VLOOKUP($C26,dataTableEventTitles,3,FALSE)</f>
        <v>Leveraging Third Parties</v>
      </c>
      <c r="E26" s="866"/>
      <c r="F26" s="617" t="str">
        <f>VLOOKUP(C26,dataTableEventTitles,4,FALSE)</f>
        <v>Leverage 3rd Party</v>
      </c>
      <c r="G26" s="866"/>
      <c r="H26" s="617"/>
      <c r="I26" s="1096">
        <f>IF(INDEX(decEvent501Chosen,xxIndexTeam)=TRUE,501,0)</f>
        <v>0</v>
      </c>
      <c r="J26" s="873">
        <f>IF(INDEX(obalEvent501Year,xxIndexTeam)&gt;0,0,IF(I26=0,0,INDEX(DataPage!$O$309:$O$335,MATCH(I26,DataPage!$L$309:$L$335,0))))</f>
        <v>0</v>
      </c>
      <c r="K26" s="873"/>
      <c r="L26" s="873">
        <f>IF(INDEX(obalEvent501Year,xxIndexTeam)&gt;0,0,IF(I26=0,0,INDEX(DataPage!$P$309:$P$335,MATCH(I26,DataPage!$L$309:$L$335,0))))</f>
        <v>0</v>
      </c>
      <c r="M26" s="873"/>
      <c r="N26" s="873">
        <f>IF(INDEX(obalEvent501Year,xxIndexTeam)&gt;0,0,IF(I26=0,0,INDEX(DataPage!$N$309:$N$335,MATCH(I26,DataPage!$L$309:$L$335,0))))</f>
        <v>0</v>
      </c>
      <c r="O26" s="867"/>
    </row>
    <row r="27" spans="3:15" ht="14.25" customHeight="1">
      <c r="C27" s="872">
        <v>5</v>
      </c>
      <c r="D27" s="866"/>
      <c r="E27" s="866"/>
      <c r="F27" s="617" t="str">
        <f>VLOOKUP(C27,dataTableEventTitles,5,FALSE)</f>
        <v>Build and Charge</v>
      </c>
      <c r="G27" s="866"/>
      <c r="H27" s="617"/>
      <c r="I27" s="1096">
        <f>IF(INDEX(decEvent502Chosen,xxIndexTeam)=TRUE,502,0)</f>
        <v>0</v>
      </c>
      <c r="J27" s="873">
        <f>IF(INDEX(obalEvent502Year,xxIndexTeam)&gt;0,0,IF(I27=0,0,INDEX(DataPage!$O$309:$O$335,MATCH(I27,DataPage!$L$309:$L$335,0))))</f>
        <v>0</v>
      </c>
      <c r="K27" s="873"/>
      <c r="L27" s="873">
        <f>IF(INDEX(obalEvent502Year,xxIndexTeam)&gt;0,0,IF(I27=0,0,INDEX(DataPage!$P$309:$P$335,MATCH(I27,DataPage!$L$309:$L$335,0))))</f>
        <v>0</v>
      </c>
      <c r="M27" s="873"/>
      <c r="N27" s="873">
        <f>IF(INDEX(obalEvent502Year,xxIndexTeam)&gt;0,0,IF(I27=0,0,INDEX(DataPage!$N$309:$N$335,MATCH(I27,DataPage!$L$309:$L$335,0))))</f>
        <v>0</v>
      </c>
      <c r="O27" s="867"/>
    </row>
    <row r="28" spans="3:15" ht="14.25" customHeight="1">
      <c r="C28" s="872">
        <v>5</v>
      </c>
      <c r="D28" s="866"/>
      <c r="E28" s="866"/>
      <c r="F28" s="617" t="str">
        <f>VLOOKUP(C28,dataTableEventTitles,6,FALSE)</f>
        <v>Build and no Charge</v>
      </c>
      <c r="G28" s="866"/>
      <c r="H28" s="617"/>
      <c r="I28" s="1096">
        <f>IF(INDEX(decEvent503Chosen,xxIndexTeam)=TRUE,503,0)</f>
        <v>0</v>
      </c>
      <c r="J28" s="873">
        <f>IF(INDEX(obalEvent503Year,xxIndexTeam)&gt;0,0,IF(I28=0,0,INDEX(DataPage!$O$309:$O$335,MATCH(I28,DataPage!$L$309:$L$335,0))))</f>
        <v>0</v>
      </c>
      <c r="K28" s="873"/>
      <c r="L28" s="873">
        <f>IF(INDEX(obalEvent503Year,xxIndexTeam)&gt;0,0,IF(I28=0,0,INDEX(DataPage!$P$309:$P$335,MATCH(I28,DataPage!$L$309:$L$335,0))))</f>
        <v>0</v>
      </c>
      <c r="M28" s="873"/>
      <c r="N28" s="873">
        <f>IF(INDEX(obalEvent503Year,xxIndexTeam)&gt;0,0,IF(I28=0,0,INDEX(DataPage!$N$309:$N$335,MATCH(I28,DataPage!$L$309:$L$335,0))))</f>
        <v>0</v>
      </c>
      <c r="O28" s="867"/>
    </row>
    <row r="29" spans="3:15" ht="6.75" customHeight="1">
      <c r="C29" s="872"/>
      <c r="D29" s="866"/>
      <c r="E29" s="866"/>
      <c r="F29" s="617"/>
      <c r="G29" s="866"/>
      <c r="H29" s="617"/>
      <c r="I29" s="1096"/>
      <c r="J29" s="873"/>
      <c r="K29" s="873"/>
      <c r="L29" s="873"/>
      <c r="M29" s="873"/>
      <c r="N29" s="873"/>
      <c r="O29" s="867"/>
    </row>
    <row r="30" spans="3:15" ht="14.25" customHeight="1">
      <c r="C30" s="872">
        <v>6</v>
      </c>
      <c r="D30" s="868" t="str">
        <f>VLOOKUP($C30,dataTableEventTitles,3,FALSE)</f>
        <v>Buy, Create, or Partner</v>
      </c>
      <c r="E30" s="866"/>
      <c r="F30" s="617" t="str">
        <f>VLOOKUP(C30,dataTableEventTitles,4,FALSE)</f>
        <v>Buy</v>
      </c>
      <c r="G30" s="866"/>
      <c r="H30" s="617"/>
      <c r="I30" s="1096">
        <f>IF(INDEX(decEvent601Chosen,xxIndexTeam)=TRUE,601,0)</f>
        <v>0</v>
      </c>
      <c r="J30" s="873">
        <f>IF(INDEX(obalEvent601Year,xxIndexTeam)&gt;0,0,IF(I30=0,0,INDEX(DataPage!$O$309:$O$335,MATCH(I30,DataPage!$L$309:$L$335,0))))</f>
        <v>0</v>
      </c>
      <c r="K30" s="873"/>
      <c r="L30" s="873">
        <f>IF(INDEX(obalEvent601Year,xxIndexTeam)&gt;0,0,IF(I30=0,0,INDEX(DataPage!$P$309:$P$335,MATCH(I30,DataPage!$L$309:$L$335,0))))</f>
        <v>0</v>
      </c>
      <c r="M30" s="873"/>
      <c r="N30" s="873">
        <f>IF(INDEX(obalEvent601Year,xxIndexTeam)&gt;0,0,IF(I30=0,0,INDEX(DataPage!$N$309:$N$335,MATCH(I30,DataPage!$L$309:$L$335,0))))</f>
        <v>0</v>
      </c>
      <c r="O30" s="867"/>
    </row>
    <row r="31" spans="3:15" ht="14.25" customHeight="1">
      <c r="C31" s="872">
        <v>6</v>
      </c>
      <c r="D31" s="866"/>
      <c r="E31" s="866"/>
      <c r="F31" s="617" t="str">
        <f>VLOOKUP(C31,dataTableEventTitles,5,FALSE)</f>
        <v>Create</v>
      </c>
      <c r="G31" s="866"/>
      <c r="H31" s="617"/>
      <c r="I31" s="1096">
        <f>IF(INDEX(decEvent602Chosen,xxIndexTeam)=TRUE,602,0)</f>
        <v>0</v>
      </c>
      <c r="J31" s="873">
        <f>IF(INDEX(obalEvent602Year,xxIndexTeam)&gt;0,0,IF(I31=0,0,INDEX(DataPage!$O$309:$O$335,MATCH(I31,DataPage!$L$309:$L$335,0))))</f>
        <v>0</v>
      </c>
      <c r="K31" s="873"/>
      <c r="L31" s="873">
        <f>IF(INDEX(obalEvent602Year,xxIndexTeam)&gt;0,0,IF(I31=0,0,INDEX(DataPage!$P$309:$P$335,MATCH(I31,DataPage!$L$309:$L$335,0))))</f>
        <v>0</v>
      </c>
      <c r="M31" s="873"/>
      <c r="N31" s="873">
        <f>IF(INDEX(obalEvent602Year,xxIndexTeam)&gt;0,0,IF(I31=0,0,INDEX(DataPage!$N$309:$N$335,MATCH(I31,DataPage!$L$309:$L$335,0))))</f>
        <v>0</v>
      </c>
      <c r="O31" s="867"/>
    </row>
    <row r="32" spans="3:15" ht="14.25" customHeight="1">
      <c r="C32" s="872">
        <v>6</v>
      </c>
      <c r="D32" s="866"/>
      <c r="E32" s="866"/>
      <c r="F32" s="617" t="str">
        <f>VLOOKUP(C32,dataTableEventTitles,6,FALSE)</f>
        <v>Partner</v>
      </c>
      <c r="G32" s="866"/>
      <c r="H32" s="617"/>
      <c r="I32" s="1096">
        <f>IF(INDEX(decEvent603Chosen,xxIndexTeam)=TRUE,603,0)</f>
        <v>0</v>
      </c>
      <c r="J32" s="873">
        <f>IF(INDEX(obalEvent603Year,xxIndexTeam)&gt;0,0,IF(I32=0,0,INDEX(DataPage!$O$309:$O$335,MATCH(I32,DataPage!$L$309:$L$335,0))))</f>
        <v>0</v>
      </c>
      <c r="K32" s="873"/>
      <c r="L32" s="873">
        <f>IF(INDEX(obalEvent603Year,xxIndexTeam)&gt;0,0,IF(I32=0,0,INDEX(DataPage!$P$309:$P$335,MATCH(I32,DataPage!$L$309:$L$335,0))))</f>
        <v>0</v>
      </c>
      <c r="M32" s="873"/>
      <c r="N32" s="873">
        <f>IF(INDEX(obalEvent603Year,xxIndexTeam)&gt;0,0,IF(I32=0,0,INDEX(DataPage!$N$309:$N$335,MATCH(I32,DataPage!$L$309:$L$335,0))))</f>
        <v>0</v>
      </c>
      <c r="O32" s="867"/>
    </row>
    <row r="33" spans="3:15" ht="6.75" customHeight="1">
      <c r="C33" s="872"/>
      <c r="D33" s="866"/>
      <c r="E33" s="866"/>
      <c r="F33" s="617"/>
      <c r="G33" s="866"/>
      <c r="H33" s="617"/>
      <c r="I33" s="1096"/>
      <c r="J33" s="873"/>
      <c r="K33" s="873"/>
      <c r="L33" s="873"/>
      <c r="M33" s="873"/>
      <c r="N33" s="873"/>
      <c r="O33" s="867"/>
    </row>
    <row r="34" spans="3:15" ht="14.25" customHeight="1">
      <c r="C34" s="865"/>
      <c r="D34" s="1099" t="s">
        <v>3334</v>
      </c>
      <c r="E34" s="866"/>
      <c r="F34" s="617"/>
      <c r="G34" s="866"/>
      <c r="H34" s="617"/>
      <c r="I34" s="866"/>
      <c r="J34" s="870"/>
      <c r="K34" s="871"/>
      <c r="L34" s="870"/>
      <c r="M34" s="871"/>
      <c r="N34" s="870"/>
      <c r="O34" s="867"/>
    </row>
    <row r="35" spans="3:15" ht="14.25" customHeight="1">
      <c r="C35" s="872">
        <v>7</v>
      </c>
      <c r="D35" s="868" t="str">
        <f>VLOOKUP($C35,dataTableEventTitles,3,FALSE)</f>
        <v>Workforce Management</v>
      </c>
      <c r="E35" s="866"/>
      <c r="F35" s="617" t="str">
        <f>VLOOKUP(C35,dataTableEventTitles,4,FALSE)</f>
        <v>Hire More</v>
      </c>
      <c r="G35" s="866"/>
      <c r="H35" s="617"/>
      <c r="I35" s="1096">
        <f>IF(INDEX(decEvent701Chosen,xxIndexTeam)=TRUE,701,0)</f>
        <v>0</v>
      </c>
      <c r="J35" s="873">
        <f>IF(INDEX(obalEvent701Year,xxIndexTeam)&gt;0,0,IF(I35=0,0,INDEX(DataPage!$O$309:$O$335,MATCH(I35,DataPage!$L$309:$L$335,0))))</f>
        <v>0</v>
      </c>
      <c r="K35" s="873"/>
      <c r="L35" s="873">
        <f>IF(INDEX(obalEvent701Year,xxIndexTeam)&gt;0,0,IF(I35=0,0,INDEX(DataPage!$P$309:$P$335,MATCH(I35,DataPage!$L$309:$L$335,0))))</f>
        <v>0</v>
      </c>
      <c r="M35" s="873"/>
      <c r="N35" s="873">
        <f>IF(INDEX(obalEvent701Year,xxIndexTeam)&gt;0,0,IF(I35=0,0,INDEX(DataPage!$N$309:$N$335,MATCH(I35,DataPage!$L$309:$L$335,0))))</f>
        <v>0</v>
      </c>
      <c r="O35" s="867"/>
    </row>
    <row r="36" spans="3:15" ht="14.25" customHeight="1">
      <c r="C36" s="872">
        <v>7</v>
      </c>
      <c r="D36" s="866"/>
      <c r="E36" s="866"/>
      <c r="F36" s="617" t="str">
        <f>VLOOKUP(C36,dataTableEventTitles,5,FALSE)</f>
        <v>Leverage Tech</v>
      </c>
      <c r="G36" s="866"/>
      <c r="H36" s="617"/>
      <c r="I36" s="1096">
        <f>IF(INDEX(decEvent702Chosen,xxIndexTeam)=TRUE,702,0)</f>
        <v>0</v>
      </c>
      <c r="J36" s="873">
        <f>IF(INDEX(obalEvent702Year,xxIndexTeam)&gt;0,0,IF(I36=0,0,INDEX(DataPage!$O$309:$O$335,MATCH(I36,DataPage!$L$309:$L$335,0))))</f>
        <v>0</v>
      </c>
      <c r="K36" s="873"/>
      <c r="L36" s="873">
        <f>IF(INDEX(obalEvent702Year,xxIndexTeam)&gt;0,0,IF(I36=0,0,INDEX(DataPage!$P$309:$P$335,MATCH(I36,DataPage!$L$309:$L$335,0))))</f>
        <v>0</v>
      </c>
      <c r="M36" s="873"/>
      <c r="N36" s="873">
        <f>IF(INDEX(obalEvent702Year,xxIndexTeam)&gt;0,0,IF(I36=0,0,INDEX(DataPage!$N$309:$N$335,MATCH(I36,DataPage!$L$309:$L$335,0))))</f>
        <v>0</v>
      </c>
      <c r="O36" s="867"/>
    </row>
    <row r="37" spans="3:15" ht="14.25" customHeight="1">
      <c r="C37" s="872">
        <v>7</v>
      </c>
      <c r="D37" s="866"/>
      <c r="E37" s="866"/>
      <c r="F37" s="617" t="str">
        <f>VLOOKUP(C37,dataTableEventTitles,6,FALSE)</f>
        <v>Status Quo</v>
      </c>
      <c r="G37" s="866"/>
      <c r="H37" s="617"/>
      <c r="I37" s="1096">
        <f>IF(INDEX(decEvent702Chosen,xxIndexTeam)=TRUE,703,0)</f>
        <v>0</v>
      </c>
      <c r="J37" s="873">
        <f>IF(INDEX(obalEvent703Year,xxIndexTeam)&gt;0,0,IF(I37=0,0,INDEX(DataPage!$O$309:$O$335,MATCH(I37,DataPage!$L$309:$L$335,0))))</f>
        <v>0</v>
      </c>
      <c r="K37" s="873"/>
      <c r="L37" s="873">
        <f>IF(INDEX(obalEvent703Year,xxIndexTeam)&gt;0,0,IF(I37=0,0,INDEX(DataPage!$P$309:$P$335,MATCH(I37,DataPage!$L$309:$L$335,0))))</f>
        <v>0</v>
      </c>
      <c r="M37" s="873"/>
      <c r="N37" s="873">
        <f>IF(INDEX(obalEvent703Year,xxIndexTeam)&gt;0,0,IF(I37=0,0,INDEX(DataPage!$N$309:$N$335,MATCH(I37,DataPage!$L$309:$L$335,0))))</f>
        <v>0</v>
      </c>
      <c r="O37" s="867"/>
    </row>
    <row r="38" spans="3:15" ht="6.75" customHeight="1">
      <c r="C38" s="872"/>
      <c r="D38" s="866"/>
      <c r="E38" s="866"/>
      <c r="F38" s="617"/>
      <c r="G38" s="866"/>
      <c r="H38" s="617"/>
      <c r="I38" s="1096"/>
      <c r="J38" s="873"/>
      <c r="K38" s="873"/>
      <c r="L38" s="873"/>
      <c r="M38" s="873"/>
      <c r="N38" s="873"/>
      <c r="O38" s="867"/>
    </row>
    <row r="39" spans="3:15" ht="14.25" customHeight="1">
      <c r="C39" s="872">
        <v>8</v>
      </c>
      <c r="D39" s="868" t="str">
        <f>VLOOKUP($C39,dataTableEventTitles,3,FALSE)</f>
        <v>Acquisition Integration</v>
      </c>
      <c r="E39" s="866"/>
      <c r="F39" s="617" t="str">
        <f>VLOOKUP(C39,dataTableEventTitles,4,FALSE)</f>
        <v>Full Integrate</v>
      </c>
      <c r="G39" s="866"/>
      <c r="H39" s="617"/>
      <c r="I39" s="1096">
        <f>IF(INDEX(decEvent801Chosen,xxIndexTeam)=TRUE,801,0)</f>
        <v>0</v>
      </c>
      <c r="J39" s="873">
        <f>IF(INDEX(obalEvent801Year,xxIndexTeam)&gt;0,0,IF(I39=0,0,INDEX(DataPage!$O$309:$O$335,MATCH(I39,DataPage!$L$309:$L$335,0))))</f>
        <v>0</v>
      </c>
      <c r="K39" s="873"/>
      <c r="L39" s="873">
        <f>IF(INDEX(obalEvent801Year,xxIndexTeam)&gt;0,0,IF(I39=0,0,INDEX(DataPage!$P$309:$P$335,MATCH(I39,DataPage!$L$309:$L$335,0))))</f>
        <v>0</v>
      </c>
      <c r="M39" s="873"/>
      <c r="N39" s="873">
        <f>IF(INDEX(obalEvent801Year,xxIndexTeam)&gt;0,0,IF(I39=0,0,INDEX(DataPage!$N$309:$N$335,MATCH(I39,DataPage!$L$309:$L$335,0))))</f>
        <v>0</v>
      </c>
      <c r="O39" s="867"/>
    </row>
    <row r="40" spans="3:15" ht="14.25" customHeight="1">
      <c r="C40" s="872">
        <v>8</v>
      </c>
      <c r="D40" s="866"/>
      <c r="E40" s="866"/>
      <c r="F40" s="617" t="str">
        <f>VLOOKUP(C40,dataTableEventTitles,5,FALSE)</f>
        <v>Status Quo</v>
      </c>
      <c r="G40" s="866"/>
      <c r="H40" s="617"/>
      <c r="I40" s="1096">
        <f>IF(INDEX(decEvent802Chosen,xxIndexTeam)=TRUE,802,0)</f>
        <v>0</v>
      </c>
      <c r="J40" s="873">
        <f>IF(INDEX(obalEvent802Year,xxIndexTeam)&gt;0,0,IF(I40=0,0,INDEX(DataPage!$O$309:$O$335,MATCH(I40,DataPage!$L$309:$L$335,0))))</f>
        <v>0</v>
      </c>
      <c r="K40" s="873"/>
      <c r="L40" s="873">
        <f>IF(INDEX(obalEvent802Year,xxIndexTeam)&gt;0,0,IF(I40=0,0,INDEX(DataPage!$P$309:$P$335,MATCH(I40,DataPage!$L$309:$L$335,0))))</f>
        <v>0</v>
      </c>
      <c r="M40" s="873"/>
      <c r="N40" s="873">
        <f>IF(INDEX(obalEvent802Year,xxIndexTeam)&gt;0,0,IF(I40=0,0,INDEX(DataPage!$N$309:$N$335,MATCH(I40,DataPage!$L$309:$L$335,0))))</f>
        <v>0</v>
      </c>
      <c r="O40" s="867"/>
    </row>
    <row r="41" spans="3:15" ht="14.25" customHeight="1">
      <c r="C41" s="872">
        <v>8</v>
      </c>
      <c r="D41" s="866"/>
      <c r="E41" s="866"/>
      <c r="F41" s="617" t="str">
        <f>VLOOKUP(C41,dataTableEventTitles,6,FALSE)</f>
        <v>Partial Integrate</v>
      </c>
      <c r="G41" s="866"/>
      <c r="H41" s="617"/>
      <c r="I41" s="1096">
        <f>IF(INDEX(decEvent803Chosen,xxIndexTeam)=TRUE,803,0)</f>
        <v>0</v>
      </c>
      <c r="J41" s="873">
        <f>IF(INDEX(obalEvent803Year,xxIndexTeam)&gt;0,0,IF(I41=0,0,INDEX(DataPage!$O$309:$O$335,MATCH(I41,DataPage!$L$309:$L$335,0))))</f>
        <v>0</v>
      </c>
      <c r="K41" s="873"/>
      <c r="L41" s="873">
        <f>IF(INDEX(obalEvent803Year,xxIndexTeam)&gt;0,0,IF(I41=0,0,INDEX(DataPage!$P$309:$P$335,MATCH(I41,DataPage!$L$309:$L$335,0))))</f>
        <v>0</v>
      </c>
      <c r="M41" s="873"/>
      <c r="N41" s="873">
        <f>IF(INDEX(obalEvent803Year,xxIndexTeam)&gt;0,0,IF(I41=0,0,INDEX(DataPage!$N$309:$N$335,MATCH(I41,DataPage!$L$309:$L$335,0))))</f>
        <v>0</v>
      </c>
      <c r="O41" s="867"/>
    </row>
    <row r="42" spans="3:15" ht="6.75" customHeight="1">
      <c r="C42" s="872"/>
      <c r="D42" s="866"/>
      <c r="E42" s="866"/>
      <c r="F42" s="617"/>
      <c r="G42" s="866"/>
      <c r="H42" s="617"/>
      <c r="I42" s="1096"/>
      <c r="J42" s="873"/>
      <c r="K42" s="873"/>
      <c r="L42" s="873"/>
      <c r="M42" s="873"/>
      <c r="N42" s="873"/>
      <c r="O42" s="867"/>
    </row>
    <row r="43" spans="3:15" ht="14.25" customHeight="1">
      <c r="C43" s="872">
        <v>9</v>
      </c>
      <c r="D43" s="868" t="str">
        <f>VLOOKUP($C43,dataTableEventTitles,3,FALSE)</f>
        <v>Open Platforms</v>
      </c>
      <c r="E43" s="866"/>
      <c r="F43" s="617" t="str">
        <f>VLOOKUP(C43,dataTableEventTitles,4,FALSE)</f>
        <v>Not Open Platform</v>
      </c>
      <c r="G43" s="866"/>
      <c r="H43" s="617"/>
      <c r="I43" s="1096">
        <f>IF(INDEX(decEvent901Chosen,xxIndexTeam)=TRUE,901,0)</f>
        <v>0</v>
      </c>
      <c r="J43" s="873">
        <f>IF(INDEX(obalEvent901Year,xxIndexTeam)&gt;0,0,IF(I43=0,0,INDEX(DataPage!$O$309:$O$335,MATCH(I43,DataPage!$L$309:$L$335,0))))</f>
        <v>0</v>
      </c>
      <c r="K43" s="873"/>
      <c r="L43" s="873">
        <f>IF(INDEX(obalEvent901Year,xxIndexTeam)&gt;0,0,IF(I43=0,0,INDEX(DataPage!$P$309:$P$335,MATCH(I43,DataPage!$L$309:$L$335,0))))</f>
        <v>0</v>
      </c>
      <c r="M43" s="873"/>
      <c r="N43" s="873">
        <f>IF(INDEX(obalEvent901Year,xxIndexTeam)&gt;0,0,IF(I43=0,0,INDEX(DataPage!$N$309:$N$335,MATCH(I43,DataPage!$L$309:$L$335,0))))</f>
        <v>0</v>
      </c>
      <c r="O43" s="867"/>
    </row>
    <row r="44" spans="3:15" ht="14.25" customHeight="1">
      <c r="C44" s="872">
        <v>9</v>
      </c>
      <c r="D44" s="866"/>
      <c r="E44" s="866"/>
      <c r="F44" s="617" t="str">
        <f>VLOOKUP(C44,dataTableEventTitles,5,FALSE)</f>
        <v>Open Platform</v>
      </c>
      <c r="G44" s="866"/>
      <c r="H44" s="617"/>
      <c r="I44" s="1096">
        <f>IF(INDEX(decEvent902Chosen,xxIndexTeam)=TRUE,902,0)</f>
        <v>0</v>
      </c>
      <c r="J44" s="873">
        <f>IF(INDEX(obalEvent902Year,xxIndexTeam)&gt;0,0,IF(I44=0,0,INDEX(DataPage!$O$309:$O$335,MATCH(I44,DataPage!$L$309:$L$335,0))))</f>
        <v>0</v>
      </c>
      <c r="K44" s="873"/>
      <c r="L44" s="873">
        <f>IF(INDEX(obalEvent902Year,xxIndexTeam)&gt;0,0,IF(I44=0,0,INDEX(DataPage!$P$309:$P$335,MATCH(I44,DataPage!$L$309:$L$335,0))))</f>
        <v>0</v>
      </c>
      <c r="M44" s="873"/>
      <c r="N44" s="873">
        <f>IF(INDEX(obalEvent902Year,xxIndexTeam)&gt;0,0,IF(I44=0,0,INDEX(DataPage!$N$309:$N$335,MATCH(I44,DataPage!$L$309:$L$335,0))))</f>
        <v>0</v>
      </c>
      <c r="O44" s="867"/>
    </row>
    <row r="45" spans="3:15" ht="14.25" customHeight="1">
      <c r="C45" s="865"/>
      <c r="D45" s="617"/>
      <c r="E45" s="866"/>
      <c r="F45" s="617"/>
      <c r="G45" s="866"/>
      <c r="H45" s="617"/>
      <c r="I45" s="866"/>
      <c r="J45" s="870"/>
      <c r="K45" s="871"/>
      <c r="L45" s="870"/>
      <c r="M45" s="871"/>
      <c r="N45" s="870"/>
      <c r="O45" s="867"/>
    </row>
    <row r="46" spans="3:15" ht="14.25" customHeight="1">
      <c r="C46" s="865"/>
      <c r="D46" s="617"/>
      <c r="E46" s="866"/>
      <c r="F46" s="617"/>
      <c r="G46" s="866"/>
      <c r="H46" s="617"/>
      <c r="I46" s="866"/>
      <c r="J46" s="870"/>
      <c r="K46" s="871"/>
      <c r="L46" s="870"/>
      <c r="M46" s="871"/>
      <c r="N46" s="870"/>
      <c r="O46" s="867"/>
    </row>
    <row r="47" spans="3:15" ht="17.25" customHeight="1">
      <c r="C47" s="865"/>
      <c r="D47" s="1032" t="s">
        <v>2795</v>
      </c>
      <c r="E47" s="1032"/>
      <c r="F47" s="1033" t="s">
        <v>960</v>
      </c>
      <c r="G47" s="1032"/>
      <c r="H47" s="1032" t="s">
        <v>1741</v>
      </c>
      <c r="I47" s="1034"/>
      <c r="J47" s="1033" t="s">
        <v>3135</v>
      </c>
      <c r="K47" s="871"/>
      <c r="L47" s="870"/>
      <c r="M47" s="871"/>
      <c r="N47" s="870"/>
      <c r="O47" s="867"/>
    </row>
    <row r="48" spans="3:15" ht="17.25" customHeight="1">
      <c r="C48" s="865"/>
      <c r="D48" s="868" t="str">
        <f>DataNameProd1</f>
        <v>Growth</v>
      </c>
      <c r="E48" s="868"/>
      <c r="F48" s="869"/>
      <c r="G48" s="868"/>
      <c r="H48" s="868"/>
      <c r="I48" s="866"/>
      <c r="J48" s="887"/>
      <c r="K48" s="871"/>
      <c r="L48" s="870"/>
      <c r="M48" s="871"/>
      <c r="N48" s="870"/>
      <c r="O48" s="867"/>
    </row>
    <row r="49" spans="3:18" ht="14.25" customHeight="1">
      <c r="C49" s="865"/>
      <c r="D49" s="617" t="s">
        <v>3131</v>
      </c>
      <c r="E49" s="866"/>
      <c r="F49" s="873">
        <f>INDEX(finPNLProd1Rev,xxIndexTeam)</f>
        <v>2008782289.0972757</v>
      </c>
      <c r="G49" s="866"/>
      <c r="H49" s="874">
        <f>(F49/INDEX(obalPNLProd1Rev,xxIndexTeam))-1</f>
        <v>0</v>
      </c>
      <c r="I49" s="866"/>
      <c r="J49" s="886"/>
      <c r="K49" s="866"/>
      <c r="L49" s="866"/>
      <c r="M49" s="866"/>
      <c r="N49" s="866"/>
      <c r="O49" s="867"/>
    </row>
    <row r="50" spans="3:18" ht="14.25" customHeight="1">
      <c r="C50" s="865"/>
      <c r="D50" s="617" t="s">
        <v>3132</v>
      </c>
      <c r="E50" s="866"/>
      <c r="F50" s="873">
        <f>INDEX(finPNLProd1OperatingExp,xxIndexTeam)-INDEX(finPNLProd1SpecProgExp,xxIndexTeam)</f>
        <v>1562052261.3367825</v>
      </c>
      <c r="G50" s="866"/>
      <c r="H50" s="874">
        <f>(F50/(INDEX(obalPNLProd1OperatingExp,xxIndexTeam)-INDEX(obalPNLProd1SpecProgExp,xxIndexTeam)))-1</f>
        <v>0</v>
      </c>
      <c r="I50" s="866"/>
      <c r="J50" s="914">
        <f>F50/$F$49</f>
        <v>0.77761152605479777</v>
      </c>
      <c r="K50" s="866"/>
      <c r="L50" s="866"/>
      <c r="M50" s="866"/>
      <c r="N50" s="866"/>
      <c r="O50" s="867"/>
    </row>
    <row r="51" spans="3:18" ht="14.25" customHeight="1">
      <c r="C51" s="865"/>
      <c r="D51" s="607" t="s">
        <v>3136</v>
      </c>
      <c r="E51" s="866"/>
      <c r="F51" s="609">
        <f>INDEX(finPNLProd1EmpExp,xxIndexTeam)</f>
        <v>1001854815.114001</v>
      </c>
      <c r="G51" s="866"/>
      <c r="H51" s="874">
        <f>(F51/INDEX(obalPNLProd1EmpExp,xxIndexTeam))-1</f>
        <v>0</v>
      </c>
      <c r="I51" s="866"/>
      <c r="J51" s="914">
        <f t="shared" ref="J51:J54" si="0">F51/$F$49</f>
        <v>0.49873737963123088</v>
      </c>
      <c r="K51" s="866"/>
      <c r="L51" s="866"/>
      <c r="M51" s="866"/>
      <c r="N51" s="866"/>
      <c r="O51" s="867"/>
    </row>
    <row r="52" spans="3:18" ht="14.25" customHeight="1">
      <c r="C52" s="865"/>
      <c r="D52" s="607" t="s">
        <v>3137</v>
      </c>
      <c r="E52" s="866"/>
      <c r="F52" s="609">
        <f>INDEX(finPNLProd1RevExp,xxIndexTeam)</f>
        <v>266948803.86617649</v>
      </c>
      <c r="G52" s="866"/>
      <c r="H52" s="874">
        <f>(F52/INDEX(obalPNLProd1RevExp,xxIndexTeam))-1</f>
        <v>0</v>
      </c>
      <c r="I52" s="866"/>
      <c r="J52" s="914">
        <f t="shared" si="0"/>
        <v>0.1328908589621926</v>
      </c>
      <c r="K52" s="866"/>
      <c r="L52" s="866"/>
      <c r="M52" s="866"/>
      <c r="N52" s="866"/>
      <c r="O52" s="867"/>
    </row>
    <row r="53" spans="3:18" ht="14.25" customHeight="1">
      <c r="C53" s="865"/>
      <c r="D53" s="607" t="s">
        <v>3138</v>
      </c>
      <c r="E53" s="866"/>
      <c r="F53" s="609">
        <f>INDEX(finPNLProd1ProdDevExp,xxIndexTeam)</f>
        <v>9026802.4796463959</v>
      </c>
      <c r="G53" s="866"/>
      <c r="H53" s="874">
        <f>(F53/INDEX(obalPNLProd1ProdDevExp,xxIndexTeam))-1</f>
        <v>0</v>
      </c>
      <c r="I53" s="866"/>
      <c r="J53" s="914">
        <f t="shared" si="0"/>
        <v>4.4936688901727325E-3</v>
      </c>
      <c r="K53" s="866"/>
      <c r="L53" s="866"/>
      <c r="M53" s="866"/>
      <c r="N53" s="866"/>
      <c r="O53" s="867"/>
    </row>
    <row r="54" spans="3:18" ht="14.25" customHeight="1">
      <c r="C54" s="865"/>
      <c r="D54" s="607" t="s">
        <v>3139</v>
      </c>
      <c r="E54" s="866"/>
      <c r="F54" s="609">
        <f>INDEX(finPNLProd1AdminInfraExp,xxIndexTeam)</f>
        <v>226584547.95816207</v>
      </c>
      <c r="G54" s="866"/>
      <c r="H54" s="874">
        <f>(F54/INDEX(obalPNLProd1AdminInfraExp,xxIndexTeam))-1</f>
        <v>0</v>
      </c>
      <c r="I54" s="866"/>
      <c r="J54" s="914">
        <f t="shared" si="0"/>
        <v>0.11279696619586717</v>
      </c>
      <c r="K54" s="866"/>
      <c r="L54" s="866"/>
      <c r="M54" s="866"/>
      <c r="N54" s="866"/>
      <c r="O54" s="867"/>
    </row>
    <row r="55" spans="3:18" ht="14.25" customHeight="1">
      <c r="C55" s="865"/>
      <c r="D55" s="607" t="s">
        <v>3140</v>
      </c>
      <c r="E55" s="866"/>
      <c r="F55" s="609">
        <f>INDEX(finPNLProd1OtherOpExp,xxIndexTeam)-INDEX(finPNLProd1SpecProgExp,xxIndexTeam)</f>
        <v>57637291.918796688</v>
      </c>
      <c r="G55" s="866"/>
      <c r="H55" s="874">
        <f>(F55/(INDEX(obalPNLProd1OtherOpExp,xxIndexTeam)-INDEX(obalPNLProd1SpecProgExp,xxIndexTeam)))-1</f>
        <v>0</v>
      </c>
      <c r="I55" s="866"/>
      <c r="J55" s="914"/>
      <c r="K55" s="866"/>
      <c r="L55" s="866"/>
      <c r="M55" s="866"/>
      <c r="N55" s="866"/>
      <c r="O55" s="867"/>
    </row>
    <row r="56" spans="3:18" ht="14.25" customHeight="1">
      <c r="C56" s="865"/>
      <c r="D56" s="617" t="s">
        <v>3133</v>
      </c>
      <c r="E56" s="866"/>
      <c r="F56" s="699">
        <f>INDEX(finPNLProd1OperatingMargin,xxIndexTeam)</f>
        <v>0.13904791946092745</v>
      </c>
      <c r="G56" s="866"/>
      <c r="H56" s="874">
        <f>(F56/INDEX(obalPNLProd1OperatingMargin,xxIndexTeam))-1</f>
        <v>0</v>
      </c>
      <c r="I56" s="866"/>
      <c r="J56" s="886"/>
      <c r="K56" s="866"/>
      <c r="L56" s="866"/>
      <c r="M56" s="866"/>
      <c r="N56" s="866"/>
      <c r="O56" s="867"/>
      <c r="R56" s="1199"/>
    </row>
    <row r="57" spans="3:18" ht="14.25" customHeight="1">
      <c r="C57" s="865"/>
      <c r="D57" s="617" t="s">
        <v>3141</v>
      </c>
      <c r="E57" s="866"/>
      <c r="F57" s="699">
        <f>INDEX(capProd1CancellationRate,xxIndexTeam)</f>
        <v>4.7092500000000002E-2</v>
      </c>
      <c r="G57" s="866"/>
      <c r="H57" s="874">
        <f>(F57/INDEX(obalProd1CancellationRate,xxIndexTeam))-1</f>
        <v>-5.8150000000000035E-2</v>
      </c>
      <c r="I57" s="866"/>
      <c r="J57" s="886"/>
      <c r="K57" s="866"/>
      <c r="L57" s="866"/>
      <c r="M57" s="866"/>
      <c r="N57" s="866"/>
      <c r="O57" s="867"/>
      <c r="R57" s="1199"/>
    </row>
    <row r="58" spans="3:18" ht="14.25" customHeight="1">
      <c r="C58" s="865"/>
      <c r="D58" s="617"/>
      <c r="E58" s="866"/>
      <c r="F58" s="699"/>
      <c r="G58" s="866"/>
      <c r="H58" s="874"/>
      <c r="I58" s="866"/>
      <c r="J58" s="886"/>
      <c r="K58" s="866"/>
      <c r="L58" s="866"/>
      <c r="M58" s="866"/>
      <c r="N58" s="866"/>
      <c r="O58" s="867"/>
      <c r="R58" s="1199"/>
    </row>
    <row r="59" spans="3:18" ht="14.25" customHeight="1">
      <c r="C59" s="865"/>
      <c r="D59" s="868" t="str">
        <f>DataNameProd2</f>
        <v>Transform</v>
      </c>
      <c r="E59" s="866"/>
      <c r="F59" s="699"/>
      <c r="G59" s="866"/>
      <c r="H59" s="874"/>
      <c r="I59" s="866"/>
      <c r="J59" s="886"/>
      <c r="K59" s="866"/>
      <c r="L59" s="866"/>
      <c r="M59" s="866"/>
      <c r="N59" s="866"/>
      <c r="O59" s="867"/>
      <c r="R59" s="1199"/>
    </row>
    <row r="60" spans="3:18" ht="14.25" customHeight="1">
      <c r="C60" s="865"/>
      <c r="D60" s="617" t="s">
        <v>3131</v>
      </c>
      <c r="E60" s="866"/>
      <c r="F60" s="873">
        <f>INDEX(finPNLProd2Rev,xxIndexTeam)</f>
        <v>2402628685.4051218</v>
      </c>
      <c r="G60" s="866"/>
      <c r="H60" s="874">
        <f>(F60/INDEX(obalPNLProd2Rev,xxIndexTeam))-1</f>
        <v>0</v>
      </c>
      <c r="I60" s="866"/>
      <c r="J60" s="886"/>
      <c r="K60" s="866"/>
      <c r="L60" s="866"/>
      <c r="M60" s="866"/>
      <c r="N60" s="866"/>
      <c r="O60" s="867"/>
    </row>
    <row r="61" spans="3:18" ht="14.25" customHeight="1">
      <c r="C61" s="865"/>
      <c r="D61" s="617" t="s">
        <v>3132</v>
      </c>
      <c r="E61" s="866"/>
      <c r="F61" s="873">
        <f>INDEX(finPNLProd2OperatingExp,xxIndexTeam)-INDEX(finPNLProd2SpecProgExp,xxIndexTeam)</f>
        <v>1639100585.3676705</v>
      </c>
      <c r="G61" s="866"/>
      <c r="H61" s="874">
        <f>(F61/(INDEX(obalPNLProd2OperatingExp,xxIndexTeam)-INDEX(obalPNLProd2SpecProgExp,xxIndexTeam)))-1</f>
        <v>0</v>
      </c>
      <c r="I61" s="866"/>
      <c r="J61" s="914">
        <f>F61/F60</f>
        <v>0.68221136096662049</v>
      </c>
      <c r="K61" s="866"/>
      <c r="L61" s="866"/>
      <c r="M61" s="866"/>
      <c r="N61" s="866"/>
      <c r="O61" s="867"/>
    </row>
    <row r="62" spans="3:18" ht="14.25" customHeight="1">
      <c r="C62" s="865"/>
      <c r="D62" s="607" t="s">
        <v>3136</v>
      </c>
      <c r="E62" s="866"/>
      <c r="F62" s="609">
        <f>INDEX(finPNLProd2EmpExp,xxIndexTeam)</f>
        <v>1025346254.1167679</v>
      </c>
      <c r="G62" s="866"/>
      <c r="H62" s="874">
        <f>(F62/INDEX(obalPNLProd2EmpExp,xxIndexTeam))-1</f>
        <v>0</v>
      </c>
      <c r="I62" s="866"/>
      <c r="J62" s="914">
        <f>F62/$F$60</f>
        <v>0.42676018160662144</v>
      </c>
      <c r="K62" s="866"/>
      <c r="L62" s="866"/>
      <c r="M62" s="866"/>
      <c r="N62" s="866"/>
      <c r="O62" s="867"/>
    </row>
    <row r="63" spans="3:18" ht="14.25" customHeight="1">
      <c r="C63" s="865"/>
      <c r="D63" s="607" t="s">
        <v>3137</v>
      </c>
      <c r="E63" s="866"/>
      <c r="F63" s="609">
        <f>INDEX(finPNLProd2RevExp,xxIndexTeam)</f>
        <v>287502973.60750771</v>
      </c>
      <c r="G63" s="866"/>
      <c r="H63" s="874">
        <f>(F63/INDEX(obalPNLProd2RevExp,xxIndexTeam))-1</f>
        <v>0</v>
      </c>
      <c r="I63" s="866"/>
      <c r="J63" s="914">
        <f t="shared" ref="J63:J65" si="1">F63/$F$60</f>
        <v>0.11966184177936345</v>
      </c>
      <c r="K63" s="866"/>
      <c r="L63" s="866"/>
      <c r="M63" s="866"/>
      <c r="N63" s="866"/>
      <c r="O63" s="867"/>
    </row>
    <row r="64" spans="3:18" ht="14.25" customHeight="1">
      <c r="C64" s="865"/>
      <c r="D64" s="607" t="s">
        <v>3138</v>
      </c>
      <c r="E64" s="866"/>
      <c r="F64" s="609">
        <f>INDEX(finPNLProd2ProdDevExp,xxIndexTeam)</f>
        <v>9473197.520353606</v>
      </c>
      <c r="G64" s="866"/>
      <c r="H64" s="874">
        <f>(F64/INDEX(obalPNLProd2ProdDevExp,xxIndexTeam))-1</f>
        <v>0</v>
      </c>
      <c r="I64" s="866"/>
      <c r="J64" s="914">
        <f t="shared" si="1"/>
        <v>3.9428470898974022E-3</v>
      </c>
      <c r="K64" s="866"/>
      <c r="L64" s="866"/>
      <c r="M64" s="866"/>
      <c r="N64" s="866"/>
      <c r="O64" s="867"/>
    </row>
    <row r="65" spans="3:22" ht="14.25" customHeight="1">
      <c r="C65" s="865"/>
      <c r="D65" s="607" t="s">
        <v>3139</v>
      </c>
      <c r="E65" s="866"/>
      <c r="F65" s="609">
        <f>INDEX(finPNLProd2AdminInfraExp,xxIndexTeam)</f>
        <v>253415452.04183793</v>
      </c>
      <c r="G65" s="866"/>
      <c r="H65" s="874">
        <f>(F65/INDEX(obalPNLProd2AdminInfraExp,xxIndexTeam))-1</f>
        <v>0</v>
      </c>
      <c r="I65" s="866"/>
      <c r="J65" s="914">
        <f t="shared" si="1"/>
        <v>0.10547424726143566</v>
      </c>
      <c r="K65" s="866"/>
      <c r="L65" s="866"/>
      <c r="M65" s="866"/>
      <c r="N65" s="866"/>
      <c r="O65" s="867"/>
    </row>
    <row r="66" spans="3:22" ht="14.25" customHeight="1">
      <c r="C66" s="865"/>
      <c r="D66" s="607" t="s">
        <v>3140</v>
      </c>
      <c r="E66" s="866"/>
      <c r="F66" s="609">
        <f>INDEX(finPNLProd2OtherOpExp,xxIndexTeam)-INDEX(finPNLProd2SpecProgExp,xxIndexTeam)</f>
        <v>63362708.081203319</v>
      </c>
      <c r="G66" s="866"/>
      <c r="H66" s="874">
        <f>(F66/(INDEX(obalPNLProd2OtherOpExp,xxIndexTeam)-INDEX(obalPNLProd2SpecProgExp,xxIndexTeam)))-1</f>
        <v>0</v>
      </c>
      <c r="I66" s="866"/>
      <c r="J66" s="914"/>
      <c r="K66" s="866"/>
      <c r="L66" s="866"/>
      <c r="M66" s="866"/>
      <c r="N66" s="866"/>
      <c r="O66" s="867"/>
    </row>
    <row r="67" spans="3:22" ht="14.25" customHeight="1">
      <c r="C67" s="865"/>
      <c r="D67" s="617" t="s">
        <v>3133</v>
      </c>
      <c r="E67" s="866"/>
      <c r="F67" s="699">
        <f>INDEX(finPNLProd2OperatingMargin,xxIndexTeam)</f>
        <v>0.23260410028815165</v>
      </c>
      <c r="G67" s="866"/>
      <c r="H67" s="874">
        <f>(F67/INDEX(obalPNLProd2OperatingMargin,xxIndexTeam))-1</f>
        <v>0</v>
      </c>
      <c r="I67" s="866"/>
      <c r="J67" s="866"/>
      <c r="K67" s="866"/>
      <c r="L67" s="866"/>
      <c r="M67" s="866"/>
      <c r="N67" s="866"/>
      <c r="O67" s="867"/>
    </row>
    <row r="68" spans="3:22" ht="14.25" customHeight="1">
      <c r="C68" s="865"/>
      <c r="D68" s="617" t="s">
        <v>3141</v>
      </c>
      <c r="E68" s="866"/>
      <c r="F68" s="699">
        <f>INDEX(capProd2CancellationRate,xxIndexTeam)</f>
        <v>0.11444399999999999</v>
      </c>
      <c r="G68" s="866"/>
      <c r="H68" s="874">
        <f>(F68/INDEX(obalProd2CancellationRate,xxIndexTeam))-1</f>
        <v>-4.6300000000000008E-2</v>
      </c>
      <c r="I68" s="866"/>
      <c r="J68" s="886"/>
      <c r="K68" s="866"/>
      <c r="L68" s="866"/>
      <c r="M68" s="866"/>
      <c r="N68" s="866"/>
      <c r="O68" s="867"/>
      <c r="R68" s="1199"/>
    </row>
    <row r="69" spans="3:22" ht="14.25" customHeight="1">
      <c r="C69" s="865"/>
      <c r="D69" s="617"/>
      <c r="E69" s="866"/>
      <c r="F69" s="699"/>
      <c r="G69" s="866"/>
      <c r="H69" s="874"/>
      <c r="I69" s="866"/>
      <c r="J69" s="866"/>
      <c r="K69" s="866"/>
      <c r="L69" s="866"/>
      <c r="M69" s="866"/>
      <c r="N69" s="866"/>
      <c r="O69" s="867"/>
    </row>
    <row r="70" spans="3:22" ht="14.25" customHeight="1">
      <c r="C70" s="865"/>
      <c r="D70" s="617" t="s">
        <v>450</v>
      </c>
      <c r="E70" s="866"/>
      <c r="F70" s="1307">
        <f>INDEX(capCSAT,xxIndexTeam)</f>
        <v>63</v>
      </c>
      <c r="G70" s="866"/>
      <c r="H70" s="874">
        <f>(F70/INDEX(obalCSAT,xxIndexTeam))-1</f>
        <v>0</v>
      </c>
      <c r="I70" s="866"/>
      <c r="J70" s="866"/>
      <c r="K70" s="866"/>
      <c r="L70" s="866"/>
      <c r="M70" s="866"/>
      <c r="N70" s="866"/>
      <c r="O70" s="867"/>
    </row>
    <row r="71" spans="3:22" ht="14.25" customHeight="1">
      <c r="C71" s="865"/>
      <c r="D71" s="617" t="s">
        <v>447</v>
      </c>
      <c r="E71" s="866"/>
      <c r="F71" s="1307">
        <f>INDEX(capESAT,xxIndexTeam)</f>
        <v>63</v>
      </c>
      <c r="G71" s="866"/>
      <c r="H71" s="874">
        <f>(F71/INDEX(obalESAT,xxIndexTeam))-1</f>
        <v>0</v>
      </c>
      <c r="I71" s="866"/>
      <c r="J71" s="866"/>
      <c r="K71" s="866"/>
      <c r="L71" s="866"/>
      <c r="M71" s="866"/>
      <c r="N71" s="866"/>
      <c r="O71" s="867"/>
    </row>
    <row r="72" spans="3:22" ht="33" customHeight="1" thickBot="1">
      <c r="C72" s="876"/>
      <c r="D72" s="877"/>
      <c r="E72" s="877"/>
      <c r="F72" s="877"/>
      <c r="G72" s="878"/>
      <c r="H72" s="877"/>
      <c r="I72" s="877"/>
      <c r="J72" s="877"/>
      <c r="K72" s="877"/>
      <c r="L72" s="877"/>
      <c r="M72" s="877"/>
      <c r="N72" s="877"/>
      <c r="O72" s="879"/>
      <c r="U72" s="1200"/>
      <c r="V72" s="1200"/>
    </row>
    <row r="80" spans="3:22">
      <c r="N80" s="1199" t="s">
        <v>531</v>
      </c>
    </row>
    <row r="82" spans="10:14">
      <c r="J82" s="1199" t="s">
        <v>531</v>
      </c>
    </row>
    <row r="84" spans="10:14">
      <c r="N84" s="1199" t="s">
        <v>531</v>
      </c>
    </row>
  </sheetData>
  <mergeCells count="1">
    <mergeCell ref="C3:O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37481" r:id="rId3" name="Check Box 9">
              <controlPr defaultSize="0" autoFill="0" autoLine="0" autoPict="0" macro="[0]!Blank">
                <anchor moveWithCells="1">
                  <from>
                    <xdr:col>7</xdr:col>
                    <xdr:colOff>85725</xdr:colOff>
                    <xdr:row>9</xdr:row>
                    <xdr:rowOff>0</xdr:rowOff>
                  </from>
                  <to>
                    <xdr:col>7</xdr:col>
                    <xdr:colOff>314325</xdr:colOff>
                    <xdr:row>10</xdr:row>
                    <xdr:rowOff>28575</xdr:rowOff>
                  </to>
                </anchor>
              </controlPr>
            </control>
          </mc:Choice>
        </mc:AlternateContent>
        <mc:AlternateContent xmlns:mc="http://schemas.openxmlformats.org/markup-compatibility/2006">
          <mc:Choice Requires="x14">
            <control shapeId="8937482" r:id="rId4" name="Check Box 10">
              <controlPr defaultSize="0" autoFill="0" autoLine="0" autoPict="0" macro="[0]!Blank">
                <anchor moveWithCells="1">
                  <from>
                    <xdr:col>7</xdr:col>
                    <xdr:colOff>85725</xdr:colOff>
                    <xdr:row>10</xdr:row>
                    <xdr:rowOff>0</xdr:rowOff>
                  </from>
                  <to>
                    <xdr:col>7</xdr:col>
                    <xdr:colOff>314325</xdr:colOff>
                    <xdr:row>11</xdr:row>
                    <xdr:rowOff>28575</xdr:rowOff>
                  </to>
                </anchor>
              </controlPr>
            </control>
          </mc:Choice>
        </mc:AlternateContent>
        <mc:AlternateContent xmlns:mc="http://schemas.openxmlformats.org/markup-compatibility/2006">
          <mc:Choice Requires="x14">
            <control shapeId="8937483" r:id="rId5" name="Check Box 11">
              <controlPr defaultSize="0" autoFill="0" autoLine="0" autoPict="0" macro="[0]!Blank">
                <anchor moveWithCells="1">
                  <from>
                    <xdr:col>7</xdr:col>
                    <xdr:colOff>85725</xdr:colOff>
                    <xdr:row>11</xdr:row>
                    <xdr:rowOff>0</xdr:rowOff>
                  </from>
                  <to>
                    <xdr:col>7</xdr:col>
                    <xdr:colOff>314325</xdr:colOff>
                    <xdr:row>12</xdr:row>
                    <xdr:rowOff>28575</xdr:rowOff>
                  </to>
                </anchor>
              </controlPr>
            </control>
          </mc:Choice>
        </mc:AlternateContent>
        <mc:AlternateContent xmlns:mc="http://schemas.openxmlformats.org/markup-compatibility/2006">
          <mc:Choice Requires="x14">
            <control shapeId="8937484" r:id="rId6" name="Check Box 12">
              <controlPr defaultSize="0" autoFill="0" autoLine="0" autoPict="0">
                <anchor moveWithCells="1">
                  <from>
                    <xdr:col>7</xdr:col>
                    <xdr:colOff>85725</xdr:colOff>
                    <xdr:row>13</xdr:row>
                    <xdr:rowOff>0</xdr:rowOff>
                  </from>
                  <to>
                    <xdr:col>7</xdr:col>
                    <xdr:colOff>314325</xdr:colOff>
                    <xdr:row>14</xdr:row>
                    <xdr:rowOff>28575</xdr:rowOff>
                  </to>
                </anchor>
              </controlPr>
            </control>
          </mc:Choice>
        </mc:AlternateContent>
        <mc:AlternateContent xmlns:mc="http://schemas.openxmlformats.org/markup-compatibility/2006">
          <mc:Choice Requires="x14">
            <control shapeId="8937485" r:id="rId7" name="Check Box 13">
              <controlPr defaultSize="0" autoFill="0" autoLine="0" autoPict="0">
                <anchor moveWithCells="1">
                  <from>
                    <xdr:col>7</xdr:col>
                    <xdr:colOff>85725</xdr:colOff>
                    <xdr:row>14</xdr:row>
                    <xdr:rowOff>0</xdr:rowOff>
                  </from>
                  <to>
                    <xdr:col>7</xdr:col>
                    <xdr:colOff>314325</xdr:colOff>
                    <xdr:row>15</xdr:row>
                    <xdr:rowOff>28575</xdr:rowOff>
                  </to>
                </anchor>
              </controlPr>
            </control>
          </mc:Choice>
        </mc:AlternateContent>
        <mc:AlternateContent xmlns:mc="http://schemas.openxmlformats.org/markup-compatibility/2006">
          <mc:Choice Requires="x14">
            <control shapeId="8937486" r:id="rId8" name="Check Box 14">
              <controlPr defaultSize="0" autoFill="0" autoLine="0" autoPict="0">
                <anchor moveWithCells="1">
                  <from>
                    <xdr:col>7</xdr:col>
                    <xdr:colOff>85725</xdr:colOff>
                    <xdr:row>15</xdr:row>
                    <xdr:rowOff>0</xdr:rowOff>
                  </from>
                  <to>
                    <xdr:col>7</xdr:col>
                    <xdr:colOff>314325</xdr:colOff>
                    <xdr:row>16</xdr:row>
                    <xdr:rowOff>28575</xdr:rowOff>
                  </to>
                </anchor>
              </controlPr>
            </control>
          </mc:Choice>
        </mc:AlternateContent>
        <mc:AlternateContent xmlns:mc="http://schemas.openxmlformats.org/markup-compatibility/2006">
          <mc:Choice Requires="x14">
            <control shapeId="8937487" r:id="rId9" name="Check Box 15">
              <controlPr defaultSize="0" autoFill="0" autoLine="0" autoPict="0">
                <anchor moveWithCells="1">
                  <from>
                    <xdr:col>7</xdr:col>
                    <xdr:colOff>85725</xdr:colOff>
                    <xdr:row>17</xdr:row>
                    <xdr:rowOff>0</xdr:rowOff>
                  </from>
                  <to>
                    <xdr:col>7</xdr:col>
                    <xdr:colOff>314325</xdr:colOff>
                    <xdr:row>18</xdr:row>
                    <xdr:rowOff>28575</xdr:rowOff>
                  </to>
                </anchor>
              </controlPr>
            </control>
          </mc:Choice>
        </mc:AlternateContent>
        <mc:AlternateContent xmlns:mc="http://schemas.openxmlformats.org/markup-compatibility/2006">
          <mc:Choice Requires="x14">
            <control shapeId="8937488" r:id="rId10" name="Check Box 16">
              <controlPr defaultSize="0" autoFill="0" autoLine="0" autoPict="0">
                <anchor moveWithCells="1">
                  <from>
                    <xdr:col>7</xdr:col>
                    <xdr:colOff>85725</xdr:colOff>
                    <xdr:row>18</xdr:row>
                    <xdr:rowOff>0</xdr:rowOff>
                  </from>
                  <to>
                    <xdr:col>7</xdr:col>
                    <xdr:colOff>314325</xdr:colOff>
                    <xdr:row>19</xdr:row>
                    <xdr:rowOff>28575</xdr:rowOff>
                  </to>
                </anchor>
              </controlPr>
            </control>
          </mc:Choice>
        </mc:AlternateContent>
        <mc:AlternateContent xmlns:mc="http://schemas.openxmlformats.org/markup-compatibility/2006">
          <mc:Choice Requires="x14">
            <control shapeId="8937489" r:id="rId11" name="Check Box 17">
              <controlPr defaultSize="0" autoFill="0" autoLine="0" autoPict="0">
                <anchor moveWithCells="1">
                  <from>
                    <xdr:col>7</xdr:col>
                    <xdr:colOff>85725</xdr:colOff>
                    <xdr:row>21</xdr:row>
                    <xdr:rowOff>0</xdr:rowOff>
                  </from>
                  <to>
                    <xdr:col>7</xdr:col>
                    <xdr:colOff>314325</xdr:colOff>
                    <xdr:row>22</xdr:row>
                    <xdr:rowOff>28575</xdr:rowOff>
                  </to>
                </anchor>
              </controlPr>
            </control>
          </mc:Choice>
        </mc:AlternateContent>
        <mc:AlternateContent xmlns:mc="http://schemas.openxmlformats.org/markup-compatibility/2006">
          <mc:Choice Requires="x14">
            <control shapeId="8937490" r:id="rId12" name="Check Box 18">
              <controlPr defaultSize="0" autoFill="0" autoLine="0" autoPict="0">
                <anchor moveWithCells="1">
                  <from>
                    <xdr:col>7</xdr:col>
                    <xdr:colOff>85725</xdr:colOff>
                    <xdr:row>22</xdr:row>
                    <xdr:rowOff>0</xdr:rowOff>
                  </from>
                  <to>
                    <xdr:col>7</xdr:col>
                    <xdr:colOff>314325</xdr:colOff>
                    <xdr:row>23</xdr:row>
                    <xdr:rowOff>28575</xdr:rowOff>
                  </to>
                </anchor>
              </controlPr>
            </control>
          </mc:Choice>
        </mc:AlternateContent>
        <mc:AlternateContent xmlns:mc="http://schemas.openxmlformats.org/markup-compatibility/2006">
          <mc:Choice Requires="x14">
            <control shapeId="8937491" r:id="rId13" name="Check Box 19">
              <controlPr defaultSize="0" autoFill="0" autoLine="0" autoPict="0">
                <anchor moveWithCells="1">
                  <from>
                    <xdr:col>7</xdr:col>
                    <xdr:colOff>85725</xdr:colOff>
                    <xdr:row>23</xdr:row>
                    <xdr:rowOff>0</xdr:rowOff>
                  </from>
                  <to>
                    <xdr:col>7</xdr:col>
                    <xdr:colOff>314325</xdr:colOff>
                    <xdr:row>24</xdr:row>
                    <xdr:rowOff>28575</xdr:rowOff>
                  </to>
                </anchor>
              </controlPr>
            </control>
          </mc:Choice>
        </mc:AlternateContent>
        <mc:AlternateContent xmlns:mc="http://schemas.openxmlformats.org/markup-compatibility/2006">
          <mc:Choice Requires="x14">
            <control shapeId="8937492" r:id="rId14" name="Check Box 20">
              <controlPr defaultSize="0" autoFill="0" autoLine="0" autoPict="0">
                <anchor moveWithCells="1">
                  <from>
                    <xdr:col>7</xdr:col>
                    <xdr:colOff>85725</xdr:colOff>
                    <xdr:row>25</xdr:row>
                    <xdr:rowOff>0</xdr:rowOff>
                  </from>
                  <to>
                    <xdr:col>7</xdr:col>
                    <xdr:colOff>314325</xdr:colOff>
                    <xdr:row>26</xdr:row>
                    <xdr:rowOff>28575</xdr:rowOff>
                  </to>
                </anchor>
              </controlPr>
            </control>
          </mc:Choice>
        </mc:AlternateContent>
        <mc:AlternateContent xmlns:mc="http://schemas.openxmlformats.org/markup-compatibility/2006">
          <mc:Choice Requires="x14">
            <control shapeId="8937493" r:id="rId15" name="Check Box 21">
              <controlPr defaultSize="0" autoFill="0" autoLine="0" autoPict="0">
                <anchor moveWithCells="1">
                  <from>
                    <xdr:col>7</xdr:col>
                    <xdr:colOff>85725</xdr:colOff>
                    <xdr:row>26</xdr:row>
                    <xdr:rowOff>0</xdr:rowOff>
                  </from>
                  <to>
                    <xdr:col>7</xdr:col>
                    <xdr:colOff>314325</xdr:colOff>
                    <xdr:row>27</xdr:row>
                    <xdr:rowOff>28575</xdr:rowOff>
                  </to>
                </anchor>
              </controlPr>
            </control>
          </mc:Choice>
        </mc:AlternateContent>
        <mc:AlternateContent xmlns:mc="http://schemas.openxmlformats.org/markup-compatibility/2006">
          <mc:Choice Requires="x14">
            <control shapeId="8937494" r:id="rId16" name="Check Box 22">
              <controlPr defaultSize="0" autoFill="0" autoLine="0" autoPict="0">
                <anchor moveWithCells="1">
                  <from>
                    <xdr:col>7</xdr:col>
                    <xdr:colOff>85725</xdr:colOff>
                    <xdr:row>27</xdr:row>
                    <xdr:rowOff>0</xdr:rowOff>
                  </from>
                  <to>
                    <xdr:col>7</xdr:col>
                    <xdr:colOff>314325</xdr:colOff>
                    <xdr:row>28</xdr:row>
                    <xdr:rowOff>28575</xdr:rowOff>
                  </to>
                </anchor>
              </controlPr>
            </control>
          </mc:Choice>
        </mc:AlternateContent>
        <mc:AlternateContent xmlns:mc="http://schemas.openxmlformats.org/markup-compatibility/2006">
          <mc:Choice Requires="x14">
            <control shapeId="8937495" r:id="rId17" name="Check Box 23">
              <controlPr defaultSize="0" autoFill="0" autoLine="0" autoPict="0">
                <anchor moveWithCells="1">
                  <from>
                    <xdr:col>7</xdr:col>
                    <xdr:colOff>85725</xdr:colOff>
                    <xdr:row>29</xdr:row>
                    <xdr:rowOff>0</xdr:rowOff>
                  </from>
                  <to>
                    <xdr:col>7</xdr:col>
                    <xdr:colOff>314325</xdr:colOff>
                    <xdr:row>30</xdr:row>
                    <xdr:rowOff>28575</xdr:rowOff>
                  </to>
                </anchor>
              </controlPr>
            </control>
          </mc:Choice>
        </mc:AlternateContent>
        <mc:AlternateContent xmlns:mc="http://schemas.openxmlformats.org/markup-compatibility/2006">
          <mc:Choice Requires="x14">
            <control shapeId="8937496" r:id="rId18" name="Check Box 24">
              <controlPr defaultSize="0" autoFill="0" autoLine="0" autoPict="0">
                <anchor moveWithCells="1">
                  <from>
                    <xdr:col>7</xdr:col>
                    <xdr:colOff>85725</xdr:colOff>
                    <xdr:row>30</xdr:row>
                    <xdr:rowOff>0</xdr:rowOff>
                  </from>
                  <to>
                    <xdr:col>7</xdr:col>
                    <xdr:colOff>314325</xdr:colOff>
                    <xdr:row>31</xdr:row>
                    <xdr:rowOff>28575</xdr:rowOff>
                  </to>
                </anchor>
              </controlPr>
            </control>
          </mc:Choice>
        </mc:AlternateContent>
        <mc:AlternateContent xmlns:mc="http://schemas.openxmlformats.org/markup-compatibility/2006">
          <mc:Choice Requires="x14">
            <control shapeId="8937497" r:id="rId19" name="Check Box 25">
              <controlPr defaultSize="0" autoFill="0" autoLine="0" autoPict="0">
                <anchor moveWithCells="1">
                  <from>
                    <xdr:col>7</xdr:col>
                    <xdr:colOff>85725</xdr:colOff>
                    <xdr:row>31</xdr:row>
                    <xdr:rowOff>0</xdr:rowOff>
                  </from>
                  <to>
                    <xdr:col>7</xdr:col>
                    <xdr:colOff>314325</xdr:colOff>
                    <xdr:row>32</xdr:row>
                    <xdr:rowOff>28575</xdr:rowOff>
                  </to>
                </anchor>
              </controlPr>
            </control>
          </mc:Choice>
        </mc:AlternateContent>
        <mc:AlternateContent xmlns:mc="http://schemas.openxmlformats.org/markup-compatibility/2006">
          <mc:Choice Requires="x14">
            <control shapeId="8937498" r:id="rId20" name="Check Box 26">
              <controlPr defaultSize="0" autoFill="0" autoLine="0" autoPict="0">
                <anchor moveWithCells="1">
                  <from>
                    <xdr:col>7</xdr:col>
                    <xdr:colOff>85725</xdr:colOff>
                    <xdr:row>34</xdr:row>
                    <xdr:rowOff>0</xdr:rowOff>
                  </from>
                  <to>
                    <xdr:col>7</xdr:col>
                    <xdr:colOff>314325</xdr:colOff>
                    <xdr:row>35</xdr:row>
                    <xdr:rowOff>28575</xdr:rowOff>
                  </to>
                </anchor>
              </controlPr>
            </control>
          </mc:Choice>
        </mc:AlternateContent>
        <mc:AlternateContent xmlns:mc="http://schemas.openxmlformats.org/markup-compatibility/2006">
          <mc:Choice Requires="x14">
            <control shapeId="8937499" r:id="rId21" name="Check Box 27">
              <controlPr defaultSize="0" autoFill="0" autoLine="0" autoPict="0">
                <anchor moveWithCells="1">
                  <from>
                    <xdr:col>7</xdr:col>
                    <xdr:colOff>85725</xdr:colOff>
                    <xdr:row>35</xdr:row>
                    <xdr:rowOff>0</xdr:rowOff>
                  </from>
                  <to>
                    <xdr:col>7</xdr:col>
                    <xdr:colOff>314325</xdr:colOff>
                    <xdr:row>36</xdr:row>
                    <xdr:rowOff>28575</xdr:rowOff>
                  </to>
                </anchor>
              </controlPr>
            </control>
          </mc:Choice>
        </mc:AlternateContent>
        <mc:AlternateContent xmlns:mc="http://schemas.openxmlformats.org/markup-compatibility/2006">
          <mc:Choice Requires="x14">
            <control shapeId="8937500" r:id="rId22" name="Check Box 28">
              <controlPr defaultSize="0" autoFill="0" autoLine="0" autoPict="0">
                <anchor moveWithCells="1">
                  <from>
                    <xdr:col>7</xdr:col>
                    <xdr:colOff>85725</xdr:colOff>
                    <xdr:row>38</xdr:row>
                    <xdr:rowOff>0</xdr:rowOff>
                  </from>
                  <to>
                    <xdr:col>7</xdr:col>
                    <xdr:colOff>314325</xdr:colOff>
                    <xdr:row>39</xdr:row>
                    <xdr:rowOff>28575</xdr:rowOff>
                  </to>
                </anchor>
              </controlPr>
            </control>
          </mc:Choice>
        </mc:AlternateContent>
        <mc:AlternateContent xmlns:mc="http://schemas.openxmlformats.org/markup-compatibility/2006">
          <mc:Choice Requires="x14">
            <control shapeId="8937501" r:id="rId23" name="Check Box 29">
              <controlPr defaultSize="0" autoFill="0" autoLine="0" autoPict="0">
                <anchor moveWithCells="1">
                  <from>
                    <xdr:col>7</xdr:col>
                    <xdr:colOff>85725</xdr:colOff>
                    <xdr:row>39</xdr:row>
                    <xdr:rowOff>0</xdr:rowOff>
                  </from>
                  <to>
                    <xdr:col>7</xdr:col>
                    <xdr:colOff>314325</xdr:colOff>
                    <xdr:row>40</xdr:row>
                    <xdr:rowOff>28575</xdr:rowOff>
                  </to>
                </anchor>
              </controlPr>
            </control>
          </mc:Choice>
        </mc:AlternateContent>
        <mc:AlternateContent xmlns:mc="http://schemas.openxmlformats.org/markup-compatibility/2006">
          <mc:Choice Requires="x14">
            <control shapeId="8937502" r:id="rId24" name="Check Box 30">
              <controlPr defaultSize="0" autoFill="0" autoLine="0" autoPict="0">
                <anchor moveWithCells="1">
                  <from>
                    <xdr:col>7</xdr:col>
                    <xdr:colOff>85725</xdr:colOff>
                    <xdr:row>40</xdr:row>
                    <xdr:rowOff>0</xdr:rowOff>
                  </from>
                  <to>
                    <xdr:col>7</xdr:col>
                    <xdr:colOff>314325</xdr:colOff>
                    <xdr:row>41</xdr:row>
                    <xdr:rowOff>28575</xdr:rowOff>
                  </to>
                </anchor>
              </controlPr>
            </control>
          </mc:Choice>
        </mc:AlternateContent>
        <mc:AlternateContent xmlns:mc="http://schemas.openxmlformats.org/markup-compatibility/2006">
          <mc:Choice Requires="x14">
            <control shapeId="8937503" r:id="rId25" name="Check Box 31">
              <controlPr defaultSize="0" autoFill="0" autoLine="0" autoPict="0">
                <anchor moveWithCells="1">
                  <from>
                    <xdr:col>7</xdr:col>
                    <xdr:colOff>85725</xdr:colOff>
                    <xdr:row>42</xdr:row>
                    <xdr:rowOff>0</xdr:rowOff>
                  </from>
                  <to>
                    <xdr:col>7</xdr:col>
                    <xdr:colOff>314325</xdr:colOff>
                    <xdr:row>43</xdr:row>
                    <xdr:rowOff>28575</xdr:rowOff>
                  </to>
                </anchor>
              </controlPr>
            </control>
          </mc:Choice>
        </mc:AlternateContent>
        <mc:AlternateContent xmlns:mc="http://schemas.openxmlformats.org/markup-compatibility/2006">
          <mc:Choice Requires="x14">
            <control shapeId="8937504" r:id="rId26" name="Check Box 32">
              <controlPr locked="0" defaultSize="0" autoFill="0" autoLine="0" autoPict="0">
                <anchor moveWithCells="1">
                  <from>
                    <xdr:col>7</xdr:col>
                    <xdr:colOff>85725</xdr:colOff>
                    <xdr:row>43</xdr:row>
                    <xdr:rowOff>0</xdr:rowOff>
                  </from>
                  <to>
                    <xdr:col>7</xdr:col>
                    <xdr:colOff>314325</xdr:colOff>
                    <xdr:row>44</xdr:row>
                    <xdr:rowOff>28575</xdr:rowOff>
                  </to>
                </anchor>
              </controlPr>
            </control>
          </mc:Choice>
        </mc:AlternateContent>
        <mc:AlternateContent xmlns:mc="http://schemas.openxmlformats.org/markup-compatibility/2006">
          <mc:Choice Requires="x14">
            <control shapeId="8937505" r:id="rId27" name="Check Box 33">
              <controlPr defaultSize="0" autoFill="0" autoLine="0" autoPict="0">
                <anchor moveWithCells="1">
                  <from>
                    <xdr:col>7</xdr:col>
                    <xdr:colOff>85725</xdr:colOff>
                    <xdr:row>15</xdr:row>
                    <xdr:rowOff>0</xdr:rowOff>
                  </from>
                  <to>
                    <xdr:col>7</xdr:col>
                    <xdr:colOff>314325</xdr:colOff>
                    <xdr:row>16</xdr:row>
                    <xdr:rowOff>28575</xdr:rowOff>
                  </to>
                </anchor>
              </controlPr>
            </control>
          </mc:Choice>
        </mc:AlternateContent>
        <mc:AlternateContent xmlns:mc="http://schemas.openxmlformats.org/markup-compatibility/2006">
          <mc:Choice Requires="x14">
            <control shapeId="8937506" r:id="rId28" name="Check Box 34">
              <controlPr defaultSize="0" autoFill="0" autoLine="0" autoPict="0">
                <anchor moveWithCells="1">
                  <from>
                    <xdr:col>7</xdr:col>
                    <xdr:colOff>85725</xdr:colOff>
                    <xdr:row>18</xdr:row>
                    <xdr:rowOff>0</xdr:rowOff>
                  </from>
                  <to>
                    <xdr:col>7</xdr:col>
                    <xdr:colOff>314325</xdr:colOff>
                    <xdr:row>19</xdr:row>
                    <xdr:rowOff>28575</xdr:rowOff>
                  </to>
                </anchor>
              </controlPr>
            </control>
          </mc:Choice>
        </mc:AlternateContent>
        <mc:AlternateContent xmlns:mc="http://schemas.openxmlformats.org/markup-compatibility/2006">
          <mc:Choice Requires="x14">
            <control shapeId="8937507" r:id="rId29" name="Check Box 35">
              <controlPr defaultSize="0" autoFill="0" autoLine="0" autoPict="0">
                <anchor moveWithCells="1">
                  <from>
                    <xdr:col>7</xdr:col>
                    <xdr:colOff>85725</xdr:colOff>
                    <xdr:row>18</xdr:row>
                    <xdr:rowOff>0</xdr:rowOff>
                  </from>
                  <to>
                    <xdr:col>7</xdr:col>
                    <xdr:colOff>314325</xdr:colOff>
                    <xdr:row>19</xdr:row>
                    <xdr:rowOff>28575</xdr:rowOff>
                  </to>
                </anchor>
              </controlPr>
            </control>
          </mc:Choice>
        </mc:AlternateContent>
        <mc:AlternateContent xmlns:mc="http://schemas.openxmlformats.org/markup-compatibility/2006">
          <mc:Choice Requires="x14">
            <control shapeId="8937508" r:id="rId30" name="Check Box 36">
              <controlPr defaultSize="0" autoFill="0" autoLine="0" autoPict="0">
                <anchor moveWithCells="1">
                  <from>
                    <xdr:col>7</xdr:col>
                    <xdr:colOff>85725</xdr:colOff>
                    <xdr:row>23</xdr:row>
                    <xdr:rowOff>0</xdr:rowOff>
                  </from>
                  <to>
                    <xdr:col>7</xdr:col>
                    <xdr:colOff>314325</xdr:colOff>
                    <xdr:row>24</xdr:row>
                    <xdr:rowOff>28575</xdr:rowOff>
                  </to>
                </anchor>
              </controlPr>
            </control>
          </mc:Choice>
        </mc:AlternateContent>
        <mc:AlternateContent xmlns:mc="http://schemas.openxmlformats.org/markup-compatibility/2006">
          <mc:Choice Requires="x14">
            <control shapeId="8937509" r:id="rId31" name="Check Box 37">
              <controlPr defaultSize="0" autoFill="0" autoLine="0" autoPict="0">
                <anchor moveWithCells="1">
                  <from>
                    <xdr:col>7</xdr:col>
                    <xdr:colOff>85725</xdr:colOff>
                    <xdr:row>23</xdr:row>
                    <xdr:rowOff>0</xdr:rowOff>
                  </from>
                  <to>
                    <xdr:col>7</xdr:col>
                    <xdr:colOff>314325</xdr:colOff>
                    <xdr:row>24</xdr:row>
                    <xdr:rowOff>28575</xdr:rowOff>
                  </to>
                </anchor>
              </controlPr>
            </control>
          </mc:Choice>
        </mc:AlternateContent>
        <mc:AlternateContent xmlns:mc="http://schemas.openxmlformats.org/markup-compatibility/2006">
          <mc:Choice Requires="x14">
            <control shapeId="8937510" r:id="rId32" name="Check Box 38">
              <controlPr defaultSize="0" autoFill="0" autoLine="0" autoPict="0">
                <anchor moveWithCells="1">
                  <from>
                    <xdr:col>7</xdr:col>
                    <xdr:colOff>85725</xdr:colOff>
                    <xdr:row>23</xdr:row>
                    <xdr:rowOff>0</xdr:rowOff>
                  </from>
                  <to>
                    <xdr:col>7</xdr:col>
                    <xdr:colOff>314325</xdr:colOff>
                    <xdr:row>24</xdr:row>
                    <xdr:rowOff>28575</xdr:rowOff>
                  </to>
                </anchor>
              </controlPr>
            </control>
          </mc:Choice>
        </mc:AlternateContent>
        <mc:AlternateContent xmlns:mc="http://schemas.openxmlformats.org/markup-compatibility/2006">
          <mc:Choice Requires="x14">
            <control shapeId="8937511" r:id="rId33" name="Check Box 39">
              <controlPr defaultSize="0" autoFill="0" autoLine="0" autoPict="0">
                <anchor moveWithCells="1">
                  <from>
                    <xdr:col>7</xdr:col>
                    <xdr:colOff>85725</xdr:colOff>
                    <xdr:row>27</xdr:row>
                    <xdr:rowOff>0</xdr:rowOff>
                  </from>
                  <to>
                    <xdr:col>7</xdr:col>
                    <xdr:colOff>314325</xdr:colOff>
                    <xdr:row>28</xdr:row>
                    <xdr:rowOff>28575</xdr:rowOff>
                  </to>
                </anchor>
              </controlPr>
            </control>
          </mc:Choice>
        </mc:AlternateContent>
        <mc:AlternateContent xmlns:mc="http://schemas.openxmlformats.org/markup-compatibility/2006">
          <mc:Choice Requires="x14">
            <control shapeId="8937512" r:id="rId34" name="Check Box 40">
              <controlPr defaultSize="0" autoFill="0" autoLine="0" autoPict="0">
                <anchor moveWithCells="1">
                  <from>
                    <xdr:col>7</xdr:col>
                    <xdr:colOff>85725</xdr:colOff>
                    <xdr:row>27</xdr:row>
                    <xdr:rowOff>0</xdr:rowOff>
                  </from>
                  <to>
                    <xdr:col>7</xdr:col>
                    <xdr:colOff>314325</xdr:colOff>
                    <xdr:row>28</xdr:row>
                    <xdr:rowOff>28575</xdr:rowOff>
                  </to>
                </anchor>
              </controlPr>
            </control>
          </mc:Choice>
        </mc:AlternateContent>
        <mc:AlternateContent xmlns:mc="http://schemas.openxmlformats.org/markup-compatibility/2006">
          <mc:Choice Requires="x14">
            <control shapeId="8937513" r:id="rId35" name="Check Box 41">
              <controlPr defaultSize="0" autoFill="0" autoLine="0" autoPict="0">
                <anchor moveWithCells="1">
                  <from>
                    <xdr:col>7</xdr:col>
                    <xdr:colOff>85725</xdr:colOff>
                    <xdr:row>27</xdr:row>
                    <xdr:rowOff>0</xdr:rowOff>
                  </from>
                  <to>
                    <xdr:col>7</xdr:col>
                    <xdr:colOff>314325</xdr:colOff>
                    <xdr:row>28</xdr:row>
                    <xdr:rowOff>28575</xdr:rowOff>
                  </to>
                </anchor>
              </controlPr>
            </control>
          </mc:Choice>
        </mc:AlternateContent>
        <mc:AlternateContent xmlns:mc="http://schemas.openxmlformats.org/markup-compatibility/2006">
          <mc:Choice Requires="x14">
            <control shapeId="8937514" r:id="rId36" name="Check Box 42">
              <controlPr defaultSize="0" autoFill="0" autoLine="0" autoPict="0">
                <anchor moveWithCells="1">
                  <from>
                    <xdr:col>7</xdr:col>
                    <xdr:colOff>85725</xdr:colOff>
                    <xdr:row>27</xdr:row>
                    <xdr:rowOff>0</xdr:rowOff>
                  </from>
                  <to>
                    <xdr:col>7</xdr:col>
                    <xdr:colOff>314325</xdr:colOff>
                    <xdr:row>28</xdr:row>
                    <xdr:rowOff>28575</xdr:rowOff>
                  </to>
                </anchor>
              </controlPr>
            </control>
          </mc:Choice>
        </mc:AlternateContent>
        <mc:AlternateContent xmlns:mc="http://schemas.openxmlformats.org/markup-compatibility/2006">
          <mc:Choice Requires="x14">
            <control shapeId="8937515" r:id="rId37" name="Check Box 43">
              <controlPr defaultSize="0" autoFill="0" autoLine="0" autoPict="0">
                <anchor moveWithCells="1">
                  <from>
                    <xdr:col>7</xdr:col>
                    <xdr:colOff>85725</xdr:colOff>
                    <xdr:row>31</xdr:row>
                    <xdr:rowOff>0</xdr:rowOff>
                  </from>
                  <to>
                    <xdr:col>7</xdr:col>
                    <xdr:colOff>314325</xdr:colOff>
                    <xdr:row>32</xdr:row>
                    <xdr:rowOff>28575</xdr:rowOff>
                  </to>
                </anchor>
              </controlPr>
            </control>
          </mc:Choice>
        </mc:AlternateContent>
        <mc:AlternateContent xmlns:mc="http://schemas.openxmlformats.org/markup-compatibility/2006">
          <mc:Choice Requires="x14">
            <control shapeId="8937516" r:id="rId38" name="Check Box 44">
              <controlPr defaultSize="0" autoFill="0" autoLine="0" autoPict="0">
                <anchor moveWithCells="1">
                  <from>
                    <xdr:col>7</xdr:col>
                    <xdr:colOff>85725</xdr:colOff>
                    <xdr:row>31</xdr:row>
                    <xdr:rowOff>0</xdr:rowOff>
                  </from>
                  <to>
                    <xdr:col>7</xdr:col>
                    <xdr:colOff>314325</xdr:colOff>
                    <xdr:row>32</xdr:row>
                    <xdr:rowOff>28575</xdr:rowOff>
                  </to>
                </anchor>
              </controlPr>
            </control>
          </mc:Choice>
        </mc:AlternateContent>
        <mc:AlternateContent xmlns:mc="http://schemas.openxmlformats.org/markup-compatibility/2006">
          <mc:Choice Requires="x14">
            <control shapeId="8937517" r:id="rId39" name="Check Box 45">
              <controlPr defaultSize="0" autoFill="0" autoLine="0" autoPict="0">
                <anchor moveWithCells="1">
                  <from>
                    <xdr:col>7</xdr:col>
                    <xdr:colOff>85725</xdr:colOff>
                    <xdr:row>31</xdr:row>
                    <xdr:rowOff>0</xdr:rowOff>
                  </from>
                  <to>
                    <xdr:col>7</xdr:col>
                    <xdr:colOff>314325</xdr:colOff>
                    <xdr:row>32</xdr:row>
                    <xdr:rowOff>28575</xdr:rowOff>
                  </to>
                </anchor>
              </controlPr>
            </control>
          </mc:Choice>
        </mc:AlternateContent>
        <mc:AlternateContent xmlns:mc="http://schemas.openxmlformats.org/markup-compatibility/2006">
          <mc:Choice Requires="x14">
            <control shapeId="8937518" r:id="rId40" name="Check Box 46">
              <controlPr defaultSize="0" autoFill="0" autoLine="0" autoPict="0">
                <anchor moveWithCells="1">
                  <from>
                    <xdr:col>7</xdr:col>
                    <xdr:colOff>85725</xdr:colOff>
                    <xdr:row>31</xdr:row>
                    <xdr:rowOff>0</xdr:rowOff>
                  </from>
                  <to>
                    <xdr:col>7</xdr:col>
                    <xdr:colOff>314325</xdr:colOff>
                    <xdr:row>32</xdr:row>
                    <xdr:rowOff>28575</xdr:rowOff>
                  </to>
                </anchor>
              </controlPr>
            </control>
          </mc:Choice>
        </mc:AlternateContent>
        <mc:AlternateContent xmlns:mc="http://schemas.openxmlformats.org/markup-compatibility/2006">
          <mc:Choice Requires="x14">
            <control shapeId="8937519" r:id="rId41" name="Check Box 47">
              <controlPr defaultSize="0" autoFill="0" autoLine="0" autoPict="0">
                <anchor moveWithCells="1">
                  <from>
                    <xdr:col>7</xdr:col>
                    <xdr:colOff>85725</xdr:colOff>
                    <xdr:row>31</xdr:row>
                    <xdr:rowOff>0</xdr:rowOff>
                  </from>
                  <to>
                    <xdr:col>7</xdr:col>
                    <xdr:colOff>314325</xdr:colOff>
                    <xdr:row>32</xdr:row>
                    <xdr:rowOff>28575</xdr:rowOff>
                  </to>
                </anchor>
              </controlPr>
            </control>
          </mc:Choice>
        </mc:AlternateContent>
        <mc:AlternateContent xmlns:mc="http://schemas.openxmlformats.org/markup-compatibility/2006">
          <mc:Choice Requires="x14">
            <control shapeId="8937520" r:id="rId42" name="Check Box 48">
              <controlPr defaultSize="0" autoFill="0" autoLine="0" autoPict="0">
                <anchor moveWithCells="1">
                  <from>
                    <xdr:col>7</xdr:col>
                    <xdr:colOff>85725</xdr:colOff>
                    <xdr:row>35</xdr:row>
                    <xdr:rowOff>0</xdr:rowOff>
                  </from>
                  <to>
                    <xdr:col>7</xdr:col>
                    <xdr:colOff>314325</xdr:colOff>
                    <xdr:row>36</xdr:row>
                    <xdr:rowOff>28575</xdr:rowOff>
                  </to>
                </anchor>
              </controlPr>
            </control>
          </mc:Choice>
        </mc:AlternateContent>
        <mc:AlternateContent xmlns:mc="http://schemas.openxmlformats.org/markup-compatibility/2006">
          <mc:Choice Requires="x14">
            <control shapeId="8937521" r:id="rId43" name="Check Box 49">
              <controlPr defaultSize="0" autoFill="0" autoLine="0" autoPict="0">
                <anchor moveWithCells="1">
                  <from>
                    <xdr:col>7</xdr:col>
                    <xdr:colOff>85725</xdr:colOff>
                    <xdr:row>36</xdr:row>
                    <xdr:rowOff>0</xdr:rowOff>
                  </from>
                  <to>
                    <xdr:col>7</xdr:col>
                    <xdr:colOff>314325</xdr:colOff>
                    <xdr:row>37</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R94"/>
  <sheetViews>
    <sheetView showGridLines="0" zoomScaleNormal="100" workbookViewId="0">
      <pane ySplit="5" topLeftCell="A6" activePane="bottomLeft" state="frozen"/>
      <selection pane="bottomLeft" activeCell="F9" sqref="F9"/>
    </sheetView>
  </sheetViews>
  <sheetFormatPr defaultRowHeight="11.25"/>
  <cols>
    <col min="1" max="1" width="8.83203125" style="1147" customWidth="1"/>
    <col min="2" max="2" width="9" style="1147" customWidth="1"/>
    <col min="3" max="3" width="1.83203125" style="1147" customWidth="1"/>
    <col min="4" max="4" width="22.5" style="1147" customWidth="1"/>
    <col min="5" max="5" width="1.83203125" style="1147" customWidth="1"/>
    <col min="6" max="6" width="18.83203125" style="1147" customWidth="1"/>
    <col min="7" max="7" width="1.83203125" style="1147" customWidth="1"/>
    <col min="8" max="8" width="18.83203125" style="1147" customWidth="1"/>
    <col min="9" max="11" width="1.83203125" style="1147" customWidth="1"/>
    <col min="12" max="12" width="25.33203125" style="1147" customWidth="1"/>
    <col min="13" max="13" width="1.83203125" style="1147" customWidth="1"/>
    <col min="14" max="14" width="18.83203125" style="1147" customWidth="1"/>
    <col min="15" max="15" width="1.83203125" style="1147" customWidth="1"/>
    <col min="16" max="16" width="18.83203125" style="1147" customWidth="1"/>
    <col min="17" max="17" width="1.83203125" style="1147" customWidth="1"/>
    <col min="18" max="16384" width="9.33203125" style="1147"/>
  </cols>
  <sheetData>
    <row r="1" spans="1:44" ht="22.5" customHeight="1">
      <c r="B1" s="1196" t="s">
        <v>2957</v>
      </c>
    </row>
    <row r="2" spans="1:44" ht="12" customHeight="1" thickBot="1">
      <c r="A2" s="1196" t="s">
        <v>2958</v>
      </c>
    </row>
    <row r="3" spans="1:44" ht="17.25" customHeight="1" thickBot="1">
      <c r="C3" s="1339" t="str">
        <f>xxDashboard</f>
        <v>Revenues ($M) 4411   Operating Margin 19%   Cash OI ($M) 940   ESAT 63   CSAT 63   FTEs 0</v>
      </c>
      <c r="D3" s="1340"/>
      <c r="E3" s="1340"/>
      <c r="F3" s="1340"/>
      <c r="G3" s="1340"/>
      <c r="H3" s="1340"/>
      <c r="I3" s="1340"/>
      <c r="J3" s="1340"/>
      <c r="K3" s="1340"/>
      <c r="L3" s="1340"/>
      <c r="M3" s="1340"/>
      <c r="N3" s="1340"/>
      <c r="O3" s="1340"/>
      <c r="P3" s="1340"/>
      <c r="Q3" s="1341"/>
    </row>
    <row r="4" spans="1:44" ht="12" customHeight="1" thickBot="1"/>
    <row r="5" spans="1:44" s="1203" customFormat="1" ht="108" customHeight="1" thickBot="1">
      <c r="C5" s="1201"/>
      <c r="D5" s="1244"/>
      <c r="E5" s="1244"/>
      <c r="F5" s="1244"/>
      <c r="G5" s="1244"/>
      <c r="H5" s="1244"/>
      <c r="I5" s="1244"/>
      <c r="J5" s="1244"/>
      <c r="K5" s="1244"/>
      <c r="L5" s="1244"/>
      <c r="M5" s="1244"/>
      <c r="N5" s="1244"/>
      <c r="O5" s="1244"/>
      <c r="P5" s="1244"/>
      <c r="Q5" s="1146" t="str">
        <f>INDEX(decTeamName,xxIndexTeam)</f>
        <v>IIC</v>
      </c>
    </row>
    <row r="6" spans="1:44" ht="14.25" customHeight="1">
      <c r="C6" s="845"/>
      <c r="D6" s="846"/>
      <c r="E6" s="846"/>
      <c r="F6" s="846"/>
      <c r="G6" s="846"/>
      <c r="H6" s="846"/>
      <c r="I6" s="846"/>
      <c r="J6" s="846"/>
      <c r="K6" s="846"/>
      <c r="L6" s="846"/>
      <c r="M6" s="846"/>
      <c r="N6" s="846"/>
      <c r="O6" s="846"/>
      <c r="P6" s="846"/>
      <c r="Q6" s="847"/>
    </row>
    <row r="7" spans="1:44" ht="14.25" customHeight="1">
      <c r="C7" s="819"/>
      <c r="D7" s="820"/>
      <c r="E7" s="820"/>
      <c r="F7" s="848" t="str">
        <f>DataNameProd1</f>
        <v>Growth</v>
      </c>
      <c r="G7" s="820"/>
      <c r="H7" s="820"/>
      <c r="I7" s="825"/>
      <c r="J7" s="820"/>
      <c r="K7" s="820"/>
      <c r="L7" s="822" t="str">
        <f>DataNameProd1 &amp; "  - Subscriber Growth &amp; Share"</f>
        <v>Growth  - Subscriber Growth &amp; Share</v>
      </c>
      <c r="M7" s="820"/>
      <c r="N7" s="820"/>
      <c r="O7" s="820"/>
      <c r="P7" s="820"/>
      <c r="Q7" s="821"/>
      <c r="AI7" s="1204" t="s">
        <v>2498</v>
      </c>
      <c r="AJ7" s="1204" t="s">
        <v>2499</v>
      </c>
      <c r="AN7" s="1205" t="s">
        <v>1081</v>
      </c>
      <c r="AO7" s="1206"/>
      <c r="AP7" s="1207">
        <f>INDEX(xxMMProd1Units,xxYear+3)</f>
        <v>387500</v>
      </c>
      <c r="AR7" s="1207">
        <f>INDEX(xxMMProd2Units,xxYear+3)</f>
        <v>501250</v>
      </c>
    </row>
    <row r="8" spans="1:44" ht="7.5" customHeight="1">
      <c r="C8" s="819"/>
      <c r="D8" s="820"/>
      <c r="E8" s="820"/>
      <c r="F8" s="820"/>
      <c r="G8" s="820"/>
      <c r="H8" s="820"/>
      <c r="I8" s="1234"/>
      <c r="J8" s="1235"/>
      <c r="K8" s="1235"/>
      <c r="L8" s="822"/>
      <c r="M8" s="820"/>
      <c r="N8" s="820"/>
      <c r="O8" s="820"/>
      <c r="P8" s="820"/>
      <c r="Q8" s="821"/>
    </row>
    <row r="9" spans="1:44" ht="14.25" customHeight="1" thickBot="1">
      <c r="C9" s="819"/>
      <c r="D9" s="681" t="s">
        <v>1346</v>
      </c>
      <c r="E9" s="820"/>
      <c r="F9" s="680">
        <v>13418</v>
      </c>
      <c r="G9" s="849"/>
      <c r="H9" s="820"/>
      <c r="I9" s="1236"/>
      <c r="J9" s="1237"/>
      <c r="K9" s="1238" t="s">
        <v>1889</v>
      </c>
      <c r="L9" s="681" t="s">
        <v>1890</v>
      </c>
      <c r="M9" s="820"/>
      <c r="N9" s="826" t="s">
        <v>894</v>
      </c>
      <c r="O9" s="826"/>
      <c r="P9" s="826" t="s">
        <v>895</v>
      </c>
      <c r="Q9" s="821"/>
      <c r="AN9" s="1147" t="s">
        <v>894</v>
      </c>
      <c r="AO9" s="1147" t="s">
        <v>895</v>
      </c>
    </row>
    <row r="10" spans="1:44" ht="14.25" customHeight="1">
      <c r="C10" s="819"/>
      <c r="D10" s="681" t="s">
        <v>1739</v>
      </c>
      <c r="E10" s="820"/>
      <c r="F10" s="852">
        <f>INDEX(capProd1SubCancellationRate,xxIndexTeam)</f>
        <v>4.7092500000000002E-2</v>
      </c>
      <c r="G10" s="820"/>
      <c r="H10" s="820"/>
      <c r="I10" s="1239"/>
      <c r="J10" s="1240"/>
      <c r="K10" s="1238" t="s">
        <v>1889</v>
      </c>
      <c r="L10" s="681" t="s">
        <v>1743</v>
      </c>
      <c r="M10" s="820"/>
      <c r="N10" s="830">
        <f>INDEX(capProd1OpenSubs,xxIndexTeam)</f>
        <v>159262.5</v>
      </c>
      <c r="O10" s="820"/>
      <c r="P10" s="830">
        <f>INDEX(obalProd1OpenSubs,xxIndexTeam)</f>
        <v>155000</v>
      </c>
      <c r="Q10" s="821"/>
      <c r="AI10" s="1208" t="s">
        <v>2891</v>
      </c>
      <c r="AN10" s="1209" t="s">
        <v>2895</v>
      </c>
      <c r="AO10" s="1209" t="s">
        <v>2903</v>
      </c>
      <c r="AQ10" s="1204"/>
    </row>
    <row r="11" spans="1:44" ht="14.25" customHeight="1">
      <c r="C11" s="819"/>
      <c r="D11" s="681" t="s">
        <v>1740</v>
      </c>
      <c r="E11" s="820"/>
      <c r="F11" s="852">
        <f>INDEX(capProd1EndSubs,xxIndexTeam)/SUM(capProd1EndSubs)</f>
        <v>0.40032723907040257</v>
      </c>
      <c r="G11" s="820"/>
      <c r="H11" s="820"/>
      <c r="I11" s="1234"/>
      <c r="J11" s="1240"/>
      <c r="K11" s="1238" t="s">
        <v>1889</v>
      </c>
      <c r="L11" s="855" t="s">
        <v>1744</v>
      </c>
      <c r="M11" s="820"/>
      <c r="N11" s="830">
        <f>INDEX(capProd1Cancellations,xxIndexTeam)</f>
        <v>7500.0692812500001</v>
      </c>
      <c r="O11" s="820"/>
      <c r="P11" s="830">
        <f>INDEX(obalProd1Cancellations,xxIndexTeam)</f>
        <v>7750</v>
      </c>
      <c r="Q11" s="821"/>
      <c r="AI11" s="1208" t="s">
        <v>2892</v>
      </c>
      <c r="AN11" s="1209" t="s">
        <v>2896</v>
      </c>
      <c r="AO11" s="1209" t="s">
        <v>2904</v>
      </c>
    </row>
    <row r="12" spans="1:44" ht="14.25" customHeight="1">
      <c r="C12" s="819"/>
      <c r="D12" s="820"/>
      <c r="E12" s="820"/>
      <c r="F12" s="820"/>
      <c r="G12" s="856"/>
      <c r="H12" s="820"/>
      <c r="I12" s="1241"/>
      <c r="J12" s="1240"/>
      <c r="K12" s="1238" t="s">
        <v>1889</v>
      </c>
      <c r="L12" s="855" t="s">
        <v>1745</v>
      </c>
      <c r="M12" s="820"/>
      <c r="N12" s="830">
        <f>INDEX(capProd1NewSubs,xxIndexTeam)-INDEX(paramProd1AddSubs,xxIndexTeam)</f>
        <v>11508</v>
      </c>
      <c r="O12" s="820"/>
      <c r="P12" s="830">
        <f>INDEX(obalProd1NewSubs,xxIndexTeam)-INDEX(obalProd1AddSubs,xxIndexTeam)</f>
        <v>12012.5</v>
      </c>
      <c r="Q12" s="821"/>
      <c r="T12" s="1196" t="s">
        <v>531</v>
      </c>
      <c r="AI12" s="1210"/>
      <c r="AJ12" s="1208"/>
      <c r="AN12" s="1209" t="s">
        <v>2897</v>
      </c>
      <c r="AO12" s="1209" t="s">
        <v>2905</v>
      </c>
    </row>
    <row r="13" spans="1:44" ht="14.25" customHeight="1" thickBot="1">
      <c r="C13" s="819"/>
      <c r="D13" s="681" t="s">
        <v>1347</v>
      </c>
      <c r="E13" s="820"/>
      <c r="F13" s="680">
        <v>10800</v>
      </c>
      <c r="G13" s="856"/>
      <c r="H13" s="820"/>
      <c r="I13" s="1241"/>
      <c r="J13" s="1240"/>
      <c r="K13" s="1238"/>
      <c r="L13" s="858" t="s">
        <v>3344</v>
      </c>
      <c r="M13" s="859"/>
      <c r="N13" s="860">
        <f>INDEX(paramProd1AddSubs,xxIndexTeam)</f>
        <v>0</v>
      </c>
      <c r="O13" s="823"/>
      <c r="P13" s="860">
        <f>INDEX(obalProd1AddSubs,xxIndexTeam)</f>
        <v>0</v>
      </c>
      <c r="Q13" s="1104"/>
      <c r="AN13" s="1147" t="s">
        <v>3350</v>
      </c>
      <c r="AO13" s="1147" t="s">
        <v>3351</v>
      </c>
    </row>
    <row r="14" spans="1:44" ht="14.25" customHeight="1">
      <c r="C14" s="819"/>
      <c r="D14" s="681" t="s">
        <v>1741</v>
      </c>
      <c r="E14" s="820"/>
      <c r="F14" s="852">
        <f>INDEX(decProd1Price,xxIndexTeam)/INDEX(obalProd1Price,xxIndexTeam)-1</f>
        <v>0</v>
      </c>
      <c r="G14" s="861"/>
      <c r="H14" s="820"/>
      <c r="I14" s="1242"/>
      <c r="J14" s="1240"/>
      <c r="K14" s="1238" t="s">
        <v>1889</v>
      </c>
      <c r="L14" s="681" t="s">
        <v>1746</v>
      </c>
      <c r="M14" s="820"/>
      <c r="N14" s="830">
        <f>INDEX(capProd1EndSubs,xxIndexTeam)</f>
        <v>163270.43071874999</v>
      </c>
      <c r="O14" s="820"/>
      <c r="P14" s="830">
        <f>INDEX(obalProd1Subscribers,xxIndexTeam)</f>
        <v>159262.5</v>
      </c>
      <c r="Q14" s="821"/>
      <c r="AJ14" s="1208"/>
      <c r="AN14" s="1209" t="s">
        <v>2898</v>
      </c>
      <c r="AO14" s="1209" t="s">
        <v>2906</v>
      </c>
    </row>
    <row r="15" spans="1:44" ht="14.25" customHeight="1">
      <c r="C15" s="819"/>
      <c r="D15" s="681" t="s">
        <v>1742</v>
      </c>
      <c r="E15" s="820"/>
      <c r="F15" s="854">
        <f>INDEX(finPNLProd1Rev,xxIndexTeam)/1000000</f>
        <v>2008.7822890972757</v>
      </c>
      <c r="G15" s="820"/>
      <c r="H15" s="820"/>
      <c r="I15" s="1234"/>
      <c r="J15" s="1240"/>
      <c r="K15" s="1235"/>
      <c r="L15" s="681" t="s">
        <v>714</v>
      </c>
      <c r="M15" s="820"/>
      <c r="N15" s="833">
        <f>INDEX(capProd1EndSubs,xxIndexTeam)/SUM(capProd1EndSubs)</f>
        <v>0.40032723907040257</v>
      </c>
      <c r="O15" s="820"/>
      <c r="P15" s="833">
        <f>INDEX(obalProd1Subscribers,xxIndexTeam)/SUM(obalProd1Subscribers)</f>
        <v>0.4</v>
      </c>
      <c r="Q15" s="821"/>
      <c r="AI15" s="1208" t="s">
        <v>2893</v>
      </c>
      <c r="AJ15" s="1210"/>
      <c r="AN15" s="1209" t="s">
        <v>2899</v>
      </c>
      <c r="AO15" s="1209" t="s">
        <v>2907</v>
      </c>
    </row>
    <row r="16" spans="1:44" ht="14.25" customHeight="1">
      <c r="C16" s="819"/>
      <c r="D16" s="820"/>
      <c r="E16" s="820"/>
      <c r="F16" s="820"/>
      <c r="G16" s="856"/>
      <c r="H16" s="820"/>
      <c r="I16" s="1241"/>
      <c r="J16" s="1243"/>
      <c r="K16" s="1235"/>
      <c r="L16" s="681" t="s">
        <v>1754</v>
      </c>
      <c r="M16" s="820"/>
      <c r="N16" s="830">
        <f>INDEX(capProd1NetNewSales,xxIndexTeam)/1000000</f>
        <v>209.00085176249999</v>
      </c>
      <c r="O16" s="820"/>
      <c r="P16" s="830">
        <f>INDEX(obalProd1NetNewSales,xxIndexTeam)/1000000</f>
        <v>198.55080917437496</v>
      </c>
      <c r="Q16" s="821"/>
      <c r="AI16" s="1204" t="s">
        <v>2894</v>
      </c>
      <c r="AN16" s="1209" t="s">
        <v>2900</v>
      </c>
      <c r="AO16" s="1209" t="s">
        <v>2908</v>
      </c>
    </row>
    <row r="17" spans="3:41" ht="14.25" customHeight="1">
      <c r="C17" s="819"/>
      <c r="D17" s="820"/>
      <c r="E17" s="820"/>
      <c r="F17" s="820"/>
      <c r="G17" s="863"/>
      <c r="H17" s="820"/>
      <c r="I17" s="853"/>
      <c r="J17" s="854"/>
      <c r="K17" s="820"/>
      <c r="L17" s="681" t="s">
        <v>3008</v>
      </c>
      <c r="M17" s="820"/>
      <c r="N17" s="833">
        <f>INDEX(cbalProd1NewSubGrowth,xxIndexTeam)</f>
        <v>7.2258064516129039E-2</v>
      </c>
      <c r="O17" s="820"/>
      <c r="P17" s="833">
        <f>INDEX(obalProd1NewSubGrowth,xxIndexTeam)</f>
        <v>6.8645161290322582E-2</v>
      </c>
      <c r="Q17" s="821"/>
      <c r="AJ17" s="1208"/>
      <c r="AN17" s="1209" t="s">
        <v>2901</v>
      </c>
      <c r="AO17" s="1209" t="s">
        <v>2909</v>
      </c>
    </row>
    <row r="18" spans="3:41" ht="14.25" customHeight="1">
      <c r="C18" s="819"/>
      <c r="D18" s="820"/>
      <c r="E18" s="820"/>
      <c r="F18" s="820"/>
      <c r="G18" s="863"/>
      <c r="H18" s="820"/>
      <c r="I18" s="863"/>
      <c r="J18" s="854"/>
      <c r="K18" s="820"/>
      <c r="L18" s="681" t="s">
        <v>1739</v>
      </c>
      <c r="M18" s="820"/>
      <c r="N18" s="864">
        <f>INDEX(capProd1SubCancellationRate,xxIndexTeam)</f>
        <v>4.7092500000000002E-2</v>
      </c>
      <c r="O18" s="820"/>
      <c r="P18" s="864">
        <f>INDEX(obalProd1SubCancellationRate,xxIndexTeam)</f>
        <v>0</v>
      </c>
      <c r="Q18" s="821"/>
      <c r="AJ18" s="1204"/>
      <c r="AN18" s="1211" t="s">
        <v>2902</v>
      </c>
      <c r="AO18" s="1211" t="s">
        <v>2910</v>
      </c>
    </row>
    <row r="19" spans="3:41" ht="44.25" customHeight="1" thickBot="1">
      <c r="C19" s="840"/>
      <c r="D19" s="842"/>
      <c r="E19" s="842"/>
      <c r="F19" s="842"/>
      <c r="G19" s="842"/>
      <c r="H19" s="842"/>
      <c r="I19" s="842"/>
      <c r="J19" s="842"/>
      <c r="K19" s="842"/>
      <c r="L19" s="842"/>
      <c r="M19" s="842"/>
      <c r="N19" s="842"/>
      <c r="O19" s="842"/>
      <c r="P19" s="842"/>
      <c r="Q19" s="844"/>
      <c r="S19" s="1196" t="s">
        <v>531</v>
      </c>
    </row>
    <row r="20" spans="3:41" ht="12" thickBot="1"/>
    <row r="21" spans="3:41" s="1203" customFormat="1" ht="90" customHeight="1">
      <c r="C21" s="1245"/>
      <c r="D21" s="1246"/>
      <c r="E21" s="1246"/>
      <c r="F21" s="1246"/>
      <c r="G21" s="1246"/>
      <c r="H21" s="1246"/>
      <c r="I21" s="1246"/>
      <c r="J21" s="1246"/>
      <c r="K21" s="1246"/>
      <c r="L21" s="1246"/>
      <c r="M21" s="1246"/>
      <c r="N21" s="1246"/>
      <c r="O21" s="1246"/>
      <c r="P21" s="1246"/>
      <c r="Q21" s="1247" t="str">
        <f>INDEX(decTeamName,xxIndexTeam) &amp; " Year " &amp; xxYear</f>
        <v>IIC Year 0</v>
      </c>
    </row>
    <row r="22" spans="3:41" ht="14.25" customHeight="1">
      <c r="C22" s="819"/>
      <c r="D22" s="820"/>
      <c r="E22" s="820"/>
      <c r="F22" s="820"/>
      <c r="G22" s="820"/>
      <c r="H22" s="820"/>
      <c r="I22" s="820"/>
      <c r="J22" s="820"/>
      <c r="K22" s="820"/>
      <c r="L22" s="820"/>
      <c r="M22" s="820"/>
      <c r="N22" s="820"/>
      <c r="O22" s="820"/>
      <c r="P22" s="820"/>
      <c r="Q22" s="821"/>
    </row>
    <row r="23" spans="3:41" ht="14.25" customHeight="1">
      <c r="C23" s="819"/>
      <c r="D23" s="822" t="str">
        <f>DataNameProd1 &amp; "  - Value Proposition"</f>
        <v>Growth  - Value Proposition</v>
      </c>
      <c r="E23" s="820"/>
      <c r="F23" s="820"/>
      <c r="G23" s="823"/>
      <c r="H23" s="824" t="s">
        <v>895</v>
      </c>
      <c r="I23" s="1289"/>
      <c r="J23" s="825"/>
      <c r="K23" s="820"/>
      <c r="L23" s="822" t="str">
        <f>DataNameProd1 &amp; "  - Income Statement Summary"</f>
        <v>Growth  - Income Statement Summary</v>
      </c>
      <c r="M23" s="820"/>
      <c r="N23" s="820"/>
      <c r="O23" s="820"/>
      <c r="P23" s="820"/>
      <c r="Q23" s="821"/>
    </row>
    <row r="24" spans="3:41" ht="14.25" customHeight="1">
      <c r="C24" s="819"/>
      <c r="D24" s="681"/>
      <c r="E24" s="820"/>
      <c r="F24" s="826" t="s">
        <v>894</v>
      </c>
      <c r="G24" s="827"/>
      <c r="H24" s="826" t="s">
        <v>1758</v>
      </c>
      <c r="I24" s="1290"/>
      <c r="J24" s="828"/>
      <c r="K24" s="826"/>
      <c r="L24" s="820"/>
      <c r="M24" s="826"/>
      <c r="N24" s="826" t="s">
        <v>894</v>
      </c>
      <c r="O24" s="829"/>
      <c r="P24" s="826" t="s">
        <v>1793</v>
      </c>
      <c r="Q24" s="821"/>
      <c r="AL24" s="1147" t="s">
        <v>894</v>
      </c>
      <c r="AM24" s="1147" t="s">
        <v>895</v>
      </c>
    </row>
    <row r="25" spans="3:41" ht="14.25" customHeight="1">
      <c r="C25" s="819"/>
      <c r="D25" s="681" t="s">
        <v>1759</v>
      </c>
      <c r="E25" s="820"/>
      <c r="F25" s="830">
        <f>INDEX(cbalContentLvl,xxIndexTeam)</f>
        <v>2</v>
      </c>
      <c r="G25" s="820"/>
      <c r="H25" s="830">
        <f>INDEX(obalContentLvlIndAvg,xxIndexTeam)</f>
        <v>1</v>
      </c>
      <c r="I25" s="1289"/>
      <c r="J25" s="831"/>
      <c r="K25" s="830"/>
      <c r="L25" s="832" t="s">
        <v>1792</v>
      </c>
      <c r="M25" s="830"/>
      <c r="N25" s="833">
        <f>INDEX(finPNLProd1EBITDA,xxIndexTeam)/INDEX(finPNLProd1Rev,xxIndexTeam)</f>
        <v>0.20878738342183106</v>
      </c>
      <c r="O25" s="820"/>
      <c r="P25" s="833">
        <f>INDEX(obalPNLProd1EBITDA,xxIndexTeam)/INDEX(obalPNLProd1Rev,xxIndexTeam)</f>
        <v>0.20878738342183106</v>
      </c>
      <c r="Q25" s="821"/>
      <c r="AI25" s="1209" t="s">
        <v>2915</v>
      </c>
      <c r="AJ25" s="1209" t="s">
        <v>2920</v>
      </c>
      <c r="AL25" s="1209" t="s">
        <v>2911</v>
      </c>
      <c r="AM25" s="1209" t="s">
        <v>2913</v>
      </c>
    </row>
    <row r="26" spans="3:41" ht="14.25" customHeight="1">
      <c r="C26" s="819"/>
      <c r="D26" s="681" t="s">
        <v>1760</v>
      </c>
      <c r="E26" s="820"/>
      <c r="F26" s="830">
        <f>INDEX(cbalProd1ProdTechLvl,xxIndexTeam)</f>
        <v>3</v>
      </c>
      <c r="G26" s="820"/>
      <c r="H26" s="830">
        <f>INDEX(obalProd1ProdTechIndAvg,xxIndexTeam)</f>
        <v>1</v>
      </c>
      <c r="I26" s="1289"/>
      <c r="J26" s="831"/>
      <c r="K26" s="830"/>
      <c r="L26" s="832" t="s">
        <v>473</v>
      </c>
      <c r="M26" s="830"/>
      <c r="N26" s="833">
        <f>INDEX(finPNLProd1OperatingMargin,xxIndexTeam)</f>
        <v>0.13904791946092745</v>
      </c>
      <c r="O26" s="820"/>
      <c r="P26" s="833">
        <f>INDEX(obalPNLProd1OperatingMargin,xxIndexTeam)</f>
        <v>0.13904791946092745</v>
      </c>
      <c r="Q26" s="821"/>
      <c r="AI26" s="1209" t="s">
        <v>2916</v>
      </c>
      <c r="AJ26" s="1209" t="s">
        <v>2921</v>
      </c>
      <c r="AL26" s="1209" t="s">
        <v>2912</v>
      </c>
      <c r="AM26" s="1209" t="s">
        <v>2914</v>
      </c>
    </row>
    <row r="27" spans="3:41" ht="14.25" customHeight="1">
      <c r="C27" s="819"/>
      <c r="D27" s="681" t="s">
        <v>113</v>
      </c>
      <c r="E27" s="820"/>
      <c r="F27" s="834">
        <f>INDEX(cbalProd1TTM,xxIndexTeam)</f>
        <v>50.821085663092326</v>
      </c>
      <c r="G27" s="820"/>
      <c r="H27" s="834">
        <f>INDEX(obalProd1TTMIndAvg,xxIndexTeam)</f>
        <v>50</v>
      </c>
      <c r="I27" s="1289"/>
      <c r="J27" s="831"/>
      <c r="K27" s="830"/>
      <c r="L27" s="830"/>
      <c r="M27" s="830"/>
      <c r="N27" s="830"/>
      <c r="O27" s="820"/>
      <c r="P27" s="820"/>
      <c r="Q27" s="821"/>
      <c r="AI27" s="1209" t="s">
        <v>2917</v>
      </c>
      <c r="AJ27" s="1209" t="s">
        <v>2922</v>
      </c>
    </row>
    <row r="28" spans="3:41" ht="14.25" customHeight="1">
      <c r="C28" s="819"/>
      <c r="D28" s="681" t="s">
        <v>1761</v>
      </c>
      <c r="E28" s="820"/>
      <c r="F28" s="835">
        <f>INDEX(finPNLProd1Rev,xxIndexTeam)/1000000</f>
        <v>2008.7822890972757</v>
      </c>
      <c r="G28" s="820"/>
      <c r="H28" s="835">
        <f>INDEX(obalProd1Revenue,xxIndexTeam)/1000000</f>
        <v>1832.0337</v>
      </c>
      <c r="I28" s="1289"/>
      <c r="J28" s="831"/>
      <c r="K28" s="830"/>
      <c r="L28" s="830"/>
      <c r="M28" s="830"/>
      <c r="N28" s="830"/>
      <c r="O28" s="820"/>
      <c r="P28" s="820"/>
      <c r="Q28" s="821"/>
      <c r="AI28" s="1209" t="s">
        <v>2918</v>
      </c>
      <c r="AJ28" s="1209" t="s">
        <v>2923</v>
      </c>
    </row>
    <row r="29" spans="3:41" ht="14.25" customHeight="1">
      <c r="C29" s="819"/>
      <c r="D29" s="681" t="s">
        <v>1791</v>
      </c>
      <c r="E29" s="820"/>
      <c r="F29" s="835">
        <f>INDEX(capProd1Emp1Req,xxIndexTeam)</f>
        <v>270</v>
      </c>
      <c r="G29" s="820"/>
      <c r="H29" s="820"/>
      <c r="I29" s="1289"/>
      <c r="J29" s="836"/>
      <c r="K29" s="833"/>
      <c r="L29" s="833"/>
      <c r="M29" s="833"/>
      <c r="N29" s="833"/>
      <c r="O29" s="820"/>
      <c r="P29" s="820"/>
      <c r="Q29" s="821"/>
      <c r="AI29" s="1209" t="s">
        <v>2919</v>
      </c>
      <c r="AJ29" s="1209"/>
    </row>
    <row r="30" spans="3:41" ht="14.25" customHeight="1">
      <c r="C30" s="819"/>
      <c r="D30" s="820"/>
      <c r="E30" s="820"/>
      <c r="F30" s="820"/>
      <c r="G30" s="820"/>
      <c r="H30" s="820"/>
      <c r="I30" s="1289"/>
      <c r="J30" s="831"/>
      <c r="K30" s="830"/>
      <c r="L30" s="830"/>
      <c r="M30" s="830"/>
      <c r="N30" s="830"/>
      <c r="O30" s="820"/>
      <c r="P30" s="820"/>
      <c r="Q30" s="821"/>
    </row>
    <row r="31" spans="3:41" ht="14.25" customHeight="1">
      <c r="C31" s="819"/>
      <c r="D31" s="820"/>
      <c r="E31" s="820"/>
      <c r="F31" s="820"/>
      <c r="G31" s="820"/>
      <c r="H31" s="820"/>
      <c r="I31" s="1289"/>
      <c r="J31" s="836"/>
      <c r="K31" s="833"/>
      <c r="L31" s="833"/>
      <c r="M31" s="833"/>
      <c r="N31" s="833"/>
      <c r="O31" s="820"/>
      <c r="P31" s="820"/>
      <c r="Q31" s="821"/>
    </row>
    <row r="32" spans="3:41" ht="14.25" customHeight="1">
      <c r="C32" s="819"/>
      <c r="D32" s="820"/>
      <c r="E32" s="820"/>
      <c r="F32" s="820"/>
      <c r="G32" s="820"/>
      <c r="H32" s="820"/>
      <c r="I32" s="1289"/>
      <c r="J32" s="836"/>
      <c r="K32" s="833"/>
      <c r="L32" s="833"/>
      <c r="M32" s="833"/>
      <c r="N32" s="833"/>
      <c r="O32" s="820"/>
      <c r="P32" s="820"/>
      <c r="Q32" s="821"/>
    </row>
    <row r="33" spans="3:36" ht="14.25" customHeight="1">
      <c r="C33" s="819"/>
      <c r="D33" s="820"/>
      <c r="E33" s="820"/>
      <c r="F33" s="820"/>
      <c r="G33" s="820"/>
      <c r="H33" s="820"/>
      <c r="I33" s="1291"/>
      <c r="J33" s="837"/>
      <c r="K33" s="824"/>
      <c r="L33" s="824"/>
      <c r="M33" s="824"/>
      <c r="N33" s="824"/>
      <c r="O33" s="820"/>
      <c r="P33" s="820"/>
      <c r="Q33" s="821"/>
      <c r="AI33" s="1209"/>
      <c r="AJ33" s="1209"/>
    </row>
    <row r="34" spans="3:36" ht="14.25" customHeight="1">
      <c r="C34" s="819"/>
      <c r="D34" s="820"/>
      <c r="E34" s="820"/>
      <c r="F34" s="820"/>
      <c r="G34" s="820"/>
      <c r="H34" s="820"/>
      <c r="I34" s="1292"/>
      <c r="J34" s="828"/>
      <c r="K34" s="826"/>
      <c r="L34" s="826"/>
      <c r="M34" s="826"/>
      <c r="N34" s="826"/>
      <c r="O34" s="820"/>
      <c r="P34" s="820"/>
      <c r="Q34" s="821"/>
      <c r="AI34" s="1211"/>
      <c r="AJ34" s="1211"/>
    </row>
    <row r="35" spans="3:36" ht="14.25" customHeight="1">
      <c r="C35" s="819"/>
      <c r="D35" s="820"/>
      <c r="E35" s="820"/>
      <c r="F35" s="820"/>
      <c r="G35" s="820"/>
      <c r="H35" s="820"/>
      <c r="I35" s="1289"/>
      <c r="J35" s="831"/>
      <c r="K35" s="830"/>
      <c r="L35" s="830"/>
      <c r="M35" s="830"/>
      <c r="N35" s="830"/>
      <c r="O35" s="820"/>
      <c r="P35" s="820"/>
      <c r="Q35" s="821"/>
    </row>
    <row r="36" spans="3:36" ht="14.25" customHeight="1">
      <c r="C36" s="819"/>
      <c r="D36" s="820"/>
      <c r="E36" s="820"/>
      <c r="F36" s="820"/>
      <c r="G36" s="820"/>
      <c r="H36" s="820"/>
      <c r="I36" s="1289"/>
      <c r="J36" s="831"/>
      <c r="K36" s="830"/>
      <c r="L36" s="830"/>
      <c r="M36" s="830"/>
      <c r="N36" s="830"/>
      <c r="O36" s="820"/>
      <c r="P36" s="820"/>
      <c r="Q36" s="821"/>
    </row>
    <row r="37" spans="3:36" ht="14.25" customHeight="1">
      <c r="C37" s="819"/>
      <c r="D37" s="820"/>
      <c r="E37" s="820"/>
      <c r="F37" s="820"/>
      <c r="G37" s="820"/>
      <c r="H37" s="820"/>
      <c r="I37" s="1289"/>
      <c r="J37" s="838"/>
      <c r="K37" s="834"/>
      <c r="L37" s="834"/>
      <c r="M37" s="834"/>
      <c r="N37" s="834"/>
      <c r="O37" s="820"/>
      <c r="P37" s="820"/>
      <c r="Q37" s="821"/>
    </row>
    <row r="38" spans="3:36" ht="14.25" customHeight="1">
      <c r="C38" s="819"/>
      <c r="D38" s="820"/>
      <c r="E38" s="820"/>
      <c r="F38" s="820"/>
      <c r="G38" s="820"/>
      <c r="H38" s="820"/>
      <c r="I38" s="1289"/>
      <c r="J38" s="839"/>
      <c r="K38" s="835"/>
      <c r="L38" s="835"/>
      <c r="M38" s="835"/>
      <c r="N38" s="835"/>
      <c r="O38" s="820"/>
      <c r="P38" s="820"/>
      <c r="Q38" s="821"/>
    </row>
    <row r="39" spans="3:36" ht="14.25" customHeight="1">
      <c r="C39" s="819"/>
      <c r="D39" s="820"/>
      <c r="E39" s="820"/>
      <c r="F39" s="820"/>
      <c r="G39" s="820"/>
      <c r="H39" s="820"/>
      <c r="I39" s="1291"/>
      <c r="J39" s="825"/>
      <c r="K39" s="820"/>
      <c r="L39" s="820"/>
      <c r="M39" s="835"/>
      <c r="N39" s="835"/>
      <c r="O39" s="820"/>
      <c r="P39" s="820"/>
      <c r="Q39" s="821"/>
    </row>
    <row r="40" spans="3:36" ht="23.25" customHeight="1" thickBot="1">
      <c r="C40" s="840"/>
      <c r="D40" s="841"/>
      <c r="E40" s="842"/>
      <c r="F40" s="843"/>
      <c r="G40" s="842"/>
      <c r="H40" s="842"/>
      <c r="I40" s="842"/>
      <c r="J40" s="842"/>
      <c r="K40" s="842"/>
      <c r="L40" s="842"/>
      <c r="M40" s="843"/>
      <c r="N40" s="843"/>
      <c r="O40" s="842"/>
      <c r="P40" s="842"/>
      <c r="Q40" s="844"/>
    </row>
    <row r="43" spans="3:36">
      <c r="F43" s="1212"/>
      <c r="AB43" s="1196" t="s">
        <v>531</v>
      </c>
    </row>
    <row r="85" spans="12:12">
      <c r="L85" s="1130"/>
    </row>
    <row r="86" spans="12:12">
      <c r="L86" s="1130"/>
    </row>
    <row r="87" spans="12:12">
      <c r="L87" s="1130"/>
    </row>
    <row r="88" spans="12:12">
      <c r="L88" s="1130"/>
    </row>
    <row r="89" spans="12:12">
      <c r="L89" s="1130"/>
    </row>
    <row r="90" spans="12:12">
      <c r="L90" s="1130"/>
    </row>
    <row r="91" spans="12:12">
      <c r="L91" s="1130"/>
    </row>
    <row r="92" spans="12:12">
      <c r="L92" s="1130"/>
    </row>
    <row r="93" spans="12:12">
      <c r="L93" s="1130"/>
    </row>
    <row r="94" spans="12:12">
      <c r="L94" s="1130"/>
    </row>
  </sheetData>
  <mergeCells count="1">
    <mergeCell ref="C3:Q3"/>
  </mergeCell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M75"/>
  <sheetViews>
    <sheetView showGridLines="0" zoomScaleNormal="100" workbookViewId="0">
      <pane ySplit="5" topLeftCell="A6" activePane="bottomLeft" state="frozen"/>
      <selection pane="bottomLeft" activeCell="F9" sqref="F9"/>
    </sheetView>
  </sheetViews>
  <sheetFormatPr defaultRowHeight="11.25"/>
  <cols>
    <col min="1" max="2" width="8.83203125" style="1147" customWidth="1"/>
    <col min="3" max="3" width="1.83203125" style="1147" customWidth="1"/>
    <col min="4" max="4" width="22.5" style="1147" customWidth="1"/>
    <col min="5" max="5" width="1.83203125" style="1147" customWidth="1"/>
    <col min="6" max="6" width="18.83203125" style="1147" customWidth="1"/>
    <col min="7" max="7" width="1.83203125" style="1147" customWidth="1"/>
    <col min="8" max="8" width="18.83203125" style="1147" customWidth="1"/>
    <col min="9" max="11" width="1.83203125" style="1147" customWidth="1"/>
    <col min="12" max="12" width="25.33203125" style="1147" customWidth="1"/>
    <col min="13" max="13" width="1.83203125" style="1147" customWidth="1"/>
    <col min="14" max="14" width="18.83203125" style="1147" customWidth="1"/>
    <col min="15" max="15" width="1.83203125" style="1147" customWidth="1"/>
    <col min="16" max="16" width="18.83203125" style="1147" customWidth="1"/>
    <col min="17" max="17" width="1.83203125" style="1147" customWidth="1"/>
    <col min="18" max="16384" width="9.33203125" style="1147"/>
  </cols>
  <sheetData>
    <row r="1" spans="1:39" ht="22.5" customHeight="1">
      <c r="B1" s="1196" t="s">
        <v>3811</v>
      </c>
      <c r="C1" s="1196"/>
    </row>
    <row r="2" spans="1:39" ht="12" customHeight="1" thickBot="1">
      <c r="A2" s="1196" t="s">
        <v>3812</v>
      </c>
      <c r="B2" s="1196"/>
    </row>
    <row r="3" spans="1:39" ht="17.25" customHeight="1" thickBot="1">
      <c r="C3" s="1339" t="str">
        <f>xxDashboard</f>
        <v>Revenues ($M) 4411   Operating Margin 19%   Cash OI ($M) 940   ESAT 63   CSAT 63   FTEs 0</v>
      </c>
      <c r="D3" s="1340"/>
      <c r="E3" s="1340"/>
      <c r="F3" s="1340"/>
      <c r="G3" s="1340"/>
      <c r="H3" s="1340"/>
      <c r="I3" s="1340"/>
      <c r="J3" s="1340"/>
      <c r="K3" s="1340"/>
      <c r="L3" s="1340"/>
      <c r="M3" s="1340"/>
      <c r="N3" s="1340"/>
      <c r="O3" s="1340"/>
      <c r="P3" s="1340"/>
      <c r="Q3" s="1341"/>
    </row>
    <row r="4" spans="1:39" ht="12" customHeight="1" thickBot="1"/>
    <row r="5" spans="1:39" s="1203" customFormat="1" ht="108.75" customHeight="1">
      <c r="C5" s="1201"/>
      <c r="D5" s="1244"/>
      <c r="E5" s="1244"/>
      <c r="F5" s="1244"/>
      <c r="G5" s="1244"/>
      <c r="H5" s="1244"/>
      <c r="I5" s="1244"/>
      <c r="J5" s="1244"/>
      <c r="K5" s="1244"/>
      <c r="L5" s="1244"/>
      <c r="M5" s="1244"/>
      <c r="N5" s="1244"/>
      <c r="O5" s="1244"/>
      <c r="P5" s="1244"/>
      <c r="Q5" s="1146" t="str">
        <f>INDEX(decTeamName,xxIndexTeam)</f>
        <v>IIC</v>
      </c>
    </row>
    <row r="6" spans="1:39" ht="14.25" customHeight="1">
      <c r="C6" s="819"/>
      <c r="D6" s="820"/>
      <c r="E6" s="820"/>
      <c r="F6" s="820"/>
      <c r="G6" s="820"/>
      <c r="H6" s="820"/>
      <c r="I6" s="820"/>
      <c r="J6" s="820"/>
      <c r="K6" s="820"/>
      <c r="L6" s="820"/>
      <c r="M6" s="820"/>
      <c r="N6" s="820"/>
      <c r="O6" s="820"/>
      <c r="P6" s="820"/>
      <c r="Q6" s="821"/>
    </row>
    <row r="7" spans="1:39" ht="14.25" customHeight="1">
      <c r="C7" s="819"/>
      <c r="D7" s="820"/>
      <c r="E7" s="820"/>
      <c r="F7" s="848" t="str">
        <f>DataNameProd2</f>
        <v>Transform</v>
      </c>
      <c r="G7" s="849"/>
      <c r="H7" s="880"/>
      <c r="I7" s="850"/>
      <c r="J7" s="851"/>
      <c r="K7" s="851"/>
      <c r="L7" s="822" t="str">
        <f>DataNameProd2 &amp; "  - Subscriber Growth &amp; Share"</f>
        <v>Transform  - Subscriber Growth &amp; Share</v>
      </c>
      <c r="M7" s="851"/>
      <c r="N7" s="851"/>
      <c r="O7" s="820"/>
      <c r="P7" s="820"/>
      <c r="Q7" s="821"/>
    </row>
    <row r="8" spans="1:39" ht="7.5" customHeight="1">
      <c r="C8" s="819"/>
      <c r="D8" s="820"/>
      <c r="E8" s="820"/>
      <c r="F8" s="820"/>
      <c r="G8" s="861"/>
      <c r="H8" s="880"/>
      <c r="I8" s="862"/>
      <c r="J8" s="820"/>
      <c r="K8" s="820"/>
      <c r="L8" s="820"/>
      <c r="M8" s="820"/>
      <c r="N8" s="820"/>
      <c r="O8" s="820"/>
      <c r="P8" s="820"/>
      <c r="Q8" s="821"/>
      <c r="X8" s="1210"/>
      <c r="Y8" s="1210"/>
    </row>
    <row r="9" spans="1:39" ht="14.25" customHeight="1" thickBot="1">
      <c r="C9" s="819"/>
      <c r="D9" s="681" t="s">
        <v>1346</v>
      </c>
      <c r="E9" s="820"/>
      <c r="F9" s="680">
        <v>0</v>
      </c>
      <c r="G9" s="820"/>
      <c r="H9" s="880"/>
      <c r="I9" s="825"/>
      <c r="J9" s="854"/>
      <c r="K9" s="854"/>
      <c r="L9" s="820"/>
      <c r="M9" s="820"/>
      <c r="N9" s="826" t="s">
        <v>894</v>
      </c>
      <c r="O9" s="826"/>
      <c r="P9" s="826" t="s">
        <v>895</v>
      </c>
      <c r="Q9" s="821"/>
      <c r="AL9" s="1147" t="s">
        <v>894</v>
      </c>
      <c r="AM9" s="1147" t="s">
        <v>895</v>
      </c>
    </row>
    <row r="10" spans="1:39" ht="14.25" customHeight="1">
      <c r="C10" s="819"/>
      <c r="D10" s="681" t="s">
        <v>1739</v>
      </c>
      <c r="E10" s="820"/>
      <c r="F10" s="852">
        <f>INDEX(capProd2SubCancellationRate,xxIndexTeam)</f>
        <v>0.11444399999999999</v>
      </c>
      <c r="G10" s="856"/>
      <c r="H10" s="880"/>
      <c r="I10" s="881"/>
      <c r="J10" s="854"/>
      <c r="K10" s="854"/>
      <c r="L10" s="681" t="s">
        <v>1743</v>
      </c>
      <c r="M10" s="820"/>
      <c r="N10" s="830">
        <f>INDEX(capProd2OpenSubs,xxIndexTeam)</f>
        <v>200500.00000000003</v>
      </c>
      <c r="O10" s="823"/>
      <c r="P10" s="830">
        <f>INDEX(obalProd2OpenSubs,xxIndexTeam)</f>
        <v>200500</v>
      </c>
      <c r="Q10" s="882"/>
      <c r="AG10" s="1208" t="s">
        <v>2924</v>
      </c>
      <c r="AH10" s="1208"/>
      <c r="AL10" s="1209" t="s">
        <v>2928</v>
      </c>
      <c r="AM10" s="1209" t="s">
        <v>2929</v>
      </c>
    </row>
    <row r="11" spans="1:39" ht="14.25" customHeight="1">
      <c r="C11" s="819"/>
      <c r="D11" s="681" t="s">
        <v>1740</v>
      </c>
      <c r="E11" s="820"/>
      <c r="F11" s="852">
        <f>INDEX(capProd2EndSubs,xxIndexTeam)/SUM(capProd2EndSubs)</f>
        <v>0.40073587396279242</v>
      </c>
      <c r="G11" s="856"/>
      <c r="H11" s="880"/>
      <c r="I11" s="857"/>
      <c r="J11" s="854"/>
      <c r="K11" s="854"/>
      <c r="L11" s="855" t="s">
        <v>1744</v>
      </c>
      <c r="M11" s="820"/>
      <c r="N11" s="830">
        <f>INDEX(capProd2Cancellations,xxIndexTeam)</f>
        <v>22946.022000000001</v>
      </c>
      <c r="O11" s="823"/>
      <c r="P11" s="830">
        <f>INDEX(obalProd2Cancellations,xxIndexTeam)</f>
        <v>24060</v>
      </c>
      <c r="Q11" s="882"/>
      <c r="AG11" s="1208" t="s">
        <v>2925</v>
      </c>
      <c r="AH11" s="1208"/>
      <c r="AL11" s="1209" t="s">
        <v>2930</v>
      </c>
      <c r="AM11" s="1209" t="s">
        <v>2931</v>
      </c>
    </row>
    <row r="12" spans="1:39" ht="14.25" customHeight="1">
      <c r="C12" s="819"/>
      <c r="D12" s="820"/>
      <c r="E12" s="820"/>
      <c r="F12" s="852"/>
      <c r="G12" s="861"/>
      <c r="H12" s="880"/>
      <c r="I12" s="881"/>
      <c r="J12" s="854"/>
      <c r="K12" s="854"/>
      <c r="L12" s="855" t="s">
        <v>1745</v>
      </c>
      <c r="M12" s="820"/>
      <c r="N12" s="830">
        <f>INDEX(capProd2NewSubs,xxIndexTeam)-INDEX(paramProd2AddSubs,xxIndexTeam)</f>
        <v>4656</v>
      </c>
      <c r="O12" s="823"/>
      <c r="P12" s="830">
        <f>INDEX(obalProd2NewSubs,xxIndexTeam)-INDEX(obalProd2AddSubs,xxIndexTeam)</f>
        <v>24060.000000000029</v>
      </c>
      <c r="Q12" s="882"/>
      <c r="AG12" s="1210"/>
      <c r="AH12" s="1208"/>
      <c r="AL12" s="1209" t="s">
        <v>2932</v>
      </c>
      <c r="AM12" s="1209" t="s">
        <v>2933</v>
      </c>
    </row>
    <row r="13" spans="1:39" ht="14.25" customHeight="1" thickBot="1">
      <c r="C13" s="819"/>
      <c r="D13" s="681" t="s">
        <v>1347</v>
      </c>
      <c r="E13" s="820"/>
      <c r="F13" s="680">
        <v>12000</v>
      </c>
      <c r="G13" s="820"/>
      <c r="H13" s="880"/>
      <c r="I13" s="825"/>
      <c r="J13" s="854"/>
      <c r="K13" s="854"/>
      <c r="L13" s="858" t="s">
        <v>3344</v>
      </c>
      <c r="M13" s="859"/>
      <c r="N13" s="860">
        <f>INDEX(paramProd2AddSubs,xxIndexTeam)</f>
        <v>0</v>
      </c>
      <c r="O13" s="823"/>
      <c r="P13" s="860">
        <f>INDEX(obalProd2AddSubs,xxIndexTeam)</f>
        <v>0</v>
      </c>
      <c r="Q13" s="1104"/>
      <c r="AL13" s="1147" t="s">
        <v>3348</v>
      </c>
      <c r="AM13" s="1147" t="s">
        <v>3349</v>
      </c>
    </row>
    <row r="14" spans="1:39" ht="14.25" customHeight="1">
      <c r="C14" s="819"/>
      <c r="D14" s="681" t="s">
        <v>1741</v>
      </c>
      <c r="E14" s="820"/>
      <c r="F14" s="852">
        <f>INDEX(decProd2Price,xxIndexTeam)/INDEX(obalProd2Price,xxIndexTeam)-1</f>
        <v>0</v>
      </c>
      <c r="G14" s="856"/>
      <c r="H14" s="880"/>
      <c r="I14" s="862"/>
      <c r="J14" s="854"/>
      <c r="K14" s="854"/>
      <c r="L14" s="681" t="s">
        <v>1746</v>
      </c>
      <c r="M14" s="820"/>
      <c r="N14" s="830">
        <f>INDEX(capProd2EndSubs,xxIndexTeam)</f>
        <v>182209.97800000003</v>
      </c>
      <c r="O14" s="823"/>
      <c r="P14" s="830">
        <f>INDEX(obalProd2Subscribers,xxIndexTeam)</f>
        <v>200500.00000000003</v>
      </c>
      <c r="Q14" s="882"/>
      <c r="AL14" s="1209" t="s">
        <v>2934</v>
      </c>
      <c r="AM14" s="1209" t="s">
        <v>2935</v>
      </c>
    </row>
    <row r="15" spans="1:39" ht="14.25" customHeight="1">
      <c r="C15" s="819"/>
      <c r="D15" s="681" t="s">
        <v>1742</v>
      </c>
      <c r="E15" s="820"/>
      <c r="F15" s="854">
        <f>INDEX(finPNLProd2Rev,xxIndexTeam)/1000000</f>
        <v>2402.6286854051218</v>
      </c>
      <c r="G15" s="863"/>
      <c r="H15" s="880"/>
      <c r="I15" s="857"/>
      <c r="J15" s="852"/>
      <c r="K15" s="852"/>
      <c r="L15" s="681" t="s">
        <v>714</v>
      </c>
      <c r="M15" s="820"/>
      <c r="N15" s="833">
        <f>INDEX(capProd2EndSubs,xxIndexTeam)/SUM(capProd2EndSubs)</f>
        <v>0.40073587396279242</v>
      </c>
      <c r="O15" s="823"/>
      <c r="P15" s="833">
        <f>INDEX(obalProd2Subscribers,xxIndexTeam)/SUM(obalProd2Subscribers)</f>
        <v>0.4</v>
      </c>
      <c r="Q15" s="882"/>
      <c r="AG15" s="1208" t="s">
        <v>2926</v>
      </c>
      <c r="AH15" s="1210"/>
      <c r="AL15" s="1209" t="s">
        <v>2936</v>
      </c>
      <c r="AM15" s="1209" t="s">
        <v>2937</v>
      </c>
    </row>
    <row r="16" spans="1:39" ht="14.25" customHeight="1">
      <c r="C16" s="819"/>
      <c r="D16" s="681"/>
      <c r="E16" s="820"/>
      <c r="F16" s="820"/>
      <c r="G16" s="863"/>
      <c r="H16" s="880"/>
      <c r="I16" s="853"/>
      <c r="J16" s="854"/>
      <c r="K16" s="854"/>
      <c r="L16" s="681" t="s">
        <v>1754</v>
      </c>
      <c r="M16" s="820"/>
      <c r="N16" s="830">
        <f>INDEX(capProd2NetNewSales,xxIndexTeam)/1000000</f>
        <v>-159.883464</v>
      </c>
      <c r="O16" s="823"/>
      <c r="P16" s="830">
        <f>INDEX(obalProd2NetNewSales,xxIndexTeam)/1000000</f>
        <v>-151.88929079999997</v>
      </c>
      <c r="Q16" s="882"/>
      <c r="AG16" s="1204" t="s">
        <v>2927</v>
      </c>
      <c r="AH16" s="1208"/>
      <c r="AL16" s="1209" t="s">
        <v>2938</v>
      </c>
      <c r="AM16" s="1209" t="s">
        <v>2939</v>
      </c>
    </row>
    <row r="17" spans="3:39" ht="14.25" customHeight="1">
      <c r="C17" s="819"/>
      <c r="D17" s="681"/>
      <c r="E17" s="820"/>
      <c r="F17" s="854"/>
      <c r="G17" s="863"/>
      <c r="H17" s="854"/>
      <c r="I17" s="853"/>
      <c r="J17" s="854"/>
      <c r="K17" s="854"/>
      <c r="L17" s="681" t="s">
        <v>3008</v>
      </c>
      <c r="M17" s="820"/>
      <c r="N17" s="833">
        <f>INDEX(cbalProd2NewSubGrowth,xxIndexTeam)</f>
        <v>2.3221945137157102E-2</v>
      </c>
      <c r="O17" s="823"/>
      <c r="P17" s="833">
        <f>INDEX(obalProd2NewSubGrowth,xxIndexTeam)</f>
        <v>2.2757506234413961E-2</v>
      </c>
      <c r="Q17" s="882"/>
      <c r="AG17" s="1204"/>
      <c r="AH17" s="1204"/>
      <c r="AL17" s="1209" t="s">
        <v>2940</v>
      </c>
      <c r="AM17" s="1209" t="s">
        <v>2941</v>
      </c>
    </row>
    <row r="18" spans="3:39" ht="14.25" customHeight="1">
      <c r="C18" s="819"/>
      <c r="D18" s="681"/>
      <c r="E18" s="820"/>
      <c r="F18" s="854"/>
      <c r="G18" s="863"/>
      <c r="H18" s="854"/>
      <c r="I18" s="853"/>
      <c r="J18" s="854"/>
      <c r="K18" s="854"/>
      <c r="L18" s="681" t="s">
        <v>1739</v>
      </c>
      <c r="M18" s="820"/>
      <c r="N18" s="864">
        <f>INDEX(capProd2SubCancellationRate,xxIndexTeam)</f>
        <v>0.11444399999999999</v>
      </c>
      <c r="O18" s="827"/>
      <c r="P18" s="864">
        <f>INDEX(obalProd2SubCancellationRate,xxIndexTeam)</f>
        <v>0</v>
      </c>
      <c r="Q18" s="883"/>
      <c r="AG18" s="1204"/>
      <c r="AH18" s="1204"/>
      <c r="AL18" s="1211" t="s">
        <v>2942</v>
      </c>
      <c r="AM18" s="1211" t="s">
        <v>2943</v>
      </c>
    </row>
    <row r="19" spans="3:39" ht="42" customHeight="1" thickBot="1">
      <c r="C19" s="840"/>
      <c r="D19" s="842"/>
      <c r="E19" s="842"/>
      <c r="F19" s="842"/>
      <c r="G19" s="842"/>
      <c r="H19" s="842"/>
      <c r="I19" s="842"/>
      <c r="J19" s="842"/>
      <c r="K19" s="842"/>
      <c r="L19" s="842"/>
      <c r="M19" s="842"/>
      <c r="N19" s="842"/>
      <c r="O19" s="842"/>
      <c r="P19" s="842"/>
      <c r="Q19" s="844"/>
      <c r="S19" s="1196"/>
    </row>
    <row r="20" spans="3:39" ht="12" thickBot="1"/>
    <row r="21" spans="3:39" s="1203" customFormat="1" ht="87.75" customHeight="1">
      <c r="C21" s="1245"/>
      <c r="D21" s="1246"/>
      <c r="E21" s="1246"/>
      <c r="F21" s="1246"/>
      <c r="G21" s="1246"/>
      <c r="H21" s="1246"/>
      <c r="I21" s="1246"/>
      <c r="J21" s="1246"/>
      <c r="K21" s="1246"/>
      <c r="L21" s="1246"/>
      <c r="M21" s="1246"/>
      <c r="N21" s="1246"/>
      <c r="O21" s="1246"/>
      <c r="P21" s="1246"/>
      <c r="Q21" s="1247" t="str">
        <f>INDEX(decTeamName,xxIndexTeam) &amp; " Year " &amp; xxYear</f>
        <v>IIC Year 0</v>
      </c>
    </row>
    <row r="22" spans="3:39" ht="14.25" customHeight="1">
      <c r="C22" s="819"/>
      <c r="D22" s="681"/>
      <c r="E22" s="820"/>
      <c r="F22" s="835"/>
      <c r="G22" s="820"/>
      <c r="H22" s="820"/>
      <c r="I22" s="820"/>
      <c r="J22" s="820"/>
      <c r="K22" s="820"/>
      <c r="L22" s="820"/>
      <c r="M22" s="835"/>
      <c r="N22" s="835"/>
      <c r="O22" s="820"/>
      <c r="P22" s="820"/>
      <c r="Q22" s="821"/>
    </row>
    <row r="23" spans="3:39" ht="14.25" customHeight="1">
      <c r="C23" s="819"/>
      <c r="D23" s="822" t="str">
        <f>DataNameProd2 &amp; "  - Value Proposition"</f>
        <v>Transform  - Value Proposition</v>
      </c>
      <c r="E23" s="820"/>
      <c r="F23" s="820"/>
      <c r="G23" s="823"/>
      <c r="H23" s="824" t="s">
        <v>895</v>
      </c>
      <c r="I23" s="820"/>
      <c r="J23" s="825"/>
      <c r="K23" s="820"/>
      <c r="L23" s="822" t="str">
        <f>DataNameProd2 &amp; "  - Income Statement Summary"</f>
        <v>Transform  - Income Statement Summary</v>
      </c>
      <c r="M23" s="820"/>
      <c r="N23" s="820"/>
      <c r="O23" s="820"/>
      <c r="P23" s="820"/>
      <c r="Q23" s="821"/>
    </row>
    <row r="24" spans="3:39" ht="14.25" customHeight="1">
      <c r="C24" s="819"/>
      <c r="D24" s="681"/>
      <c r="E24" s="820"/>
      <c r="F24" s="826" t="s">
        <v>894</v>
      </c>
      <c r="G24" s="827"/>
      <c r="H24" s="826" t="s">
        <v>1758</v>
      </c>
      <c r="I24" s="826"/>
      <c r="J24" s="828"/>
      <c r="K24" s="826"/>
      <c r="L24" s="820"/>
      <c r="M24" s="826"/>
      <c r="N24" s="826" t="s">
        <v>894</v>
      </c>
      <c r="O24" s="829"/>
      <c r="P24" s="826" t="s">
        <v>1793</v>
      </c>
      <c r="Q24" s="821"/>
      <c r="AJ24" s="1147" t="s">
        <v>894</v>
      </c>
      <c r="AK24" s="1147" t="s">
        <v>895</v>
      </c>
    </row>
    <row r="25" spans="3:39" ht="14.25" customHeight="1">
      <c r="C25" s="819"/>
      <c r="D25" s="681" t="s">
        <v>1759</v>
      </c>
      <c r="E25" s="820"/>
      <c r="F25" s="830">
        <f>INDEX(cbalContentLvl,xxIndexTeam)</f>
        <v>2</v>
      </c>
      <c r="G25" s="823"/>
      <c r="H25" s="830">
        <f>INDEX(obalContentLvlIndAvg,xxIndexTeam)</f>
        <v>1</v>
      </c>
      <c r="I25" s="823"/>
      <c r="J25" s="831"/>
      <c r="K25" s="830"/>
      <c r="L25" s="832" t="s">
        <v>1792</v>
      </c>
      <c r="M25" s="830"/>
      <c r="N25" s="833">
        <f>INDEX(finPNLProd2EBITDA,xxIndexTeam)/INDEX(finPNLProd2Rev,xxIndexTeam)</f>
        <v>0.30418754851000834</v>
      </c>
      <c r="O25" s="823"/>
      <c r="P25" s="833">
        <f>INDEX(obalPNLProd2EBITDA,xxIndexTeam)/INDEX(obalPNLProd2Rev,xxIndexTeam)</f>
        <v>0.30418754851000834</v>
      </c>
      <c r="Q25" s="882"/>
      <c r="AG25" s="1209" t="s">
        <v>2944</v>
      </c>
      <c r="AH25" s="1209" t="s">
        <v>2945</v>
      </c>
      <c r="AJ25" s="1209" t="s">
        <v>2946</v>
      </c>
      <c r="AK25" s="1209" t="s">
        <v>2947</v>
      </c>
    </row>
    <row r="26" spans="3:39" ht="14.25" customHeight="1">
      <c r="C26" s="819"/>
      <c r="D26" s="681" t="s">
        <v>1760</v>
      </c>
      <c r="E26" s="820"/>
      <c r="F26" s="830">
        <f>INDEX(cbalProd2ProdTechLvl,xxIndexTeam)</f>
        <v>3</v>
      </c>
      <c r="G26" s="823"/>
      <c r="H26" s="830">
        <f>INDEX(obalProd2ProdTechIndAvg,xxIndexTeam)</f>
        <v>1</v>
      </c>
      <c r="I26" s="823"/>
      <c r="J26" s="831"/>
      <c r="K26" s="830"/>
      <c r="L26" s="832" t="s">
        <v>473</v>
      </c>
      <c r="M26" s="830"/>
      <c r="N26" s="833">
        <f>INDEX(finPNLProd2OperatingMargin,xxIndexTeam)</f>
        <v>0.23260410028815165</v>
      </c>
      <c r="O26" s="823"/>
      <c r="P26" s="833">
        <f>INDEX(obalPNLProd2OperatingMargin,xxIndexTeam)</f>
        <v>0.23260410028815165</v>
      </c>
      <c r="Q26" s="882"/>
      <c r="AG26" s="1209" t="s">
        <v>2948</v>
      </c>
      <c r="AH26" s="1209" t="s">
        <v>2949</v>
      </c>
      <c r="AJ26" s="1209" t="s">
        <v>2950</v>
      </c>
      <c r="AK26" s="1209" t="s">
        <v>2951</v>
      </c>
    </row>
    <row r="27" spans="3:39" ht="14.25" customHeight="1">
      <c r="C27" s="819"/>
      <c r="D27" s="681" t="s">
        <v>113</v>
      </c>
      <c r="E27" s="820"/>
      <c r="F27" s="834">
        <f>INDEX(cbalProd2TTM,xxIndexTeam)</f>
        <v>51.576599609964973</v>
      </c>
      <c r="G27" s="823"/>
      <c r="H27" s="834">
        <f>INDEX(obalProd2TTMIndAvg,xxIndexTeam)</f>
        <v>65</v>
      </c>
      <c r="I27" s="823"/>
      <c r="J27" s="831"/>
      <c r="K27" s="830"/>
      <c r="L27" s="830"/>
      <c r="M27" s="830"/>
      <c r="N27" s="830"/>
      <c r="O27" s="820"/>
      <c r="P27" s="820"/>
      <c r="Q27" s="821"/>
      <c r="AG27" s="1209" t="s">
        <v>2952</v>
      </c>
      <c r="AH27" s="1209" t="s">
        <v>2953</v>
      </c>
    </row>
    <row r="28" spans="3:39" ht="14.25" customHeight="1">
      <c r="C28" s="819"/>
      <c r="D28" s="681" t="s">
        <v>1761</v>
      </c>
      <c r="E28" s="820"/>
      <c r="F28" s="835">
        <f>INDEX(finPNLProd2Rev,xxIndexTeam)/1000000</f>
        <v>2402.6286854051218</v>
      </c>
      <c r="G28" s="823"/>
      <c r="H28" s="835">
        <f>INDEX(obalProd2Revenue,xxIndexTeam)/1000000</f>
        <v>2505.9423000000002</v>
      </c>
      <c r="I28" s="823"/>
      <c r="J28" s="831"/>
      <c r="K28" s="830"/>
      <c r="L28" s="830"/>
      <c r="M28" s="830"/>
      <c r="N28" s="830"/>
      <c r="O28" s="820"/>
      <c r="P28" s="820"/>
      <c r="Q28" s="821"/>
      <c r="AG28" s="1209" t="s">
        <v>2954</v>
      </c>
      <c r="AH28" s="1209" t="s">
        <v>2955</v>
      </c>
    </row>
    <row r="29" spans="3:39" ht="14.25" customHeight="1">
      <c r="C29" s="819"/>
      <c r="D29" s="681" t="s">
        <v>1791</v>
      </c>
      <c r="E29" s="820"/>
      <c r="F29" s="835">
        <f>INDEX(capProd2Emp1Req,xxIndexTeam)</f>
        <v>265</v>
      </c>
      <c r="G29" s="823"/>
      <c r="H29" s="820"/>
      <c r="I29" s="823"/>
      <c r="J29" s="836"/>
      <c r="K29" s="833"/>
      <c r="L29" s="833"/>
      <c r="M29" s="833"/>
      <c r="N29" s="833"/>
      <c r="O29" s="820"/>
      <c r="P29" s="820"/>
      <c r="Q29" s="821"/>
      <c r="AG29" s="1209" t="s">
        <v>2956</v>
      </c>
      <c r="AH29" s="1209"/>
    </row>
    <row r="30" spans="3:39" ht="14.25" customHeight="1">
      <c r="C30" s="819"/>
      <c r="D30" s="820"/>
      <c r="E30" s="820"/>
      <c r="F30" s="820"/>
      <c r="G30" s="820"/>
      <c r="H30" s="820"/>
      <c r="I30" s="823"/>
      <c r="J30" s="831"/>
      <c r="K30" s="830"/>
      <c r="L30" s="830"/>
      <c r="M30" s="830"/>
      <c r="N30" s="830"/>
      <c r="O30" s="820"/>
      <c r="P30" s="820"/>
      <c r="Q30" s="821"/>
    </row>
    <row r="31" spans="3:39" ht="14.25" customHeight="1">
      <c r="C31" s="819"/>
      <c r="D31" s="820"/>
      <c r="E31" s="820"/>
      <c r="F31" s="820"/>
      <c r="G31" s="820"/>
      <c r="H31" s="820"/>
      <c r="I31" s="823"/>
      <c r="J31" s="836"/>
      <c r="K31" s="833"/>
      <c r="L31" s="833"/>
      <c r="M31" s="833"/>
      <c r="N31" s="833"/>
      <c r="O31" s="820"/>
      <c r="P31" s="820"/>
      <c r="Q31" s="821"/>
    </row>
    <row r="32" spans="3:39" ht="14.25" customHeight="1">
      <c r="C32" s="819"/>
      <c r="D32" s="820"/>
      <c r="E32" s="820"/>
      <c r="F32" s="820"/>
      <c r="G32" s="820"/>
      <c r="H32" s="820"/>
      <c r="I32" s="827"/>
      <c r="J32" s="836"/>
      <c r="K32" s="833"/>
      <c r="L32" s="833"/>
      <c r="M32" s="833"/>
      <c r="N32" s="833"/>
      <c r="O32" s="820"/>
      <c r="P32" s="820"/>
      <c r="Q32" s="821"/>
    </row>
    <row r="33" spans="3:34" ht="14.25" customHeight="1">
      <c r="C33" s="819"/>
      <c r="D33" s="820"/>
      <c r="E33" s="820"/>
      <c r="F33" s="820"/>
      <c r="G33" s="820"/>
      <c r="H33" s="820"/>
      <c r="I33" s="823"/>
      <c r="J33" s="837"/>
      <c r="K33" s="824"/>
      <c r="L33" s="824"/>
      <c r="M33" s="824"/>
      <c r="N33" s="824"/>
      <c r="O33" s="820"/>
      <c r="P33" s="820"/>
      <c r="Q33" s="821"/>
      <c r="AG33" s="1209"/>
      <c r="AH33" s="1209"/>
    </row>
    <row r="34" spans="3:34" ht="14.25" customHeight="1">
      <c r="C34" s="819"/>
      <c r="D34" s="820"/>
      <c r="E34" s="820"/>
      <c r="F34" s="820"/>
      <c r="G34" s="820"/>
      <c r="H34" s="820"/>
      <c r="I34" s="827"/>
      <c r="J34" s="828"/>
      <c r="K34" s="826"/>
      <c r="L34" s="826"/>
      <c r="M34" s="826"/>
      <c r="N34" s="826"/>
      <c r="O34" s="820"/>
      <c r="P34" s="820"/>
      <c r="Q34" s="821"/>
      <c r="AG34" s="1211"/>
      <c r="AH34" s="1211"/>
    </row>
    <row r="35" spans="3:34" ht="14.25" customHeight="1">
      <c r="C35" s="819"/>
      <c r="D35" s="820"/>
      <c r="E35" s="820"/>
      <c r="F35" s="820"/>
      <c r="G35" s="820"/>
      <c r="H35" s="820"/>
      <c r="I35" s="823"/>
      <c r="J35" s="831"/>
      <c r="K35" s="830"/>
      <c r="L35" s="830"/>
      <c r="M35" s="830"/>
      <c r="N35" s="830"/>
      <c r="O35" s="820"/>
      <c r="P35" s="820"/>
      <c r="Q35" s="821"/>
    </row>
    <row r="36" spans="3:34" ht="14.25" customHeight="1">
      <c r="C36" s="819"/>
      <c r="D36" s="820"/>
      <c r="E36" s="820"/>
      <c r="F36" s="820"/>
      <c r="G36" s="820"/>
      <c r="H36" s="820"/>
      <c r="I36" s="823"/>
      <c r="J36" s="831"/>
      <c r="K36" s="830"/>
      <c r="L36" s="830"/>
      <c r="M36" s="830"/>
      <c r="N36" s="830"/>
      <c r="O36" s="820"/>
      <c r="P36" s="820"/>
      <c r="Q36" s="821"/>
    </row>
    <row r="37" spans="3:34" ht="14.25" customHeight="1">
      <c r="C37" s="819"/>
      <c r="D37" s="820"/>
      <c r="E37" s="820"/>
      <c r="F37" s="820"/>
      <c r="G37" s="820"/>
      <c r="H37" s="820"/>
      <c r="I37" s="823"/>
      <c r="J37" s="838"/>
      <c r="K37" s="834"/>
      <c r="L37" s="834"/>
      <c r="M37" s="834"/>
      <c r="N37" s="834"/>
      <c r="O37" s="820"/>
      <c r="P37" s="820"/>
      <c r="Q37" s="821"/>
    </row>
    <row r="38" spans="3:34" ht="14.25" customHeight="1">
      <c r="C38" s="819"/>
      <c r="D38" s="820"/>
      <c r="E38" s="820"/>
      <c r="F38" s="820"/>
      <c r="G38" s="820"/>
      <c r="H38" s="820"/>
      <c r="I38" s="823"/>
      <c r="J38" s="839"/>
      <c r="K38" s="835"/>
      <c r="L38" s="835"/>
      <c r="M38" s="835"/>
      <c r="N38" s="835"/>
      <c r="O38" s="820"/>
      <c r="P38" s="820"/>
      <c r="Q38" s="821"/>
    </row>
    <row r="39" spans="3:34" ht="14.25" customHeight="1">
      <c r="C39" s="819"/>
      <c r="D39" s="820"/>
      <c r="E39" s="820"/>
      <c r="F39" s="820"/>
      <c r="G39" s="820"/>
      <c r="H39" s="820"/>
      <c r="I39" s="823"/>
      <c r="J39" s="825"/>
      <c r="K39" s="820"/>
      <c r="L39" s="820"/>
      <c r="M39" s="835"/>
      <c r="N39" s="835"/>
      <c r="O39" s="820"/>
      <c r="P39" s="820"/>
      <c r="Q39" s="821"/>
    </row>
    <row r="40" spans="3:34" ht="26.25" customHeight="1" thickBot="1">
      <c r="C40" s="840"/>
      <c r="D40" s="842"/>
      <c r="E40" s="842"/>
      <c r="F40" s="842"/>
      <c r="G40" s="842"/>
      <c r="H40" s="842"/>
      <c r="I40" s="842"/>
      <c r="J40" s="842"/>
      <c r="K40" s="842"/>
      <c r="L40" s="842"/>
      <c r="M40" s="842"/>
      <c r="N40" s="842"/>
      <c r="O40" s="842"/>
      <c r="P40" s="842"/>
      <c r="Q40" s="844"/>
    </row>
    <row r="66" spans="12:12">
      <c r="L66" s="1130"/>
    </row>
    <row r="67" spans="12:12">
      <c r="L67" s="1130"/>
    </row>
    <row r="68" spans="12:12">
      <c r="L68" s="1130"/>
    </row>
    <row r="69" spans="12:12">
      <c r="L69" s="1130"/>
    </row>
    <row r="70" spans="12:12">
      <c r="L70" s="1130"/>
    </row>
    <row r="71" spans="12:12">
      <c r="L71" s="1130"/>
    </row>
    <row r="72" spans="12:12">
      <c r="L72" s="1130"/>
    </row>
    <row r="73" spans="12:12">
      <c r="L73" s="1130"/>
    </row>
    <row r="74" spans="12:12">
      <c r="L74" s="1130"/>
    </row>
    <row r="75" spans="12:12">
      <c r="L75" s="1130"/>
    </row>
  </sheetData>
  <mergeCells count="1">
    <mergeCell ref="C3:Q3"/>
  </mergeCell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AI37"/>
  <sheetViews>
    <sheetView showGridLines="0" zoomScaleNormal="100" workbookViewId="0">
      <pane ySplit="5" topLeftCell="A6" activePane="bottomLeft" state="frozen"/>
      <selection pane="bottomLeft" activeCell="F17" sqref="F17"/>
    </sheetView>
  </sheetViews>
  <sheetFormatPr defaultRowHeight="11.25"/>
  <cols>
    <col min="1" max="2" width="8.83203125" style="1197" customWidth="1"/>
    <col min="3" max="3" width="1.83203125" style="1197" customWidth="1"/>
    <col min="4" max="4" width="26.6640625" style="1197" customWidth="1"/>
    <col min="5" max="5" width="1.83203125" style="1197" customWidth="1"/>
    <col min="6" max="6" width="22.83203125" style="1197" customWidth="1"/>
    <col min="7" max="7" width="1.83203125" style="1197" customWidth="1"/>
    <col min="8" max="8" width="22.83203125" style="1197" customWidth="1"/>
    <col min="9" max="10" width="1.83203125" style="1197" customWidth="1"/>
    <col min="11" max="11" width="9.33203125" style="1197" customWidth="1"/>
    <col min="12" max="12" width="22.83203125" style="1197" customWidth="1"/>
    <col min="13" max="13" width="1.83203125" style="1197" customWidth="1"/>
    <col min="14" max="14" width="22.83203125" style="1197" customWidth="1"/>
    <col min="15" max="15" width="1.83203125" style="1197" customWidth="1"/>
    <col min="16" max="16384" width="9.33203125" style="1197"/>
  </cols>
  <sheetData>
    <row r="1" spans="1:35" ht="22.5" customHeight="1">
      <c r="B1" s="1199" t="s">
        <v>1362</v>
      </c>
    </row>
    <row r="2" spans="1:35" ht="12" thickBot="1">
      <c r="A2" s="1199" t="s">
        <v>1363</v>
      </c>
    </row>
    <row r="3" spans="1:35" ht="17.25" customHeight="1" thickBot="1">
      <c r="C3" s="1342" t="str">
        <f>xxDashboard</f>
        <v>Revenues ($M) 4411   Operating Margin 19%   Cash OI ($M) 940   ESAT 63   CSAT 63   FTEs 0</v>
      </c>
      <c r="D3" s="1343"/>
      <c r="E3" s="1343"/>
      <c r="F3" s="1343"/>
      <c r="G3" s="1343"/>
      <c r="H3" s="1343"/>
      <c r="I3" s="1343"/>
      <c r="J3" s="1343"/>
      <c r="K3" s="1343"/>
      <c r="L3" s="1343"/>
      <c r="M3" s="1343"/>
      <c r="N3" s="1343"/>
      <c r="O3" s="1344"/>
    </row>
    <row r="4" spans="1:35" ht="12" thickBot="1"/>
    <row r="5" spans="1:35" s="1198" customFormat="1" ht="111" customHeight="1">
      <c r="C5" s="1248"/>
      <c r="D5" s="1202"/>
      <c r="E5" s="1202"/>
      <c r="F5" s="1202"/>
      <c r="G5" s="1202"/>
      <c r="H5" s="1202"/>
      <c r="I5" s="1202"/>
      <c r="J5" s="1202"/>
      <c r="K5" s="1202"/>
      <c r="L5" s="1202"/>
      <c r="M5" s="1202"/>
      <c r="N5" s="1202"/>
      <c r="O5" s="1146" t="str">
        <f>INDEX(decTeamName,xxIndexTeam)</f>
        <v>IIC</v>
      </c>
    </row>
    <row r="6" spans="1:35" ht="14.25" customHeight="1">
      <c r="C6" s="865"/>
      <c r="D6" s="866"/>
      <c r="E6" s="866"/>
      <c r="F6" s="866"/>
      <c r="G6" s="866"/>
      <c r="H6" s="866"/>
      <c r="I6" s="866"/>
      <c r="J6" s="866"/>
      <c r="K6" s="866"/>
      <c r="L6" s="866"/>
      <c r="M6" s="866"/>
      <c r="N6" s="866"/>
      <c r="O6" s="867"/>
    </row>
    <row r="7" spans="1:35" ht="14.25" customHeight="1">
      <c r="C7" s="865"/>
      <c r="D7" s="866"/>
      <c r="E7" s="866"/>
      <c r="F7" s="884" t="str">
        <f>DataNameProd1</f>
        <v>Growth</v>
      </c>
      <c r="G7" s="871"/>
      <c r="H7" s="884" t="str">
        <f>DataNameProd2</f>
        <v>Transform</v>
      </c>
      <c r="I7" s="885"/>
      <c r="J7" s="885"/>
      <c r="K7" s="822" t="s">
        <v>1948</v>
      </c>
      <c r="L7" s="866"/>
      <c r="M7" s="866"/>
      <c r="N7" s="866"/>
      <c r="O7" s="867"/>
    </row>
    <row r="8" spans="1:35" ht="14.25" customHeight="1">
      <c r="C8" s="865"/>
      <c r="D8" s="866"/>
      <c r="E8" s="866"/>
      <c r="F8" s="866"/>
      <c r="G8" s="866"/>
      <c r="H8" s="866"/>
      <c r="I8" s="866"/>
      <c r="J8" s="866"/>
      <c r="K8" s="866"/>
      <c r="L8" s="886" t="str">
        <f>DataNameProd1</f>
        <v>Growth</v>
      </c>
      <c r="M8" s="886"/>
      <c r="N8" s="886" t="str">
        <f>DataNameProd2</f>
        <v>Transform</v>
      </c>
      <c r="O8" s="867"/>
      <c r="AH8" s="1231" t="str">
        <f>DataNameProd1</f>
        <v>Growth</v>
      </c>
      <c r="AI8" s="1231" t="str">
        <f>DataNameProd2</f>
        <v>Transform</v>
      </c>
    </row>
    <row r="9" spans="1:35" ht="14.25" customHeight="1" thickBot="1">
      <c r="C9" s="865"/>
      <c r="D9" s="617" t="s">
        <v>1274</v>
      </c>
      <c r="E9" s="866"/>
      <c r="F9" s="568">
        <v>2</v>
      </c>
      <c r="G9" s="866"/>
      <c r="H9" s="568">
        <v>2</v>
      </c>
      <c r="I9" s="866"/>
      <c r="J9" s="866"/>
      <c r="K9" s="617" t="s">
        <v>894</v>
      </c>
      <c r="L9" s="866">
        <f>INDEX(capProd1Ftr1Emp1Req,xxIndexTeam)+INDEX(capProd1Ftr1TTMEmp1Req,xxIndexTeam)+INDEX(decProd1TTMConFTEs,xxIndexTeam)</f>
        <v>370</v>
      </c>
      <c r="M9" s="866"/>
      <c r="N9" s="866">
        <f>INDEX(capProd2Ftr1Emp1Req,xxIndexTeam)+INDEX(capProd2Ftr1TTMEmp1Req,xxIndexTeam)+INDEX(decProd2TTMConFTEs,xxIndexTeam)</f>
        <v>365</v>
      </c>
      <c r="O9" s="867"/>
      <c r="AE9" s="1197" t="str">
        <f>DataNameProd1</f>
        <v>Growth</v>
      </c>
      <c r="AF9" s="1197" t="str">
        <f>DataNameProd2</f>
        <v>Transform</v>
      </c>
      <c r="AH9" s="1227" t="s">
        <v>2508</v>
      </c>
      <c r="AI9" s="1227" t="s">
        <v>2509</v>
      </c>
    </row>
    <row r="10" spans="1:35" ht="4.5" customHeight="1">
      <c r="C10" s="865"/>
      <c r="D10" s="866"/>
      <c r="E10" s="866"/>
      <c r="F10" s="866"/>
      <c r="G10" s="866"/>
      <c r="H10" s="866"/>
      <c r="I10" s="866"/>
      <c r="J10" s="866"/>
      <c r="K10" s="569"/>
      <c r="L10" s="569"/>
      <c r="M10" s="569"/>
      <c r="N10" s="569"/>
      <c r="O10" s="867"/>
    </row>
    <row r="11" spans="1:35" ht="14.25" customHeight="1">
      <c r="C11" s="865"/>
      <c r="D11" s="617" t="s">
        <v>1885</v>
      </c>
      <c r="E11" s="866"/>
      <c r="F11" s="871">
        <f>INDEX(cbalProd1ProdTechLvl,xxIndexTeam)</f>
        <v>3</v>
      </c>
      <c r="G11" s="815"/>
      <c r="H11" s="871">
        <f>INDEX(cbalProd2ProdTechLvl,xxIndexTeam)</f>
        <v>3</v>
      </c>
      <c r="I11" s="815"/>
      <c r="J11" s="866"/>
      <c r="K11" s="617" t="s">
        <v>895</v>
      </c>
      <c r="L11" s="866">
        <f>INDEX(obalProd1Ftr1Emp1Req,xxIndexTeam)+INDEX(obalProd1Ftr1TTMEmp1Req,xxIndexTeam)+INDEX(obalProd1TTMConFTEs,xxIndexTeam)</f>
        <v>333</v>
      </c>
      <c r="M11" s="866"/>
      <c r="N11" s="866">
        <f>INDEX(obalProd2Ftr1Emp1Req,xxIndexTeam)+INDEX(obalProd2Ftr1TTMEmp1Req,xxIndexTeam)+INDEX(obalProd2TTMConFTEs,xxIndexTeam)</f>
        <v>329</v>
      </c>
      <c r="O11" s="867"/>
      <c r="AE11" s="1200" t="s">
        <v>2500</v>
      </c>
      <c r="AF11" s="1200" t="s">
        <v>2501</v>
      </c>
      <c r="AH11" s="1227" t="s">
        <v>2510</v>
      </c>
      <c r="AI11" s="1227" t="s">
        <v>2511</v>
      </c>
    </row>
    <row r="12" spans="1:35" ht="14.25" customHeight="1">
      <c r="C12" s="865"/>
      <c r="D12" s="866"/>
      <c r="E12" s="866"/>
      <c r="F12" s="866"/>
      <c r="G12" s="815"/>
      <c r="H12" s="866"/>
      <c r="I12" s="815"/>
      <c r="J12" s="866"/>
      <c r="K12" s="866"/>
      <c r="L12" s="866"/>
      <c r="M12" s="866"/>
      <c r="N12" s="866"/>
      <c r="O12" s="867"/>
      <c r="AE12" s="1200"/>
      <c r="AF12" s="1200"/>
    </row>
    <row r="13" spans="1:35" ht="14.25" customHeight="1">
      <c r="C13" s="865"/>
      <c r="D13" s="617" t="s">
        <v>183</v>
      </c>
      <c r="E13" s="866"/>
      <c r="F13" s="871">
        <f>INDEX(capProd1Ftr1Emp1Req,xxIndexTeam)</f>
        <v>140</v>
      </c>
      <c r="G13" s="815"/>
      <c r="H13" s="871">
        <f>INDEX(capProd2Ftr1Emp1Req,xxIndexTeam)</f>
        <v>140</v>
      </c>
      <c r="I13" s="815"/>
      <c r="J13" s="866"/>
      <c r="K13" s="866"/>
      <c r="L13" s="866"/>
      <c r="M13" s="866"/>
      <c r="N13" s="866"/>
      <c r="O13" s="867"/>
      <c r="AE13" s="1200" t="s">
        <v>2502</v>
      </c>
      <c r="AF13" s="1200" t="s">
        <v>2503</v>
      </c>
    </row>
    <row r="14" spans="1:35" ht="4.5" customHeight="1">
      <c r="C14" s="865"/>
      <c r="D14" s="866"/>
      <c r="E14" s="866"/>
      <c r="F14" s="866"/>
      <c r="G14" s="815"/>
      <c r="H14" s="866"/>
      <c r="I14" s="815"/>
      <c r="J14" s="866"/>
      <c r="K14" s="887"/>
      <c r="L14" s="887"/>
      <c r="M14" s="866"/>
      <c r="N14" s="866"/>
      <c r="O14" s="867"/>
      <c r="AE14" s="1200"/>
      <c r="AF14" s="1200"/>
    </row>
    <row r="15" spans="1:35" ht="14.25" customHeight="1" thickBot="1">
      <c r="C15" s="865"/>
      <c r="D15" s="617" t="s">
        <v>1350</v>
      </c>
      <c r="E15" s="866"/>
      <c r="F15" s="568">
        <v>130</v>
      </c>
      <c r="G15" s="888"/>
      <c r="H15" s="1068">
        <v>125</v>
      </c>
      <c r="I15" s="888"/>
      <c r="J15" s="866"/>
      <c r="K15" s="886"/>
      <c r="L15" s="886"/>
      <c r="M15" s="866"/>
      <c r="N15" s="866"/>
      <c r="O15" s="867"/>
      <c r="AE15" s="1218"/>
      <c r="AF15" s="1218"/>
    </row>
    <row r="16" spans="1:35" ht="14.25" customHeight="1">
      <c r="C16" s="865"/>
      <c r="D16" s="866"/>
      <c r="E16" s="866"/>
      <c r="F16" s="866"/>
      <c r="G16" s="815"/>
      <c r="H16" s="866"/>
      <c r="I16" s="815"/>
      <c r="J16" s="866"/>
      <c r="K16" s="886"/>
      <c r="L16" s="886"/>
      <c r="M16" s="866"/>
      <c r="N16" s="866"/>
      <c r="O16" s="867"/>
      <c r="AE16" s="1200"/>
      <c r="AF16" s="1200"/>
    </row>
    <row r="17" spans="3:32" ht="14.25" customHeight="1" thickBot="1">
      <c r="C17" s="865"/>
      <c r="D17" s="617" t="s">
        <v>1349</v>
      </c>
      <c r="E17" s="866"/>
      <c r="F17" s="568">
        <v>100</v>
      </c>
      <c r="G17" s="888"/>
      <c r="H17" s="568">
        <v>100</v>
      </c>
      <c r="I17" s="888"/>
      <c r="J17" s="866"/>
      <c r="K17" s="875"/>
      <c r="L17" s="875"/>
      <c r="M17" s="866"/>
      <c r="N17" s="866"/>
      <c r="O17" s="867"/>
      <c r="AE17" s="1218"/>
      <c r="AF17" s="1218"/>
    </row>
    <row r="18" spans="3:32" ht="6" customHeight="1">
      <c r="C18" s="865"/>
      <c r="D18" s="866"/>
      <c r="E18" s="866"/>
      <c r="F18" s="866"/>
      <c r="G18" s="815"/>
      <c r="H18" s="866"/>
      <c r="I18" s="815"/>
      <c r="J18" s="866"/>
      <c r="K18" s="875"/>
      <c r="L18" s="875"/>
      <c r="M18" s="866"/>
      <c r="N18" s="866"/>
      <c r="O18" s="867"/>
      <c r="AE18" s="1200"/>
      <c r="AF18" s="1200"/>
    </row>
    <row r="19" spans="3:32" ht="14.25" customHeight="1">
      <c r="C19" s="865"/>
      <c r="D19" s="617" t="s">
        <v>1886</v>
      </c>
      <c r="E19" s="866"/>
      <c r="F19" s="889">
        <f>INDEX(capProd1TTM,xxIndexTeam)</f>
        <v>50.821085663092326</v>
      </c>
      <c r="G19" s="890"/>
      <c r="H19" s="889">
        <f>INDEX(capProd2TTM,xxIndexTeam)</f>
        <v>51.576599609964973</v>
      </c>
      <c r="I19" s="890"/>
      <c r="J19" s="866"/>
      <c r="K19" s="866"/>
      <c r="L19" s="866"/>
      <c r="M19" s="866"/>
      <c r="N19" s="866"/>
      <c r="O19" s="867"/>
      <c r="AE19" s="1232" t="s">
        <v>2504</v>
      </c>
      <c r="AF19" s="1232" t="s">
        <v>2505</v>
      </c>
    </row>
    <row r="20" spans="3:32" ht="6" customHeight="1">
      <c r="C20" s="865"/>
      <c r="D20" s="866"/>
      <c r="E20" s="866"/>
      <c r="F20" s="866"/>
      <c r="G20" s="815"/>
      <c r="H20" s="866"/>
      <c r="I20" s="815"/>
      <c r="J20" s="866"/>
      <c r="K20" s="866"/>
      <c r="L20" s="866"/>
      <c r="M20" s="866"/>
      <c r="N20" s="866"/>
      <c r="O20" s="867"/>
      <c r="AE20" s="1200"/>
      <c r="AF20" s="1200"/>
    </row>
    <row r="21" spans="3:32" ht="14.25" customHeight="1">
      <c r="C21" s="865"/>
      <c r="D21" s="617" t="s">
        <v>1887</v>
      </c>
      <c r="E21" s="866"/>
      <c r="F21" s="891">
        <f>INDEX(capProd1Emp1DevExp,xxIndexTeam)+INDEX(decProd1TTMConFTEs,xxIndexTeam)*INDEX(paramCostPExternalFTE,xxIndexTeam)</f>
        <v>142124470.0181708</v>
      </c>
      <c r="G21" s="892"/>
      <c r="H21" s="891">
        <f>INDEX(capProd2Emp1DevExp,xxIndexTeam)+INDEX(decProd2TTMConFTEs,xxIndexTeam)*INDEX(paramCostPExternalFTE,xxIndexTeam)</f>
        <v>143260145.36644459</v>
      </c>
      <c r="I21" s="892"/>
      <c r="J21" s="891"/>
      <c r="K21" s="891"/>
      <c r="L21" s="891"/>
      <c r="M21" s="866"/>
      <c r="N21" s="866"/>
      <c r="O21" s="867"/>
      <c r="AE21" s="1233" t="s">
        <v>2506</v>
      </c>
      <c r="AF21" s="1233" t="s">
        <v>2507</v>
      </c>
    </row>
    <row r="22" spans="3:32" ht="33" customHeight="1" thickBot="1">
      <c r="C22" s="876"/>
      <c r="D22" s="877"/>
      <c r="E22" s="877"/>
      <c r="F22" s="877"/>
      <c r="G22" s="877"/>
      <c r="H22" s="877"/>
      <c r="I22" s="877"/>
      <c r="J22" s="877"/>
      <c r="K22" s="877"/>
      <c r="L22" s="877"/>
      <c r="M22" s="877"/>
      <c r="N22" s="877"/>
      <c r="O22" s="879"/>
    </row>
    <row r="23" spans="3:32" ht="12" thickBot="1"/>
    <row r="24" spans="3:32" s="1198" customFormat="1" ht="86.25" customHeight="1">
      <c r="C24" s="1249"/>
      <c r="D24" s="1250"/>
      <c r="E24" s="1250"/>
      <c r="F24" s="1250"/>
      <c r="G24" s="1250"/>
      <c r="H24" s="1250"/>
      <c r="I24" s="1250"/>
      <c r="J24" s="1250"/>
      <c r="K24" s="1250"/>
      <c r="L24" s="1250"/>
      <c r="M24" s="1250"/>
      <c r="N24" s="1250"/>
      <c r="O24" s="1247" t="str">
        <f>INDEX(decTeamName,xxIndexTeam) &amp; " Year " &amp; xxYear</f>
        <v>IIC Year 0</v>
      </c>
    </row>
    <row r="25" spans="3:32" ht="14.25" customHeight="1">
      <c r="C25" s="865"/>
      <c r="D25" s="866"/>
      <c r="E25" s="866"/>
      <c r="F25" s="866"/>
      <c r="G25" s="866"/>
      <c r="H25" s="866"/>
      <c r="I25" s="866"/>
      <c r="J25" s="866"/>
      <c r="K25" s="866"/>
      <c r="L25" s="866"/>
      <c r="M25" s="866"/>
      <c r="N25" s="866"/>
      <c r="O25" s="867"/>
    </row>
    <row r="26" spans="3:32" ht="14.25" customHeight="1">
      <c r="C26" s="865"/>
      <c r="D26" s="822" t="s">
        <v>1947</v>
      </c>
      <c r="E26" s="866"/>
      <c r="F26" s="866"/>
      <c r="G26" s="866"/>
      <c r="H26" s="866"/>
      <c r="I26" s="866"/>
      <c r="J26" s="893"/>
      <c r="K26" s="822" t="s">
        <v>1888</v>
      </c>
      <c r="L26" s="866"/>
      <c r="M26" s="866"/>
      <c r="N26" s="866"/>
      <c r="O26" s="867"/>
    </row>
    <row r="27" spans="3:32" ht="14.25" customHeight="1">
      <c r="C27" s="865"/>
      <c r="D27" s="866"/>
      <c r="E27" s="866"/>
      <c r="F27" s="887" t="s">
        <v>894</v>
      </c>
      <c r="G27" s="866"/>
      <c r="H27" s="887" t="s">
        <v>895</v>
      </c>
      <c r="I27" s="866"/>
      <c r="J27" s="893"/>
      <c r="K27" s="866"/>
      <c r="L27" s="866"/>
      <c r="M27" s="866"/>
      <c r="N27" s="866"/>
      <c r="O27" s="867"/>
      <c r="AE27" s="1220" t="s">
        <v>894</v>
      </c>
      <c r="AF27" s="1197" t="s">
        <v>895</v>
      </c>
    </row>
    <row r="28" spans="3:32" ht="14.25" customHeight="1">
      <c r="C28" s="865"/>
      <c r="D28" s="866" t="str">
        <f>DataNameProd1 &amp; " - Product Technology"</f>
        <v>Growth - Product Technology</v>
      </c>
      <c r="E28" s="866"/>
      <c r="F28" s="886">
        <f>INDEX(cbalProd1ProdTechLvl,xxIndexTeam)</f>
        <v>3</v>
      </c>
      <c r="G28" s="815"/>
      <c r="H28" s="886">
        <f>INDEX(obalProd1ProdTechLvl,xxIndexTeam)</f>
        <v>1</v>
      </c>
      <c r="I28" s="866"/>
      <c r="J28" s="893"/>
      <c r="K28" s="866"/>
      <c r="L28" s="866"/>
      <c r="M28" s="866"/>
      <c r="N28" s="866"/>
      <c r="O28" s="867"/>
      <c r="AE28" s="1200" t="s">
        <v>2512</v>
      </c>
      <c r="AF28" s="1200" t="s">
        <v>2513</v>
      </c>
    </row>
    <row r="29" spans="3:32" ht="14.25" customHeight="1">
      <c r="C29" s="865"/>
      <c r="D29" s="866" t="str">
        <f>DataNameProd2 &amp; " - Product Technology"</f>
        <v>Transform - Product Technology</v>
      </c>
      <c r="E29" s="866"/>
      <c r="F29" s="886">
        <f>INDEX(cbalProd2ProdTechLvl,xxIndexTeam)</f>
        <v>3</v>
      </c>
      <c r="G29" s="815"/>
      <c r="H29" s="886">
        <f>INDEX(obalProd2ProdTechLvl,xxIndexTeam)</f>
        <v>1</v>
      </c>
      <c r="I29" s="866"/>
      <c r="J29" s="893"/>
      <c r="K29" s="866"/>
      <c r="L29" s="866"/>
      <c r="M29" s="866"/>
      <c r="N29" s="866"/>
      <c r="O29" s="867"/>
      <c r="AE29" s="1200" t="s">
        <v>2514</v>
      </c>
      <c r="AF29" s="1200" t="s">
        <v>2515</v>
      </c>
    </row>
    <row r="30" spans="3:32" ht="14.25" customHeight="1">
      <c r="C30" s="865"/>
      <c r="D30" s="617" t="s">
        <v>322</v>
      </c>
      <c r="E30" s="866"/>
      <c r="F30" s="1297">
        <f>INDEX(capCSAT,xxIndexTeam)</f>
        <v>63</v>
      </c>
      <c r="G30" s="894"/>
      <c r="H30" s="1297">
        <f>INDEX(obalCSAT,xxIndexTeam)</f>
        <v>63</v>
      </c>
      <c r="I30" s="866"/>
      <c r="J30" s="893"/>
      <c r="K30" s="866"/>
      <c r="L30" s="866"/>
      <c r="M30" s="866"/>
      <c r="N30" s="866"/>
      <c r="O30" s="867"/>
      <c r="AE30" s="1219" t="s">
        <v>2516</v>
      </c>
      <c r="AF30" s="1219" t="s">
        <v>2517</v>
      </c>
    </row>
    <row r="31" spans="3:32" ht="14.25" customHeight="1">
      <c r="C31" s="865"/>
      <c r="D31" s="866"/>
      <c r="E31" s="866"/>
      <c r="F31" s="866"/>
      <c r="G31" s="866"/>
      <c r="H31" s="866"/>
      <c r="I31" s="866"/>
      <c r="J31" s="893"/>
      <c r="K31" s="866"/>
      <c r="L31" s="866"/>
      <c r="M31" s="866"/>
      <c r="N31" s="866"/>
      <c r="O31" s="867"/>
      <c r="Q31" s="1130"/>
    </row>
    <row r="32" spans="3:32" ht="14.25" customHeight="1">
      <c r="C32" s="865"/>
      <c r="D32" s="866"/>
      <c r="E32" s="866"/>
      <c r="F32" s="866"/>
      <c r="G32" s="866"/>
      <c r="H32" s="866"/>
      <c r="I32" s="887"/>
      <c r="J32" s="895"/>
      <c r="K32" s="866"/>
      <c r="L32" s="866"/>
      <c r="M32" s="866"/>
      <c r="N32" s="866"/>
      <c r="O32" s="867"/>
      <c r="Q32" s="1130"/>
    </row>
    <row r="33" spans="3:20" ht="14.25" customHeight="1">
      <c r="C33" s="865"/>
      <c r="D33" s="866"/>
      <c r="E33" s="866"/>
      <c r="F33" s="866"/>
      <c r="G33" s="866"/>
      <c r="H33" s="866"/>
      <c r="I33" s="815"/>
      <c r="J33" s="896"/>
      <c r="K33" s="866"/>
      <c r="L33" s="866"/>
      <c r="M33" s="866"/>
      <c r="N33" s="866"/>
      <c r="O33" s="867"/>
    </row>
    <row r="34" spans="3:20" ht="14.25" customHeight="1">
      <c r="C34" s="865"/>
      <c r="D34" s="866"/>
      <c r="E34" s="866"/>
      <c r="F34" s="866"/>
      <c r="G34" s="866"/>
      <c r="H34" s="866"/>
      <c r="I34" s="815"/>
      <c r="J34" s="896"/>
      <c r="K34" s="866"/>
      <c r="L34" s="866"/>
      <c r="M34" s="866"/>
      <c r="N34" s="866"/>
      <c r="O34" s="867"/>
    </row>
    <row r="35" spans="3:20" ht="14.25" customHeight="1">
      <c r="C35" s="865"/>
      <c r="D35" s="866"/>
      <c r="E35" s="866"/>
      <c r="F35" s="866"/>
      <c r="G35" s="866"/>
      <c r="H35" s="866"/>
      <c r="I35" s="894"/>
      <c r="J35" s="897"/>
      <c r="K35" s="866"/>
      <c r="L35" s="866"/>
      <c r="M35" s="866"/>
      <c r="N35" s="866"/>
      <c r="O35" s="867"/>
    </row>
    <row r="36" spans="3:20" ht="14.25" customHeight="1">
      <c r="C36" s="865"/>
      <c r="D36" s="617"/>
      <c r="E36" s="866"/>
      <c r="F36" s="875"/>
      <c r="G36" s="866"/>
      <c r="H36" s="875"/>
      <c r="I36" s="875"/>
      <c r="J36" s="875"/>
      <c r="K36" s="866"/>
      <c r="L36" s="866"/>
      <c r="M36" s="866"/>
      <c r="N36" s="866"/>
      <c r="O36" s="867"/>
      <c r="T36" s="1199"/>
    </row>
    <row r="37" spans="3:20" ht="22.5" customHeight="1" thickBot="1">
      <c r="C37" s="876"/>
      <c r="D37" s="898"/>
      <c r="E37" s="877"/>
      <c r="F37" s="899"/>
      <c r="G37" s="877"/>
      <c r="H37" s="899"/>
      <c r="I37" s="899"/>
      <c r="J37" s="899"/>
      <c r="K37" s="877"/>
      <c r="L37" s="877"/>
      <c r="M37" s="877"/>
      <c r="N37" s="877"/>
      <c r="O37" s="879"/>
      <c r="T37" s="1199"/>
    </row>
  </sheetData>
  <mergeCells count="1">
    <mergeCell ref="C3:O3"/>
  </mergeCells>
  <dataValidations count="1">
    <dataValidation type="list" allowBlank="1" showInputMessage="1" showErrorMessage="1" sqref="F9 H9">
      <formula1>datalist0to5</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C00000"/>
  </sheetPr>
  <dimension ref="A1:AK32"/>
  <sheetViews>
    <sheetView showGridLines="0" zoomScaleNormal="100" workbookViewId="0">
      <pane ySplit="5" topLeftCell="A6" activePane="bottomLeft" state="frozen"/>
      <selection pane="bottomLeft" activeCell="F8" sqref="F8"/>
    </sheetView>
  </sheetViews>
  <sheetFormatPr defaultRowHeight="11.25"/>
  <cols>
    <col min="1" max="2" width="8.83203125" style="1197" customWidth="1"/>
    <col min="3" max="3" width="1.83203125" style="1197" customWidth="1"/>
    <col min="4" max="4" width="26.6640625" style="1197" customWidth="1"/>
    <col min="5" max="5" width="1.83203125" style="1197" customWidth="1"/>
    <col min="6" max="6" width="22.83203125" style="1197" customWidth="1"/>
    <col min="7" max="7" width="1.83203125" style="1197" customWidth="1"/>
    <col min="8" max="8" width="22.83203125" style="1197" customWidth="1"/>
    <col min="9" max="10" width="1.83203125" style="1197" customWidth="1"/>
    <col min="11" max="11" width="9.33203125" style="1197" customWidth="1"/>
    <col min="12" max="12" width="22.83203125" style="1197" customWidth="1"/>
    <col min="13" max="13" width="1.83203125" style="1197" customWidth="1"/>
    <col min="14" max="14" width="22.83203125" style="1197" customWidth="1"/>
    <col min="15" max="15" width="1.83203125" style="1197" customWidth="1"/>
    <col min="16" max="16384" width="9.33203125" style="1197"/>
  </cols>
  <sheetData>
    <row r="1" spans="1:37" ht="22.5" customHeight="1">
      <c r="B1" s="1199" t="s">
        <v>2967</v>
      </c>
    </row>
    <row r="2" spans="1:37" ht="12" thickBot="1">
      <c r="A2" s="1199" t="s">
        <v>2968</v>
      </c>
    </row>
    <row r="3" spans="1:37" ht="17.25" customHeight="1" thickBot="1">
      <c r="C3" s="1342" t="str">
        <f>xxDashboard</f>
        <v>Revenues ($M) 4411   Operating Margin 19%   Cash OI ($M) 940   ESAT 63   CSAT 63   FTEs 0</v>
      </c>
      <c r="D3" s="1343"/>
      <c r="E3" s="1343"/>
      <c r="F3" s="1343"/>
      <c r="G3" s="1343"/>
      <c r="H3" s="1343"/>
      <c r="I3" s="1343"/>
      <c r="J3" s="1343"/>
      <c r="K3" s="1343"/>
      <c r="L3" s="1343"/>
      <c r="M3" s="1343"/>
      <c r="N3" s="1343"/>
      <c r="O3" s="1344"/>
    </row>
    <row r="4" spans="1:37" ht="12" thickBot="1"/>
    <row r="5" spans="1:37" s="1198" customFormat="1" ht="108" customHeight="1">
      <c r="C5" s="1248"/>
      <c r="D5" s="1202"/>
      <c r="E5" s="1202"/>
      <c r="F5" s="1202"/>
      <c r="G5" s="1202"/>
      <c r="H5" s="1202"/>
      <c r="I5" s="1202"/>
      <c r="J5" s="1202"/>
      <c r="K5" s="1202"/>
      <c r="L5" s="1202"/>
      <c r="M5" s="1202"/>
      <c r="N5" s="1202"/>
      <c r="O5" s="1146" t="str">
        <f>INDEX(decTeamName,xxIndexTeam)</f>
        <v>IIC</v>
      </c>
    </row>
    <row r="6" spans="1:37" ht="14.25" customHeight="1">
      <c r="C6" s="865"/>
      <c r="D6" s="866"/>
      <c r="E6" s="866"/>
      <c r="F6" s="866"/>
      <c r="G6" s="866"/>
      <c r="H6" s="866"/>
      <c r="I6" s="866"/>
      <c r="J6" s="866"/>
      <c r="K6" s="866"/>
      <c r="L6" s="866"/>
      <c r="M6" s="866"/>
      <c r="N6" s="866"/>
      <c r="O6" s="867"/>
    </row>
    <row r="7" spans="1:37" ht="14.25" customHeight="1">
      <c r="C7" s="865"/>
      <c r="D7" s="868" t="s">
        <v>1964</v>
      </c>
      <c r="E7" s="866"/>
      <c r="F7" s="866"/>
      <c r="G7" s="866"/>
      <c r="H7" s="866"/>
      <c r="I7" s="866"/>
      <c r="J7" s="866"/>
      <c r="K7" s="822" t="s">
        <v>1967</v>
      </c>
      <c r="L7" s="875"/>
      <c r="M7" s="866"/>
      <c r="N7" s="866"/>
      <c r="O7" s="867"/>
    </row>
    <row r="8" spans="1:37" ht="14.25" customHeight="1" thickBot="1">
      <c r="C8" s="865"/>
      <c r="D8" s="617" t="s">
        <v>1351</v>
      </c>
      <c r="E8" s="866"/>
      <c r="F8" s="680">
        <v>1</v>
      </c>
      <c r="G8" s="866"/>
      <c r="H8" s="866"/>
      <c r="I8" s="866"/>
      <c r="J8" s="866"/>
      <c r="K8" s="866"/>
      <c r="L8" s="900" t="s">
        <v>1964</v>
      </c>
      <c r="M8" s="886"/>
      <c r="N8" s="887" t="s">
        <v>3352</v>
      </c>
      <c r="O8" s="867"/>
      <c r="AJ8" s="1222" t="s">
        <v>1964</v>
      </c>
      <c r="AK8" s="1216" t="s">
        <v>1965</v>
      </c>
    </row>
    <row r="9" spans="1:37" ht="6" customHeight="1">
      <c r="C9" s="865"/>
      <c r="D9" s="866"/>
      <c r="E9" s="866"/>
      <c r="F9" s="866"/>
      <c r="G9" s="866"/>
      <c r="H9" s="866"/>
      <c r="I9" s="866"/>
      <c r="J9" s="866"/>
      <c r="K9" s="875"/>
      <c r="L9" s="866"/>
      <c r="M9" s="866"/>
      <c r="N9" s="866"/>
      <c r="O9" s="867"/>
    </row>
    <row r="10" spans="1:37" ht="14.25" customHeight="1">
      <c r="C10" s="865"/>
      <c r="D10" s="617" t="s">
        <v>1958</v>
      </c>
      <c r="E10" s="866"/>
      <c r="F10" s="871">
        <f>INDEX(cbalContentLvl,xxIndexTeam)</f>
        <v>2</v>
      </c>
      <c r="G10" s="814"/>
      <c r="H10" s="871"/>
      <c r="I10" s="866"/>
      <c r="J10" s="866"/>
      <c r="K10" s="617" t="s">
        <v>894</v>
      </c>
      <c r="L10" s="873">
        <f>INDEX(capContentEmp1Req,xxIndexTeam)</f>
        <v>100</v>
      </c>
      <c r="M10" s="866"/>
      <c r="N10" s="1085">
        <f>(100-INDEX(decContentMethod,xxIndexTeam))/100</f>
        <v>1</v>
      </c>
      <c r="O10" s="867"/>
      <c r="AD10" s="1216" t="s">
        <v>2959</v>
      </c>
      <c r="AJ10" s="1229" t="s">
        <v>2963</v>
      </c>
      <c r="AK10" s="1216" t="s">
        <v>2965</v>
      </c>
    </row>
    <row r="11" spans="1:37" ht="4.5" customHeight="1">
      <c r="C11" s="865"/>
      <c r="D11" s="866"/>
      <c r="E11" s="866"/>
      <c r="F11" s="866"/>
      <c r="G11" s="815"/>
      <c r="H11" s="866"/>
      <c r="I11" s="866"/>
      <c r="J11" s="866"/>
      <c r="K11" s="866"/>
      <c r="L11" s="866"/>
      <c r="M11" s="866"/>
      <c r="N11" s="866"/>
      <c r="O11" s="867"/>
      <c r="AD11" s="1218"/>
    </row>
    <row r="12" spans="1:37" ht="14.25" customHeight="1">
      <c r="C12" s="865"/>
      <c r="D12" s="617" t="s">
        <v>1352</v>
      </c>
      <c r="E12" s="866"/>
      <c r="F12" s="866"/>
      <c r="G12" s="815"/>
      <c r="H12" s="866"/>
      <c r="I12" s="866"/>
      <c r="J12" s="866"/>
      <c r="K12" s="617" t="s">
        <v>895</v>
      </c>
      <c r="L12" s="873">
        <f>INDEX(obalContentEmp1Req,xxIndexTeam)</f>
        <v>80</v>
      </c>
      <c r="M12" s="866"/>
      <c r="N12" s="1084">
        <f>(100-INDEX(obalContentMethod,xxIndexTeam))/100</f>
        <v>0.98</v>
      </c>
      <c r="O12" s="867"/>
      <c r="AD12" s="1218"/>
      <c r="AJ12" s="1229" t="s">
        <v>2964</v>
      </c>
      <c r="AK12" s="1216" t="s">
        <v>2966</v>
      </c>
    </row>
    <row r="13" spans="1:37" ht="4.5" customHeight="1">
      <c r="C13" s="865"/>
      <c r="D13" s="866"/>
      <c r="E13" s="866"/>
      <c r="F13" s="866"/>
      <c r="G13" s="815"/>
      <c r="H13" s="866"/>
      <c r="I13" s="866"/>
      <c r="J13" s="866"/>
      <c r="K13" s="875"/>
      <c r="L13" s="875"/>
      <c r="M13" s="866"/>
      <c r="N13" s="866"/>
      <c r="O13" s="867"/>
      <c r="AD13" s="1218"/>
    </row>
    <row r="14" spans="1:37" ht="14.25" customHeight="1">
      <c r="C14" s="865"/>
      <c r="D14" s="866"/>
      <c r="E14" s="866"/>
      <c r="F14" s="866"/>
      <c r="G14" s="815"/>
      <c r="H14" s="866"/>
      <c r="I14" s="866"/>
      <c r="J14" s="866"/>
      <c r="K14" s="875"/>
      <c r="L14" s="875"/>
      <c r="M14" s="866"/>
      <c r="N14" s="866"/>
      <c r="O14" s="867"/>
      <c r="AD14" s="1218"/>
    </row>
    <row r="15" spans="1:37" ht="14.25" customHeight="1">
      <c r="C15" s="865"/>
      <c r="D15" s="617" t="s">
        <v>183</v>
      </c>
      <c r="E15" s="866"/>
      <c r="F15" s="871">
        <f>INDEX(capContentEmp1Req,xxIndexTeam)</f>
        <v>100</v>
      </c>
      <c r="G15" s="814"/>
      <c r="H15" s="866"/>
      <c r="I15" s="866"/>
      <c r="J15" s="866"/>
      <c r="K15" s="875"/>
      <c r="L15" s="875"/>
      <c r="M15" s="866"/>
      <c r="N15" s="866"/>
      <c r="O15" s="867"/>
      <c r="AD15" s="1216" t="s">
        <v>2960</v>
      </c>
    </row>
    <row r="16" spans="1:37" ht="4.5" customHeight="1">
      <c r="C16" s="865"/>
      <c r="D16" s="866"/>
      <c r="E16" s="866"/>
      <c r="F16" s="866"/>
      <c r="G16" s="815"/>
      <c r="H16" s="866"/>
      <c r="I16" s="866"/>
      <c r="J16" s="866"/>
      <c r="K16" s="875"/>
      <c r="L16" s="875"/>
      <c r="M16" s="866"/>
      <c r="N16" s="866"/>
      <c r="O16" s="867"/>
      <c r="AD16" s="1200"/>
    </row>
    <row r="17" spans="3:31" ht="14.25" customHeight="1">
      <c r="C17" s="865"/>
      <c r="D17" s="617" t="s">
        <v>1959</v>
      </c>
      <c r="E17" s="866"/>
      <c r="F17" s="901">
        <f>INDEX(capInternalContentDevExp,xxIndexTeam)</f>
        <v>37878787.878787883</v>
      </c>
      <c r="G17" s="816"/>
      <c r="H17" s="866"/>
      <c r="I17" s="866"/>
      <c r="J17" s="866"/>
      <c r="K17" s="875"/>
      <c r="L17" s="875"/>
      <c r="M17" s="866"/>
      <c r="N17" s="866"/>
      <c r="O17" s="867"/>
      <c r="AD17" s="1230" t="s">
        <v>2961</v>
      </c>
    </row>
    <row r="18" spans="3:31" ht="4.5" customHeight="1">
      <c r="C18" s="865"/>
      <c r="D18" s="866"/>
      <c r="E18" s="866"/>
      <c r="F18" s="866"/>
      <c r="G18" s="815"/>
      <c r="H18" s="866"/>
      <c r="I18" s="866"/>
      <c r="J18" s="866"/>
      <c r="K18" s="875"/>
      <c r="L18" s="875"/>
      <c r="M18" s="866"/>
      <c r="N18" s="866"/>
      <c r="O18" s="867"/>
      <c r="AD18" s="1200"/>
    </row>
    <row r="19" spans="3:31" ht="14.25" customHeight="1">
      <c r="C19" s="865"/>
      <c r="D19" s="617" t="s">
        <v>1542</v>
      </c>
      <c r="E19" s="866"/>
      <c r="F19" s="901">
        <f>INDEX(finPNLRoyalityExp,xxIndexTeam)</f>
        <v>187173292.703125</v>
      </c>
      <c r="G19" s="816"/>
      <c r="H19" s="866"/>
      <c r="I19" s="866"/>
      <c r="J19" s="866"/>
      <c r="K19" s="875"/>
      <c r="L19" s="875"/>
      <c r="M19" s="866"/>
      <c r="N19" s="866"/>
      <c r="O19" s="867"/>
      <c r="AD19" s="1230" t="s">
        <v>2962</v>
      </c>
    </row>
    <row r="20" spans="3:31" ht="14.25" customHeight="1">
      <c r="C20" s="865"/>
      <c r="D20" s="866"/>
      <c r="E20" s="866"/>
      <c r="F20" s="866"/>
      <c r="G20" s="866"/>
      <c r="H20" s="866"/>
      <c r="I20" s="866"/>
      <c r="J20" s="866"/>
      <c r="K20" s="866"/>
      <c r="L20" s="866"/>
      <c r="M20" s="866"/>
      <c r="N20" s="866"/>
      <c r="O20" s="867"/>
    </row>
    <row r="21" spans="3:31" ht="45" customHeight="1" thickBot="1">
      <c r="C21" s="876"/>
      <c r="D21" s="877"/>
      <c r="E21" s="877"/>
      <c r="F21" s="877"/>
      <c r="G21" s="877"/>
      <c r="H21" s="877"/>
      <c r="I21" s="877"/>
      <c r="J21" s="877"/>
      <c r="K21" s="877"/>
      <c r="L21" s="877"/>
      <c r="M21" s="877"/>
      <c r="N21" s="877"/>
      <c r="O21" s="879"/>
    </row>
    <row r="22" spans="3:31" ht="12" thickBot="1"/>
    <row r="23" spans="3:31" s="1198" customFormat="1" ht="86.25" customHeight="1" thickBot="1">
      <c r="C23" s="1249"/>
      <c r="D23" s="1250"/>
      <c r="E23" s="1250"/>
      <c r="F23" s="1250"/>
      <c r="G23" s="1250"/>
      <c r="H23" s="1250"/>
      <c r="I23" s="1250"/>
      <c r="J23" s="1250"/>
      <c r="K23" s="1250"/>
      <c r="L23" s="1250"/>
      <c r="M23" s="1250"/>
      <c r="N23" s="1250"/>
      <c r="O23" s="1247" t="str">
        <f>INDEX(decTeamName,xxIndexTeam) &amp; " Year " &amp; xxYear</f>
        <v>IIC Year 0</v>
      </c>
    </row>
    <row r="24" spans="3:31" ht="14.25" customHeight="1">
      <c r="C24" s="902"/>
      <c r="D24" s="903"/>
      <c r="E24" s="904"/>
      <c r="F24" s="905"/>
      <c r="G24" s="904"/>
      <c r="H24" s="905"/>
      <c r="I24" s="905"/>
      <c r="J24" s="905"/>
      <c r="K24" s="905"/>
      <c r="L24" s="905"/>
      <c r="M24" s="904"/>
      <c r="N24" s="904"/>
      <c r="O24" s="906"/>
      <c r="T24" s="1199"/>
    </row>
    <row r="25" spans="3:31" ht="14.25" customHeight="1">
      <c r="C25" s="865"/>
      <c r="D25" s="822" t="s">
        <v>1962</v>
      </c>
      <c r="E25" s="866"/>
      <c r="F25" s="875"/>
      <c r="G25" s="866"/>
      <c r="H25" s="875"/>
      <c r="I25" s="866"/>
      <c r="J25" s="893"/>
      <c r="K25" s="822" t="s">
        <v>1968</v>
      </c>
      <c r="L25" s="866"/>
      <c r="M25" s="866"/>
      <c r="N25" s="866"/>
      <c r="O25" s="867"/>
    </row>
    <row r="26" spans="3:31" ht="14.25" customHeight="1">
      <c r="C26" s="865"/>
      <c r="D26" s="822"/>
      <c r="E26" s="866"/>
      <c r="F26" s="875"/>
      <c r="G26" s="866"/>
      <c r="H26" s="875"/>
      <c r="I26" s="866"/>
      <c r="J26" s="893"/>
      <c r="K26" s="866"/>
      <c r="L26" s="866"/>
      <c r="M26" s="866"/>
      <c r="N26" s="866"/>
      <c r="O26" s="867"/>
      <c r="AD26" s="1222" t="s">
        <v>1964</v>
      </c>
      <c r="AE26" s="1216" t="s">
        <v>1965</v>
      </c>
    </row>
    <row r="27" spans="3:31" ht="14.25" customHeight="1">
      <c r="C27" s="865"/>
      <c r="D27" s="822"/>
      <c r="E27" s="866"/>
      <c r="F27" s="875"/>
      <c r="G27" s="866"/>
      <c r="H27" s="875"/>
      <c r="I27" s="866"/>
      <c r="J27" s="893"/>
      <c r="K27" s="866"/>
      <c r="L27" s="866"/>
      <c r="M27" s="866"/>
      <c r="N27" s="866"/>
      <c r="O27" s="907"/>
      <c r="AD27" s="1221" t="s">
        <v>2518</v>
      </c>
      <c r="AE27" s="1200" t="s">
        <v>2519</v>
      </c>
    </row>
    <row r="28" spans="3:31" ht="14.25" customHeight="1">
      <c r="C28" s="865"/>
      <c r="D28" s="822"/>
      <c r="E28" s="866"/>
      <c r="F28" s="875"/>
      <c r="G28" s="866"/>
      <c r="H28" s="875"/>
      <c r="I28" s="866"/>
      <c r="J28" s="893"/>
      <c r="K28" s="866"/>
      <c r="L28" s="866"/>
      <c r="M28" s="866"/>
      <c r="N28" s="866"/>
      <c r="O28" s="907"/>
      <c r="AD28" s="1221" t="s">
        <v>2520</v>
      </c>
      <c r="AE28" s="1200" t="s">
        <v>2521</v>
      </c>
    </row>
    <row r="29" spans="3:31" ht="14.25" customHeight="1">
      <c r="C29" s="865"/>
      <c r="D29" s="822"/>
      <c r="E29" s="866"/>
      <c r="F29" s="875"/>
      <c r="G29" s="866"/>
      <c r="H29" s="875"/>
      <c r="I29" s="866"/>
      <c r="J29" s="893"/>
      <c r="K29" s="866"/>
      <c r="L29" s="866"/>
      <c r="M29" s="866"/>
      <c r="N29" s="866"/>
      <c r="O29" s="867"/>
    </row>
    <row r="30" spans="3:31" ht="14.25" customHeight="1">
      <c r="C30" s="865"/>
      <c r="D30" s="866"/>
      <c r="E30" s="866"/>
      <c r="F30" s="875"/>
      <c r="G30" s="866"/>
      <c r="H30" s="875"/>
      <c r="I30" s="866"/>
      <c r="J30" s="893"/>
      <c r="K30" s="866"/>
      <c r="L30" s="866"/>
      <c r="M30" s="866"/>
      <c r="N30" s="866"/>
      <c r="O30" s="867"/>
    </row>
    <row r="31" spans="3:31" ht="14.25" customHeight="1">
      <c r="C31" s="865"/>
      <c r="D31" s="866"/>
      <c r="E31" s="866"/>
      <c r="F31" s="875"/>
      <c r="G31" s="866"/>
      <c r="H31" s="875"/>
      <c r="I31" s="866"/>
      <c r="J31" s="893"/>
      <c r="K31" s="866"/>
      <c r="L31" s="866"/>
      <c r="M31" s="866"/>
      <c r="N31" s="866"/>
      <c r="O31" s="867"/>
    </row>
    <row r="32" spans="3:31" ht="37.5" customHeight="1" thickBot="1">
      <c r="C32" s="876"/>
      <c r="D32" s="877"/>
      <c r="E32" s="877"/>
      <c r="F32" s="877"/>
      <c r="G32" s="877"/>
      <c r="H32" s="877"/>
      <c r="I32" s="877"/>
      <c r="J32" s="877"/>
      <c r="K32" s="877"/>
      <c r="L32" s="877"/>
      <c r="M32" s="877"/>
      <c r="N32" s="877"/>
      <c r="O32" s="879"/>
    </row>
  </sheetData>
  <mergeCells count="1">
    <mergeCell ref="C3:O3"/>
  </mergeCells>
  <dataValidations count="1">
    <dataValidation type="list" allowBlank="1" showInputMessage="1" showErrorMessage="1" sqref="F8">
      <formula1>datalist0to5</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10849" r:id="rId3" name="Scroll Bar 1">
              <controlPr locked="0" defaultSize="0" autoPict="0" macro="[0]!Blank">
                <anchor moveWithCells="1">
                  <from>
                    <xdr:col>4</xdr:col>
                    <xdr:colOff>85725</xdr:colOff>
                    <xdr:row>11</xdr:row>
                    <xdr:rowOff>28575</xdr:rowOff>
                  </from>
                  <to>
                    <xdr:col>6</xdr:col>
                    <xdr:colOff>9525</xdr:colOff>
                    <xdr:row>12</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A1:AE60"/>
  <sheetViews>
    <sheetView showGridLines="0" zoomScaleNormal="100" workbookViewId="0">
      <pane ySplit="5" topLeftCell="A6" activePane="bottomLeft" state="frozen"/>
      <selection pane="bottomLeft" activeCell="T27" sqref="T27"/>
    </sheetView>
  </sheetViews>
  <sheetFormatPr defaultRowHeight="11.25"/>
  <cols>
    <col min="1" max="2" width="8.83203125" style="1197" customWidth="1"/>
    <col min="3" max="3" width="1.83203125" style="1197" customWidth="1"/>
    <col min="4" max="4" width="30.5" style="1197" customWidth="1"/>
    <col min="5" max="5" width="1.6640625" style="1197" customWidth="1"/>
    <col min="6" max="6" width="22.83203125" style="1197" customWidth="1"/>
    <col min="7" max="7" width="1.83203125" style="1197" customWidth="1"/>
    <col min="8" max="8" width="22.83203125" style="1197" customWidth="1"/>
    <col min="9" max="9" width="1.83203125" style="1197" customWidth="1"/>
    <col min="10" max="10" width="22.83203125" style="1197" customWidth="1"/>
    <col min="11" max="11" width="1.83203125" style="1197" customWidth="1"/>
    <col min="12" max="12" width="22.83203125" style="1197" customWidth="1"/>
    <col min="13" max="13" width="1.83203125" style="1197" customWidth="1"/>
    <col min="14" max="16384" width="9.33203125" style="1197"/>
  </cols>
  <sheetData>
    <row r="1" spans="1:31" ht="22.5" customHeight="1">
      <c r="B1" s="1199" t="s">
        <v>1364</v>
      </c>
    </row>
    <row r="2" spans="1:31" ht="12" customHeight="1" thickBot="1">
      <c r="A2" s="1199" t="s">
        <v>1365</v>
      </c>
    </row>
    <row r="3" spans="1:31" ht="17.25" customHeight="1" thickBot="1">
      <c r="C3" s="1342" t="str">
        <f>xxDashboard</f>
        <v>Revenues ($M) 4411   Operating Margin 19%   Cash OI ($M) 940   ESAT 63   CSAT 63   FTEs 0</v>
      </c>
      <c r="D3" s="1343"/>
      <c r="E3" s="1343"/>
      <c r="F3" s="1343"/>
      <c r="G3" s="1343"/>
      <c r="H3" s="1343"/>
      <c r="I3" s="1343"/>
      <c r="J3" s="1343"/>
      <c r="K3" s="1343"/>
      <c r="L3" s="1343"/>
      <c r="M3" s="1344"/>
    </row>
    <row r="4" spans="1:31" ht="12" thickBot="1"/>
    <row r="5" spans="1:31" s="1198" customFormat="1" ht="105" customHeight="1">
      <c r="C5" s="1248"/>
      <c r="D5" s="1202"/>
      <c r="E5" s="1202"/>
      <c r="F5" s="1202"/>
      <c r="G5" s="1202"/>
      <c r="H5" s="1202"/>
      <c r="I5" s="1202"/>
      <c r="J5" s="1202"/>
      <c r="K5" s="1202"/>
      <c r="L5" s="1202"/>
      <c r="M5" s="1146" t="str">
        <f>INDEX(decTeamName,xxIndexTeam)</f>
        <v>IIC</v>
      </c>
    </row>
    <row r="6" spans="1:31" ht="14.25" customHeight="1">
      <c r="C6" s="865"/>
      <c r="D6" s="866"/>
      <c r="E6" s="866"/>
      <c r="F6" s="866"/>
      <c r="G6" s="866"/>
      <c r="H6" s="866"/>
      <c r="I6" s="866"/>
      <c r="J6" s="866"/>
      <c r="K6" s="866"/>
      <c r="L6" s="866"/>
      <c r="M6" s="867"/>
    </row>
    <row r="7" spans="1:31" ht="14.25" customHeight="1">
      <c r="C7" s="865"/>
      <c r="D7" s="851"/>
      <c r="E7" s="866"/>
      <c r="F7" s="866"/>
      <c r="G7" s="866"/>
      <c r="H7" s="569"/>
      <c r="I7" s="569"/>
      <c r="J7" s="880" t="s">
        <v>142</v>
      </c>
      <c r="K7" s="866"/>
      <c r="L7" s="866"/>
      <c r="M7" s="867"/>
    </row>
    <row r="8" spans="1:31" ht="14.25" customHeight="1">
      <c r="C8" s="865"/>
      <c r="D8" s="866"/>
      <c r="E8" s="866"/>
      <c r="F8" s="866"/>
      <c r="G8" s="866"/>
      <c r="H8" s="866"/>
      <c r="I8" s="866"/>
      <c r="J8" s="866"/>
      <c r="K8" s="866"/>
      <c r="L8" s="866"/>
      <c r="M8" s="867"/>
    </row>
    <row r="9" spans="1:31" ht="14.25" customHeight="1" thickBot="1">
      <c r="C9" s="865"/>
      <c r="D9" s="617" t="s">
        <v>4487</v>
      </c>
      <c r="E9" s="866"/>
      <c r="F9" s="568">
        <v>100</v>
      </c>
      <c r="G9" s="866"/>
      <c r="H9" s="569"/>
      <c r="I9" s="569"/>
      <c r="J9" s="569"/>
      <c r="K9" s="866"/>
      <c r="L9" s="866"/>
      <c r="M9" s="867"/>
    </row>
    <row r="10" spans="1:31" ht="4.5" customHeight="1">
      <c r="C10" s="865"/>
      <c r="D10" s="1012"/>
      <c r="E10" s="866"/>
      <c r="F10" s="866"/>
      <c r="G10" s="866"/>
      <c r="H10" s="866"/>
      <c r="I10" s="866"/>
      <c r="J10" s="866"/>
      <c r="K10" s="866"/>
      <c r="L10" s="866"/>
      <c r="M10" s="867"/>
    </row>
    <row r="11" spans="1:31" ht="11.25" customHeight="1">
      <c r="C11" s="865"/>
      <c r="D11" s="617" t="s">
        <v>4488</v>
      </c>
      <c r="E11" s="866"/>
      <c r="F11" s="909">
        <f>IF(INDEX(capEmp1FTERemaining,xxIndexTeam)&lt;0,0,INDEX(capEmp1FTERemaining,xxIndexTeam)/INDEX(paramEmp1FTECoefficient,xxIndexTeam))</f>
        <v>0</v>
      </c>
      <c r="G11" s="866"/>
      <c r="H11" s="866"/>
      <c r="I11" s="866"/>
      <c r="J11" s="866"/>
      <c r="K11" s="866"/>
      <c r="L11" s="866"/>
      <c r="M11" s="867"/>
      <c r="AE11" s="1197" t="s">
        <v>3195</v>
      </c>
    </row>
    <row r="12" spans="1:31" ht="14.25" customHeight="1">
      <c r="C12" s="865"/>
      <c r="D12" s="617" t="s">
        <v>1969</v>
      </c>
      <c r="E12" s="866"/>
      <c r="F12" s="908">
        <f>INDEX(capEmp1Utiliz,xxIndexTeam)</f>
        <v>1</v>
      </c>
      <c r="G12" s="894"/>
      <c r="H12" s="894"/>
      <c r="I12" s="866"/>
      <c r="J12" s="866"/>
      <c r="K12" s="866"/>
      <c r="L12" s="866"/>
      <c r="M12" s="867"/>
      <c r="AE12" s="1222" t="s">
        <v>2522</v>
      </c>
    </row>
    <row r="13" spans="1:31" ht="4.5" customHeight="1">
      <c r="C13" s="865"/>
      <c r="D13" s="866"/>
      <c r="E13" s="866"/>
      <c r="F13" s="866"/>
      <c r="G13" s="569"/>
      <c r="H13" s="569"/>
      <c r="I13" s="866"/>
      <c r="J13" s="866"/>
      <c r="K13" s="866"/>
      <c r="L13" s="866"/>
      <c r="M13" s="867"/>
    </row>
    <row r="14" spans="1:31" ht="14.25" customHeight="1" thickBot="1">
      <c r="C14" s="865"/>
      <c r="D14" s="617" t="s">
        <v>2181</v>
      </c>
      <c r="E14" s="866"/>
      <c r="F14" s="568">
        <v>3</v>
      </c>
      <c r="G14" s="569"/>
      <c r="H14" s="569"/>
      <c r="I14" s="866"/>
      <c r="J14" s="866"/>
      <c r="K14" s="866"/>
      <c r="L14" s="866"/>
      <c r="M14" s="867"/>
    </row>
    <row r="15" spans="1:31" ht="4.5" customHeight="1">
      <c r="C15" s="865"/>
      <c r="D15" s="866"/>
      <c r="E15" s="866"/>
      <c r="F15" s="866"/>
      <c r="G15" s="569"/>
      <c r="H15" s="569"/>
      <c r="I15" s="866"/>
      <c r="J15" s="866"/>
      <c r="K15" s="866"/>
      <c r="L15" s="866"/>
      <c r="M15" s="867"/>
    </row>
    <row r="16" spans="1:31" ht="14.25" customHeight="1">
      <c r="C16" s="865"/>
      <c r="D16" s="617" t="s">
        <v>1981</v>
      </c>
      <c r="E16" s="866"/>
      <c r="F16" s="908">
        <f>INDEX(paramEmp1FTECoefficient,xxIndexTeam)</f>
        <v>0.66039999999999999</v>
      </c>
      <c r="G16" s="894"/>
      <c r="H16" s="894"/>
      <c r="I16" s="866"/>
      <c r="J16" s="866"/>
      <c r="K16" s="866"/>
      <c r="L16" s="866"/>
      <c r="M16" s="867"/>
      <c r="AE16" s="1219" t="s">
        <v>2523</v>
      </c>
    </row>
    <row r="17" spans="3:31" ht="4.5" customHeight="1">
      <c r="C17" s="865"/>
      <c r="D17" s="866"/>
      <c r="E17" s="866"/>
      <c r="F17" s="866"/>
      <c r="G17" s="815"/>
      <c r="H17" s="815"/>
      <c r="I17" s="866"/>
      <c r="J17" s="866"/>
      <c r="K17" s="866"/>
      <c r="L17" s="866"/>
      <c r="M17" s="867"/>
      <c r="AE17" s="1200"/>
    </row>
    <row r="18" spans="3:31" ht="14.25" customHeight="1">
      <c r="C18" s="865"/>
      <c r="D18" s="617" t="s">
        <v>1990</v>
      </c>
      <c r="E18" s="866"/>
      <c r="F18" s="909">
        <f>INDEX(capTrainingEmp1Req,xxIndexTeam)</f>
        <v>15</v>
      </c>
      <c r="G18" s="910"/>
      <c r="H18" s="910"/>
      <c r="I18" s="866"/>
      <c r="J18" s="866"/>
      <c r="K18" s="866"/>
      <c r="L18" s="866"/>
      <c r="M18" s="867"/>
      <c r="AE18" s="1223" t="s">
        <v>2524</v>
      </c>
    </row>
    <row r="19" spans="3:31" ht="14.25" customHeight="1">
      <c r="C19" s="865"/>
      <c r="D19" s="866"/>
      <c r="E19" s="866"/>
      <c r="F19" s="866"/>
      <c r="G19" s="569"/>
      <c r="H19" s="569"/>
      <c r="I19" s="866"/>
      <c r="J19" s="866"/>
      <c r="K19" s="866"/>
      <c r="L19" s="866"/>
      <c r="M19" s="867"/>
    </row>
    <row r="20" spans="3:31" ht="14.25" customHeight="1">
      <c r="C20" s="865"/>
      <c r="D20" s="911" t="s">
        <v>1355</v>
      </c>
      <c r="E20" s="866"/>
      <c r="F20" s="866"/>
      <c r="G20" s="569"/>
      <c r="H20" s="569"/>
      <c r="I20" s="866"/>
      <c r="J20" s="866"/>
      <c r="K20" s="866"/>
      <c r="L20" s="866"/>
      <c r="M20" s="867"/>
    </row>
    <row r="21" spans="3:31" ht="14.25" customHeight="1">
      <c r="C21" s="865"/>
      <c r="D21" s="866"/>
      <c r="E21" s="866"/>
      <c r="F21" s="866"/>
      <c r="G21" s="569"/>
      <c r="H21" s="569"/>
      <c r="I21" s="866"/>
      <c r="J21" s="866"/>
      <c r="K21" s="866"/>
      <c r="L21" s="866"/>
      <c r="M21" s="867"/>
    </row>
    <row r="22" spans="3:31" ht="14.25" customHeight="1" thickBot="1">
      <c r="C22" s="865"/>
      <c r="D22" s="617" t="s">
        <v>1356</v>
      </c>
      <c r="E22" s="866"/>
      <c r="F22" s="575">
        <v>0.5</v>
      </c>
      <c r="G22" s="569"/>
      <c r="H22" s="569"/>
      <c r="I22" s="866"/>
      <c r="J22" s="866"/>
      <c r="K22" s="866"/>
      <c r="L22" s="866"/>
      <c r="M22" s="867"/>
    </row>
    <row r="23" spans="3:31" ht="14.25" customHeight="1">
      <c r="C23" s="865"/>
      <c r="D23" s="866"/>
      <c r="E23" s="866"/>
      <c r="F23" s="912"/>
      <c r="G23" s="569"/>
      <c r="H23" s="569"/>
      <c r="I23" s="866"/>
      <c r="J23" s="866"/>
      <c r="K23" s="866"/>
      <c r="L23" s="866"/>
      <c r="M23" s="867"/>
    </row>
    <row r="24" spans="3:31" ht="14.25" customHeight="1" thickBot="1">
      <c r="C24" s="865"/>
      <c r="D24" s="617" t="s">
        <v>1357</v>
      </c>
      <c r="E24" s="866"/>
      <c r="F24" s="1027">
        <f>1-F22</f>
        <v>0.5</v>
      </c>
      <c r="G24" s="569"/>
      <c r="H24" s="569"/>
      <c r="I24" s="866"/>
      <c r="J24" s="866"/>
      <c r="K24" s="866"/>
      <c r="L24" s="866"/>
      <c r="M24" s="867"/>
      <c r="AE24" s="1197" t="s">
        <v>3194</v>
      </c>
    </row>
    <row r="25" spans="3:31" ht="14.25" customHeight="1">
      <c r="C25" s="865"/>
      <c r="D25" s="866"/>
      <c r="E25" s="866"/>
      <c r="F25" s="1026"/>
      <c r="G25" s="569"/>
      <c r="H25" s="569"/>
      <c r="I25" s="866"/>
      <c r="J25" s="866"/>
      <c r="K25" s="866"/>
      <c r="L25" s="866"/>
      <c r="M25" s="867"/>
    </row>
    <row r="26" spans="3:31" ht="14.25" customHeight="1" thickBot="1">
      <c r="C26" s="876"/>
      <c r="D26" s="877"/>
      <c r="E26" s="877"/>
      <c r="F26" s="877"/>
      <c r="G26" s="877"/>
      <c r="H26" s="877"/>
      <c r="I26" s="877"/>
      <c r="J26" s="877"/>
      <c r="K26" s="877"/>
      <c r="L26" s="877"/>
      <c r="M26" s="879"/>
    </row>
    <row r="27" spans="3:31" ht="12" thickBot="1"/>
    <row r="28" spans="3:31" s="1198" customFormat="1" ht="87.75" customHeight="1">
      <c r="C28" s="1249"/>
      <c r="D28" s="1250"/>
      <c r="E28" s="1250"/>
      <c r="F28" s="1250"/>
      <c r="G28" s="1250"/>
      <c r="H28" s="1250"/>
      <c r="I28" s="1250"/>
      <c r="J28" s="1250"/>
      <c r="K28" s="1250"/>
      <c r="L28" s="1250"/>
      <c r="M28" s="1247" t="str">
        <f>INDEX(decTeamName,xxIndexTeam) &amp; " Year " &amp; xxYear</f>
        <v>IIC Year 0</v>
      </c>
    </row>
    <row r="29" spans="3:31" ht="14.25" customHeight="1">
      <c r="C29" s="865"/>
      <c r="D29" s="866"/>
      <c r="E29" s="866"/>
      <c r="F29" s="866"/>
      <c r="G29" s="866"/>
      <c r="H29" s="866"/>
      <c r="I29" s="866"/>
      <c r="J29" s="866"/>
      <c r="K29" s="866"/>
      <c r="L29" s="866"/>
      <c r="M29" s="867"/>
    </row>
    <row r="30" spans="3:31" ht="14.25" customHeight="1">
      <c r="C30" s="865"/>
      <c r="D30" s="822" t="s">
        <v>1991</v>
      </c>
      <c r="E30" s="866"/>
      <c r="F30" s="866"/>
      <c r="G30" s="866"/>
      <c r="H30" s="569"/>
      <c r="I30" s="868" t="s">
        <v>1355</v>
      </c>
      <c r="J30" s="866"/>
      <c r="K30" s="866"/>
      <c r="L30" s="866"/>
      <c r="M30" s="867"/>
    </row>
    <row r="31" spans="3:31" ht="14.25" customHeight="1">
      <c r="C31" s="865"/>
      <c r="D31" s="617" t="s">
        <v>1992</v>
      </c>
      <c r="E31" s="866"/>
      <c r="F31" s="873">
        <f>INDEX(obalEmp1,xxIndexTeam)</f>
        <v>1000</v>
      </c>
      <c r="G31" s="913"/>
      <c r="H31" s="866"/>
      <c r="I31" s="866"/>
      <c r="J31" s="866"/>
      <c r="K31" s="866"/>
      <c r="L31" s="866"/>
      <c r="M31" s="867"/>
      <c r="AE31" s="1224" t="s">
        <v>2525</v>
      </c>
    </row>
    <row r="32" spans="3:31" ht="14.25" customHeight="1">
      <c r="C32" s="865"/>
      <c r="D32" s="617" t="s">
        <v>1993</v>
      </c>
      <c r="E32" s="866"/>
      <c r="F32" s="873">
        <f>INDEX(capEmp1Att,xxIndexTeam)</f>
        <v>100</v>
      </c>
      <c r="G32" s="913"/>
      <c r="H32" s="866"/>
      <c r="I32" s="866"/>
      <c r="J32" s="866"/>
      <c r="K32" s="866"/>
      <c r="L32" s="866"/>
      <c r="M32" s="867"/>
      <c r="AE32" s="1224" t="s">
        <v>2526</v>
      </c>
    </row>
    <row r="33" spans="3:31" ht="14.25" customHeight="1">
      <c r="C33" s="865"/>
      <c r="D33" s="617" t="s">
        <v>1996</v>
      </c>
      <c r="E33" s="866"/>
      <c r="F33" s="873">
        <f>INDEX(capEmp1Recruited,xxIndexTeam)+-INDEX(capEmp1Dismissed,xxIndexTeam)</f>
        <v>100</v>
      </c>
      <c r="G33" s="913"/>
      <c r="H33" s="866"/>
      <c r="I33" s="866"/>
      <c r="J33" s="866"/>
      <c r="K33" s="866"/>
      <c r="L33" s="866"/>
      <c r="M33" s="867"/>
      <c r="AE33" s="1224" t="s">
        <v>2527</v>
      </c>
    </row>
    <row r="34" spans="3:31" ht="14.25" customHeight="1">
      <c r="C34" s="865"/>
      <c r="D34" s="617" t="s">
        <v>1997</v>
      </c>
      <c r="E34" s="866"/>
      <c r="F34" s="873">
        <f>INDEX(capEmp1End,xxIndexTeam)</f>
        <v>1000</v>
      </c>
      <c r="G34" s="913"/>
      <c r="H34" s="866"/>
      <c r="I34" s="866"/>
      <c r="J34" s="866"/>
      <c r="K34" s="866"/>
      <c r="L34" s="866"/>
      <c r="M34" s="867"/>
      <c r="AE34" s="1224" t="s">
        <v>2528</v>
      </c>
    </row>
    <row r="35" spans="3:31" ht="14.25" customHeight="1">
      <c r="C35" s="865"/>
      <c r="D35" s="617" t="s">
        <v>1981</v>
      </c>
      <c r="E35" s="866"/>
      <c r="F35" s="914">
        <f>INDEX(paramEmp1FTECoefficient,xxIndexTeam)</f>
        <v>0.66039999999999999</v>
      </c>
      <c r="G35" s="913"/>
      <c r="H35" s="866"/>
      <c r="I35" s="866"/>
      <c r="J35" s="866"/>
      <c r="K35" s="866"/>
      <c r="L35" s="866"/>
      <c r="M35" s="867"/>
      <c r="AE35" s="1224" t="s">
        <v>2529</v>
      </c>
    </row>
    <row r="36" spans="3:31" ht="14.25" customHeight="1">
      <c r="C36" s="865"/>
      <c r="D36" s="617" t="s">
        <v>871</v>
      </c>
      <c r="E36" s="866"/>
      <c r="F36" s="873">
        <f>ROUNDUP(INDEX(capEmp1End,xxIndexTeam)*INDEX(paramEmp1FTECoefficient,xxIndexTeam),0)</f>
        <v>661</v>
      </c>
      <c r="G36" s="913"/>
      <c r="H36" s="866"/>
      <c r="I36" s="866"/>
      <c r="J36" s="866"/>
      <c r="K36" s="866"/>
      <c r="L36" s="866"/>
      <c r="M36" s="867"/>
      <c r="AE36" s="1224" t="s">
        <v>2530</v>
      </c>
    </row>
    <row r="37" spans="3:31" ht="14.25" customHeight="1">
      <c r="C37" s="865"/>
      <c r="D37" s="866"/>
      <c r="E37" s="866"/>
      <c r="F37" s="866"/>
      <c r="G37" s="913"/>
      <c r="H37" s="866"/>
      <c r="I37" s="866"/>
      <c r="J37" s="866"/>
      <c r="K37" s="866"/>
      <c r="L37" s="866"/>
      <c r="M37" s="867"/>
      <c r="AE37" s="1224"/>
    </row>
    <row r="38" spans="3:31" ht="14.25" customHeight="1">
      <c r="C38" s="865"/>
      <c r="D38" s="822" t="s">
        <v>142</v>
      </c>
      <c r="E38" s="866"/>
      <c r="F38" s="866"/>
      <c r="G38" s="913"/>
      <c r="H38" s="569"/>
      <c r="I38" s="866"/>
      <c r="J38" s="866"/>
      <c r="K38" s="866"/>
      <c r="L38" s="866"/>
      <c r="M38" s="867"/>
      <c r="AE38" s="1224"/>
    </row>
    <row r="39" spans="3:31" ht="14.25" customHeight="1">
      <c r="C39" s="865"/>
      <c r="D39" s="866" t="str">
        <f>DataNameProd1&amp;" Technology"</f>
        <v>Growth Technology</v>
      </c>
      <c r="E39" s="866"/>
      <c r="F39" s="866">
        <f>INDEX(capProd1Ftr1Emp1Req,xxIndexTeam)+INDEX(capProd1Ftr1TTMEmp1Req,xxIndexTeam)</f>
        <v>270</v>
      </c>
      <c r="G39" s="913"/>
      <c r="H39" s="866"/>
      <c r="I39" s="866"/>
      <c r="J39" s="866"/>
      <c r="K39" s="866"/>
      <c r="L39" s="866"/>
      <c r="M39" s="867"/>
      <c r="AE39" s="1224" t="s">
        <v>2531</v>
      </c>
    </row>
    <row r="40" spans="3:31" ht="14.25" customHeight="1">
      <c r="C40" s="865"/>
      <c r="D40" s="866" t="str">
        <f>DataNameProd2&amp;" Technology"</f>
        <v>Transform Technology</v>
      </c>
      <c r="E40" s="866"/>
      <c r="F40" s="866">
        <f>INDEX(capProd2Ftr1Emp1Req,xxIndexTeam)+INDEX(capProd2Ftr1TTMEmp1Req,xxIndexTeam)</f>
        <v>265</v>
      </c>
      <c r="G40" s="913"/>
      <c r="H40" s="866"/>
      <c r="I40" s="866"/>
      <c r="J40" s="866"/>
      <c r="K40" s="866"/>
      <c r="L40" s="866"/>
      <c r="M40" s="867"/>
      <c r="AE40" s="1224" t="s">
        <v>2532</v>
      </c>
    </row>
    <row r="41" spans="3:31" ht="14.25" customHeight="1">
      <c r="C41" s="865"/>
      <c r="D41" s="617" t="s">
        <v>1759</v>
      </c>
      <c r="E41" s="866"/>
      <c r="F41" s="866">
        <f>INDEX(capContentEmp1Req,xxIndexTeam)</f>
        <v>100</v>
      </c>
      <c r="G41" s="913"/>
      <c r="H41" s="866"/>
      <c r="I41" s="866"/>
      <c r="J41" s="866"/>
      <c r="K41" s="866"/>
      <c r="L41" s="866"/>
      <c r="M41" s="867"/>
      <c r="AE41" s="1224" t="s">
        <v>2533</v>
      </c>
    </row>
    <row r="42" spans="3:31" ht="14.25" customHeight="1">
      <c r="C42" s="865"/>
      <c r="D42" s="570" t="s">
        <v>1358</v>
      </c>
      <c r="E42" s="569"/>
      <c r="F42" s="866">
        <f>INDEX(capTrainingEmp1Req,xxIndexTeam)+INDEX(capGlobalExpansionEmp1Req,xxIndexTeam)+INDEX(capSalesCoverageEmp1Req,xxIndexTeam)+INDEX(capPlant1ConsolidationEmp1Req,xxIndexTeam)</f>
        <v>25</v>
      </c>
      <c r="G42" s="913"/>
      <c r="H42" s="866"/>
      <c r="I42" s="866"/>
      <c r="J42" s="866"/>
      <c r="K42" s="866"/>
      <c r="L42" s="866"/>
      <c r="M42" s="867"/>
      <c r="AE42" s="1224" t="s">
        <v>2534</v>
      </c>
    </row>
    <row r="43" spans="3:31" ht="14.25" customHeight="1">
      <c r="C43" s="865"/>
      <c r="D43" s="617" t="s">
        <v>1998</v>
      </c>
      <c r="E43" s="866"/>
      <c r="F43" s="508">
        <f>INDEX(capInitsEmp1Req,xxIndexTeam)+INDEX(capInitsProd1Emp1Req,xxIndexTeam)+INDEX(capInitsProd2Emp1Req,xxIndexTeam)+INDEX(capEventsEmp1Req,xxIndexTeam)</f>
        <v>0</v>
      </c>
      <c r="G43" s="915"/>
      <c r="H43" s="866"/>
      <c r="I43" s="866"/>
      <c r="J43" s="866"/>
      <c r="K43" s="866"/>
      <c r="L43" s="866"/>
      <c r="M43" s="867"/>
      <c r="AE43" s="1225" t="s">
        <v>2535</v>
      </c>
    </row>
    <row r="44" spans="3:31" ht="14.25" customHeight="1">
      <c r="C44" s="865"/>
      <c r="D44" s="617" t="s">
        <v>1999</v>
      </c>
      <c r="E44" s="866"/>
      <c r="F44" s="866">
        <f>IF(INDEX(capEmp1FTERemaining,xxIndexTeam)&gt;=0,INDEX(capEmp1FTERemaining,xxIndexTeam),0)+IF(INDEX(capEmp1FTERemaining,xxIndexTeam)&lt;0,-INDEX(capEmp1FTERemaining,xxIndexTeam),0)</f>
        <v>0</v>
      </c>
      <c r="G44" s="913"/>
      <c r="H44" s="866"/>
      <c r="I44" s="866"/>
      <c r="J44" s="866"/>
      <c r="K44" s="866"/>
      <c r="L44" s="866"/>
      <c r="M44" s="867"/>
      <c r="AE44" s="1224" t="s">
        <v>2536</v>
      </c>
    </row>
    <row r="45" spans="3:31" ht="14.25" customHeight="1">
      <c r="C45" s="865"/>
      <c r="D45" s="617"/>
      <c r="E45" s="866"/>
      <c r="F45" s="617"/>
      <c r="G45" s="866"/>
      <c r="H45" s="866"/>
      <c r="I45" s="866"/>
      <c r="J45" s="866"/>
      <c r="K45" s="866"/>
      <c r="L45" s="866"/>
      <c r="M45" s="867"/>
    </row>
    <row r="46" spans="3:31" ht="12" thickBot="1">
      <c r="C46" s="876"/>
      <c r="D46" s="877"/>
      <c r="E46" s="877"/>
      <c r="F46" s="877"/>
      <c r="G46" s="877"/>
      <c r="H46" s="877"/>
      <c r="I46" s="877"/>
      <c r="J46" s="877"/>
      <c r="K46" s="877"/>
      <c r="L46" s="877"/>
      <c r="M46" s="879"/>
    </row>
    <row r="49" spans="4:6">
      <c r="D49" s="1130"/>
      <c r="F49" s="1130"/>
    </row>
    <row r="50" spans="4:6">
      <c r="D50" s="1226"/>
      <c r="E50" s="1227"/>
      <c r="F50" s="1130"/>
    </row>
    <row r="51" spans="4:6">
      <c r="D51" s="1226"/>
      <c r="E51" s="1227"/>
      <c r="F51" s="1228"/>
    </row>
    <row r="52" spans="4:6">
      <c r="D52" s="1226"/>
      <c r="E52" s="1227"/>
      <c r="F52" s="1228"/>
    </row>
    <row r="53" spans="4:6">
      <c r="D53" s="1226"/>
      <c r="E53" s="1227"/>
      <c r="F53" s="1228"/>
    </row>
    <row r="54" spans="4:6">
      <c r="D54" s="1130"/>
    </row>
    <row r="55" spans="4:6">
      <c r="D55" s="1130"/>
    </row>
    <row r="56" spans="4:6">
      <c r="D56" s="1130"/>
    </row>
    <row r="57" spans="4:6">
      <c r="D57" s="1150"/>
    </row>
    <row r="58" spans="4:6">
      <c r="D58" s="1130"/>
    </row>
    <row r="59" spans="4:6">
      <c r="D59" s="1150"/>
    </row>
    <row r="60" spans="4:6">
      <c r="D60" s="1150"/>
    </row>
  </sheetData>
  <mergeCells count="1">
    <mergeCell ref="C3:M3"/>
  </mergeCells>
  <dataValidations count="1">
    <dataValidation type="list" allowBlank="1" showInputMessage="1" showErrorMessage="1" sqref="F14">
      <formula1>datalist0to5</formula1>
    </dataValidation>
  </dataValidations>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C00000"/>
  </sheetPr>
  <dimension ref="A1:AO50"/>
  <sheetViews>
    <sheetView showGridLines="0" zoomScaleNormal="100" workbookViewId="0">
      <pane ySplit="5" topLeftCell="A6" activePane="bottomLeft" state="frozen"/>
      <selection pane="bottomLeft" activeCell="F9" sqref="F9"/>
    </sheetView>
  </sheetViews>
  <sheetFormatPr defaultRowHeight="11.25"/>
  <cols>
    <col min="1" max="2" width="8.83203125" style="1214" customWidth="1"/>
    <col min="3" max="3" width="1.83203125" style="1214" customWidth="1"/>
    <col min="4" max="4" width="29" style="1214" customWidth="1"/>
    <col min="5" max="5" width="1.83203125" style="1214" customWidth="1"/>
    <col min="6" max="6" width="22.83203125" style="1214" customWidth="1"/>
    <col min="7" max="7" width="1.83203125" style="1214" customWidth="1"/>
    <col min="8" max="8" width="23" style="1214" customWidth="1"/>
    <col min="9" max="9" width="1.83203125" style="1214" customWidth="1"/>
    <col min="10" max="10" width="26.83203125" style="1214" customWidth="1"/>
    <col min="11" max="11" width="1.83203125" style="1214" customWidth="1"/>
    <col min="12" max="12" width="26.83203125" style="1214" customWidth="1"/>
    <col min="13" max="13" width="1.83203125" style="1214" customWidth="1"/>
    <col min="14" max="16384" width="9.33203125" style="1214"/>
  </cols>
  <sheetData>
    <row r="1" spans="1:41" ht="22.5" customHeight="1">
      <c r="B1" s="1215" t="s">
        <v>1366</v>
      </c>
    </row>
    <row r="2" spans="1:41" ht="12" customHeight="1" thickBot="1">
      <c r="A2" s="1215" t="s">
        <v>1367</v>
      </c>
    </row>
    <row r="3" spans="1:41" ht="17.25" customHeight="1" thickBot="1">
      <c r="C3" s="1342" t="str">
        <f>xxDashboard</f>
        <v>Revenues ($M) 4411   Operating Margin 19%   Cash OI ($M) 940   ESAT 63   CSAT 63   FTEs 0</v>
      </c>
      <c r="D3" s="1343"/>
      <c r="E3" s="1343"/>
      <c r="F3" s="1343"/>
      <c r="G3" s="1343"/>
      <c r="H3" s="1343"/>
      <c r="I3" s="1343"/>
      <c r="J3" s="1343"/>
      <c r="K3" s="1343"/>
      <c r="L3" s="1343"/>
      <c r="M3" s="1344"/>
    </row>
    <row r="4" spans="1:41" ht="12" thickBot="1"/>
    <row r="5" spans="1:41" s="1198" customFormat="1" ht="105" customHeight="1">
      <c r="C5" s="1248"/>
      <c r="D5" s="1202"/>
      <c r="E5" s="1202"/>
      <c r="F5" s="1202"/>
      <c r="G5" s="1202"/>
      <c r="H5" s="1202"/>
      <c r="I5" s="1202"/>
      <c r="J5" s="1202"/>
      <c r="K5" s="1202"/>
      <c r="L5" s="1202"/>
      <c r="M5" s="1146" t="str">
        <f>INDEX(decTeamName,xxIndexTeam)</f>
        <v>IIC</v>
      </c>
    </row>
    <row r="6" spans="1:41" s="1197" customFormat="1" ht="7.5" customHeight="1">
      <c r="C6" s="865"/>
      <c r="D6" s="866"/>
      <c r="E6" s="866"/>
      <c r="F6" s="866"/>
      <c r="G6" s="866"/>
      <c r="H6" s="866"/>
      <c r="I6" s="866"/>
      <c r="J6" s="866"/>
      <c r="K6" s="866"/>
      <c r="L6" s="866"/>
      <c r="M6" s="867"/>
    </row>
    <row r="7" spans="1:41" s="1197" customFormat="1" ht="14.25" customHeight="1">
      <c r="C7" s="865"/>
      <c r="D7" s="911" t="s">
        <v>1359</v>
      </c>
      <c r="E7" s="866"/>
      <c r="F7" s="866"/>
      <c r="G7" s="866"/>
      <c r="H7" s="866"/>
      <c r="I7" s="866"/>
      <c r="J7" s="866"/>
      <c r="K7" s="866"/>
      <c r="L7" s="866"/>
      <c r="M7" s="867"/>
    </row>
    <row r="8" spans="1:41" s="1197" customFormat="1" ht="6" customHeight="1">
      <c r="C8" s="865"/>
      <c r="D8" s="866"/>
      <c r="E8" s="866"/>
      <c r="F8" s="866"/>
      <c r="G8" s="866"/>
      <c r="H8" s="866"/>
      <c r="I8" s="866"/>
      <c r="J8" s="866"/>
      <c r="K8" s="866"/>
      <c r="L8" s="866"/>
      <c r="M8" s="867"/>
      <c r="P8" s="1196"/>
    </row>
    <row r="9" spans="1:41" s="1197" customFormat="1" ht="14.25" customHeight="1" thickBot="1">
      <c r="C9" s="865"/>
      <c r="D9" s="617" t="s">
        <v>1360</v>
      </c>
      <c r="E9" s="866"/>
      <c r="F9" s="680">
        <v>1</v>
      </c>
      <c r="G9" s="681"/>
      <c r="H9" s="866"/>
      <c r="I9" s="866"/>
      <c r="J9" s="617" t="s">
        <v>423</v>
      </c>
      <c r="K9" s="866"/>
      <c r="L9" s="680">
        <v>1</v>
      </c>
      <c r="M9" s="867"/>
      <c r="P9" s="1147"/>
      <c r="R9" s="1199" t="s">
        <v>531</v>
      </c>
    </row>
    <row r="10" spans="1:41" s="1197" customFormat="1" ht="4.5" customHeight="1">
      <c r="C10" s="865"/>
      <c r="D10" s="866"/>
      <c r="E10" s="866"/>
      <c r="F10" s="866"/>
      <c r="G10" s="866"/>
      <c r="H10" s="866"/>
      <c r="I10" s="866"/>
      <c r="J10" s="866"/>
      <c r="K10" s="866"/>
      <c r="L10" s="866"/>
      <c r="M10" s="867"/>
      <c r="P10" s="1147"/>
    </row>
    <row r="11" spans="1:41" s="1197" customFormat="1" ht="14.25" customHeight="1">
      <c r="C11" s="865"/>
      <c r="D11" s="617" t="s">
        <v>2009</v>
      </c>
      <c r="E11" s="866"/>
      <c r="F11" s="871">
        <f>INDEX(cbalGlobalExpansionLvl,xxIndexTeam)</f>
        <v>3</v>
      </c>
      <c r="G11" s="815"/>
      <c r="H11" s="866"/>
      <c r="I11" s="866"/>
      <c r="J11" s="617" t="s">
        <v>2012</v>
      </c>
      <c r="K11" s="866"/>
      <c r="L11" s="901">
        <f>INDEX(cbalGlobalSalesMktLvl,xxIndexTeam)</f>
        <v>4000000</v>
      </c>
      <c r="M11" s="867"/>
      <c r="P11" s="1147"/>
      <c r="AH11" s="1216" t="s">
        <v>2537</v>
      </c>
    </row>
    <row r="12" spans="1:41" s="1197" customFormat="1" ht="4.5" customHeight="1">
      <c r="C12" s="865"/>
      <c r="D12" s="866"/>
      <c r="E12" s="866"/>
      <c r="F12" s="866"/>
      <c r="G12" s="815"/>
      <c r="H12" s="866"/>
      <c r="I12" s="866"/>
      <c r="J12" s="866"/>
      <c r="K12" s="866"/>
      <c r="L12" s="866"/>
      <c r="M12" s="867"/>
      <c r="P12" s="1147"/>
      <c r="AH12" s="1200"/>
    </row>
    <row r="13" spans="1:41" s="1197" customFormat="1" ht="14.25" customHeight="1">
      <c r="C13" s="865"/>
      <c r="D13" s="617" t="s">
        <v>183</v>
      </c>
      <c r="E13" s="866"/>
      <c r="F13" s="871">
        <f>INDEX(capGlobalExpansionEmp1Req,xxIndexTeam)</f>
        <v>5</v>
      </c>
      <c r="G13" s="815"/>
      <c r="H13" s="866"/>
      <c r="I13" s="866"/>
      <c r="J13" s="617" t="s">
        <v>183</v>
      </c>
      <c r="K13" s="866"/>
      <c r="L13" s="871">
        <f>INDEX(capSalesCoverageEmp1Req,xxIndexTeam)</f>
        <v>5</v>
      </c>
      <c r="M13" s="867"/>
      <c r="P13" s="1147"/>
      <c r="AH13" s="1200" t="s">
        <v>2538</v>
      </c>
      <c r="AO13" s="1217" t="s">
        <v>2540</v>
      </c>
    </row>
    <row r="14" spans="1:41" s="1197" customFormat="1" ht="4.5" customHeight="1">
      <c r="C14" s="865"/>
      <c r="D14" s="866"/>
      <c r="E14" s="866"/>
      <c r="F14" s="866"/>
      <c r="G14" s="815"/>
      <c r="H14" s="866"/>
      <c r="I14" s="866"/>
      <c r="J14" s="866"/>
      <c r="K14" s="866"/>
      <c r="L14" s="866"/>
      <c r="M14" s="867"/>
      <c r="P14" s="1147"/>
      <c r="AH14" s="1200"/>
      <c r="AO14" s="1200"/>
    </row>
    <row r="15" spans="1:41" s="1197" customFormat="1" ht="14.25" customHeight="1">
      <c r="C15" s="865"/>
      <c r="D15" s="617" t="s">
        <v>2011</v>
      </c>
      <c r="E15" s="866"/>
      <c r="F15" s="901">
        <f>INDEX(capGlobalExpansionCapEx,xxIndexTeam)</f>
        <v>10000000</v>
      </c>
      <c r="G15" s="916"/>
      <c r="H15" s="866"/>
      <c r="I15" s="866"/>
      <c r="J15" s="866"/>
      <c r="K15" s="866"/>
      <c r="L15" s="866"/>
      <c r="M15" s="867"/>
      <c r="P15" s="1147"/>
      <c r="AH15" s="1217" t="s">
        <v>2539</v>
      </c>
      <c r="AO15" s="1200" t="s">
        <v>2541</v>
      </c>
    </row>
    <row r="16" spans="1:41" s="1197" customFormat="1" ht="9" customHeight="1">
      <c r="C16" s="865"/>
      <c r="D16" s="866"/>
      <c r="E16" s="866"/>
      <c r="F16" s="866"/>
      <c r="G16" s="815"/>
      <c r="H16" s="866"/>
      <c r="I16" s="866"/>
      <c r="J16" s="866"/>
      <c r="K16" s="866"/>
      <c r="L16" s="866"/>
      <c r="M16" s="867"/>
      <c r="P16" s="1147"/>
      <c r="AH16" s="1218"/>
    </row>
    <row r="17" spans="3:41" s="1197" customFormat="1" ht="9" customHeight="1">
      <c r="C17" s="865"/>
      <c r="D17" s="1293"/>
      <c r="E17" s="1293"/>
      <c r="F17" s="1293"/>
      <c r="G17" s="1294"/>
      <c r="H17" s="1293"/>
      <c r="I17" s="1293"/>
      <c r="J17" s="1293"/>
      <c r="K17" s="1293"/>
      <c r="L17" s="1293"/>
      <c r="M17" s="867"/>
      <c r="P17" s="1147"/>
      <c r="AH17" s="1218"/>
    </row>
    <row r="18" spans="3:41" s="1197" customFormat="1" ht="14.25" customHeight="1">
      <c r="C18" s="865"/>
      <c r="D18" s="911" t="s">
        <v>1361</v>
      </c>
      <c r="E18" s="866"/>
      <c r="F18" s="866"/>
      <c r="G18" s="815"/>
      <c r="H18" s="866"/>
      <c r="I18" s="866"/>
      <c r="J18" s="885" t="s">
        <v>2028</v>
      </c>
      <c r="K18" s="885"/>
      <c r="L18" s="866"/>
      <c r="M18" s="867"/>
      <c r="P18" s="1147"/>
      <c r="AH18" s="1200"/>
    </row>
    <row r="19" spans="3:41" s="1197" customFormat="1" ht="14.25" customHeight="1">
      <c r="C19" s="865"/>
      <c r="D19" s="866"/>
      <c r="E19" s="866"/>
      <c r="F19" s="866"/>
      <c r="G19" s="815"/>
      <c r="H19" s="617"/>
      <c r="I19" s="617"/>
      <c r="J19" s="814" t="s">
        <v>2026</v>
      </c>
      <c r="K19" s="814"/>
      <c r="L19" s="894">
        <f>INDEX(capPlant1Utiliz,xxIndexTeam)</f>
        <v>0.56300511050462976</v>
      </c>
      <c r="M19" s="917"/>
      <c r="P19" s="1147"/>
      <c r="AH19" s="1200"/>
      <c r="AO19" s="1219" t="s">
        <v>2542</v>
      </c>
    </row>
    <row r="20" spans="3:41" s="1197" customFormat="1" ht="14.25" customHeight="1">
      <c r="C20" s="865"/>
      <c r="D20" s="617" t="s">
        <v>2021</v>
      </c>
      <c r="E20" s="866"/>
      <c r="F20" s="871">
        <f>INDEX(obalPlant1Units,xxIndexTeam)</f>
        <v>30</v>
      </c>
      <c r="G20" s="815"/>
      <c r="H20" s="617"/>
      <c r="I20" s="617"/>
      <c r="J20" s="814" t="s">
        <v>2025</v>
      </c>
      <c r="K20" s="814"/>
      <c r="L20" s="1256">
        <f>1-INDEX(capPlant1Utiliz,xxIndexTeam)</f>
        <v>0.43699488949537024</v>
      </c>
      <c r="M20" s="917"/>
      <c r="P20" s="1147"/>
      <c r="AH20" s="1200" t="s">
        <v>2543</v>
      </c>
      <c r="AO20" s="1219" t="s">
        <v>2544</v>
      </c>
    </row>
    <row r="21" spans="3:41" s="1197" customFormat="1" ht="4.5" customHeight="1">
      <c r="C21" s="865"/>
      <c r="D21" s="866"/>
      <c r="E21" s="866"/>
      <c r="F21" s="866"/>
      <c r="G21" s="815"/>
      <c r="H21" s="866"/>
      <c r="I21" s="866"/>
      <c r="J21" s="866"/>
      <c r="K21" s="866"/>
      <c r="L21" s="866"/>
      <c r="M21" s="867"/>
      <c r="P21" s="1147"/>
      <c r="AH21" s="1218"/>
    </row>
    <row r="22" spans="3:41" s="1197" customFormat="1" ht="14.25" customHeight="1">
      <c r="C22" s="865"/>
      <c r="D22" s="617" t="str">
        <f>IF(xxDCOutsource=1,"","Consolidation")</f>
        <v>Consolidation</v>
      </c>
      <c r="E22" s="866"/>
      <c r="F22" s="866"/>
      <c r="G22" s="815"/>
      <c r="H22" s="866"/>
      <c r="I22" s="866"/>
      <c r="J22" s="866"/>
      <c r="K22" s="866"/>
      <c r="L22" s="866"/>
      <c r="M22" s="867"/>
      <c r="O22" s="1199" t="s">
        <v>531</v>
      </c>
      <c r="P22" s="1147"/>
      <c r="AH22" s="1218"/>
    </row>
    <row r="23" spans="3:41" s="1197" customFormat="1" ht="14.25" customHeight="1">
      <c r="C23" s="865"/>
      <c r="D23" s="866"/>
      <c r="E23" s="866"/>
      <c r="F23" s="866"/>
      <c r="G23" s="815"/>
      <c r="H23" s="866"/>
      <c r="I23" s="866"/>
      <c r="J23" s="866"/>
      <c r="K23" s="866"/>
      <c r="L23" s="866"/>
      <c r="M23" s="867"/>
      <c r="P23" s="1147"/>
      <c r="AH23" s="1218"/>
    </row>
    <row r="24" spans="3:41" s="1197" customFormat="1" ht="4.5" customHeight="1">
      <c r="C24" s="865"/>
      <c r="D24" s="617"/>
      <c r="E24" s="866"/>
      <c r="F24" s="866"/>
      <c r="G24" s="815"/>
      <c r="H24" s="866"/>
      <c r="I24" s="866"/>
      <c r="J24" s="866"/>
      <c r="K24" s="866"/>
      <c r="L24" s="866"/>
      <c r="M24" s="867"/>
      <c r="P24" s="1147"/>
      <c r="AH24" s="1218"/>
    </row>
    <row r="25" spans="3:41" s="1197" customFormat="1" ht="14.25" customHeight="1">
      <c r="C25" s="865"/>
      <c r="D25" s="617" t="s">
        <v>2022</v>
      </c>
      <c r="E25" s="866"/>
      <c r="F25" s="871">
        <f>ROUND(INDEX(capPlant1UnitsEnd,xxIndexTeam),0)</f>
        <v>30</v>
      </c>
      <c r="G25" s="815"/>
      <c r="H25" s="866"/>
      <c r="I25" s="866"/>
      <c r="J25" s="866"/>
      <c r="K25" s="866"/>
      <c r="L25" s="866"/>
      <c r="M25" s="867"/>
      <c r="P25" s="1147"/>
      <c r="AH25" s="1216" t="s">
        <v>2545</v>
      </c>
    </row>
    <row r="26" spans="3:41" s="1197" customFormat="1" ht="4.5" customHeight="1">
      <c r="C26" s="865"/>
      <c r="D26" s="617"/>
      <c r="E26" s="866"/>
      <c r="F26" s="866"/>
      <c r="G26" s="815"/>
      <c r="H26" s="866"/>
      <c r="I26" s="866"/>
      <c r="J26" s="866"/>
      <c r="K26" s="866"/>
      <c r="L26" s="866"/>
      <c r="M26" s="867"/>
      <c r="P26" s="1147"/>
      <c r="AH26" s="1200"/>
    </row>
    <row r="27" spans="3:41" s="1197" customFormat="1" ht="14.25" customHeight="1">
      <c r="C27" s="865"/>
      <c r="D27" s="617" t="s">
        <v>183</v>
      </c>
      <c r="E27" s="866"/>
      <c r="F27" s="871">
        <f>INDEX(capPlant1ConsolidationEmp1Req,xxIndexTeam)</f>
        <v>0</v>
      </c>
      <c r="G27" s="815"/>
      <c r="H27" s="866"/>
      <c r="I27" s="866"/>
      <c r="J27" s="866"/>
      <c r="K27" s="866"/>
      <c r="L27" s="866"/>
      <c r="M27" s="867"/>
      <c r="P27" s="1147"/>
      <c r="AH27" s="1200" t="s">
        <v>2546</v>
      </c>
    </row>
    <row r="28" spans="3:41" s="1197" customFormat="1" ht="4.5" customHeight="1">
      <c r="C28" s="865"/>
      <c r="D28" s="617"/>
      <c r="E28" s="866"/>
      <c r="F28" s="866"/>
      <c r="G28" s="815"/>
      <c r="H28" s="866"/>
      <c r="I28" s="866"/>
      <c r="J28" s="866"/>
      <c r="K28" s="866"/>
      <c r="L28" s="866"/>
      <c r="M28" s="867"/>
      <c r="P28" s="1147"/>
      <c r="AH28" s="1200"/>
    </row>
    <row r="29" spans="3:41" s="1197" customFormat="1" ht="14.25" customHeight="1">
      <c r="C29" s="865"/>
      <c r="D29" s="617" t="s">
        <v>322</v>
      </c>
      <c r="E29" s="866"/>
      <c r="F29" s="1295">
        <f>INDEX(capCSAT,xxIndexTeam)</f>
        <v>63</v>
      </c>
      <c r="G29" s="894"/>
      <c r="H29" s="866"/>
      <c r="I29" s="866"/>
      <c r="J29" s="866"/>
      <c r="K29" s="866"/>
      <c r="L29" s="866"/>
      <c r="M29" s="867"/>
      <c r="P29" s="1147"/>
      <c r="AH29" s="1219" t="s">
        <v>2547</v>
      </c>
    </row>
    <row r="30" spans="3:41" s="1197" customFormat="1" ht="14.25" customHeight="1">
      <c r="C30" s="865"/>
      <c r="D30" s="918"/>
      <c r="E30" s="866"/>
      <c r="F30" s="866"/>
      <c r="G30" s="866"/>
      <c r="H30" s="866"/>
      <c r="I30" s="866"/>
      <c r="J30" s="866"/>
      <c r="K30" s="866"/>
      <c r="L30" s="866"/>
      <c r="M30" s="867"/>
    </row>
    <row r="31" spans="3:41" s="1197" customFormat="1" ht="29.25" customHeight="1" thickBot="1">
      <c r="C31" s="876"/>
      <c r="D31" s="877"/>
      <c r="E31" s="877"/>
      <c r="F31" s="877"/>
      <c r="G31" s="877"/>
      <c r="H31" s="877"/>
      <c r="I31" s="877"/>
      <c r="J31" s="877"/>
      <c r="K31" s="877"/>
      <c r="L31" s="877"/>
      <c r="M31" s="879"/>
    </row>
    <row r="32" spans="3:41" s="1197" customFormat="1" ht="12" thickBot="1"/>
    <row r="33" spans="3:35" s="1198" customFormat="1" ht="85.5" customHeight="1">
      <c r="C33" s="1249"/>
      <c r="D33" s="1250"/>
      <c r="E33" s="1250"/>
      <c r="F33" s="1250"/>
      <c r="G33" s="1250"/>
      <c r="H33" s="1250"/>
      <c r="I33" s="1250"/>
      <c r="J33" s="1250"/>
      <c r="K33" s="1250"/>
      <c r="L33" s="1250"/>
      <c r="M33" s="1247" t="str">
        <f>INDEX(decTeamName,xxIndexTeam) &amp; " Year " &amp; xxYear</f>
        <v>IIC Year 0</v>
      </c>
    </row>
    <row r="34" spans="3:35" s="1197" customFormat="1" ht="14.25" customHeight="1">
      <c r="C34" s="865"/>
      <c r="D34" s="866"/>
      <c r="E34" s="866"/>
      <c r="F34" s="866"/>
      <c r="G34" s="866"/>
      <c r="H34" s="866"/>
      <c r="I34" s="866"/>
      <c r="J34" s="866"/>
      <c r="K34" s="866"/>
      <c r="L34" s="866"/>
      <c r="M34" s="867"/>
    </row>
    <row r="35" spans="3:35" s="1197" customFormat="1" ht="14.25" customHeight="1">
      <c r="C35" s="865"/>
      <c r="D35" s="868" t="s">
        <v>872</v>
      </c>
      <c r="E35" s="866"/>
      <c r="F35" s="887" t="s">
        <v>894</v>
      </c>
      <c r="G35" s="886"/>
      <c r="H35" s="887" t="s">
        <v>895</v>
      </c>
      <c r="I35" s="887"/>
      <c r="J35" s="866"/>
      <c r="K35" s="866"/>
      <c r="L35" s="866"/>
      <c r="M35" s="867"/>
      <c r="AH35" s="1220" t="s">
        <v>894</v>
      </c>
      <c r="AI35" s="1220" t="s">
        <v>895</v>
      </c>
    </row>
    <row r="36" spans="3:35" s="1197" customFormat="1" ht="14.25" customHeight="1">
      <c r="C36" s="865"/>
      <c r="D36" s="617" t="s">
        <v>1358</v>
      </c>
      <c r="E36" s="866"/>
      <c r="F36" s="919">
        <f>INDEX(finPNLOperatingExp,xxIndexTeam)</f>
        <v>3261152846.704453</v>
      </c>
      <c r="G36" s="919"/>
      <c r="H36" s="919">
        <f>INDEX(obalPNLOperatingExp,xxIndexTeam)</f>
        <v>3261152846.704453</v>
      </c>
      <c r="I36" s="919"/>
      <c r="J36" s="920"/>
      <c r="K36" s="920"/>
      <c r="L36" s="866"/>
      <c r="M36" s="867"/>
      <c r="AH36" s="1221" t="s">
        <v>2549</v>
      </c>
      <c r="AI36" s="1221" t="s">
        <v>2548</v>
      </c>
    </row>
    <row r="37" spans="3:35" s="1197" customFormat="1" ht="14.25" customHeight="1">
      <c r="C37" s="865"/>
      <c r="D37" s="866"/>
      <c r="E37" s="866"/>
      <c r="F37" s="866"/>
      <c r="G37" s="866"/>
      <c r="H37" s="866"/>
      <c r="I37" s="866"/>
      <c r="J37" s="866"/>
      <c r="K37" s="866"/>
      <c r="L37" s="866"/>
      <c r="M37" s="867"/>
    </row>
    <row r="38" spans="3:35" s="1197" customFormat="1" ht="14.25" customHeight="1">
      <c r="C38" s="865"/>
      <c r="D38" s="866"/>
      <c r="E38" s="866"/>
      <c r="F38" s="866"/>
      <c r="G38" s="866"/>
      <c r="H38" s="866"/>
      <c r="I38" s="866"/>
      <c r="J38" s="866"/>
      <c r="K38" s="866"/>
      <c r="L38" s="866"/>
      <c r="M38" s="867"/>
    </row>
    <row r="39" spans="3:35" s="1197" customFormat="1" ht="14.25" customHeight="1">
      <c r="C39" s="865"/>
      <c r="D39" s="866"/>
      <c r="E39" s="866"/>
      <c r="F39" s="866"/>
      <c r="G39" s="866"/>
      <c r="H39" s="866"/>
      <c r="I39" s="866"/>
      <c r="J39" s="866"/>
      <c r="K39" s="866"/>
      <c r="L39" s="866"/>
      <c r="M39" s="867"/>
    </row>
    <row r="40" spans="3:35" s="1197" customFormat="1" ht="14.25" customHeight="1">
      <c r="C40" s="865"/>
      <c r="D40" s="866"/>
      <c r="E40" s="866"/>
      <c r="F40" s="866"/>
      <c r="G40" s="866"/>
      <c r="H40" s="866"/>
      <c r="I40" s="866"/>
      <c r="J40" s="866"/>
      <c r="K40" s="866"/>
      <c r="L40" s="866"/>
      <c r="M40" s="867"/>
    </row>
    <row r="41" spans="3:35" s="1197" customFormat="1" ht="14.25" customHeight="1">
      <c r="C41" s="865"/>
      <c r="D41" s="866"/>
      <c r="E41" s="866"/>
      <c r="F41" s="866"/>
      <c r="G41" s="866"/>
      <c r="H41" s="866"/>
      <c r="I41" s="866"/>
      <c r="J41" s="866"/>
      <c r="K41" s="866"/>
      <c r="L41" s="866"/>
      <c r="M41" s="867"/>
    </row>
    <row r="42" spans="3:35" s="1197" customFormat="1" ht="14.25" customHeight="1">
      <c r="C42" s="865"/>
      <c r="D42" s="866"/>
      <c r="E42" s="866"/>
      <c r="F42" s="866"/>
      <c r="G42" s="866"/>
      <c r="H42" s="866"/>
      <c r="I42" s="866"/>
      <c r="J42" s="866"/>
      <c r="K42" s="866"/>
      <c r="L42" s="866"/>
      <c r="M42" s="867"/>
    </row>
    <row r="43" spans="3:35" s="1197" customFormat="1" ht="14.25" customHeight="1">
      <c r="C43" s="865"/>
      <c r="D43" s="866"/>
      <c r="E43" s="866"/>
      <c r="F43" s="866"/>
      <c r="G43" s="866"/>
      <c r="H43" s="866"/>
      <c r="I43" s="866"/>
      <c r="J43" s="866"/>
      <c r="K43" s="866"/>
      <c r="L43" s="866"/>
      <c r="M43" s="867"/>
    </row>
    <row r="44" spans="3:35" s="1197" customFormat="1" ht="14.25" customHeight="1">
      <c r="C44" s="865"/>
      <c r="D44" s="866"/>
      <c r="E44" s="866"/>
      <c r="F44" s="866"/>
      <c r="G44" s="866"/>
      <c r="H44" s="866"/>
      <c r="I44" s="866"/>
      <c r="J44" s="866"/>
      <c r="K44" s="866"/>
      <c r="L44" s="866"/>
      <c r="M44" s="867"/>
    </row>
    <row r="45" spans="3:35" s="1197" customFormat="1" ht="14.25" customHeight="1">
      <c r="C45" s="865"/>
      <c r="D45" s="866"/>
      <c r="E45" s="866"/>
      <c r="F45" s="866"/>
      <c r="G45" s="866"/>
      <c r="H45" s="866"/>
      <c r="I45" s="866"/>
      <c r="J45" s="866"/>
      <c r="K45" s="866"/>
      <c r="L45" s="866"/>
      <c r="M45" s="867"/>
    </row>
    <row r="46" spans="3:35" s="1197" customFormat="1" ht="14.25" customHeight="1">
      <c r="C46" s="865"/>
      <c r="D46" s="866"/>
      <c r="E46" s="866"/>
      <c r="F46" s="866"/>
      <c r="G46" s="866"/>
      <c r="H46" s="866"/>
      <c r="I46" s="866"/>
      <c r="J46" s="866"/>
      <c r="K46" s="866"/>
      <c r="L46" s="866"/>
      <c r="M46" s="867"/>
    </row>
    <row r="47" spans="3:35" s="1197" customFormat="1" ht="14.25" customHeight="1">
      <c r="C47" s="865"/>
      <c r="D47" s="866"/>
      <c r="E47" s="866"/>
      <c r="F47" s="866"/>
      <c r="G47" s="866"/>
      <c r="H47" s="866"/>
      <c r="I47" s="866"/>
      <c r="J47" s="866"/>
      <c r="K47" s="866"/>
      <c r="L47" s="866"/>
      <c r="M47" s="867"/>
    </row>
    <row r="48" spans="3:35" s="1197" customFormat="1" ht="14.25" customHeight="1">
      <c r="C48" s="865"/>
      <c r="D48" s="866"/>
      <c r="E48" s="866"/>
      <c r="F48" s="866"/>
      <c r="G48" s="866"/>
      <c r="H48" s="866"/>
      <c r="I48" s="866"/>
      <c r="J48" s="866"/>
      <c r="K48" s="866"/>
      <c r="L48" s="866"/>
      <c r="M48" s="867"/>
    </row>
    <row r="49" spans="3:13" s="1197" customFormat="1" ht="14.25" customHeight="1">
      <c r="C49" s="865"/>
      <c r="D49" s="866"/>
      <c r="E49" s="866"/>
      <c r="F49" s="866"/>
      <c r="G49" s="866"/>
      <c r="H49" s="866"/>
      <c r="I49" s="866"/>
      <c r="J49" s="866"/>
      <c r="K49" s="866"/>
      <c r="L49" s="866"/>
      <c r="M49" s="867"/>
    </row>
    <row r="50" spans="3:13" s="1197" customFormat="1" ht="20.25" customHeight="1" thickBot="1">
      <c r="C50" s="876"/>
      <c r="D50" s="877"/>
      <c r="E50" s="877"/>
      <c r="F50" s="877"/>
      <c r="G50" s="877"/>
      <c r="H50" s="877"/>
      <c r="I50" s="877"/>
      <c r="J50" s="877"/>
      <c r="K50" s="877"/>
      <c r="L50" s="877"/>
      <c r="M50" s="879"/>
    </row>
  </sheetData>
  <mergeCells count="1">
    <mergeCell ref="C3:M3"/>
  </mergeCells>
  <dataValidations count="1">
    <dataValidation type="list" allowBlank="1" showInputMessage="1" showErrorMessage="1" sqref="F9 L9">
      <formula1>datalist0to5</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863745" r:id="rId3" name="Scroll Bar 1">
              <controlPr locked="0" defaultSize="0" autoPict="0" macro="[0]!Blank">
                <anchor moveWithCells="1">
                  <from>
                    <xdr:col>5</xdr:col>
                    <xdr:colOff>38100</xdr:colOff>
                    <xdr:row>21</xdr:row>
                    <xdr:rowOff>9525</xdr:rowOff>
                  </from>
                  <to>
                    <xdr:col>6</xdr:col>
                    <xdr:colOff>66675</xdr:colOff>
                    <xdr:row>22</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00000"/>
  </sheetPr>
  <dimension ref="C1:I93"/>
  <sheetViews>
    <sheetView workbookViewId="0">
      <selection activeCell="T53" sqref="T53"/>
    </sheetView>
  </sheetViews>
  <sheetFormatPr defaultRowHeight="11.25"/>
  <cols>
    <col min="4" max="4" width="10.6640625" customWidth="1"/>
    <col min="5" max="5" width="11.1640625" bestFit="1" customWidth="1"/>
  </cols>
  <sheetData>
    <row r="1" spans="3:9">
      <c r="E1">
        <f>capCurYearInitsRemaining</f>
        <v>3</v>
      </c>
      <c r="F1" s="1107" t="s">
        <v>3364</v>
      </c>
    </row>
    <row r="2" spans="3:9">
      <c r="E2" s="34">
        <f>capInitsProd1Emp1Req + capInitsProd2Emp1Req + capInitsEmp1Req</f>
        <v>0</v>
      </c>
      <c r="F2" s="1107" t="s">
        <v>3365</v>
      </c>
    </row>
    <row r="3" spans="3:9">
      <c r="E3" s="34">
        <f>capProd1SpecProgExp + capProd2SpecProgExp</f>
        <v>59999999.999999993</v>
      </c>
      <c r="F3" s="1107" t="s">
        <v>3366</v>
      </c>
    </row>
    <row r="4" spans="3:9">
      <c r="E4">
        <f>obalMkt</f>
        <v>195000</v>
      </c>
      <c r="F4" s="1107" t="s">
        <v>3367</v>
      </c>
    </row>
    <row r="6" spans="3:9">
      <c r="D6">
        <v>42</v>
      </c>
      <c r="E6">
        <f>D6</f>
        <v>42</v>
      </c>
      <c r="F6" s="565" t="s">
        <v>3426</v>
      </c>
    </row>
    <row r="7" spans="3:9">
      <c r="E7">
        <f>tlInputTeamYear</f>
        <v>0</v>
      </c>
      <c r="F7" s="565" t="s">
        <v>3792</v>
      </c>
    </row>
    <row r="12" spans="3:9">
      <c r="C12">
        <v>1</v>
      </c>
      <c r="E12">
        <f>obalSpecProg1Chosen</f>
        <v>0</v>
      </c>
      <c r="F12" t="s">
        <v>3371</v>
      </c>
      <c r="I12" t="str">
        <f>"obalSpecProg"&amp;$C12&amp;"Chosen"</f>
        <v>obalSpecProg1Chosen</v>
      </c>
    </row>
    <row r="13" spans="3:9">
      <c r="C13">
        <v>2</v>
      </c>
      <c r="E13">
        <f>obalSpecProg2Chosen</f>
        <v>0</v>
      </c>
      <c r="F13" t="s">
        <v>3372</v>
      </c>
      <c r="I13" t="str">
        <f t="shared" ref="I13:I33" si="0">"obalSpecProg"&amp;$C13&amp;"Chosen"</f>
        <v>obalSpecProg2Chosen</v>
      </c>
    </row>
    <row r="14" spans="3:9">
      <c r="C14">
        <v>3</v>
      </c>
      <c r="E14">
        <f>obalSpecProg3Chosen</f>
        <v>0</v>
      </c>
      <c r="F14" t="s">
        <v>3373</v>
      </c>
      <c r="I14" t="str">
        <f t="shared" si="0"/>
        <v>obalSpecProg3Chosen</v>
      </c>
    </row>
    <row r="15" spans="3:9">
      <c r="C15">
        <v>4</v>
      </c>
      <c r="E15">
        <f>obalSpecProg4Chosen</f>
        <v>0</v>
      </c>
      <c r="F15" t="s">
        <v>3374</v>
      </c>
      <c r="I15" t="str">
        <f t="shared" si="0"/>
        <v>obalSpecProg4Chosen</v>
      </c>
    </row>
    <row r="16" spans="3:9">
      <c r="C16">
        <v>5</v>
      </c>
      <c r="E16">
        <f>obalSpecProg5Chosen</f>
        <v>0</v>
      </c>
      <c r="F16" t="s">
        <v>3375</v>
      </c>
      <c r="I16" t="str">
        <f t="shared" si="0"/>
        <v>obalSpecProg5Chosen</v>
      </c>
    </row>
    <row r="17" spans="3:9">
      <c r="C17">
        <v>6</v>
      </c>
      <c r="E17">
        <f>obalSpecProg6Chosen</f>
        <v>0</v>
      </c>
      <c r="F17" t="s">
        <v>3376</v>
      </c>
      <c r="I17" t="str">
        <f t="shared" si="0"/>
        <v>obalSpecProg6Chosen</v>
      </c>
    </row>
    <row r="18" spans="3:9">
      <c r="C18">
        <v>7</v>
      </c>
      <c r="E18">
        <f>obalSpecProg7Chosen</f>
        <v>0</v>
      </c>
      <c r="F18" t="s">
        <v>3377</v>
      </c>
      <c r="I18" t="str">
        <f t="shared" si="0"/>
        <v>obalSpecProg7Chosen</v>
      </c>
    </row>
    <row r="19" spans="3:9">
      <c r="C19">
        <v>8</v>
      </c>
      <c r="E19">
        <f>obalSpecProg8Chosen</f>
        <v>0</v>
      </c>
      <c r="F19" t="s">
        <v>3378</v>
      </c>
      <c r="I19" t="str">
        <f t="shared" si="0"/>
        <v>obalSpecProg8Chosen</v>
      </c>
    </row>
    <row r="20" spans="3:9">
      <c r="C20">
        <v>9</v>
      </c>
      <c r="E20">
        <f>obalSpecProg9Chosen</f>
        <v>0</v>
      </c>
      <c r="F20" t="s">
        <v>3379</v>
      </c>
      <c r="I20" t="str">
        <f t="shared" si="0"/>
        <v>obalSpecProg9Chosen</v>
      </c>
    </row>
    <row r="21" spans="3:9">
      <c r="C21">
        <v>10</v>
      </c>
      <c r="E21">
        <f>obalSpecProg10Chosen</f>
        <v>0</v>
      </c>
      <c r="F21" t="s">
        <v>3380</v>
      </c>
      <c r="I21" t="str">
        <f t="shared" si="0"/>
        <v>obalSpecProg10Chosen</v>
      </c>
    </row>
    <row r="22" spans="3:9">
      <c r="C22">
        <v>11</v>
      </c>
      <c r="E22">
        <f>obalSpecProg11Chosen</f>
        <v>0</v>
      </c>
      <c r="F22" t="s">
        <v>3381</v>
      </c>
      <c r="I22" t="str">
        <f t="shared" si="0"/>
        <v>obalSpecProg11Chosen</v>
      </c>
    </row>
    <row r="23" spans="3:9">
      <c r="C23">
        <v>12</v>
      </c>
      <c r="E23">
        <f>obalSpecProg12Chosen</f>
        <v>0</v>
      </c>
      <c r="F23" t="s">
        <v>3382</v>
      </c>
      <c r="I23" t="str">
        <f t="shared" si="0"/>
        <v>obalSpecProg12Chosen</v>
      </c>
    </row>
    <row r="24" spans="3:9">
      <c r="C24">
        <v>13</v>
      </c>
      <c r="E24">
        <f>obalSpecProg13Chosen</f>
        <v>0</v>
      </c>
      <c r="F24" t="s">
        <v>3383</v>
      </c>
      <c r="I24" t="str">
        <f t="shared" si="0"/>
        <v>obalSpecProg13Chosen</v>
      </c>
    </row>
    <row r="25" spans="3:9">
      <c r="C25">
        <v>14</v>
      </c>
      <c r="E25">
        <f>obalSpecProg14Chosen</f>
        <v>0</v>
      </c>
      <c r="F25" t="s">
        <v>3384</v>
      </c>
      <c r="I25" t="str">
        <f t="shared" si="0"/>
        <v>obalSpecProg14Chosen</v>
      </c>
    </row>
    <row r="26" spans="3:9">
      <c r="C26">
        <v>15</v>
      </c>
      <c r="E26">
        <f>obalSpecProg15Chosen</f>
        <v>0</v>
      </c>
      <c r="F26" t="s">
        <v>3385</v>
      </c>
      <c r="I26" t="str">
        <f t="shared" si="0"/>
        <v>obalSpecProg15Chosen</v>
      </c>
    </row>
    <row r="27" spans="3:9">
      <c r="C27">
        <v>16</v>
      </c>
      <c r="E27">
        <f>obalSpecProg16Chosen</f>
        <v>0</v>
      </c>
      <c r="F27" t="s">
        <v>3386</v>
      </c>
      <c r="I27" t="str">
        <f t="shared" si="0"/>
        <v>obalSpecProg16Chosen</v>
      </c>
    </row>
    <row r="28" spans="3:9">
      <c r="C28">
        <v>17</v>
      </c>
      <c r="E28">
        <f>obalSpecProg17Chosen</f>
        <v>0</v>
      </c>
      <c r="F28" t="s">
        <v>3387</v>
      </c>
      <c r="I28" t="str">
        <f t="shared" si="0"/>
        <v>obalSpecProg17Chosen</v>
      </c>
    </row>
    <row r="29" spans="3:9">
      <c r="C29">
        <v>18</v>
      </c>
      <c r="E29">
        <f>obalSpecProg18Chosen</f>
        <v>0</v>
      </c>
      <c r="F29" t="s">
        <v>3388</v>
      </c>
      <c r="I29" t="str">
        <f t="shared" si="0"/>
        <v>obalSpecProg18Chosen</v>
      </c>
    </row>
    <row r="30" spans="3:9">
      <c r="C30">
        <v>19</v>
      </c>
      <c r="E30">
        <f>obalSpecProg19Chosen</f>
        <v>0</v>
      </c>
      <c r="F30" t="s">
        <v>3389</v>
      </c>
      <c r="I30" t="str">
        <f t="shared" si="0"/>
        <v>obalSpecProg19Chosen</v>
      </c>
    </row>
    <row r="31" spans="3:9">
      <c r="C31">
        <v>20</v>
      </c>
      <c r="E31">
        <f>obalSpecProg20Chosen</f>
        <v>0</v>
      </c>
      <c r="F31" t="s">
        <v>3390</v>
      </c>
      <c r="I31" t="str">
        <f t="shared" si="0"/>
        <v>obalSpecProg20Chosen</v>
      </c>
    </row>
    <row r="32" spans="3:9">
      <c r="C32">
        <v>21</v>
      </c>
      <c r="E32">
        <f>obalSpecProg21Chosen</f>
        <v>0</v>
      </c>
      <c r="F32" t="s">
        <v>3391</v>
      </c>
      <c r="I32" t="str">
        <f t="shared" si="0"/>
        <v>obalSpecProg21Chosen</v>
      </c>
    </row>
    <row r="33" spans="3:9">
      <c r="C33">
        <v>22</v>
      </c>
      <c r="E33">
        <f>obalSpecProg22Chosen</f>
        <v>0</v>
      </c>
      <c r="F33" t="s">
        <v>3392</v>
      </c>
      <c r="I33" t="str">
        <f t="shared" si="0"/>
        <v>obalSpecProg22Chosen</v>
      </c>
    </row>
    <row r="35" spans="3:9">
      <c r="C35" t="s">
        <v>3263</v>
      </c>
      <c r="E35" t="b">
        <f>tlInputEvent101Chosen</f>
        <v>0</v>
      </c>
      <c r="F35" t="s">
        <v>3401</v>
      </c>
    </row>
    <row r="36" spans="3:9">
      <c r="C36" t="s">
        <v>3264</v>
      </c>
      <c r="E36" t="b">
        <f>tlInputEvent102Chosen</f>
        <v>0</v>
      </c>
      <c r="F36" s="565" t="s">
        <v>3402</v>
      </c>
    </row>
    <row r="37" spans="3:9">
      <c r="C37" t="s">
        <v>3265</v>
      </c>
      <c r="E37" t="b">
        <f>tlInputEvent103Chosen</f>
        <v>0</v>
      </c>
      <c r="F37" s="565" t="s">
        <v>3403</v>
      </c>
    </row>
    <row r="38" spans="3:9">
      <c r="C38" t="s">
        <v>3266</v>
      </c>
      <c r="E38" t="b">
        <f>tlInputEvent201Chosen</f>
        <v>0</v>
      </c>
      <c r="F38" s="565" t="s">
        <v>3404</v>
      </c>
    </row>
    <row r="39" spans="3:9">
      <c r="C39" t="s">
        <v>3267</v>
      </c>
      <c r="E39" t="b">
        <f>tlInputEvent202Chosen</f>
        <v>0</v>
      </c>
      <c r="F39" s="565" t="s">
        <v>3405</v>
      </c>
    </row>
    <row r="40" spans="3:9">
      <c r="C40" t="s">
        <v>3268</v>
      </c>
      <c r="E40" t="b">
        <f>tlInputEvent203Chosen</f>
        <v>0</v>
      </c>
      <c r="F40" s="565" t="s">
        <v>3406</v>
      </c>
    </row>
    <row r="41" spans="3:9">
      <c r="C41" t="s">
        <v>3269</v>
      </c>
      <c r="E41" t="b">
        <f>tlInputEvent301Chosen</f>
        <v>0</v>
      </c>
      <c r="F41" s="565" t="s">
        <v>3407</v>
      </c>
    </row>
    <row r="42" spans="3:9">
      <c r="C42" t="s">
        <v>3270</v>
      </c>
      <c r="E42" t="b">
        <f>tlInputEvent302Chosen</f>
        <v>0</v>
      </c>
      <c r="F42" s="565" t="s">
        <v>3408</v>
      </c>
    </row>
    <row r="43" spans="3:9">
      <c r="C43" t="s">
        <v>3271</v>
      </c>
      <c r="E43" t="b">
        <f>tlInputEvent401Chosen</f>
        <v>0</v>
      </c>
      <c r="F43" s="565" t="s">
        <v>3409</v>
      </c>
    </row>
    <row r="44" spans="3:9">
      <c r="C44" t="s">
        <v>3272</v>
      </c>
      <c r="E44" t="b">
        <f>tlInputEvent402Chosen</f>
        <v>0</v>
      </c>
      <c r="F44" s="565" t="s">
        <v>3410</v>
      </c>
    </row>
    <row r="45" spans="3:9">
      <c r="C45" t="s">
        <v>3273</v>
      </c>
      <c r="E45" t="b">
        <f>tlInputEvent403Chosen</f>
        <v>0</v>
      </c>
      <c r="F45" s="565" t="s">
        <v>3411</v>
      </c>
    </row>
    <row r="46" spans="3:9">
      <c r="C46" t="s">
        <v>3274</v>
      </c>
      <c r="E46" t="b">
        <f>tlInputEvent501Chosen</f>
        <v>0</v>
      </c>
      <c r="F46" s="565" t="s">
        <v>3412</v>
      </c>
    </row>
    <row r="47" spans="3:9">
      <c r="C47" t="s">
        <v>3275</v>
      </c>
      <c r="E47" t="b">
        <f>tlInputEvent502Chosen</f>
        <v>0</v>
      </c>
      <c r="F47" s="565" t="s">
        <v>3413</v>
      </c>
    </row>
    <row r="48" spans="3:9">
      <c r="C48" t="s">
        <v>3276</v>
      </c>
      <c r="E48" t="b">
        <f>tlInputEvent503Chosen</f>
        <v>0</v>
      </c>
      <c r="F48" s="565" t="s">
        <v>3414</v>
      </c>
    </row>
    <row r="49" spans="3:6">
      <c r="C49" t="s">
        <v>3277</v>
      </c>
      <c r="E49" t="b">
        <f>tlInputEvent601Chosen</f>
        <v>0</v>
      </c>
      <c r="F49" s="565" t="s">
        <v>3415</v>
      </c>
    </row>
    <row r="50" spans="3:6">
      <c r="C50" t="s">
        <v>3278</v>
      </c>
      <c r="E50" t="b">
        <f>tlInputEvent602Chosen</f>
        <v>0</v>
      </c>
      <c r="F50" s="565" t="s">
        <v>3417</v>
      </c>
    </row>
    <row r="51" spans="3:6">
      <c r="C51" t="s">
        <v>3279</v>
      </c>
      <c r="E51" t="b">
        <f>tlInputEvent603Chosen</f>
        <v>0</v>
      </c>
      <c r="F51" s="565" t="s">
        <v>3416</v>
      </c>
    </row>
    <row r="52" spans="3:6">
      <c r="C52" t="s">
        <v>3280</v>
      </c>
      <c r="E52" t="b">
        <f>tlInputEvent701Chosen</f>
        <v>0</v>
      </c>
      <c r="F52" s="565" t="s">
        <v>3418</v>
      </c>
    </row>
    <row r="53" spans="3:6">
      <c r="C53" t="s">
        <v>3281</v>
      </c>
      <c r="E53" t="b">
        <f>tlInputEvent702Chosen</f>
        <v>0</v>
      </c>
      <c r="F53" s="565" t="s">
        <v>3419</v>
      </c>
    </row>
    <row r="54" spans="3:6">
      <c r="C54" t="s">
        <v>3282</v>
      </c>
      <c r="E54" t="b">
        <f>tlInputEvent703Chosen</f>
        <v>0</v>
      </c>
      <c r="F54" s="565" t="s">
        <v>3420</v>
      </c>
    </row>
    <row r="55" spans="3:6">
      <c r="C55" t="s">
        <v>3283</v>
      </c>
      <c r="E55" t="b">
        <f>tlInputEvent801Chosen</f>
        <v>0</v>
      </c>
      <c r="F55" s="565" t="s">
        <v>3421</v>
      </c>
    </row>
    <row r="56" spans="3:6">
      <c r="C56" t="s">
        <v>3284</v>
      </c>
      <c r="E56" t="b">
        <f>tlInputEvent802Chosen</f>
        <v>0</v>
      </c>
      <c r="F56" s="565" t="s">
        <v>3422</v>
      </c>
    </row>
    <row r="57" spans="3:6">
      <c r="C57" t="s">
        <v>3285</v>
      </c>
      <c r="E57" t="b">
        <f>tlInputEvent803Chosen</f>
        <v>0</v>
      </c>
      <c r="F57" s="565" t="s">
        <v>3423</v>
      </c>
    </row>
    <row r="58" spans="3:6">
      <c r="C58" t="s">
        <v>3286</v>
      </c>
      <c r="E58" t="b">
        <f>tlInputEvent901Chosen</f>
        <v>0</v>
      </c>
      <c r="F58" s="565" t="s">
        <v>3424</v>
      </c>
    </row>
    <row r="59" spans="3:6">
      <c r="C59" t="s">
        <v>3287</v>
      </c>
      <c r="E59" t="b">
        <f>tlInputEvent902Chosen</f>
        <v>0</v>
      </c>
      <c r="F59" s="565" t="s">
        <v>3425</v>
      </c>
    </row>
    <row r="62" spans="3:6">
      <c r="C62" s="565" t="s">
        <v>3393</v>
      </c>
      <c r="E62">
        <f>MAX(finPNLRev)</f>
        <v>4411410974.5023985</v>
      </c>
      <c r="F62" s="565" t="s">
        <v>3394</v>
      </c>
    </row>
    <row r="63" spans="3:6">
      <c r="C63" s="565" t="s">
        <v>3395</v>
      </c>
      <c r="E63">
        <f>MAX(cbalPNLRevCAGR)</f>
        <v>0</v>
      </c>
      <c r="F63" s="565" t="s">
        <v>3396</v>
      </c>
    </row>
    <row r="64" spans="3:6">
      <c r="C64" s="565" t="s">
        <v>3398</v>
      </c>
      <c r="E64" s="15">
        <f>90%</f>
        <v>0.9</v>
      </c>
      <c r="F64" s="565" t="s">
        <v>3397</v>
      </c>
    </row>
    <row r="65" spans="3:9">
      <c r="C65" s="565" t="s">
        <v>3400</v>
      </c>
      <c r="E65" s="15">
        <f>90%</f>
        <v>0.9</v>
      </c>
      <c r="F65" s="565" t="s">
        <v>3399</v>
      </c>
    </row>
    <row r="66" spans="3:9">
      <c r="C66" s="565"/>
      <c r="E66" s="15"/>
      <c r="F66" s="565"/>
    </row>
    <row r="68" spans="3:9">
      <c r="C68">
        <v>1</v>
      </c>
      <c r="E68">
        <f>cbal!E287</f>
        <v>0</v>
      </c>
      <c r="F68" s="565" t="s">
        <v>3745</v>
      </c>
      <c r="I68" t="str">
        <f t="shared" ref="I68:I89" si="1">CONCATENATE("tlOutputSpecProg",C68,"ChosenYr")</f>
        <v>tlOutputSpecProg1ChosenYr</v>
      </c>
    </row>
    <row r="69" spans="3:9">
      <c r="C69">
        <v>2</v>
      </c>
      <c r="E69">
        <f>cbal!E288</f>
        <v>0</v>
      </c>
      <c r="F69" s="565" t="s">
        <v>3746</v>
      </c>
      <c r="I69" t="str">
        <f t="shared" si="1"/>
        <v>tlOutputSpecProg2ChosenYr</v>
      </c>
    </row>
    <row r="70" spans="3:9">
      <c r="C70">
        <v>3</v>
      </c>
      <c r="E70">
        <f>cbal!E289</f>
        <v>0</v>
      </c>
      <c r="F70" t="s">
        <v>3747</v>
      </c>
      <c r="I70" t="str">
        <f t="shared" si="1"/>
        <v>tlOutputSpecProg3ChosenYr</v>
      </c>
    </row>
    <row r="71" spans="3:9">
      <c r="C71">
        <v>4</v>
      </c>
      <c r="E71">
        <f>cbal!E290</f>
        <v>0</v>
      </c>
      <c r="F71" t="s">
        <v>3748</v>
      </c>
      <c r="I71" t="str">
        <f t="shared" si="1"/>
        <v>tlOutputSpecProg4ChosenYr</v>
      </c>
    </row>
    <row r="72" spans="3:9">
      <c r="C72">
        <v>5</v>
      </c>
      <c r="E72">
        <f>cbal!E291</f>
        <v>0</v>
      </c>
      <c r="F72" t="s">
        <v>3749</v>
      </c>
      <c r="I72" t="str">
        <f t="shared" si="1"/>
        <v>tlOutputSpecProg5ChosenYr</v>
      </c>
    </row>
    <row r="73" spans="3:9">
      <c r="C73">
        <v>6</v>
      </c>
      <c r="E73">
        <f>cbal!E292</f>
        <v>0</v>
      </c>
      <c r="F73" t="s">
        <v>3750</v>
      </c>
      <c r="I73" t="str">
        <f t="shared" si="1"/>
        <v>tlOutputSpecProg6ChosenYr</v>
      </c>
    </row>
    <row r="74" spans="3:9">
      <c r="C74">
        <v>7</v>
      </c>
      <c r="E74">
        <f>cbal!E293</f>
        <v>0</v>
      </c>
      <c r="F74" t="s">
        <v>3751</v>
      </c>
      <c r="I74" t="str">
        <f t="shared" si="1"/>
        <v>tlOutputSpecProg7ChosenYr</v>
      </c>
    </row>
    <row r="75" spans="3:9">
      <c r="C75">
        <v>8</v>
      </c>
      <c r="E75">
        <f>cbal!E294</f>
        <v>0</v>
      </c>
      <c r="F75" t="s">
        <v>3752</v>
      </c>
      <c r="I75" t="str">
        <f t="shared" si="1"/>
        <v>tlOutputSpecProg8ChosenYr</v>
      </c>
    </row>
    <row r="76" spans="3:9">
      <c r="C76">
        <v>9</v>
      </c>
      <c r="E76">
        <f>cbal!E295</f>
        <v>0</v>
      </c>
      <c r="F76" t="s">
        <v>3753</v>
      </c>
      <c r="I76" t="str">
        <f t="shared" si="1"/>
        <v>tlOutputSpecProg9ChosenYr</v>
      </c>
    </row>
    <row r="77" spans="3:9">
      <c r="C77">
        <v>10</v>
      </c>
      <c r="E77">
        <f>cbal!E296</f>
        <v>0</v>
      </c>
      <c r="F77" t="s">
        <v>3754</v>
      </c>
      <c r="I77" t="str">
        <f t="shared" si="1"/>
        <v>tlOutputSpecProg10ChosenYr</v>
      </c>
    </row>
    <row r="78" spans="3:9">
      <c r="C78">
        <v>11</v>
      </c>
      <c r="E78">
        <f>cbal!E297</f>
        <v>0</v>
      </c>
      <c r="F78" t="s">
        <v>3755</v>
      </c>
      <c r="I78" t="str">
        <f t="shared" si="1"/>
        <v>tlOutputSpecProg11ChosenYr</v>
      </c>
    </row>
    <row r="79" spans="3:9">
      <c r="C79">
        <v>12</v>
      </c>
      <c r="E79">
        <f>cbal!E298</f>
        <v>0</v>
      </c>
      <c r="F79" t="s">
        <v>3756</v>
      </c>
      <c r="I79" t="str">
        <f t="shared" si="1"/>
        <v>tlOutputSpecProg12ChosenYr</v>
      </c>
    </row>
    <row r="80" spans="3:9">
      <c r="C80">
        <v>13</v>
      </c>
      <c r="E80">
        <f>cbal!E299</f>
        <v>0</v>
      </c>
      <c r="F80" t="s">
        <v>3757</v>
      </c>
      <c r="I80" t="str">
        <f t="shared" si="1"/>
        <v>tlOutputSpecProg13ChosenYr</v>
      </c>
    </row>
    <row r="81" spans="3:9">
      <c r="C81">
        <v>14</v>
      </c>
      <c r="E81">
        <f>cbal!E300</f>
        <v>0</v>
      </c>
      <c r="F81" t="s">
        <v>3758</v>
      </c>
      <c r="I81" t="str">
        <f t="shared" si="1"/>
        <v>tlOutputSpecProg14ChosenYr</v>
      </c>
    </row>
    <row r="82" spans="3:9">
      <c r="C82">
        <v>15</v>
      </c>
      <c r="E82">
        <f>cbal!E301</f>
        <v>0</v>
      </c>
      <c r="F82" t="s">
        <v>3759</v>
      </c>
      <c r="I82" t="str">
        <f t="shared" si="1"/>
        <v>tlOutputSpecProg15ChosenYr</v>
      </c>
    </row>
    <row r="83" spans="3:9">
      <c r="C83">
        <v>16</v>
      </c>
      <c r="E83">
        <f>cbal!E302</f>
        <v>0</v>
      </c>
      <c r="F83" t="s">
        <v>3760</v>
      </c>
      <c r="I83" t="str">
        <f t="shared" si="1"/>
        <v>tlOutputSpecProg16ChosenYr</v>
      </c>
    </row>
    <row r="84" spans="3:9">
      <c r="C84">
        <v>17</v>
      </c>
      <c r="E84">
        <f>cbal!E303</f>
        <v>0</v>
      </c>
      <c r="F84" t="s">
        <v>3761</v>
      </c>
      <c r="I84" t="str">
        <f t="shared" si="1"/>
        <v>tlOutputSpecProg17ChosenYr</v>
      </c>
    </row>
    <row r="85" spans="3:9">
      <c r="C85">
        <v>18</v>
      </c>
      <c r="E85">
        <f>cbal!E304</f>
        <v>0</v>
      </c>
      <c r="F85" t="s">
        <v>3762</v>
      </c>
      <c r="I85" t="str">
        <f t="shared" si="1"/>
        <v>tlOutputSpecProg18ChosenYr</v>
      </c>
    </row>
    <row r="86" spans="3:9">
      <c r="C86">
        <v>19</v>
      </c>
      <c r="E86">
        <f>cbal!E305</f>
        <v>0</v>
      </c>
      <c r="F86" t="s">
        <v>3763</v>
      </c>
      <c r="I86" t="str">
        <f t="shared" si="1"/>
        <v>tlOutputSpecProg19ChosenYr</v>
      </c>
    </row>
    <row r="87" spans="3:9">
      <c r="C87">
        <v>20</v>
      </c>
      <c r="E87">
        <f>cbal!E306</f>
        <v>0</v>
      </c>
      <c r="F87" t="s">
        <v>3764</v>
      </c>
      <c r="I87" t="str">
        <f t="shared" si="1"/>
        <v>tlOutputSpecProg20ChosenYr</v>
      </c>
    </row>
    <row r="88" spans="3:9">
      <c r="C88">
        <v>21</v>
      </c>
      <c r="E88">
        <f>cbal!E307</f>
        <v>0</v>
      </c>
      <c r="F88" t="s">
        <v>3765</v>
      </c>
      <c r="I88" t="str">
        <f t="shared" si="1"/>
        <v>tlOutputSpecProg21ChosenYr</v>
      </c>
    </row>
    <row r="89" spans="3:9">
      <c r="C89">
        <v>22</v>
      </c>
      <c r="E89">
        <f>cbal!E308</f>
        <v>0</v>
      </c>
      <c r="F89" t="s">
        <v>3766</v>
      </c>
      <c r="I89" t="str">
        <f t="shared" si="1"/>
        <v>tlOutputSpecProg22ChosenYr</v>
      </c>
    </row>
    <row r="91" spans="3:9">
      <c r="E91" t="b">
        <f>TRUE</f>
        <v>1</v>
      </c>
      <c r="F91" s="565" t="s">
        <v>3789</v>
      </c>
    </row>
    <row r="92" spans="3:9">
      <c r="E92" t="b">
        <f>FALSE</f>
        <v>0</v>
      </c>
      <c r="F92" s="565" t="s">
        <v>3790</v>
      </c>
    </row>
    <row r="93" spans="3:9">
      <c r="E93">
        <f>0</f>
        <v>0</v>
      </c>
      <c r="F93" s="565" t="s">
        <v>3791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oolPrograms" enableFormatConditionsCalculation="0">
    <tabColor rgb="FFC00000"/>
  </sheetPr>
  <dimension ref="A1:AH108"/>
  <sheetViews>
    <sheetView showGridLines="0" zoomScaleNormal="100" workbookViewId="0">
      <pane ySplit="5" topLeftCell="A6" activePane="bottomLeft" state="frozen"/>
      <selection pane="bottomLeft" activeCell="G60" sqref="G60"/>
    </sheetView>
  </sheetViews>
  <sheetFormatPr defaultRowHeight="11.25"/>
  <cols>
    <col min="1" max="2" width="8.83203125" style="1130" customWidth="1"/>
    <col min="3" max="3" width="1.83203125" style="1130" customWidth="1"/>
    <col min="4" max="4" width="23.1640625" style="1130" customWidth="1"/>
    <col min="5" max="5" width="14.33203125" style="1130" customWidth="1"/>
    <col min="6" max="6" width="1.6640625" style="1130" customWidth="1"/>
    <col min="7" max="7" width="56.83203125" style="1130" customWidth="1"/>
    <col min="8" max="8" width="2.83203125" style="1130" customWidth="1"/>
    <col min="9" max="9" width="8.33203125" style="1130" customWidth="1"/>
    <col min="10" max="10" width="10.1640625" style="1130" customWidth="1"/>
    <col min="11" max="14" width="9.33203125" style="1130" customWidth="1"/>
    <col min="15" max="15" width="3.5" style="1130" customWidth="1"/>
    <col min="16" max="16" width="18.33203125" style="1130" customWidth="1"/>
    <col min="17" max="17" width="20.6640625" style="1130" customWidth="1"/>
    <col min="18" max="18" width="1.83203125" style="1130" customWidth="1"/>
    <col min="19" max="16384" width="9.33203125" style="1130"/>
  </cols>
  <sheetData>
    <row r="1" spans="1:34" ht="22.5" customHeight="1">
      <c r="B1" s="1130" t="s">
        <v>896</v>
      </c>
    </row>
    <row r="2" spans="1:34" ht="12" thickBot="1">
      <c r="A2" s="1130" t="s">
        <v>897</v>
      </c>
      <c r="I2" s="1150" t="b">
        <v>1</v>
      </c>
      <c r="J2" s="1130" t="b">
        <v>1</v>
      </c>
      <c r="K2" s="1130" t="b">
        <v>1</v>
      </c>
      <c r="L2" s="1130" t="b">
        <v>1</v>
      </c>
      <c r="M2" s="1130" t="b">
        <v>1</v>
      </c>
      <c r="N2" s="1130" t="b">
        <v>1</v>
      </c>
      <c r="O2" s="1130" t="b">
        <v>1</v>
      </c>
    </row>
    <row r="3" spans="1:34" s="1147" customFormat="1" ht="17.25" customHeight="1" thickBot="1">
      <c r="C3" s="1339" t="str">
        <f>xxDashboard</f>
        <v>Revenues ($M) 4411   Operating Margin 19%   Cash OI ($M) 940   ESAT 63   CSAT 63   FTEs 0</v>
      </c>
      <c r="D3" s="1340"/>
      <c r="E3" s="1340"/>
      <c r="F3" s="1340"/>
      <c r="G3" s="1340"/>
      <c r="H3" s="1340"/>
      <c r="I3" s="1340"/>
      <c r="J3" s="1340"/>
      <c r="K3" s="1340"/>
      <c r="L3" s="1340"/>
      <c r="M3" s="1340"/>
      <c r="N3" s="1340"/>
      <c r="O3" s="1340"/>
      <c r="P3" s="1340"/>
      <c r="Q3" s="1340"/>
      <c r="R3" s="1341"/>
    </row>
    <row r="4" spans="1:34" ht="12" thickBot="1"/>
    <row r="5" spans="1:34" ht="111.75" customHeight="1">
      <c r="C5" s="1201"/>
      <c r="D5" s="1244"/>
      <c r="E5" s="1244"/>
      <c r="F5" s="1244"/>
      <c r="G5" s="1244" t="b">
        <f>IF(xxYear=1,IF(INDEX(capInitCheckYr1,xxIndexTeam)&gt;3,"Only 3 Initiatives can be selected each round",""),IF(xxYear=2,IF(INDEX(capInitCheckYr2,xxIndexTeam)&gt;3,"Only 3 Initiatives can be selected each round",""),IF(xxYear=3,IF(INDEX(capInitCheckYr3,xxIndexTeam)&gt;3,"Only 3 Initiatives can be selected each round",""))))</f>
        <v>0</v>
      </c>
      <c r="H5" s="1244"/>
      <c r="I5" s="1244"/>
      <c r="J5" s="1244"/>
      <c r="K5" s="1244"/>
      <c r="L5" s="1244"/>
      <c r="M5" s="1244"/>
      <c r="N5" s="1244"/>
      <c r="O5" s="1244"/>
      <c r="P5" s="1244"/>
      <c r="Q5" s="1244"/>
      <c r="R5" s="1146" t="str">
        <f>INDEX(decTeamName,xxIndexTeam)</f>
        <v>IIC</v>
      </c>
    </row>
    <row r="6" spans="1:34" ht="14.25" customHeight="1">
      <c r="C6" s="922"/>
      <c r="D6" s="166"/>
      <c r="E6" s="166"/>
      <c r="F6" s="166"/>
      <c r="G6" s="166"/>
      <c r="H6" s="166"/>
      <c r="I6" s="166"/>
      <c r="J6" s="166"/>
      <c r="K6" s="166" t="s">
        <v>1272</v>
      </c>
      <c r="L6" s="166"/>
      <c r="M6" s="166"/>
      <c r="N6" s="166"/>
      <c r="O6" s="166"/>
      <c r="P6" s="166"/>
      <c r="Q6" s="166"/>
      <c r="R6" s="923"/>
    </row>
    <row r="7" spans="1:34" ht="14.25" customHeight="1" thickBot="1">
      <c r="C7" s="922"/>
      <c r="D7" s="166"/>
      <c r="E7" s="824" t="s">
        <v>1499</v>
      </c>
      <c r="F7" s="166"/>
      <c r="G7" s="939">
        <v>195000</v>
      </c>
      <c r="H7" s="166"/>
      <c r="I7" s="166"/>
      <c r="J7" s="166"/>
      <c r="K7" s="166"/>
      <c r="L7" s="166"/>
      <c r="M7" s="166"/>
      <c r="N7" s="166"/>
      <c r="O7" s="166"/>
      <c r="P7" s="166"/>
      <c r="Q7" s="166"/>
      <c r="R7" s="923"/>
    </row>
    <row r="8" spans="1:34" ht="4.5" customHeight="1">
      <c r="C8" s="922"/>
      <c r="D8" s="166"/>
      <c r="E8" s="608"/>
      <c r="F8" s="166"/>
      <c r="G8" s="166"/>
      <c r="H8" s="166"/>
      <c r="I8" s="166"/>
      <c r="J8" s="166"/>
      <c r="K8" s="166"/>
      <c r="L8" s="166"/>
      <c r="M8" s="166"/>
      <c r="N8" s="166"/>
      <c r="O8" s="166"/>
      <c r="P8" s="166"/>
      <c r="Q8" s="166"/>
      <c r="R8" s="923"/>
    </row>
    <row r="9" spans="1:34" ht="14.25" customHeight="1">
      <c r="C9" s="922"/>
      <c r="D9" s="166"/>
      <c r="E9" s="608" t="s">
        <v>1741</v>
      </c>
      <c r="F9" s="166"/>
      <c r="G9" s="924">
        <f>INDEX(decMarketing,xxIndexTeam)/INDEX(obalMkt,xxIndexTeam)-1</f>
        <v>0</v>
      </c>
      <c r="H9" s="166"/>
      <c r="I9" s="166"/>
      <c r="J9" s="166"/>
      <c r="K9" s="166"/>
      <c r="L9" s="166"/>
      <c r="M9" s="166"/>
      <c r="N9" s="166"/>
      <c r="O9" s="166"/>
      <c r="P9" s="166"/>
      <c r="Q9" s="166"/>
      <c r="R9" s="923"/>
      <c r="AH9" s="1181" t="s">
        <v>2550</v>
      </c>
    </row>
    <row r="10" spans="1:34" ht="14.25" customHeight="1">
      <c r="C10" s="922"/>
      <c r="D10" s="1094" t="s">
        <v>453</v>
      </c>
      <c r="E10" s="1094" t="s">
        <v>3329</v>
      </c>
      <c r="F10" s="925"/>
      <c r="G10" s="804" t="s">
        <v>428</v>
      </c>
      <c r="H10" s="166"/>
      <c r="I10" s="166" t="s">
        <v>1267</v>
      </c>
      <c r="J10" s="166" t="s">
        <v>727</v>
      </c>
      <c r="K10" s="166" t="s">
        <v>728</v>
      </c>
      <c r="L10" s="166" t="s">
        <v>729</v>
      </c>
      <c r="M10" s="166" t="s">
        <v>730</v>
      </c>
      <c r="N10" s="166" t="s">
        <v>727</v>
      </c>
      <c r="O10" s="166"/>
      <c r="P10" s="804" t="s">
        <v>104</v>
      </c>
      <c r="Q10" s="925"/>
      <c r="R10" s="923"/>
    </row>
    <row r="11" spans="1:34" ht="14.25" customHeight="1" thickBot="1">
      <c r="C11" s="922"/>
      <c r="D11" s="166"/>
      <c r="E11" s="608"/>
      <c r="F11" s="166"/>
      <c r="G11" s="166"/>
      <c r="H11" s="166"/>
      <c r="I11" s="166"/>
      <c r="J11" s="166"/>
      <c r="K11" s="166"/>
      <c r="L11" s="166"/>
      <c r="M11" s="166"/>
      <c r="N11" s="166"/>
      <c r="O11" s="166"/>
      <c r="P11" s="166"/>
      <c r="Q11" s="166"/>
      <c r="R11" s="923"/>
    </row>
    <row r="12" spans="1:34" ht="14.25" customHeight="1" thickBot="1">
      <c r="C12" s="922"/>
      <c r="D12" s="1095">
        <v>1</v>
      </c>
      <c r="E12" s="608"/>
      <c r="F12" s="166"/>
      <c r="G12" s="501" t="str">
        <f>adjSpecProgName1</f>
        <v>Selling Value in Transform</v>
      </c>
      <c r="H12" s="608"/>
      <c r="I12" s="608">
        <v>1</v>
      </c>
      <c r="J12" s="926">
        <f>IF(tlInputSpecProg1Chosen=TRUE,toolPrograms!I12,0)</f>
        <v>0</v>
      </c>
      <c r="K12" s="608" t="b">
        <v>0</v>
      </c>
      <c r="L12" s="608" t="b">
        <v>0</v>
      </c>
      <c r="M12" s="608" t="b">
        <v>1</v>
      </c>
      <c r="N12" s="940">
        <f>IF(K12*L12*M12=1,J12,0)</f>
        <v>0</v>
      </c>
      <c r="O12" s="608"/>
      <c r="P12" s="1345" t="str">
        <f>IF(INDEX(obalSpecProg1Year,xxIndexTeam)&gt;0,"Initiative Selected in Year "&amp;INDEX(obalSpecProg1Year,xxIndexTeam),IF(J12=0,"","OK"))</f>
        <v/>
      </c>
      <c r="Q12" s="1346"/>
      <c r="R12" s="923"/>
    </row>
    <row r="13" spans="1:34" ht="6" customHeight="1" thickBot="1">
      <c r="C13" s="922"/>
      <c r="D13" s="1095"/>
      <c r="E13" s="608"/>
      <c r="F13" s="166"/>
      <c r="G13" s="608"/>
      <c r="H13" s="608"/>
      <c r="I13" s="608"/>
      <c r="J13" s="608"/>
      <c r="K13" s="608"/>
      <c r="L13" s="608"/>
      <c r="M13" s="608"/>
      <c r="N13" s="608"/>
      <c r="O13" s="608"/>
      <c r="P13" s="608"/>
      <c r="Q13" s="608"/>
      <c r="R13" s="923"/>
    </row>
    <row r="14" spans="1:34" ht="14.25" customHeight="1" thickBot="1">
      <c r="C14" s="922"/>
      <c r="D14" s="1095">
        <v>2</v>
      </c>
      <c r="E14" s="608"/>
      <c r="F14" s="166"/>
      <c r="G14" s="501" t="str">
        <f>adjSpecProgName2</f>
        <v>Coordination and Cross-Selling Efforts</v>
      </c>
      <c r="H14" s="608"/>
      <c r="I14" s="608">
        <v>2</v>
      </c>
      <c r="J14" s="926">
        <f>IF(tlInputSpecProg2Chosen=TRUE,toolPrograms!I14,0)</f>
        <v>0</v>
      </c>
      <c r="K14" s="608" t="b">
        <v>0</v>
      </c>
      <c r="L14" s="608" t="b">
        <v>0</v>
      </c>
      <c r="M14" s="608" t="b">
        <v>0</v>
      </c>
      <c r="N14" s="940">
        <f>IF(K14*L14*M14=1,J14,0)</f>
        <v>0</v>
      </c>
      <c r="O14" s="608"/>
      <c r="P14" s="1345" t="str">
        <f>IF(INDEX(obalSpecProg2Year,xxIndexTeam)&gt;0,"Initiative Selected in Year "&amp;INDEX(obalSpecProg2Year,xxIndexTeam),IF(J14=0,"","OK"))</f>
        <v/>
      </c>
      <c r="Q14" s="1346"/>
      <c r="R14" s="923"/>
    </row>
    <row r="15" spans="1:34" ht="6" customHeight="1" thickBot="1">
      <c r="C15" s="922"/>
      <c r="D15" s="1095"/>
      <c r="E15" s="608"/>
      <c r="F15" s="166"/>
      <c r="G15" s="608"/>
      <c r="H15" s="608"/>
      <c r="I15" s="608"/>
      <c r="J15" s="608"/>
      <c r="K15" s="608"/>
      <c r="L15" s="608"/>
      <c r="M15" s="608"/>
      <c r="N15" s="608"/>
      <c r="O15" s="608"/>
      <c r="P15" s="608"/>
      <c r="Q15" s="608"/>
      <c r="R15" s="923"/>
    </row>
    <row r="16" spans="1:34" ht="14.25" customHeight="1" thickBot="1">
      <c r="C16" s="922"/>
      <c r="D16" s="1095">
        <v>3</v>
      </c>
      <c r="E16" s="608"/>
      <c r="F16" s="166"/>
      <c r="G16" s="501" t="str">
        <f>adjSpecProgName3</f>
        <v>Acquisition Integration</v>
      </c>
      <c r="H16" s="608"/>
      <c r="I16" s="608">
        <v>3</v>
      </c>
      <c r="J16" s="926">
        <f>IF(tlInputSpecProg3Chosen=TRUE,toolPrograms!I16,0)</f>
        <v>0</v>
      </c>
      <c r="K16" s="608" t="b">
        <v>0</v>
      </c>
      <c r="L16" s="608" t="b">
        <v>0</v>
      </c>
      <c r="M16" s="608" t="b">
        <v>0</v>
      </c>
      <c r="N16" s="940">
        <f>IF(K16*L16*M16=1,J16,0)</f>
        <v>0</v>
      </c>
      <c r="O16" s="608"/>
      <c r="P16" s="1345" t="str">
        <f>IF(INDEX(obalSpecProg3Year,xxIndexTeam)&gt;0,"Initiative Selected in Year "&amp;INDEX(obalSpecProg3Year,xxIndexTeam),IF(J16=0,"","OK"))</f>
        <v/>
      </c>
      <c r="Q16" s="1346"/>
      <c r="R16" s="923"/>
    </row>
    <row r="17" spans="3:18" ht="6" customHeight="1" thickBot="1">
      <c r="C17" s="922"/>
      <c r="D17" s="166"/>
      <c r="E17" s="608"/>
      <c r="F17" s="166"/>
      <c r="G17" s="608"/>
      <c r="H17" s="608"/>
      <c r="I17" s="608"/>
      <c r="J17" s="608"/>
      <c r="K17" s="608"/>
      <c r="L17" s="608"/>
      <c r="M17" s="608"/>
      <c r="N17" s="608"/>
      <c r="O17" s="608"/>
      <c r="P17" s="608"/>
      <c r="Q17" s="608"/>
      <c r="R17" s="923"/>
    </row>
    <row r="18" spans="3:18" ht="14.25" customHeight="1" thickBot="1">
      <c r="C18" s="922"/>
      <c r="D18" s="1095">
        <v>4</v>
      </c>
      <c r="E18" s="608"/>
      <c r="F18" s="166"/>
      <c r="G18" s="501" t="str">
        <f>adjSpecProgName4</f>
        <v>Deploy Single Billing System</v>
      </c>
      <c r="H18" s="608"/>
      <c r="I18" s="608">
        <v>4</v>
      </c>
      <c r="J18" s="926">
        <f>IF(tlInputSpecProg4Chosen=TRUE,toolPrograms!I18,0)</f>
        <v>0</v>
      </c>
      <c r="K18" s="608" t="b">
        <v>0</v>
      </c>
      <c r="L18" s="608" t="b">
        <v>0</v>
      </c>
      <c r="M18" s="608" t="b">
        <v>0</v>
      </c>
      <c r="N18" s="940">
        <f>IF(K18*L18*M18=1,J18,0)</f>
        <v>0</v>
      </c>
      <c r="O18" s="608"/>
      <c r="P18" s="1345" t="str">
        <f>IF(INDEX(obalSpecProg4Year,xxIndexTeam)&gt;0,"Initiative Selected in Year "&amp;INDEX(obalSpecProg4Year,xxIndexTeam),IF(J18=0,"","OK"))</f>
        <v/>
      </c>
      <c r="Q18" s="1346"/>
      <c r="R18" s="923"/>
    </row>
    <row r="19" spans="3:18" ht="6" customHeight="1" thickBot="1">
      <c r="C19" s="922"/>
      <c r="D19" s="1095"/>
      <c r="E19" s="608"/>
      <c r="F19" s="166"/>
      <c r="G19" s="608"/>
      <c r="H19" s="608"/>
      <c r="I19" s="608"/>
      <c r="J19" s="608"/>
      <c r="K19" s="608"/>
      <c r="L19" s="608"/>
      <c r="M19" s="608"/>
      <c r="N19" s="608"/>
      <c r="O19" s="608"/>
      <c r="P19" s="608"/>
      <c r="Q19" s="608"/>
      <c r="R19" s="923"/>
    </row>
    <row r="20" spans="3:18" ht="14.25" customHeight="1" thickBot="1">
      <c r="C20" s="922"/>
      <c r="D20" s="1095">
        <v>5</v>
      </c>
      <c r="E20" s="608"/>
      <c r="F20" s="166"/>
      <c r="G20" s="501" t="str">
        <f>adjSpecProgName5</f>
        <v>Product Development - Hiring our Customers</v>
      </c>
      <c r="H20" s="608"/>
      <c r="I20" s="608">
        <v>5</v>
      </c>
      <c r="J20" s="926">
        <f>IF(tlInputSpecProg5Chosen=TRUE,toolPrograms!I20,0)</f>
        <v>0</v>
      </c>
      <c r="K20" s="608" t="b">
        <v>0</v>
      </c>
      <c r="L20" s="608" t="b">
        <v>0</v>
      </c>
      <c r="M20" s="608" t="b">
        <v>0</v>
      </c>
      <c r="N20" s="940">
        <f>IF(K20*L20*M20=1,J20,0)</f>
        <v>0</v>
      </c>
      <c r="O20" s="608"/>
      <c r="P20" s="1345" t="str">
        <f>IF(INDEX(obalSpecProg5Year,xxIndexTeam)&gt;0,"Initiative Selected in Year "&amp;INDEX(obalSpecProg5Year,xxIndexTeam),IF(J20=0,"","OK"))</f>
        <v/>
      </c>
      <c r="Q20" s="1346"/>
      <c r="R20" s="923"/>
    </row>
    <row r="21" spans="3:18" ht="6" customHeight="1" thickBot="1">
      <c r="C21" s="922"/>
      <c r="D21" s="1095"/>
      <c r="E21" s="608"/>
      <c r="F21" s="166"/>
      <c r="G21" s="608"/>
      <c r="H21" s="608"/>
      <c r="I21" s="608"/>
      <c r="J21" s="608"/>
      <c r="K21" s="608"/>
      <c r="L21" s="608"/>
      <c r="M21" s="608"/>
      <c r="N21" s="608"/>
      <c r="O21" s="608"/>
      <c r="P21" s="608"/>
      <c r="Q21" s="608"/>
      <c r="R21" s="923"/>
    </row>
    <row r="22" spans="3:18" ht="14.25" customHeight="1" thickBot="1">
      <c r="C22" s="922"/>
      <c r="D22" s="1095">
        <v>6</v>
      </c>
      <c r="E22" s="608"/>
      <c r="F22" s="166"/>
      <c r="G22" s="501" t="str">
        <f>adjSpecProgName6</f>
        <v>Demarcated Tiers</v>
      </c>
      <c r="H22" s="608"/>
      <c r="I22" s="608">
        <v>6</v>
      </c>
      <c r="J22" s="926">
        <f>IF(tlInputSpecProg6Chosen=TRUE,toolPrograms!I22,0)</f>
        <v>0</v>
      </c>
      <c r="K22" s="608" t="b">
        <v>0</v>
      </c>
      <c r="L22" s="608" t="b">
        <v>0</v>
      </c>
      <c r="M22" s="608" t="b">
        <v>0</v>
      </c>
      <c r="N22" s="940">
        <f>IF(K22*L22*M22=1,J22,0)</f>
        <v>0</v>
      </c>
      <c r="O22" s="608"/>
      <c r="P22" s="1345" t="str">
        <f>IF(INDEX(obalSpecProg6Year,xxIndexTeam)&gt;0,"Initiative Selected in Year "&amp;INDEX(obalSpecProg6Year,xxIndexTeam),IF(J22=0,"","OK"))</f>
        <v/>
      </c>
      <c r="Q22" s="1346"/>
      <c r="R22" s="923"/>
    </row>
    <row r="23" spans="3:18" ht="6" customHeight="1" thickBot="1">
      <c r="C23" s="922"/>
      <c r="D23" s="1095"/>
      <c r="E23" s="608"/>
      <c r="F23" s="166"/>
      <c r="G23" s="608"/>
      <c r="H23" s="608"/>
      <c r="I23" s="608"/>
      <c r="J23" s="608"/>
      <c r="K23" s="608"/>
      <c r="L23" s="608"/>
      <c r="M23" s="608"/>
      <c r="N23" s="608"/>
      <c r="O23" s="608"/>
      <c r="P23" s="608"/>
      <c r="Q23" s="608"/>
      <c r="R23" s="923"/>
    </row>
    <row r="24" spans="3:18" ht="14.25" customHeight="1" thickBot="1">
      <c r="C24" s="922"/>
      <c r="D24" s="1095">
        <v>7</v>
      </c>
      <c r="E24" s="608"/>
      <c r="F24" s="166"/>
      <c r="G24" s="501" t="str">
        <f>adjSpecProgName7</f>
        <v>Strategy Execution Meetings and Breaking Down Siloes</v>
      </c>
      <c r="H24" s="608"/>
      <c r="I24" s="608">
        <v>7</v>
      </c>
      <c r="J24" s="926">
        <f>IF(tlInputSpecProg7Chosen=TRUE,toolPrograms!I24,0)</f>
        <v>0</v>
      </c>
      <c r="K24" s="608" t="b">
        <v>0</v>
      </c>
      <c r="L24" s="608" t="b">
        <v>0</v>
      </c>
      <c r="M24" s="608" t="b">
        <v>0</v>
      </c>
      <c r="N24" s="940">
        <f>IF(K24*L24*M24=1,J24,0)</f>
        <v>0</v>
      </c>
      <c r="O24" s="608"/>
      <c r="P24" s="1345" t="str">
        <f>IF(INDEX(obalSpecProg7Year,xxIndexTeam)&gt;0,"Initiative Selected in Year "&amp;INDEX(obalSpecProg7Year,xxIndexTeam),IF(J24=0,"","OK"))</f>
        <v/>
      </c>
      <c r="Q24" s="1346"/>
      <c r="R24" s="923"/>
    </row>
    <row r="25" spans="3:18" ht="6" customHeight="1" thickBot="1">
      <c r="C25" s="922"/>
      <c r="D25" s="1095"/>
      <c r="E25" s="608"/>
      <c r="F25" s="166"/>
      <c r="G25" s="608"/>
      <c r="H25" s="608"/>
      <c r="I25" s="608"/>
      <c r="J25" s="608"/>
      <c r="K25" s="608"/>
      <c r="L25" s="608"/>
      <c r="M25" s="608"/>
      <c r="N25" s="608"/>
      <c r="O25" s="608"/>
      <c r="P25" s="608"/>
      <c r="Q25" s="608"/>
      <c r="R25" s="923"/>
    </row>
    <row r="26" spans="3:18" ht="14.25" customHeight="1" thickBot="1">
      <c r="C26" s="922"/>
      <c r="D26" s="1095">
        <v>8</v>
      </c>
      <c r="E26" s="608"/>
      <c r="F26" s="166"/>
      <c r="G26" s="501" t="str">
        <f>adjSpecProgName8</f>
        <v>Divest BUs</v>
      </c>
      <c r="H26" s="608"/>
      <c r="I26" s="608">
        <v>8</v>
      </c>
      <c r="J26" s="926">
        <f>IF(tlInputSpecProg8Chosen=TRUE,toolPrograms!I26,0)</f>
        <v>0</v>
      </c>
      <c r="K26" s="608" t="b">
        <v>0</v>
      </c>
      <c r="L26" s="608" t="b">
        <v>0</v>
      </c>
      <c r="M26" s="608" t="b">
        <v>0</v>
      </c>
      <c r="N26" s="940">
        <f>IF(K26*L26*M26=1,J26,0)</f>
        <v>0</v>
      </c>
      <c r="O26" s="608"/>
      <c r="P26" s="1345" t="str">
        <f>IF(INDEX(obalSpecProg8Year,xxIndexTeam)&gt;0,"Initiative Selected in Year "&amp;INDEX(obalSpecProg8Year,xxIndexTeam),IF(J26=0,"","OK"))</f>
        <v/>
      </c>
      <c r="Q26" s="1346"/>
      <c r="R26" s="923"/>
    </row>
    <row r="27" spans="3:18" ht="6" customHeight="1" thickBot="1">
      <c r="C27" s="922"/>
      <c r="D27" s="166"/>
      <c r="E27" s="608"/>
      <c r="F27" s="166"/>
      <c r="G27" s="166"/>
      <c r="H27" s="166"/>
      <c r="I27" s="166"/>
      <c r="J27" s="166"/>
      <c r="K27" s="166"/>
      <c r="L27" s="166"/>
      <c r="M27" s="166"/>
      <c r="N27" s="166"/>
      <c r="O27" s="166"/>
      <c r="P27" s="166"/>
      <c r="Q27" s="166"/>
      <c r="R27" s="923"/>
    </row>
    <row r="28" spans="3:18" ht="14.25" customHeight="1" thickBot="1">
      <c r="C28" s="922"/>
      <c r="D28" s="1095">
        <v>9</v>
      </c>
      <c r="E28" s="608"/>
      <c r="F28" s="166"/>
      <c r="G28" s="501" t="str">
        <f>adjSpecProgName9</f>
        <v>Thoughtful Workforce Management</v>
      </c>
      <c r="H28" s="608"/>
      <c r="I28" s="608">
        <v>9</v>
      </c>
      <c r="J28" s="926">
        <f>IF(tlInputSpecProg9Chosen=TRUE,toolPrograms!I28,0)</f>
        <v>0</v>
      </c>
      <c r="K28" s="608" t="b">
        <v>0</v>
      </c>
      <c r="L28" s="608" t="b">
        <v>0</v>
      </c>
      <c r="M28" s="608" t="b">
        <v>0</v>
      </c>
      <c r="N28" s="166"/>
      <c r="O28" s="608"/>
      <c r="P28" s="1345" t="str">
        <f>IF(INDEX(obalSpecProg9Year,xxIndexTeam)&gt;0,"Initiative Selected in Year "&amp;INDEX(obalSpecProg9Year,xxIndexTeam),IF(J28=0,"","OK"))</f>
        <v/>
      </c>
      <c r="Q28" s="1346"/>
      <c r="R28" s="923"/>
    </row>
    <row r="29" spans="3:18" ht="6" customHeight="1" thickBot="1">
      <c r="C29" s="922"/>
      <c r="D29" s="1095"/>
      <c r="E29" s="608"/>
      <c r="F29" s="166"/>
      <c r="G29" s="608"/>
      <c r="H29" s="608"/>
      <c r="I29" s="608"/>
      <c r="J29" s="608"/>
      <c r="K29" s="608"/>
      <c r="L29" s="608"/>
      <c r="M29" s="608"/>
      <c r="N29" s="166"/>
      <c r="O29" s="608"/>
      <c r="P29" s="608"/>
      <c r="Q29" s="608"/>
      <c r="R29" s="923"/>
    </row>
    <row r="30" spans="3:18" ht="14.25" customHeight="1" thickBot="1">
      <c r="C30" s="922"/>
      <c r="D30" s="1095">
        <v>10</v>
      </c>
      <c r="E30" s="608"/>
      <c r="F30" s="166"/>
      <c r="G30" s="501" t="str">
        <f>adjSpecProgName10</f>
        <v>Emphasize Innovation</v>
      </c>
      <c r="H30" s="608"/>
      <c r="I30" s="608">
        <v>10</v>
      </c>
      <c r="J30" s="926">
        <f>IF(tlInputSpecProg10Chosen=TRUE,toolPrograms!I30,0)</f>
        <v>0</v>
      </c>
      <c r="K30" s="608" t="b">
        <v>0</v>
      </c>
      <c r="L30" s="608" t="b">
        <v>0</v>
      </c>
      <c r="M30" s="608" t="b">
        <v>0</v>
      </c>
      <c r="N30" s="166"/>
      <c r="O30" s="608"/>
      <c r="P30" s="1345" t="str">
        <f>IF(INDEX(obalSpecProg10Year,xxIndexTeam)&gt;0,"Initiative Selected in Year "&amp;INDEX(obalSpecProg10Year,xxIndexTeam),IF(J30=0,"","OK"))</f>
        <v/>
      </c>
      <c r="Q30" s="1346"/>
      <c r="R30" s="923"/>
    </row>
    <row r="31" spans="3:18" ht="6" customHeight="1" thickBot="1">
      <c r="C31" s="922"/>
      <c r="D31" s="1095"/>
      <c r="E31" s="608"/>
      <c r="F31" s="166"/>
      <c r="G31" s="608"/>
      <c r="H31" s="608"/>
      <c r="I31" s="608"/>
      <c r="J31" s="608"/>
      <c r="K31" s="608"/>
      <c r="L31" s="608"/>
      <c r="M31" s="608"/>
      <c r="N31" s="166"/>
      <c r="O31" s="608"/>
      <c r="P31" s="608"/>
      <c r="Q31" s="608"/>
      <c r="R31" s="923"/>
    </row>
    <row r="32" spans="3:18" ht="14.25" customHeight="1" thickBot="1">
      <c r="C32" s="922"/>
      <c r="D32" s="1095">
        <v>11</v>
      </c>
      <c r="E32" s="608"/>
      <c r="F32" s="166"/>
      <c r="G32" s="501" t="str">
        <f>adjSpecProgName11</f>
        <v>Expand Cultural Understanding</v>
      </c>
      <c r="H32" s="608"/>
      <c r="I32" s="608">
        <v>11</v>
      </c>
      <c r="J32" s="926">
        <f>IF(tlInputSpecProg11Chosen=TRUE,toolPrograms!I32,0)</f>
        <v>0</v>
      </c>
      <c r="K32" s="608" t="b">
        <v>0</v>
      </c>
      <c r="L32" s="608" t="b">
        <v>0</v>
      </c>
      <c r="M32" s="608" t="b">
        <v>0</v>
      </c>
      <c r="N32" s="166"/>
      <c r="O32" s="608"/>
      <c r="P32" s="1345" t="str">
        <f>IF(INDEX(obalSpecProg11Year,xxIndexTeam)&gt;0,"Initiative Selected in Year "&amp;INDEX(obalSpecProg11Year,xxIndexTeam),IF(J32=0,"","OK"))</f>
        <v/>
      </c>
      <c r="Q32" s="1346"/>
      <c r="R32" s="923"/>
    </row>
    <row r="33" spans="3:18" ht="6" customHeight="1" thickBot="1">
      <c r="C33" s="922"/>
      <c r="D33" s="166"/>
      <c r="E33" s="608"/>
      <c r="F33" s="166"/>
      <c r="G33" s="608"/>
      <c r="H33" s="608"/>
      <c r="I33" s="608"/>
      <c r="J33" s="608"/>
      <c r="K33" s="608"/>
      <c r="L33" s="608"/>
      <c r="M33" s="608"/>
      <c r="N33" s="166"/>
      <c r="O33" s="608"/>
      <c r="P33" s="608"/>
      <c r="Q33" s="608"/>
      <c r="R33" s="923"/>
    </row>
    <row r="34" spans="3:18" ht="14.25" customHeight="1" thickBot="1">
      <c r="C34" s="922"/>
      <c r="D34" s="1095">
        <v>12</v>
      </c>
      <c r="E34" s="608"/>
      <c r="F34" s="166"/>
      <c r="G34" s="501" t="str">
        <f>adjSpecProgName12</f>
        <v>Leverage Third Party for Data Centers</v>
      </c>
      <c r="H34" s="608"/>
      <c r="I34" s="608">
        <v>12</v>
      </c>
      <c r="J34" s="926">
        <f>IF(tlInputSpecProg12Chosen=TRUE,toolPrograms!I34,0)</f>
        <v>0</v>
      </c>
      <c r="K34" s="608" t="b">
        <v>0</v>
      </c>
      <c r="L34" s="608" t="b">
        <v>0</v>
      </c>
      <c r="M34" s="608" t="b">
        <v>0</v>
      </c>
      <c r="N34" s="166"/>
      <c r="O34" s="608"/>
      <c r="P34" s="1345" t="str">
        <f>IF(INDEX(obalSpecProg12Year,xxIndexTeam)&gt;0,"Initiative Selected in Year "&amp;INDEX(obalSpecProg12Year,xxIndexTeam),IF(J34=0,"","OK"))</f>
        <v/>
      </c>
      <c r="Q34" s="1346"/>
      <c r="R34" s="923"/>
    </row>
    <row r="35" spans="3:18" ht="6" customHeight="1" thickBot="1">
      <c r="C35" s="922"/>
      <c r="D35" s="1095"/>
      <c r="E35" s="608"/>
      <c r="F35" s="166"/>
      <c r="G35" s="608"/>
      <c r="H35" s="608"/>
      <c r="I35" s="608"/>
      <c r="J35" s="608"/>
      <c r="K35" s="608"/>
      <c r="L35" s="608"/>
      <c r="M35" s="608"/>
      <c r="N35" s="166"/>
      <c r="O35" s="608"/>
      <c r="P35" s="608"/>
      <c r="Q35" s="608"/>
      <c r="R35" s="923"/>
    </row>
    <row r="36" spans="3:18" ht="14.25" customHeight="1" thickBot="1">
      <c r="C36" s="922"/>
      <c r="D36" s="1095">
        <v>13</v>
      </c>
      <c r="E36" s="608"/>
      <c r="F36" s="166"/>
      <c r="G36" s="501" t="str">
        <f>adjSpecProgName13</f>
        <v>One PnL for Growth and Transform</v>
      </c>
      <c r="H36" s="608"/>
      <c r="I36" s="608">
        <v>13</v>
      </c>
      <c r="J36" s="926">
        <f>IF(tlInputSpecProg13Chosen=TRUE,toolPrograms!I36,0)</f>
        <v>0</v>
      </c>
      <c r="K36" s="608" t="b">
        <v>0</v>
      </c>
      <c r="L36" s="608" t="b">
        <v>0</v>
      </c>
      <c r="M36" s="608" t="b">
        <v>0</v>
      </c>
      <c r="N36" s="166"/>
      <c r="O36" s="608"/>
      <c r="P36" s="1345" t="str">
        <f>IF(INDEX(obalSpecProg13Year,xxIndexTeam)&gt;0,"Initiative Selected in Year "&amp;INDEX(obalSpecProg13Year,xxIndexTeam),IF(J36=0,"","OK"))</f>
        <v/>
      </c>
      <c r="Q36" s="1346"/>
      <c r="R36" s="923"/>
    </row>
    <row r="37" spans="3:18" ht="6" customHeight="1" thickBot="1">
      <c r="C37" s="922"/>
      <c r="D37" s="1095"/>
      <c r="E37" s="608"/>
      <c r="F37" s="166"/>
      <c r="G37" s="608"/>
      <c r="H37" s="608"/>
      <c r="I37" s="608"/>
      <c r="J37" s="608"/>
      <c r="K37" s="608"/>
      <c r="L37" s="608"/>
      <c r="M37" s="608"/>
      <c r="N37" s="166"/>
      <c r="O37" s="608"/>
      <c r="P37" s="608"/>
      <c r="Q37" s="608"/>
      <c r="R37" s="923"/>
    </row>
    <row r="38" spans="3:18" ht="14.25" customHeight="1" thickBot="1">
      <c r="C38" s="922"/>
      <c r="D38" s="1095">
        <v>14</v>
      </c>
      <c r="E38" s="608"/>
      <c r="F38" s="166"/>
      <c r="G38" s="501" t="str">
        <f>adjSpecProgName14</f>
        <v>Design and Manage Value Proposition Marketing</v>
      </c>
      <c r="H38" s="608"/>
      <c r="I38" s="608">
        <v>14</v>
      </c>
      <c r="J38" s="926">
        <f>IF(tlInputSpecProg14Chosen=TRUE,toolPrograms!I38,0)</f>
        <v>0</v>
      </c>
      <c r="K38" s="608" t="b">
        <v>0</v>
      </c>
      <c r="L38" s="608" t="b">
        <v>0</v>
      </c>
      <c r="M38" s="608" t="b">
        <v>0</v>
      </c>
      <c r="N38" s="166"/>
      <c r="O38" s="608"/>
      <c r="P38" s="1345" t="str">
        <f>IF(INDEX(obalSpecProg14Year,xxIndexTeam)&gt;0,"Initiative Selected in Year "&amp;INDEX(obalSpecProg14Year,xxIndexTeam),IF(J38=0,"","OK"))</f>
        <v/>
      </c>
      <c r="Q38" s="1346"/>
      <c r="R38" s="923"/>
    </row>
    <row r="39" spans="3:18" ht="6" customHeight="1" thickBot="1">
      <c r="C39" s="922"/>
      <c r="D39" s="1095"/>
      <c r="E39" s="608"/>
      <c r="F39" s="166"/>
      <c r="G39" s="608"/>
      <c r="H39" s="608"/>
      <c r="I39" s="608"/>
      <c r="J39" s="608"/>
      <c r="K39" s="608"/>
      <c r="L39" s="608"/>
      <c r="M39" s="608"/>
      <c r="N39" s="166"/>
      <c r="O39" s="608"/>
      <c r="P39" s="608"/>
      <c r="Q39" s="608"/>
      <c r="R39" s="923"/>
    </row>
    <row r="40" spans="3:18" ht="14.25" customHeight="1" thickBot="1">
      <c r="C40" s="922"/>
      <c r="D40" s="1095">
        <v>15</v>
      </c>
      <c r="E40" s="608"/>
      <c r="F40" s="166"/>
      <c r="G40" s="501" t="str">
        <f>adjSpecProgName15</f>
        <v>Services Team Development</v>
      </c>
      <c r="H40" s="608"/>
      <c r="I40" s="608">
        <v>15</v>
      </c>
      <c r="J40" s="926">
        <f>IF(tlInputSpecProg15Chosen=TRUE,toolPrograms!I40,0)</f>
        <v>0</v>
      </c>
      <c r="K40" s="608" t="b">
        <v>0</v>
      </c>
      <c r="L40" s="608" t="b">
        <v>0</v>
      </c>
      <c r="M40" s="608" t="b">
        <v>0</v>
      </c>
      <c r="N40" s="166"/>
      <c r="O40" s="608"/>
      <c r="P40" s="1345" t="str">
        <f>IF(INDEX(obalSpecProg15Year,xxIndexTeam)&gt;0,"Initiative Selected in Year "&amp;INDEX(obalSpecProg15Year,xxIndexTeam),IF(J40=0,"","OK"))</f>
        <v/>
      </c>
      <c r="Q40" s="1346"/>
      <c r="R40" s="923"/>
    </row>
    <row r="41" spans="3:18" ht="6" customHeight="1" thickBot="1">
      <c r="C41" s="922"/>
      <c r="D41" s="1095"/>
      <c r="E41" s="608"/>
      <c r="F41" s="166"/>
      <c r="G41" s="608"/>
      <c r="H41" s="608"/>
      <c r="I41" s="608"/>
      <c r="J41" s="608"/>
      <c r="K41" s="608"/>
      <c r="L41" s="608"/>
      <c r="M41" s="608"/>
      <c r="N41" s="166"/>
      <c r="O41" s="608"/>
      <c r="P41" s="608"/>
      <c r="Q41" s="608"/>
      <c r="R41" s="923"/>
    </row>
    <row r="42" spans="3:18" ht="14.25" customHeight="1" thickBot="1">
      <c r="C42" s="922"/>
      <c r="D42" s="1095">
        <v>16</v>
      </c>
      <c r="E42" s="608"/>
      <c r="F42" s="166"/>
      <c r="G42" s="501" t="str">
        <f>adjSpecProgName16</f>
        <v>Platform Development</v>
      </c>
      <c r="H42" s="608"/>
      <c r="I42" s="608">
        <v>16</v>
      </c>
      <c r="J42" s="926">
        <f>IF(tlInputSpecProg16Chosen=TRUE,toolPrograms!I42,0)</f>
        <v>0</v>
      </c>
      <c r="K42" s="608" t="b">
        <v>0</v>
      </c>
      <c r="L42" s="608" t="b">
        <v>0</v>
      </c>
      <c r="M42" s="608" t="b">
        <v>0</v>
      </c>
      <c r="N42" s="166"/>
      <c r="O42" s="608"/>
      <c r="P42" s="1345" t="str">
        <f>IF(INDEX(obalSpecProg16Year,xxIndexTeam)&gt;0,"Initiative Selected in Year "&amp;INDEX(obalSpecProg16Year,xxIndexTeam),IF(J42=0,"","OK"))</f>
        <v/>
      </c>
      <c r="Q42" s="1346"/>
      <c r="R42" s="923"/>
    </row>
    <row r="43" spans="3:18" ht="6" customHeight="1" thickBot="1">
      <c r="C43" s="922"/>
      <c r="D43" s="1095"/>
      <c r="E43" s="608"/>
      <c r="F43" s="166"/>
      <c r="G43" s="608"/>
      <c r="H43" s="608"/>
      <c r="I43" s="608"/>
      <c r="J43" s="608"/>
      <c r="K43" s="608"/>
      <c r="L43" s="608"/>
      <c r="M43" s="608"/>
      <c r="N43" s="166"/>
      <c r="O43" s="608"/>
      <c r="P43" s="608"/>
      <c r="Q43" s="608"/>
      <c r="R43" s="923"/>
    </row>
    <row r="44" spans="3:18" ht="14.25" customHeight="1" thickBot="1">
      <c r="C44" s="922"/>
      <c r="D44" s="1095">
        <v>17</v>
      </c>
      <c r="E44" s="608"/>
      <c r="F44" s="166"/>
      <c r="G44" s="501" t="str">
        <f>adjSpecProgName17</f>
        <v>Invest in E-Commerce</v>
      </c>
      <c r="H44" s="608"/>
      <c r="I44" s="608">
        <v>17</v>
      </c>
      <c r="J44" s="926">
        <f>IF(tlInputSpecProg17Chosen=TRUE,toolPrograms!I44,0)</f>
        <v>0</v>
      </c>
      <c r="K44" s="608" t="b">
        <v>0</v>
      </c>
      <c r="L44" s="608" t="b">
        <v>0</v>
      </c>
      <c r="M44" s="608" t="b">
        <v>0</v>
      </c>
      <c r="N44" s="166"/>
      <c r="O44" s="608"/>
      <c r="P44" s="1345" t="str">
        <f>IF(INDEX(obalSpecProg17Year,xxIndexTeam)&gt;0,"Initiative Selected in Year "&amp;INDEX(obalSpecProg17Year,xxIndexTeam),IF(J44=0,"","OK"))</f>
        <v/>
      </c>
      <c r="Q44" s="1346"/>
      <c r="R44" s="923"/>
    </row>
    <row r="45" spans="3:18" ht="6" customHeight="1" thickBot="1">
      <c r="C45" s="922"/>
      <c r="D45" s="1095"/>
      <c r="E45" s="608"/>
      <c r="F45" s="166"/>
      <c r="G45" s="608"/>
      <c r="H45" s="608"/>
      <c r="I45" s="608"/>
      <c r="J45" s="608"/>
      <c r="K45" s="608"/>
      <c r="L45" s="608"/>
      <c r="M45" s="608"/>
      <c r="N45" s="166"/>
      <c r="O45" s="608"/>
      <c r="P45" s="608"/>
      <c r="Q45" s="608"/>
      <c r="R45" s="923"/>
    </row>
    <row r="46" spans="3:18" ht="14.25" customHeight="1" thickBot="1">
      <c r="C46" s="922"/>
      <c r="D46" s="1095">
        <v>18</v>
      </c>
      <c r="E46" s="608"/>
      <c r="F46" s="166"/>
      <c r="G46" s="501" t="str">
        <f>adjSpecProgName18</f>
        <v>Invest in Field Sales Force</v>
      </c>
      <c r="H46" s="608"/>
      <c r="I46" s="608">
        <v>18</v>
      </c>
      <c r="J46" s="926">
        <f>IF(tlInputSpecProg18Chosen=TRUE,toolPrograms!I46,0)</f>
        <v>0</v>
      </c>
      <c r="K46" s="608" t="b">
        <v>0</v>
      </c>
      <c r="L46" s="608" t="b">
        <v>0</v>
      </c>
      <c r="M46" s="608" t="b">
        <v>0</v>
      </c>
      <c r="N46" s="166"/>
      <c r="O46" s="608"/>
      <c r="P46" s="1345" t="str">
        <f>IF(INDEX(obalSpecProg18Year,xxIndexTeam)&gt;0,"Initiative Selected in Year "&amp;INDEX(obalSpecProg18Year,xxIndexTeam),IF(J46=0,"","OK"))</f>
        <v/>
      </c>
      <c r="Q46" s="1346"/>
      <c r="R46" s="923"/>
    </row>
    <row r="47" spans="3:18" ht="6" customHeight="1" thickBot="1">
      <c r="C47" s="922"/>
      <c r="D47" s="166"/>
      <c r="E47" s="608"/>
      <c r="F47" s="166"/>
      <c r="G47" s="608"/>
      <c r="H47" s="608"/>
      <c r="I47" s="608"/>
      <c r="J47" s="608"/>
      <c r="K47" s="608"/>
      <c r="L47" s="608"/>
      <c r="M47" s="608"/>
      <c r="N47" s="166"/>
      <c r="O47" s="608"/>
      <c r="P47" s="608"/>
      <c r="Q47" s="608"/>
      <c r="R47" s="923"/>
    </row>
    <row r="48" spans="3:18" ht="14.25" customHeight="1" thickBot="1">
      <c r="C48" s="922"/>
      <c r="D48" s="1095">
        <v>19</v>
      </c>
      <c r="E48" s="608"/>
      <c r="F48" s="166"/>
      <c r="G48" s="501" t="str">
        <f>adjSpecProgName19</f>
        <v>Invest in Inside Sales Force</v>
      </c>
      <c r="H48" s="608"/>
      <c r="I48" s="608">
        <v>19</v>
      </c>
      <c r="J48" s="926">
        <f>IF(tlInputSpecProg19Chosen=TRUE,toolPrograms!I48,0)</f>
        <v>0</v>
      </c>
      <c r="K48" s="608" t="b">
        <v>0</v>
      </c>
      <c r="L48" s="608" t="b">
        <v>0</v>
      </c>
      <c r="M48" s="608" t="b">
        <v>0</v>
      </c>
      <c r="N48" s="166"/>
      <c r="O48" s="608"/>
      <c r="P48" s="1345" t="str">
        <f>IF(INDEX(obalSpecProg19Year,xxIndexTeam)&gt;0,"Initiative Selected in Year "&amp;INDEX(obalSpecProg19Year,xxIndexTeam),IF(J48=0,"","OK"))</f>
        <v/>
      </c>
      <c r="Q48" s="1346"/>
      <c r="R48" s="923"/>
    </row>
    <row r="49" spans="3:18" ht="6" customHeight="1" thickBot="1">
      <c r="C49" s="922"/>
      <c r="D49" s="1095"/>
      <c r="E49" s="608"/>
      <c r="F49" s="166"/>
      <c r="G49" s="608"/>
      <c r="H49" s="608"/>
      <c r="I49" s="608"/>
      <c r="J49" s="608"/>
      <c r="K49" s="608"/>
      <c r="L49" s="608"/>
      <c r="M49" s="608"/>
      <c r="N49" s="166"/>
      <c r="O49" s="608"/>
      <c r="P49" s="608"/>
      <c r="Q49" s="608"/>
      <c r="R49" s="923"/>
    </row>
    <row r="50" spans="3:18" ht="14.25" customHeight="1" thickBot="1">
      <c r="C50" s="922"/>
      <c r="D50" s="1095">
        <v>20</v>
      </c>
      <c r="E50" s="608"/>
      <c r="F50" s="166"/>
      <c r="G50" s="501" t="str">
        <f>adjSpecProgName20</f>
        <v>Obtain Correct Initial Pricing</v>
      </c>
      <c r="H50" s="608"/>
      <c r="I50" s="608">
        <v>20</v>
      </c>
      <c r="J50" s="926">
        <f>IF(tlInputSpecProg20Chosen=TRUE,toolPrograms!I50,0)</f>
        <v>0</v>
      </c>
      <c r="K50" s="608" t="b">
        <v>0</v>
      </c>
      <c r="L50" s="608" t="b">
        <v>0</v>
      </c>
      <c r="M50" s="608" t="b">
        <v>0</v>
      </c>
      <c r="N50" s="166"/>
      <c r="O50" s="608"/>
      <c r="P50" s="1345" t="str">
        <f>IF(INDEX(obalSpecProg20Year,xxIndexTeam)&gt;0,"Initiative Selected in Year "&amp;INDEX(obalSpecProg20Year,xxIndexTeam),IF(J50=0,"","OK"))</f>
        <v/>
      </c>
      <c r="Q50" s="1346"/>
      <c r="R50" s="923"/>
    </row>
    <row r="51" spans="3:18" ht="6" customHeight="1" thickBot="1">
      <c r="C51" s="922"/>
      <c r="D51" s="1095"/>
      <c r="E51" s="608"/>
      <c r="F51" s="166"/>
      <c r="G51" s="608"/>
      <c r="H51" s="608"/>
      <c r="I51" s="608"/>
      <c r="J51" s="608"/>
      <c r="K51" s="608"/>
      <c r="L51" s="608"/>
      <c r="M51" s="608"/>
      <c r="N51" s="166"/>
      <c r="O51" s="608"/>
      <c r="P51" s="608"/>
      <c r="Q51" s="608"/>
      <c r="R51" s="923"/>
    </row>
    <row r="52" spans="3:18" ht="14.25" customHeight="1" thickBot="1">
      <c r="C52" s="922"/>
      <c r="D52" s="1095">
        <v>21</v>
      </c>
      <c r="E52" s="608"/>
      <c r="F52" s="166"/>
      <c r="G52" s="501" t="str">
        <f>adjSpecProgName21</f>
        <v>Promote Diversity</v>
      </c>
      <c r="H52" s="608"/>
      <c r="I52" s="608">
        <v>21</v>
      </c>
      <c r="J52" s="926">
        <f>IF(tlInputSpecProg21Chosen=TRUE,toolPrograms!I52,0)</f>
        <v>0</v>
      </c>
      <c r="K52" s="608" t="b">
        <v>0</v>
      </c>
      <c r="L52" s="608" t="b">
        <v>0</v>
      </c>
      <c r="M52" s="608" t="b">
        <v>0</v>
      </c>
      <c r="N52" s="166"/>
      <c r="O52" s="608"/>
      <c r="P52" s="1345" t="str">
        <f>IF(INDEX(obalSpecProg21Year,xxIndexTeam)&gt;0,"Initiative Selected in Year "&amp;INDEX(obalSpecProg21Year,xxIndexTeam),IF(J52=0,"","OK"))</f>
        <v/>
      </c>
      <c r="Q52" s="1346"/>
      <c r="R52" s="923"/>
    </row>
    <row r="53" spans="3:18" ht="6" customHeight="1" thickBot="1">
      <c r="C53" s="922"/>
      <c r="D53" s="1095"/>
      <c r="E53" s="608"/>
      <c r="F53" s="166"/>
      <c r="G53" s="608"/>
      <c r="H53" s="608"/>
      <c r="I53" s="608"/>
      <c r="J53" s="608"/>
      <c r="K53" s="608"/>
      <c r="L53" s="608"/>
      <c r="M53" s="608"/>
      <c r="N53" s="166"/>
      <c r="O53" s="608"/>
      <c r="P53" s="608"/>
      <c r="Q53" s="608"/>
      <c r="R53" s="923"/>
    </row>
    <row r="54" spans="3:18" ht="14.25" customHeight="1" thickBot="1">
      <c r="C54" s="922"/>
      <c r="D54" s="1095">
        <v>22</v>
      </c>
      <c r="E54" s="608"/>
      <c r="F54" s="166"/>
      <c r="G54" s="501" t="str">
        <f>adjSpecProgName22</f>
        <v>Focus on Customer Service</v>
      </c>
      <c r="H54" s="608"/>
      <c r="I54" s="608">
        <v>22</v>
      </c>
      <c r="J54" s="926">
        <f>IF(tlInputSpecProg22Chosen=TRUE,toolPrograms!I54,0)</f>
        <v>0</v>
      </c>
      <c r="K54" s="608" t="b">
        <v>0</v>
      </c>
      <c r="L54" s="608" t="b">
        <v>0</v>
      </c>
      <c r="M54" s="608" t="b">
        <v>0</v>
      </c>
      <c r="N54" s="166"/>
      <c r="O54" s="608"/>
      <c r="P54" s="1345" t="str">
        <f>IF(INDEX(obalSpecProg22Year,xxIndexTeam)&gt;0,"Initiative Selected in Year "&amp;INDEX(obalSpecProg22Year,xxIndexTeam),IF(J54=0,"","OK"))</f>
        <v/>
      </c>
      <c r="Q54" s="1346"/>
      <c r="R54" s="923"/>
    </row>
    <row r="55" spans="3:18" ht="43.5" customHeight="1" thickBot="1">
      <c r="C55" s="927"/>
      <c r="D55" s="928"/>
      <c r="E55" s="928"/>
      <c r="F55" s="928"/>
      <c r="G55" s="929"/>
      <c r="H55" s="929"/>
      <c r="I55" s="929"/>
      <c r="J55" s="929"/>
      <c r="K55" s="929"/>
      <c r="L55" s="929"/>
      <c r="M55" s="929"/>
      <c r="N55" s="929"/>
      <c r="O55" s="929"/>
      <c r="P55" s="929"/>
      <c r="Q55" s="929"/>
      <c r="R55" s="930"/>
    </row>
    <row r="56" spans="3:18" ht="12" thickBot="1">
      <c r="C56" s="1132"/>
      <c r="D56" s="1132"/>
      <c r="E56" s="1132"/>
      <c r="F56" s="1132"/>
      <c r="G56" s="1132"/>
      <c r="H56" s="1132"/>
      <c r="I56" s="1132"/>
      <c r="J56" s="1132"/>
      <c r="K56" s="1132"/>
      <c r="L56" s="1132"/>
      <c r="M56" s="1132"/>
      <c r="N56" s="1132"/>
      <c r="O56" s="1132"/>
      <c r="P56" s="1132"/>
      <c r="Q56" s="1132"/>
      <c r="R56" s="1132"/>
    </row>
    <row r="57" spans="3:18" ht="87" customHeight="1">
      <c r="C57" s="1245"/>
      <c r="D57" s="1246"/>
      <c r="E57" s="1246"/>
      <c r="F57" s="1246"/>
      <c r="G57" s="1246"/>
      <c r="H57" s="1246"/>
      <c r="I57" s="1246"/>
      <c r="J57" s="1246"/>
      <c r="K57" s="1246"/>
      <c r="L57" s="1246"/>
      <c r="M57" s="1246"/>
      <c r="N57" s="1246"/>
      <c r="O57" s="1246"/>
      <c r="P57" s="1246"/>
      <c r="Q57" s="1246"/>
      <c r="R57" s="1247" t="str">
        <f>INDEX(decTeamName,xxIndexTeam) &amp; " Year " &amp; xxYear</f>
        <v>IIC Year 0</v>
      </c>
    </row>
    <row r="58" spans="3:18">
      <c r="C58" s="931"/>
      <c r="D58" s="608"/>
      <c r="E58" s="608"/>
      <c r="F58" s="608"/>
      <c r="G58" s="608"/>
      <c r="H58" s="608"/>
      <c r="I58" s="608"/>
      <c r="J58" s="608"/>
      <c r="K58" s="608"/>
      <c r="L58" s="608"/>
      <c r="M58" s="608"/>
      <c r="N58" s="608"/>
      <c r="O58" s="608"/>
      <c r="P58" s="608"/>
      <c r="Q58" s="608"/>
      <c r="R58" s="932"/>
    </row>
    <row r="59" spans="3:18">
      <c r="C59" s="931"/>
      <c r="D59" s="608"/>
      <c r="E59" s="608"/>
      <c r="F59" s="608"/>
      <c r="G59" s="608" t="s">
        <v>1281</v>
      </c>
      <c r="H59" s="608"/>
      <c r="I59" s="608"/>
      <c r="J59" s="608"/>
      <c r="K59" s="608"/>
      <c r="L59" s="608"/>
      <c r="M59" s="608"/>
      <c r="N59" s="608"/>
      <c r="O59" s="608"/>
      <c r="P59" s="608"/>
      <c r="Q59" s="608"/>
      <c r="R59" s="932"/>
    </row>
    <row r="60" spans="3:18">
      <c r="C60" s="931"/>
      <c r="D60" s="608"/>
      <c r="E60" s="608"/>
      <c r="F60" s="608"/>
      <c r="G60" s="608">
        <f>INDEX(paramSpecProgEmp1Req,tlInputNumTeams)+INDEX(paramSpecProgProd1Emp1Req,tlInputNumTeams)+INDEX(paramSpecProgProd2Emp1Req,tlInputNumTeams)-INDEX(capEventFTEs,tlInputNumTeams)</f>
        <v>0</v>
      </c>
      <c r="H60" s="608"/>
      <c r="I60" s="608"/>
      <c r="J60" s="933"/>
      <c r="K60" s="608"/>
      <c r="L60" s="608"/>
      <c r="M60" s="608"/>
      <c r="N60" s="608"/>
      <c r="O60" s="608"/>
      <c r="P60" s="608"/>
      <c r="Q60" s="608"/>
      <c r="R60" s="932"/>
    </row>
    <row r="61" spans="3:18">
      <c r="C61" s="931"/>
      <c r="D61" s="608"/>
      <c r="E61" s="608"/>
      <c r="F61" s="608"/>
      <c r="G61" s="608"/>
      <c r="H61" s="608"/>
      <c r="I61" s="608"/>
      <c r="J61" s="608"/>
      <c r="K61" s="608"/>
      <c r="L61" s="608"/>
      <c r="M61" s="608"/>
      <c r="N61" s="608"/>
      <c r="O61" s="608"/>
      <c r="P61" s="608"/>
      <c r="Q61" s="608"/>
      <c r="R61" s="932"/>
    </row>
    <row r="62" spans="3:18">
      <c r="C62" s="931"/>
      <c r="D62" s="608"/>
      <c r="E62" s="608"/>
      <c r="F62" s="608"/>
      <c r="G62" s="608"/>
      <c r="H62" s="608"/>
      <c r="I62" s="608"/>
      <c r="J62" s="608"/>
      <c r="K62" s="608"/>
      <c r="L62" s="608"/>
      <c r="M62" s="608"/>
      <c r="N62" s="608"/>
      <c r="O62" s="608"/>
      <c r="P62" s="608"/>
      <c r="Q62" s="608"/>
      <c r="R62" s="932"/>
    </row>
    <row r="63" spans="3:18" ht="12" thickBot="1">
      <c r="C63" s="931"/>
      <c r="D63" s="929" t="s">
        <v>1267</v>
      </c>
      <c r="E63" s="929" t="s">
        <v>452</v>
      </c>
      <c r="F63" s="929"/>
      <c r="G63" s="935" t="s">
        <v>679</v>
      </c>
      <c r="H63" s="929"/>
      <c r="I63" s="929"/>
      <c r="J63" s="929"/>
      <c r="K63" s="929"/>
      <c r="L63" s="929"/>
      <c r="M63" s="929"/>
      <c r="N63" s="929"/>
      <c r="O63" s="929"/>
      <c r="P63" s="934" t="s">
        <v>183</v>
      </c>
      <c r="Q63" s="934" t="s">
        <v>949</v>
      </c>
      <c r="R63" s="932"/>
    </row>
    <row r="64" spans="3:18" ht="5.0999999999999996" customHeight="1">
      <c r="C64" s="931"/>
      <c r="D64" s="608"/>
      <c r="E64" s="608"/>
      <c r="F64" s="608"/>
      <c r="G64" s="608"/>
      <c r="H64" s="608"/>
      <c r="I64" s="608"/>
      <c r="J64" s="608"/>
      <c r="K64" s="608"/>
      <c r="L64" s="608"/>
      <c r="M64" s="608"/>
      <c r="N64" s="608"/>
      <c r="O64" s="608"/>
      <c r="P64" s="608"/>
      <c r="Q64" s="608"/>
      <c r="R64" s="932"/>
    </row>
    <row r="65" spans="3:26">
      <c r="C65" s="931"/>
      <c r="D65" s="936">
        <v>1</v>
      </c>
      <c r="E65" s="1117" t="str">
        <f>IF(INDEX(cbalSpecProg1Chosen,xxIndexTeam)=TRUE,"Selected in Yr "&amp; INDEX(cbalSpecProg1Year,xxIndexTeam),"")</f>
        <v/>
      </c>
      <c r="F65" s="34"/>
      <c r="G65" s="1120" t="str">
        <f>adjSpecProgName1</f>
        <v>Selling Value in Transform</v>
      </c>
      <c r="H65" s="1117"/>
      <c r="I65" s="1118">
        <f>IF(INDEX(cbalSpecProg1Year,xxIndexTeam)&gt;0,D65,0)</f>
        <v>0</v>
      </c>
      <c r="J65" s="1117"/>
      <c r="K65" s="1117"/>
      <c r="L65" s="1117"/>
      <c r="M65" s="1117"/>
      <c r="N65" s="1117"/>
      <c r="O65" s="1117"/>
      <c r="P65" s="1119">
        <f>IF(INDEX(obalSpecProg1Year,xxIndexTeam)&gt;0,0,IF(I65=0,0,INDEX(DataPage!$E$309:$E$335,MATCH(I65,DataPage!$B$309:$B$335,0))))</f>
        <v>0</v>
      </c>
      <c r="Q65" s="1119">
        <f>IF(INDEX(obalSpecProg1Year,xxIndexTeam)&gt;0,0,IF(I65=0,0,INDEX(DataPage!$F$309:$F$335,MATCH(I65,DataPage!$B$309:$B$335,0))))</f>
        <v>0</v>
      </c>
      <c r="R65" s="932"/>
      <c r="Z65" s="1213" t="s">
        <v>3707</v>
      </c>
    </row>
    <row r="66" spans="3:26" ht="5.0999999999999996" customHeight="1">
      <c r="C66" s="931"/>
      <c r="D66" s="936"/>
      <c r="E66" s="1117"/>
      <c r="F66" s="34"/>
      <c r="G66" s="1120"/>
      <c r="H66" s="1117"/>
      <c r="I66" s="1118"/>
      <c r="J66" s="1117"/>
      <c r="K66" s="1117"/>
      <c r="L66" s="1117"/>
      <c r="M66" s="1117"/>
      <c r="N66" s="1117"/>
      <c r="O66" s="1117"/>
      <c r="P66" s="1117"/>
      <c r="Q66" s="1117"/>
      <c r="R66" s="932"/>
      <c r="Z66" s="1213"/>
    </row>
    <row r="67" spans="3:26">
      <c r="C67" s="931"/>
      <c r="D67" s="936">
        <v>2</v>
      </c>
      <c r="E67" s="1117" t="str">
        <f>IF(INDEX(cbalSpecProg2Chosen,xxIndexTeam)=TRUE,"Selected in Yr "&amp; INDEX(cbalSpecProg2Year,xxIndexTeam),"")</f>
        <v/>
      </c>
      <c r="F67" s="34"/>
      <c r="G67" s="1120" t="str">
        <f>adjSpecProgName2</f>
        <v>Coordination and Cross-Selling Efforts</v>
      </c>
      <c r="H67" s="1117"/>
      <c r="I67" s="1118">
        <f>IF(INDEX(cbalSpecProg2Year,xxIndexTeam)&gt;0,D67,0)</f>
        <v>0</v>
      </c>
      <c r="J67" s="1117"/>
      <c r="K67" s="1117"/>
      <c r="L67" s="1117"/>
      <c r="M67" s="1117"/>
      <c r="N67" s="1117"/>
      <c r="O67" s="1117"/>
      <c r="P67" s="1119">
        <f>IF(INDEX(obalSpecProg2Year,xxIndexTeam)&gt;0,0,IF(I67=0,0,INDEX(DataPage!$E$309:$E$335,MATCH(I67,DataPage!$B$309:$B$335,0))))</f>
        <v>0</v>
      </c>
      <c r="Q67" s="1119">
        <f>IF(INDEX(obalSpecProg2Year,xxIndexTeam)&gt;0,0,IF(I67=0,0,INDEX(DataPage!$F$309:$F$335,MATCH(I67,DataPage!$B$309:$B$335,0))))</f>
        <v>0</v>
      </c>
      <c r="R67" s="932"/>
      <c r="Z67" s="1213" t="s">
        <v>3708</v>
      </c>
    </row>
    <row r="68" spans="3:26" ht="5.0999999999999996" customHeight="1">
      <c r="C68" s="931"/>
      <c r="D68" s="936"/>
      <c r="E68" s="1117"/>
      <c r="F68" s="34"/>
      <c r="G68" s="1120"/>
      <c r="H68" s="1117"/>
      <c r="I68" s="1117"/>
      <c r="J68" s="1117"/>
      <c r="K68" s="1117"/>
      <c r="L68" s="1117"/>
      <c r="M68" s="1117"/>
      <c r="N68" s="1117"/>
      <c r="O68" s="1117"/>
      <c r="P68" s="1117"/>
      <c r="Q68" s="1117"/>
      <c r="R68" s="932"/>
    </row>
    <row r="69" spans="3:26">
      <c r="C69" s="931"/>
      <c r="D69" s="936">
        <v>3</v>
      </c>
      <c r="E69" s="1117" t="str">
        <f>IF(INDEX(cbalSpecProg3Chosen,xxIndexTeam)=TRUE,"Selected in Yr "&amp; INDEX(cbalSpecProg3Year,xxIndexTeam),"")</f>
        <v/>
      </c>
      <c r="F69" s="34"/>
      <c r="G69" s="1120" t="str">
        <f>adjSpecProgName3</f>
        <v>Acquisition Integration</v>
      </c>
      <c r="H69" s="1117"/>
      <c r="I69" s="1118">
        <f>IF(INDEX(cbalSpecProg3Year,xxIndexTeam)&gt;0,D69,0)</f>
        <v>0</v>
      </c>
      <c r="J69" s="1117"/>
      <c r="K69" s="1117"/>
      <c r="L69" s="1117"/>
      <c r="M69" s="1117"/>
      <c r="N69" s="1117"/>
      <c r="O69" s="1117"/>
      <c r="P69" s="1119">
        <f>IF(INDEX(obalSpecProg3Year,xxIndexTeam)&gt;0,0,IF(I69=0,0,INDEX(DataPage!$E$309:$E$335,MATCH(I69,DataPage!$B$309:$B$335,0))))</f>
        <v>0</v>
      </c>
      <c r="Q69" s="1119">
        <f>IF(INDEX(obalSpecProg3Year,xxIndexTeam)&gt;0,0,IF(I69=0,0,INDEX(DataPage!$F$309:$F$335,MATCH(I69,DataPage!$B$309:$B$335,0))))</f>
        <v>0</v>
      </c>
      <c r="R69" s="932"/>
      <c r="Z69" s="1213" t="s">
        <v>3709</v>
      </c>
    </row>
    <row r="70" spans="3:26" ht="5.0999999999999996" customHeight="1">
      <c r="C70" s="931"/>
      <c r="D70" s="936"/>
      <c r="E70" s="1118"/>
      <c r="F70" s="34"/>
      <c r="G70" s="1120"/>
      <c r="H70" s="1117"/>
      <c r="I70" s="1117"/>
      <c r="J70" s="1117"/>
      <c r="K70" s="1117"/>
      <c r="L70" s="1117"/>
      <c r="M70" s="1117"/>
      <c r="N70" s="1117"/>
      <c r="O70" s="1117"/>
      <c r="P70" s="1117"/>
      <c r="Q70" s="1117"/>
      <c r="R70" s="932"/>
    </row>
    <row r="71" spans="3:26">
      <c r="C71" s="931"/>
      <c r="D71" s="936">
        <v>4</v>
      </c>
      <c r="E71" s="1117" t="str">
        <f>IF(INDEX(cbalSpecProg4Chosen,xxIndexTeam)=TRUE,"Selected in Yr "&amp; INDEX(cbalSpecProg4Year,xxIndexTeam),"")</f>
        <v/>
      </c>
      <c r="F71" s="34"/>
      <c r="G71" s="1120" t="str">
        <f>adjSpecProgName4</f>
        <v>Deploy Single Billing System</v>
      </c>
      <c r="H71" s="1117"/>
      <c r="I71" s="1118">
        <f>IF(INDEX(cbalSpecProg4Year,xxIndexTeam)&gt;0,D71,0)</f>
        <v>0</v>
      </c>
      <c r="J71" s="1117"/>
      <c r="K71" s="1117"/>
      <c r="L71" s="1117"/>
      <c r="M71" s="1117"/>
      <c r="N71" s="1117"/>
      <c r="O71" s="1117"/>
      <c r="P71" s="1119">
        <f>IF(INDEX(obalSpecProg4Year,xxIndexTeam)&gt;0,0,IF(I71=0,0,INDEX(DataPage!$E$309:$E$335,MATCH(I71,DataPage!$B$309:$B$335,0))))</f>
        <v>0</v>
      </c>
      <c r="Q71" s="1119">
        <f>IF(INDEX(obalSpecProg4Year,xxIndexTeam)&gt;0,0,IF(I71=0,0,INDEX(DataPage!$F$309:$F$335,MATCH(I71,DataPage!$B$309:$B$335,0))))</f>
        <v>0</v>
      </c>
      <c r="R71" s="932"/>
      <c r="Z71" s="1213" t="s">
        <v>3710</v>
      </c>
    </row>
    <row r="72" spans="3:26" ht="5.0999999999999996" customHeight="1">
      <c r="C72" s="931"/>
      <c r="D72" s="936"/>
      <c r="E72" s="1117"/>
      <c r="F72" s="34"/>
      <c r="G72" s="1120"/>
      <c r="H72" s="1117"/>
      <c r="I72" s="1117"/>
      <c r="J72" s="1117"/>
      <c r="K72" s="1117"/>
      <c r="L72" s="1117"/>
      <c r="M72" s="1117"/>
      <c r="N72" s="1117"/>
      <c r="O72" s="1117"/>
      <c r="P72" s="1117"/>
      <c r="Q72" s="1117"/>
      <c r="R72" s="932"/>
    </row>
    <row r="73" spans="3:26">
      <c r="C73" s="931"/>
      <c r="D73" s="936">
        <v>5</v>
      </c>
      <c r="E73" s="1117" t="str">
        <f>IF(INDEX(cbalSpecProg5Chosen,xxIndexTeam)=TRUE,"Selected in Yr "&amp; INDEX(cbalSpecProg5Year,xxIndexTeam),"")</f>
        <v/>
      </c>
      <c r="F73" s="34"/>
      <c r="G73" s="1120" t="str">
        <f>adjSpecProgName5</f>
        <v>Product Development - Hiring our Customers</v>
      </c>
      <c r="H73" s="1117"/>
      <c r="I73" s="1118">
        <f>IF(INDEX(cbalSpecProg5Year,xxIndexTeam)&gt;0,D73,0)</f>
        <v>0</v>
      </c>
      <c r="J73" s="1117"/>
      <c r="K73" s="1117"/>
      <c r="L73" s="1117"/>
      <c r="M73" s="1117"/>
      <c r="N73" s="1117"/>
      <c r="O73" s="1117"/>
      <c r="P73" s="1119">
        <f>IF(INDEX(obalSpecProg5Year,xxIndexTeam)&gt;0,0,IF(I73=0,0,INDEX(DataPage!$E$309:$E$335,MATCH(I73,DataPage!$B$309:$B$335,0))))</f>
        <v>0</v>
      </c>
      <c r="Q73" s="1119">
        <f>IF(INDEX(obalSpecProg5Year,xxIndexTeam)&gt;0,0,IF(I73=0,0,INDEX(DataPage!$F$309:$F$335,MATCH(I73,DataPage!$B$309:$B$335,0))))</f>
        <v>0</v>
      </c>
      <c r="R73" s="932"/>
      <c r="Z73" s="1213" t="s">
        <v>3711</v>
      </c>
    </row>
    <row r="74" spans="3:26" ht="5.0999999999999996" customHeight="1">
      <c r="C74" s="931"/>
      <c r="D74" s="936"/>
      <c r="E74" s="1118"/>
      <c r="F74" s="34"/>
      <c r="G74" s="1120"/>
      <c r="H74" s="1117"/>
      <c r="I74" s="1117"/>
      <c r="J74" s="1117"/>
      <c r="K74" s="1117"/>
      <c r="L74" s="1117"/>
      <c r="M74" s="1117"/>
      <c r="N74" s="1117"/>
      <c r="O74" s="1117"/>
      <c r="P74" s="1117"/>
      <c r="Q74" s="1117"/>
      <c r="R74" s="932"/>
    </row>
    <row r="75" spans="3:26">
      <c r="C75" s="931"/>
      <c r="D75" s="936">
        <v>6</v>
      </c>
      <c r="E75" s="1117" t="str">
        <f>IF(INDEX(cbalSpecProg6Chosen,xxIndexTeam)=TRUE,"Selected in Yr "&amp; INDEX(cbalSpecProg6Year,xxIndexTeam),"")</f>
        <v/>
      </c>
      <c r="F75" s="34"/>
      <c r="G75" s="1120" t="str">
        <f>adjSpecProgName6</f>
        <v>Demarcated Tiers</v>
      </c>
      <c r="H75" s="1117"/>
      <c r="I75" s="1118">
        <f>IF(INDEX(cbalSpecProg6Year,xxIndexTeam)&gt;0,D75,0)</f>
        <v>0</v>
      </c>
      <c r="J75" s="1117"/>
      <c r="K75" s="1117"/>
      <c r="L75" s="1117"/>
      <c r="M75" s="1117"/>
      <c r="N75" s="1117"/>
      <c r="O75" s="1117"/>
      <c r="P75" s="1119">
        <f>IF(INDEX(obalSpecProg6Year,xxIndexTeam)&gt;0,0,IF(I75=0,0,INDEX(DataPage!$E$309:$E$335,MATCH(I75,DataPage!$B$309:$B$335,0))))</f>
        <v>0</v>
      </c>
      <c r="Q75" s="1119">
        <f>IF(INDEX(obalSpecProg6Year,xxIndexTeam)&gt;0,0,IF(I75=0,0,INDEX(DataPage!$F$309:$F$335,MATCH(I75,DataPage!$B$309:$B$335,0))))</f>
        <v>0</v>
      </c>
      <c r="R75" s="932"/>
      <c r="Z75" s="1213" t="s">
        <v>3712</v>
      </c>
    </row>
    <row r="76" spans="3:26" ht="5.0999999999999996" customHeight="1">
      <c r="C76" s="931"/>
      <c r="D76" s="936"/>
      <c r="E76" s="1118"/>
      <c r="F76" s="34"/>
      <c r="G76" s="1120"/>
      <c r="H76" s="1117"/>
      <c r="I76" s="1117"/>
      <c r="J76" s="1117"/>
      <c r="K76" s="1117"/>
      <c r="L76" s="1117"/>
      <c r="M76" s="1117"/>
      <c r="N76" s="1117"/>
      <c r="O76" s="1117"/>
      <c r="P76" s="1117"/>
      <c r="Q76" s="1117"/>
      <c r="R76" s="932"/>
    </row>
    <row r="77" spans="3:26">
      <c r="C77" s="931"/>
      <c r="D77" s="936">
        <v>7</v>
      </c>
      <c r="E77" s="1117" t="str">
        <f>IF(INDEX(cbalSpecProg7Chosen,xxIndexTeam)=TRUE,"Selected in Yr "&amp; INDEX(cbalSpecProg7Year,xxIndexTeam),"")</f>
        <v/>
      </c>
      <c r="F77" s="34"/>
      <c r="G77" s="1120" t="str">
        <f>adjSpecProgName7</f>
        <v>Strategy Execution Meetings and Breaking Down Siloes</v>
      </c>
      <c r="H77" s="1117"/>
      <c r="I77" s="1118">
        <f>IF(INDEX(cbalSpecProg7Year,xxIndexTeam)&gt;0,D77,0)</f>
        <v>0</v>
      </c>
      <c r="J77" s="1117"/>
      <c r="K77" s="1117"/>
      <c r="L77" s="1117"/>
      <c r="M77" s="1117"/>
      <c r="N77" s="1117"/>
      <c r="O77" s="1117"/>
      <c r="P77" s="1119">
        <f>IF(INDEX(obalSpecProg7Year,xxIndexTeam)&gt;0,0,IF(I77=0,0,INDEX(DataPage!$E$309:$E$335,MATCH(I77,DataPage!$B$309:$B$335,0))))</f>
        <v>0</v>
      </c>
      <c r="Q77" s="1119">
        <f>IF(INDEX(obalSpecProg7Year,xxIndexTeam)&gt;0,0,IF(I77=0,0,INDEX(DataPage!$F$309:$F$335,MATCH(I77,DataPage!$B$309:$B$335,0))))</f>
        <v>0</v>
      </c>
      <c r="R77" s="932"/>
      <c r="Z77" s="1213" t="s">
        <v>3713</v>
      </c>
    </row>
    <row r="78" spans="3:26" ht="5.0999999999999996" customHeight="1">
      <c r="C78" s="931"/>
      <c r="D78" s="936"/>
      <c r="E78" s="1117"/>
      <c r="F78" s="34"/>
      <c r="G78" s="1120"/>
      <c r="H78" s="1117"/>
      <c r="I78" s="1117"/>
      <c r="J78" s="1117"/>
      <c r="K78" s="1117"/>
      <c r="L78" s="1117"/>
      <c r="M78" s="1117"/>
      <c r="N78" s="1117"/>
      <c r="O78" s="1117"/>
      <c r="P78" s="1117"/>
      <c r="Q78" s="1117"/>
      <c r="R78" s="932"/>
    </row>
    <row r="79" spans="3:26">
      <c r="C79" s="931"/>
      <c r="D79" s="936">
        <v>8</v>
      </c>
      <c r="E79" s="1117" t="str">
        <f>IF(INDEX(cbalSpecProg8Chosen,xxIndexTeam)=TRUE,"Selected in Yr "&amp; INDEX(cbalSpecProg8Year,xxIndexTeam),"")</f>
        <v/>
      </c>
      <c r="F79" s="34"/>
      <c r="G79" s="1120" t="str">
        <f>adjSpecProgName8</f>
        <v>Divest BUs</v>
      </c>
      <c r="H79" s="1117"/>
      <c r="I79" s="1118">
        <f>IF(INDEX(cbalSpecProg8Year,xxIndexTeam)&gt;0,D79,0)</f>
        <v>0</v>
      </c>
      <c r="J79" s="1117"/>
      <c r="K79" s="1117"/>
      <c r="L79" s="1117"/>
      <c r="M79" s="1117"/>
      <c r="N79" s="1117"/>
      <c r="O79" s="1117"/>
      <c r="P79" s="1119">
        <f>IF(INDEX(obalSpecProg8Year,xxIndexTeam)&gt;0,0,IF(I79=0,0,INDEX(DataPage!$E$309:$E$335,MATCH(I79,DataPage!$B$309:$B$335,0))))</f>
        <v>0</v>
      </c>
      <c r="Q79" s="1119">
        <f>IF(INDEX(obalSpecProg8Year,xxIndexTeam)&gt;0,0,IF(I79=0,0,INDEX(DataPage!$F$309:$F$335,MATCH(I79,DataPage!$B$309:$B$335,0))))</f>
        <v>0</v>
      </c>
      <c r="R79" s="932"/>
      <c r="Z79" s="1213" t="s">
        <v>3714</v>
      </c>
    </row>
    <row r="80" spans="3:26" ht="5.0999999999999996" customHeight="1">
      <c r="C80" s="931"/>
      <c r="D80" s="936"/>
      <c r="E80" s="1118"/>
      <c r="F80" s="34"/>
      <c r="G80" s="1121"/>
      <c r="H80" s="1117"/>
      <c r="I80" s="1117"/>
      <c r="J80" s="1117"/>
      <c r="K80" s="1117"/>
      <c r="L80" s="1117"/>
      <c r="M80" s="1117"/>
      <c r="N80" s="1117"/>
      <c r="O80" s="1117"/>
      <c r="P80" s="1117"/>
      <c r="Q80" s="1117"/>
      <c r="R80" s="932"/>
    </row>
    <row r="81" spans="3:26">
      <c r="C81" s="931"/>
      <c r="D81" s="936">
        <v>9</v>
      </c>
      <c r="E81" s="1117" t="str">
        <f>IF(INDEX(cbalSpecProg9Chosen,xxIndexTeam)=TRUE,"Selected in Yr "&amp; INDEX(cbalSpecProg9Year,xxIndexTeam),"")</f>
        <v/>
      </c>
      <c r="F81" s="34"/>
      <c r="G81" s="1120" t="str">
        <f>adjSpecProgName9</f>
        <v>Thoughtful Workforce Management</v>
      </c>
      <c r="H81" s="1117"/>
      <c r="I81" s="1118">
        <f>IF(INDEX(cbalSpecProg9Year,xxIndexTeam)&gt;0,D81,0)</f>
        <v>0</v>
      </c>
      <c r="J81" s="1117"/>
      <c r="K81" s="1117"/>
      <c r="L81" s="1117"/>
      <c r="M81" s="1117"/>
      <c r="N81" s="1117"/>
      <c r="O81" s="1117"/>
      <c r="P81" s="1119">
        <f>IF(INDEX(obalSpecProg9Year,xxIndexTeam)&gt;0,0,IF(I81=0,0,INDEX(DataPage!$E$309:$E$335,MATCH(I81,DataPage!$B$309:$B$335,0))))</f>
        <v>0</v>
      </c>
      <c r="Q81" s="1119">
        <f>IF(INDEX(obalSpecProg9Year,xxIndexTeam)&gt;0,0,IF(I81=0,0,INDEX(DataPage!$F$309:$F$335,MATCH(I81,DataPage!$B$309:$B$335,0))))</f>
        <v>0</v>
      </c>
      <c r="R81" s="932"/>
      <c r="Z81" s="1213" t="s">
        <v>3715</v>
      </c>
    </row>
    <row r="82" spans="3:26" ht="5.0999999999999996" customHeight="1">
      <c r="C82" s="931"/>
      <c r="D82" s="936"/>
      <c r="E82" s="1118"/>
      <c r="F82" s="34"/>
      <c r="G82" s="1120"/>
      <c r="H82" s="1117"/>
      <c r="I82" s="1117"/>
      <c r="J82" s="1117"/>
      <c r="K82" s="1117"/>
      <c r="L82" s="1117"/>
      <c r="M82" s="1117"/>
      <c r="N82" s="1117"/>
      <c r="O82" s="1117"/>
      <c r="P82" s="1117"/>
      <c r="Q82" s="1117"/>
      <c r="R82" s="932"/>
    </row>
    <row r="83" spans="3:26">
      <c r="C83" s="931"/>
      <c r="D83" s="936">
        <v>10</v>
      </c>
      <c r="E83" s="1117" t="str">
        <f>IF(INDEX(cbalSpecProg10Chosen,xxIndexTeam)=TRUE,"Selected in Yr "&amp; INDEX(cbalSpecProg10Year,xxIndexTeam),"")</f>
        <v/>
      </c>
      <c r="F83" s="34"/>
      <c r="G83" s="1120" t="str">
        <f>adjSpecProgName10</f>
        <v>Emphasize Innovation</v>
      </c>
      <c r="H83" s="1117"/>
      <c r="I83" s="1118">
        <f>IF(INDEX(cbalSpecProg10Year,xxIndexTeam)&gt;0,D83,0)</f>
        <v>0</v>
      </c>
      <c r="J83" s="1117"/>
      <c r="K83" s="1117"/>
      <c r="L83" s="1117"/>
      <c r="M83" s="1117"/>
      <c r="N83" s="1117"/>
      <c r="O83" s="1117"/>
      <c r="P83" s="1119">
        <f>IF(INDEX(obalSpecProg10Year,xxIndexTeam)&gt;0,0,IF(I83=0,0,INDEX(DataPage!$E$309:$E$335,MATCH(I83,DataPage!$B$309:$B$335,0))))</f>
        <v>0</v>
      </c>
      <c r="Q83" s="1119">
        <f>IF(INDEX(obalSpecProg10Year,xxIndexTeam)&gt;0,0,IF(I83=0,0,INDEX(DataPage!$F$309:$F$335,MATCH(I83,DataPage!$B$309:$B$335,0))))</f>
        <v>0</v>
      </c>
      <c r="R83" s="932"/>
      <c r="Z83" s="1213" t="s">
        <v>3716</v>
      </c>
    </row>
    <row r="84" spans="3:26" ht="5.0999999999999996" customHeight="1">
      <c r="C84" s="931"/>
      <c r="D84" s="936"/>
      <c r="E84" s="1118"/>
      <c r="F84" s="34"/>
      <c r="G84" s="1120"/>
      <c r="H84" s="1117"/>
      <c r="I84" s="1117"/>
      <c r="J84" s="1117"/>
      <c r="K84" s="1117"/>
      <c r="L84" s="1117"/>
      <c r="M84" s="1117"/>
      <c r="N84" s="1117"/>
      <c r="O84" s="1117"/>
      <c r="P84" s="1117"/>
      <c r="Q84" s="1117"/>
      <c r="R84" s="932"/>
    </row>
    <row r="85" spans="3:26">
      <c r="C85" s="931"/>
      <c r="D85" s="936">
        <v>11</v>
      </c>
      <c r="E85" s="1117" t="str">
        <f>IF(INDEX(cbalSpecProg11Chosen,xxIndexTeam)=TRUE,"Selected in Yr "&amp; INDEX(cbalSpecProg11Year,xxIndexTeam),"")</f>
        <v/>
      </c>
      <c r="F85" s="34"/>
      <c r="G85" s="1120" t="str">
        <f>adjSpecProgName11</f>
        <v>Expand Cultural Understanding</v>
      </c>
      <c r="H85" s="1117"/>
      <c r="I85" s="1118">
        <f>IF(INDEX(cbalSpecProg11Year,xxIndexTeam)&gt;0,D85,0)</f>
        <v>0</v>
      </c>
      <c r="J85" s="1117"/>
      <c r="K85" s="1117"/>
      <c r="L85" s="1117"/>
      <c r="M85" s="1117"/>
      <c r="N85" s="1117"/>
      <c r="O85" s="1117"/>
      <c r="P85" s="1119">
        <f>IF(INDEX(obalSpecProg11Year,xxIndexTeam)&gt;0,0,IF(I85=0,0,INDEX(DataPage!$E$309:$E$335,MATCH(I85,DataPage!$B$309:$B$335,0))))</f>
        <v>0</v>
      </c>
      <c r="Q85" s="1119">
        <f>IF(INDEX(obalSpecProg11Year,xxIndexTeam)&gt;0,0,IF(I85=0,0,INDEX(DataPage!$F$309:$F$335,MATCH(I85,DataPage!$B$309:$B$335,0))))</f>
        <v>0</v>
      </c>
      <c r="R85" s="932"/>
      <c r="Z85" s="1213" t="s">
        <v>3717</v>
      </c>
    </row>
    <row r="86" spans="3:26" ht="5.0999999999999996" customHeight="1">
      <c r="C86" s="931"/>
      <c r="D86" s="936"/>
      <c r="E86" s="1117"/>
      <c r="F86" s="34"/>
      <c r="G86" s="1120"/>
      <c r="H86" s="1117"/>
      <c r="I86" s="1117"/>
      <c r="J86" s="1117"/>
      <c r="K86" s="1117"/>
      <c r="L86" s="1117"/>
      <c r="M86" s="1117"/>
      <c r="N86" s="1117"/>
      <c r="O86" s="1117"/>
      <c r="P86" s="1117"/>
      <c r="Q86" s="1117"/>
      <c r="R86" s="932"/>
    </row>
    <row r="87" spans="3:26">
      <c r="C87" s="931"/>
      <c r="D87" s="936">
        <v>12</v>
      </c>
      <c r="E87" s="1117" t="str">
        <f>IF(INDEX(cbalSpecProg12Chosen,xxIndexTeam)=TRUE,"Selected in Yr "&amp; INDEX(cbalSpecProg12Year,xxIndexTeam),"")</f>
        <v/>
      </c>
      <c r="F87" s="34"/>
      <c r="G87" s="1120" t="str">
        <f>adjSpecProgName12</f>
        <v>Leverage Third Party for Data Centers</v>
      </c>
      <c r="H87" s="1117"/>
      <c r="I87" s="1118">
        <f>IF(INDEX(cbalSpecProg12Year,xxIndexTeam)&gt;0,D87,0)</f>
        <v>0</v>
      </c>
      <c r="J87" s="1117"/>
      <c r="K87" s="1117"/>
      <c r="L87" s="1117"/>
      <c r="M87" s="1117"/>
      <c r="N87" s="1117"/>
      <c r="O87" s="1117"/>
      <c r="P87" s="1119">
        <f>IF(INDEX(obalSpecProg12Year,xxIndexTeam)&gt;0,0,IF(I87=0,0,INDEX(DataPage!$E$309:$E$335,MATCH(I87,DataPage!$B$309:$B$335,0))))</f>
        <v>0</v>
      </c>
      <c r="Q87" s="1119">
        <f>IF(INDEX(obalSpecProg12Year,xxIndexTeam)&gt;0,0,IF(I87=0,0,INDEX(DataPage!$F$309:$F$335,MATCH(I87,DataPage!$B$309:$B$335,0))))</f>
        <v>0</v>
      </c>
      <c r="R87" s="932"/>
      <c r="Z87" s="1213" t="s">
        <v>3718</v>
      </c>
    </row>
    <row r="88" spans="3:26" ht="5.0999999999999996" customHeight="1">
      <c r="C88" s="931"/>
      <c r="D88" s="936"/>
      <c r="E88" s="1118"/>
      <c r="F88" s="34"/>
      <c r="G88" s="1120"/>
      <c r="H88" s="1117"/>
      <c r="I88" s="1117"/>
      <c r="J88" s="1117"/>
      <c r="K88" s="1117"/>
      <c r="L88" s="1117"/>
      <c r="M88" s="1117"/>
      <c r="N88" s="1117"/>
      <c r="O88" s="1117"/>
      <c r="P88" s="1117"/>
      <c r="Q88" s="1117"/>
      <c r="R88" s="932"/>
    </row>
    <row r="89" spans="3:26">
      <c r="C89" s="931"/>
      <c r="D89" s="936">
        <v>13</v>
      </c>
      <c r="E89" s="1117" t="str">
        <f>IF(INDEX(cbalSpecProg13Chosen,xxIndexTeam)=TRUE,"Selected in Yr "&amp; INDEX(cbalSpecProg13Year,xxIndexTeam),"")</f>
        <v/>
      </c>
      <c r="F89" s="34"/>
      <c r="G89" s="1120" t="str">
        <f>adjSpecProgName13</f>
        <v>One PnL for Growth and Transform</v>
      </c>
      <c r="H89" s="1117"/>
      <c r="I89" s="1118">
        <f>IF(INDEX(cbalSpecProg13Year,xxIndexTeam)&gt;0,D89,0)</f>
        <v>0</v>
      </c>
      <c r="J89" s="1117"/>
      <c r="K89" s="1117"/>
      <c r="L89" s="1117"/>
      <c r="M89" s="1117"/>
      <c r="N89" s="1117"/>
      <c r="O89" s="1117"/>
      <c r="P89" s="1119">
        <f>IF(INDEX(obalSpecProg13Year,xxIndexTeam)&gt;0,0,IF(I89=0,0,INDEX(DataPage!$E$309:$E$335,MATCH(I89,DataPage!$B$309:$B$335,0))))</f>
        <v>0</v>
      </c>
      <c r="Q89" s="1119">
        <f>IF(INDEX(obalSpecProg13Year,xxIndexTeam)&gt;0,0,IF(I89=0,0,INDEX(DataPage!$F$309:$F$335,MATCH(I89,DataPage!$B$309:$B$335,0))))</f>
        <v>0</v>
      </c>
      <c r="R89" s="932"/>
      <c r="Z89" s="1213" t="s">
        <v>3719</v>
      </c>
    </row>
    <row r="90" spans="3:26" ht="5.0999999999999996" customHeight="1">
      <c r="C90" s="931"/>
      <c r="D90" s="936"/>
      <c r="E90" s="1117"/>
      <c r="F90" s="34"/>
      <c r="G90" s="1120"/>
      <c r="H90" s="1117"/>
      <c r="I90" s="1117"/>
      <c r="J90" s="1117"/>
      <c r="K90" s="1117"/>
      <c r="L90" s="1117"/>
      <c r="M90" s="1117"/>
      <c r="N90" s="1117"/>
      <c r="O90" s="1117"/>
      <c r="P90" s="1117"/>
      <c r="Q90" s="1117"/>
      <c r="R90" s="932"/>
    </row>
    <row r="91" spans="3:26">
      <c r="C91" s="931"/>
      <c r="D91" s="936">
        <v>14</v>
      </c>
      <c r="E91" s="1117" t="str">
        <f>IF(INDEX(cbalSpecProg14Chosen,xxIndexTeam)=TRUE,"Selected in Yr "&amp; INDEX(cbalSpecProg14Year,xxIndexTeam),"")</f>
        <v/>
      </c>
      <c r="F91" s="34"/>
      <c r="G91" s="1120" t="str">
        <f>adjSpecProgName14</f>
        <v>Design and Manage Value Proposition Marketing</v>
      </c>
      <c r="H91" s="1117"/>
      <c r="I91" s="1118">
        <f>IF(INDEX(cbalSpecProg14Year,xxIndexTeam)&gt;0,D91,0)</f>
        <v>0</v>
      </c>
      <c r="J91" s="1117"/>
      <c r="K91" s="1117"/>
      <c r="L91" s="1117"/>
      <c r="M91" s="1117"/>
      <c r="N91" s="1117"/>
      <c r="O91" s="1117"/>
      <c r="P91" s="1119">
        <f>IF(INDEX(obalSpecProg14Year,xxIndexTeam)&gt;0,0,IF(I91=0,0,INDEX(DataPage!$E$309:$E$335,MATCH(I91,DataPage!$B$309:$B$335,0))))</f>
        <v>0</v>
      </c>
      <c r="Q91" s="1119">
        <f>IF(INDEX(obalSpecProg14Year,xxIndexTeam)&gt;0,0,IF(I91=0,0,INDEX(DataPage!$F$309:$F$335,MATCH(I91,DataPage!$B$309:$B$335,0))))</f>
        <v>0</v>
      </c>
      <c r="R91" s="932"/>
      <c r="Z91" s="1213" t="s">
        <v>3720</v>
      </c>
    </row>
    <row r="92" spans="3:26" ht="5.0999999999999996" customHeight="1">
      <c r="C92" s="931"/>
      <c r="D92" s="936"/>
      <c r="E92" s="1118"/>
      <c r="F92" s="34"/>
      <c r="G92" s="1120"/>
      <c r="H92" s="1117"/>
      <c r="I92" s="1117"/>
      <c r="J92" s="1117"/>
      <c r="K92" s="1117"/>
      <c r="L92" s="1117"/>
      <c r="M92" s="1117"/>
      <c r="N92" s="1117"/>
      <c r="O92" s="1117"/>
      <c r="P92" s="1117"/>
      <c r="Q92" s="1117"/>
      <c r="R92" s="932"/>
    </row>
    <row r="93" spans="3:26">
      <c r="C93" s="931"/>
      <c r="D93" s="936">
        <v>15</v>
      </c>
      <c r="E93" s="1117" t="str">
        <f>IF(INDEX(cbalSpecProg15Chosen,xxIndexTeam)=TRUE,"Selected in Yr "&amp; INDEX(cbalSpecProg15Year,xxIndexTeam),"")</f>
        <v/>
      </c>
      <c r="F93" s="34"/>
      <c r="G93" s="1120" t="str">
        <f>adjSpecProgName15</f>
        <v>Services Team Development</v>
      </c>
      <c r="H93" s="1117"/>
      <c r="I93" s="1118">
        <f>IF(INDEX(cbalSpecProg15Year,xxIndexTeam)&gt;0,D93,0)</f>
        <v>0</v>
      </c>
      <c r="J93" s="1117"/>
      <c r="K93" s="1117"/>
      <c r="L93" s="1117"/>
      <c r="M93" s="1117"/>
      <c r="N93" s="1117"/>
      <c r="O93" s="1117"/>
      <c r="P93" s="1119">
        <f>IF(INDEX(obalSpecProg15Year,xxIndexTeam)&gt;0,0,IF(I93=0,0,INDEX(DataPage!$E$309:$E$335,MATCH(I93,DataPage!$B$309:$B$335,0))))</f>
        <v>0</v>
      </c>
      <c r="Q93" s="1119">
        <f>IF(INDEX(obalSpecProg15Year,xxIndexTeam)&gt;0,0,IF(I93=0,0,INDEX(DataPage!$F$309:$F$335,MATCH(I93,DataPage!$B$309:$B$335,0))))</f>
        <v>0</v>
      </c>
      <c r="R93" s="932"/>
      <c r="Z93" s="1213" t="s">
        <v>3721</v>
      </c>
    </row>
    <row r="94" spans="3:26" ht="5.0999999999999996" customHeight="1">
      <c r="C94" s="931"/>
      <c r="D94" s="936"/>
      <c r="E94" s="1118"/>
      <c r="F94" s="34"/>
      <c r="G94" s="1120"/>
      <c r="H94" s="1117"/>
      <c r="I94" s="1117"/>
      <c r="J94" s="1117"/>
      <c r="K94" s="1117"/>
      <c r="L94" s="1117"/>
      <c r="M94" s="1117"/>
      <c r="N94" s="1117"/>
      <c r="O94" s="1117"/>
      <c r="P94" s="1117"/>
      <c r="Q94" s="1117"/>
      <c r="R94" s="932"/>
    </row>
    <row r="95" spans="3:26">
      <c r="C95" s="931"/>
      <c r="D95" s="936">
        <v>16</v>
      </c>
      <c r="E95" s="1117" t="str">
        <f>IF(INDEX(cbalSpecProg16Chosen,xxIndexTeam)=TRUE,"Selected in Yr "&amp; INDEX(cbalSpecProg16Year,xxIndexTeam),"")</f>
        <v/>
      </c>
      <c r="F95" s="34"/>
      <c r="G95" s="1120" t="str">
        <f>adjSpecProgName16</f>
        <v>Platform Development</v>
      </c>
      <c r="H95" s="1117"/>
      <c r="I95" s="1118">
        <f>IF(INDEX(cbalSpecProg16Year,xxIndexTeam)&gt;0,D95,0)</f>
        <v>0</v>
      </c>
      <c r="J95" s="1117"/>
      <c r="K95" s="1117"/>
      <c r="L95" s="1117"/>
      <c r="M95" s="1117"/>
      <c r="N95" s="1117"/>
      <c r="O95" s="1117"/>
      <c r="P95" s="1119">
        <f>IF(INDEX(obalSpecProg16Year,xxIndexTeam)&gt;0,0,IF(I95=0,0,INDEX(DataPage!$E$309:$E$335,MATCH(I95,DataPage!$B$309:$B$335,0))))</f>
        <v>0</v>
      </c>
      <c r="Q95" s="1119">
        <f>IF(INDEX(obalSpecProg16Year,xxIndexTeam)&gt;0,0,IF(I95=0,0,INDEX(DataPage!$F$309:$F$335,MATCH(I95,DataPage!$B$309:$B$335,0))))</f>
        <v>0</v>
      </c>
      <c r="R95" s="932"/>
      <c r="Z95" s="1213" t="s">
        <v>3722</v>
      </c>
    </row>
    <row r="96" spans="3:26" ht="5.0999999999999996" customHeight="1">
      <c r="C96" s="931"/>
      <c r="D96" s="936"/>
      <c r="E96" s="1117"/>
      <c r="F96" s="34"/>
      <c r="G96" s="1120"/>
      <c r="H96" s="1117"/>
      <c r="I96" s="1117"/>
      <c r="J96" s="1117"/>
      <c r="K96" s="1117"/>
      <c r="L96" s="1117"/>
      <c r="M96" s="1117"/>
      <c r="N96" s="1117"/>
      <c r="O96" s="1117"/>
      <c r="P96" s="1117"/>
      <c r="Q96" s="1117"/>
      <c r="R96" s="932"/>
    </row>
    <row r="97" spans="3:26">
      <c r="C97" s="931"/>
      <c r="D97" s="936">
        <v>17</v>
      </c>
      <c r="E97" s="1117" t="str">
        <f>IF(INDEX(cbalSpecProg17Chosen,xxIndexTeam)=TRUE,"Selected in Yr "&amp; INDEX(cbalSpecProg17Year,xxIndexTeam),"")</f>
        <v/>
      </c>
      <c r="F97" s="34"/>
      <c r="G97" s="1120" t="str">
        <f>adjSpecProgName17</f>
        <v>Invest in E-Commerce</v>
      </c>
      <c r="H97" s="1117"/>
      <c r="I97" s="1118">
        <f>IF(INDEX(cbalSpecProg17Year,xxIndexTeam)&gt;0,D97,0)</f>
        <v>0</v>
      </c>
      <c r="J97" s="1117"/>
      <c r="K97" s="1117"/>
      <c r="L97" s="1117"/>
      <c r="M97" s="1117"/>
      <c r="N97" s="1117"/>
      <c r="O97" s="1117"/>
      <c r="P97" s="1119">
        <f>IF(INDEX(obalSpecProg17Year,xxIndexTeam)&gt;0,0,IF(I97=0,0,INDEX(DataPage!$E$309:$E$335,MATCH(I97,DataPage!$B$309:$B$335,0))))</f>
        <v>0</v>
      </c>
      <c r="Q97" s="1119">
        <f>IF(INDEX(obalSpecProg17Year,xxIndexTeam)&gt;0,0,IF(I97=0,0,INDEX(DataPage!$F$309:$F$335,MATCH(I97,DataPage!$B$309:$B$335,0))))</f>
        <v>0</v>
      </c>
      <c r="R97" s="932"/>
      <c r="Z97" s="1213" t="s">
        <v>3723</v>
      </c>
    </row>
    <row r="98" spans="3:26" ht="5.0999999999999996" customHeight="1">
      <c r="C98" s="931"/>
      <c r="D98" s="936"/>
      <c r="E98" s="1118"/>
      <c r="F98" s="34"/>
      <c r="G98" s="1120"/>
      <c r="H98" s="1117"/>
      <c r="I98" s="1117"/>
      <c r="J98" s="1117"/>
      <c r="K98" s="1117"/>
      <c r="L98" s="1117"/>
      <c r="M98" s="1117"/>
      <c r="N98" s="1117"/>
      <c r="O98" s="1117"/>
      <c r="P98" s="1117"/>
      <c r="Q98" s="1117"/>
      <c r="R98" s="932"/>
    </row>
    <row r="99" spans="3:26">
      <c r="C99" s="931"/>
      <c r="D99" s="936">
        <v>18</v>
      </c>
      <c r="E99" s="1117" t="str">
        <f>IF(INDEX(cbalSpecProg18Chosen,xxIndexTeam)=TRUE,"Selected in Yr "&amp; INDEX(cbalSpecProg18Year,xxIndexTeam),"")</f>
        <v/>
      </c>
      <c r="F99" s="34"/>
      <c r="G99" s="1120" t="str">
        <f>adjSpecProgName18</f>
        <v>Invest in Field Sales Force</v>
      </c>
      <c r="H99" s="1117"/>
      <c r="I99" s="1118">
        <f>IF(INDEX(cbalSpecProg18Year,xxIndexTeam)&gt;0,D99,0)</f>
        <v>0</v>
      </c>
      <c r="J99" s="1117"/>
      <c r="K99" s="1117"/>
      <c r="L99" s="1117"/>
      <c r="M99" s="1117"/>
      <c r="N99" s="1117"/>
      <c r="O99" s="1117"/>
      <c r="P99" s="1119">
        <f>IF(INDEX(obalSpecProg18Year,xxIndexTeam)&gt;0,0,IF(I99=0,0,INDEX(DataPage!$E$309:$E$335,MATCH(I99,DataPage!$B$309:$B$335,0))))</f>
        <v>0</v>
      </c>
      <c r="Q99" s="1119">
        <f>IF(INDEX(obalSpecProg18Year,xxIndexTeam)&gt;0,0,IF(I99=0,0,INDEX(DataPage!$F$309:$F$335,MATCH(I99,DataPage!$B$309:$B$335,0))))</f>
        <v>0</v>
      </c>
      <c r="R99" s="932"/>
      <c r="Z99" s="1213" t="s">
        <v>3724</v>
      </c>
    </row>
    <row r="100" spans="3:26" ht="5.0999999999999996" customHeight="1">
      <c r="C100" s="931"/>
      <c r="D100" s="936"/>
      <c r="E100" s="1118"/>
      <c r="F100" s="34"/>
      <c r="G100" s="1120"/>
      <c r="H100" s="1117"/>
      <c r="I100" s="1117"/>
      <c r="J100" s="1117"/>
      <c r="K100" s="1117"/>
      <c r="L100" s="1117"/>
      <c r="M100" s="1117"/>
      <c r="N100" s="1117"/>
      <c r="O100" s="1117"/>
      <c r="P100" s="1117"/>
      <c r="Q100" s="1117"/>
      <c r="R100" s="932"/>
    </row>
    <row r="101" spans="3:26">
      <c r="C101" s="931"/>
      <c r="D101" s="936">
        <v>19</v>
      </c>
      <c r="E101" s="1117" t="str">
        <f>IF(INDEX(cbalSpecProg19Chosen,xxIndexTeam)=TRUE,"Selected in Yr "&amp; INDEX(cbalSpecProg19Year,xxIndexTeam),"")</f>
        <v/>
      </c>
      <c r="F101" s="34"/>
      <c r="G101" s="1120" t="str">
        <f>adjSpecProgName19</f>
        <v>Invest in Inside Sales Force</v>
      </c>
      <c r="H101" s="1117"/>
      <c r="I101" s="1118">
        <f>IF(INDEX(cbalSpecProg19Year,xxIndexTeam)&gt;0,D101,0)</f>
        <v>0</v>
      </c>
      <c r="J101" s="1117"/>
      <c r="K101" s="1117"/>
      <c r="L101" s="1117"/>
      <c r="M101" s="1117"/>
      <c r="N101" s="1117"/>
      <c r="O101" s="1117"/>
      <c r="P101" s="1119">
        <f>IF(INDEX(obalSpecProg19Year,xxIndexTeam)&gt;0,0,IF(I101=0,0,INDEX(DataPage!$E$309:$E$335,MATCH(I101,DataPage!$B$309:$B$335,0))))</f>
        <v>0</v>
      </c>
      <c r="Q101" s="1119">
        <f>IF(INDEX(obalSpecProg19Year,xxIndexTeam)&gt;0,0,IF(I101=0,0,INDEX(DataPage!$F$309:$F$335,MATCH(I101,DataPage!$B$309:$B$335,0))))</f>
        <v>0</v>
      </c>
      <c r="R101" s="932"/>
      <c r="Z101" s="1213" t="s">
        <v>3725</v>
      </c>
    </row>
    <row r="102" spans="3:26" ht="5.0999999999999996" customHeight="1">
      <c r="C102" s="931"/>
      <c r="D102" s="936"/>
      <c r="E102" s="1118"/>
      <c r="F102" s="34"/>
      <c r="G102" s="1120"/>
      <c r="H102" s="1117"/>
      <c r="I102" s="1117"/>
      <c r="J102" s="1117"/>
      <c r="K102" s="1117"/>
      <c r="L102" s="1117"/>
      <c r="M102" s="1117"/>
      <c r="N102" s="1117"/>
      <c r="O102" s="1117"/>
      <c r="P102" s="1117"/>
      <c r="Q102" s="1117"/>
      <c r="R102" s="932"/>
    </row>
    <row r="103" spans="3:26">
      <c r="C103" s="931"/>
      <c r="D103" s="936">
        <v>20</v>
      </c>
      <c r="E103" s="1117" t="str">
        <f>IF(INDEX(cbalSpecProg20Chosen,xxIndexTeam)=TRUE,"Selected in Yr "&amp; INDEX(cbalSpecProg20Year,xxIndexTeam),"")</f>
        <v/>
      </c>
      <c r="F103" s="34"/>
      <c r="G103" s="1120" t="str">
        <f>adjSpecProgName20</f>
        <v>Obtain Correct Initial Pricing</v>
      </c>
      <c r="H103" s="1117"/>
      <c r="I103" s="1118">
        <f>IF(INDEX(cbalSpecProg20Year,xxIndexTeam)&gt;0,D103,0)</f>
        <v>0</v>
      </c>
      <c r="J103" s="1117"/>
      <c r="K103" s="1117"/>
      <c r="L103" s="1117"/>
      <c r="M103" s="1117"/>
      <c r="N103" s="1117"/>
      <c r="O103" s="1117"/>
      <c r="P103" s="1119">
        <f>IF(INDEX(obalSpecProg20Year,xxIndexTeam)&gt;0,0,IF(I103=0,0,INDEX(DataPage!$E$309:$E$335,MATCH(I103,DataPage!$B$309:$B$335,0))))</f>
        <v>0</v>
      </c>
      <c r="Q103" s="1119">
        <f>IF(INDEX(obalSpecProg20Year,xxIndexTeam)&gt;0,0,IF(I103=0,0,INDEX(DataPage!$F$309:$F$335,MATCH(I103,DataPage!$B$309:$B$335,0))))</f>
        <v>0</v>
      </c>
      <c r="R103" s="932"/>
      <c r="Z103" s="1213" t="s">
        <v>3726</v>
      </c>
    </row>
    <row r="104" spans="3:26" ht="5.0999999999999996" customHeight="1">
      <c r="C104" s="931"/>
      <c r="D104" s="936"/>
      <c r="E104" s="1117"/>
      <c r="F104" s="34"/>
      <c r="G104" s="1120"/>
      <c r="H104" s="1117"/>
      <c r="I104" s="1117"/>
      <c r="J104" s="1117"/>
      <c r="K104" s="1117"/>
      <c r="L104" s="1117"/>
      <c r="M104" s="1117"/>
      <c r="N104" s="1117"/>
      <c r="O104" s="1117"/>
      <c r="P104" s="1117"/>
      <c r="Q104" s="1117"/>
      <c r="R104" s="932"/>
    </row>
    <row r="105" spans="3:26">
      <c r="C105" s="931"/>
      <c r="D105" s="936">
        <v>21</v>
      </c>
      <c r="E105" s="1117" t="str">
        <f>IF(INDEX(cbalSpecProg21Chosen,xxIndexTeam)=TRUE,"Selected in Yr "&amp; INDEX(cbalSpecProg21Year,xxIndexTeam),"")</f>
        <v/>
      </c>
      <c r="F105" s="34"/>
      <c r="G105" s="1120" t="str">
        <f>adjSpecProgName21</f>
        <v>Promote Diversity</v>
      </c>
      <c r="H105" s="1117"/>
      <c r="I105" s="1118">
        <f>IF(INDEX(cbalSpecProg21Year,xxIndexTeam)&gt;0,D105,0)</f>
        <v>0</v>
      </c>
      <c r="J105" s="1117"/>
      <c r="K105" s="1117"/>
      <c r="L105" s="1117"/>
      <c r="M105" s="1117"/>
      <c r="N105" s="1117"/>
      <c r="O105" s="1117"/>
      <c r="P105" s="1119">
        <f>IF(INDEX(obalSpecProg21Year,xxIndexTeam)&gt;0,0,IF(I105=0,0,INDEX(DataPage!$E$309:$E$335,MATCH(I105,DataPage!$B$309:$B$335,0))))</f>
        <v>0</v>
      </c>
      <c r="Q105" s="1119">
        <f>IF(INDEX(obalSpecProg21Year,xxIndexTeam)&gt;0,0,IF(I105=0,0,INDEX(DataPage!$F$309:$F$335,MATCH(I105,DataPage!$B$309:$B$335,0))))</f>
        <v>0</v>
      </c>
      <c r="R105" s="932"/>
      <c r="Z105" s="1213" t="s">
        <v>3727</v>
      </c>
    </row>
    <row r="106" spans="3:26" ht="5.0999999999999996" customHeight="1">
      <c r="C106" s="931"/>
      <c r="D106" s="936"/>
      <c r="E106" s="1118"/>
      <c r="F106" s="34"/>
      <c r="G106" s="1120"/>
      <c r="H106" s="1117"/>
      <c r="I106" s="1117"/>
      <c r="J106" s="1117"/>
      <c r="K106" s="1117"/>
      <c r="L106" s="1117"/>
      <c r="M106" s="1117"/>
      <c r="N106" s="1117"/>
      <c r="O106" s="1117"/>
      <c r="P106" s="1117"/>
      <c r="Q106" s="1117"/>
      <c r="R106" s="932"/>
    </row>
    <row r="107" spans="3:26">
      <c r="C107" s="931"/>
      <c r="D107" s="936">
        <v>22</v>
      </c>
      <c r="E107" s="1117" t="str">
        <f>IF(INDEX(cbalSpecProg22Chosen,xxIndexTeam)=TRUE,"Selected in Yr "&amp; INDEX(cbalSpecProg22Year,xxIndexTeam),"")</f>
        <v/>
      </c>
      <c r="F107" s="34"/>
      <c r="G107" s="1120" t="str">
        <f>adjSpecProgName22</f>
        <v>Focus on Customer Service</v>
      </c>
      <c r="H107" s="1117"/>
      <c r="I107" s="1118">
        <f>IF(INDEX(cbalSpecProg22Year,xxIndexTeam)&gt;0,D107,0)</f>
        <v>0</v>
      </c>
      <c r="J107" s="1117"/>
      <c r="K107" s="1117"/>
      <c r="L107" s="1117"/>
      <c r="M107" s="1117"/>
      <c r="N107" s="1117"/>
      <c r="O107" s="1117"/>
      <c r="P107" s="1119">
        <f>IF(INDEX(obalSpecProg22Year,xxIndexTeam)&gt;0,0,IF(I107=0,0,INDEX(DataPage!$E$309:$E$335,MATCH(I107,DataPage!$B$309:$B$335,0))))</f>
        <v>0</v>
      </c>
      <c r="Q107" s="1119">
        <f>IF(INDEX(obalSpecProg22Year,xxIndexTeam)&gt;0,0,IF(I107=0,0,INDEX(DataPage!$F$309:$F$335,MATCH(I107,DataPage!$B$309:$B$335,0))))</f>
        <v>0</v>
      </c>
      <c r="R107" s="932"/>
      <c r="Z107" s="1213" t="s">
        <v>3728</v>
      </c>
    </row>
    <row r="108" spans="3:26" ht="25.5" customHeight="1" thickBot="1">
      <c r="C108" s="937"/>
      <c r="D108" s="929"/>
      <c r="E108" s="929"/>
      <c r="F108" s="929"/>
      <c r="G108" s="929"/>
      <c r="H108" s="929"/>
      <c r="I108" s="929"/>
      <c r="J108" s="929"/>
      <c r="K108" s="929"/>
      <c r="L108" s="929"/>
      <c r="M108" s="929"/>
      <c r="N108" s="929"/>
      <c r="O108" s="929"/>
      <c r="P108" s="929"/>
      <c r="Q108" s="929"/>
      <c r="R108" s="938"/>
    </row>
  </sheetData>
  <mergeCells count="23">
    <mergeCell ref="C3:R3"/>
    <mergeCell ref="P48:Q48"/>
    <mergeCell ref="P50:Q50"/>
    <mergeCell ref="P52:Q52"/>
    <mergeCell ref="P54:Q54"/>
    <mergeCell ref="P38:Q38"/>
    <mergeCell ref="P40:Q40"/>
    <mergeCell ref="P42:Q42"/>
    <mergeCell ref="P44:Q44"/>
    <mergeCell ref="P46:Q46"/>
    <mergeCell ref="P28:Q28"/>
    <mergeCell ref="P30:Q30"/>
    <mergeCell ref="P32:Q32"/>
    <mergeCell ref="P34:Q34"/>
    <mergeCell ref="P36:Q36"/>
    <mergeCell ref="P26:Q26"/>
    <mergeCell ref="P22:Q22"/>
    <mergeCell ref="P24:Q24"/>
    <mergeCell ref="P20:Q20"/>
    <mergeCell ref="P12:Q12"/>
    <mergeCell ref="P14:Q14"/>
    <mergeCell ref="P16:Q16"/>
    <mergeCell ref="P18:Q18"/>
  </mergeCells>
  <phoneticPr fontId="0" type="noConversion"/>
  <pageMargins left="0.5" right="0.5" top="0.5" bottom="0.5"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4</xdr:col>
                    <xdr:colOff>381000</xdr:colOff>
                    <xdr:row>10</xdr:row>
                    <xdr:rowOff>161925</xdr:rowOff>
                  </from>
                  <to>
                    <xdr:col>6</xdr:col>
                    <xdr:colOff>9525</xdr:colOff>
                    <xdr:row>12</xdr:row>
                    <xdr:rowOff>19050</xdr:rowOff>
                  </to>
                </anchor>
              </controlPr>
            </control>
          </mc:Choice>
        </mc:AlternateContent>
        <mc:AlternateContent xmlns:mc="http://schemas.openxmlformats.org/markup-compatibility/2006">
          <mc:Choice Requires="x14">
            <control shapeId="1032" r:id="rId5" name="Check Box 8">
              <controlPr defaultSize="0" autoFill="0" autoLine="0" autoPict="0">
                <anchor moveWithCells="1">
                  <from>
                    <xdr:col>4</xdr:col>
                    <xdr:colOff>381000</xdr:colOff>
                    <xdr:row>12</xdr:row>
                    <xdr:rowOff>57150</xdr:rowOff>
                  </from>
                  <to>
                    <xdr:col>6</xdr:col>
                    <xdr:colOff>9525</xdr:colOff>
                    <xdr:row>14</xdr:row>
                    <xdr:rowOff>19050</xdr:rowOff>
                  </to>
                </anchor>
              </controlPr>
            </control>
          </mc:Choice>
        </mc:AlternateContent>
        <mc:AlternateContent xmlns:mc="http://schemas.openxmlformats.org/markup-compatibility/2006">
          <mc:Choice Requires="x14">
            <control shapeId="1033" r:id="rId6" name="Check Box 9">
              <controlPr defaultSize="0" autoFill="0" autoLine="0" autoPict="0">
                <anchor moveWithCells="1">
                  <from>
                    <xdr:col>4</xdr:col>
                    <xdr:colOff>381000</xdr:colOff>
                    <xdr:row>14</xdr:row>
                    <xdr:rowOff>57150</xdr:rowOff>
                  </from>
                  <to>
                    <xdr:col>6</xdr:col>
                    <xdr:colOff>9525</xdr:colOff>
                    <xdr:row>16</xdr:row>
                    <xdr:rowOff>19050</xdr:rowOff>
                  </to>
                </anchor>
              </controlPr>
            </control>
          </mc:Choice>
        </mc:AlternateContent>
        <mc:AlternateContent xmlns:mc="http://schemas.openxmlformats.org/markup-compatibility/2006">
          <mc:Choice Requires="x14">
            <control shapeId="1034" r:id="rId7" name="Check Box 10">
              <controlPr defaultSize="0" autoFill="0" autoLine="0" autoPict="0">
                <anchor moveWithCells="1">
                  <from>
                    <xdr:col>4</xdr:col>
                    <xdr:colOff>381000</xdr:colOff>
                    <xdr:row>16</xdr:row>
                    <xdr:rowOff>57150</xdr:rowOff>
                  </from>
                  <to>
                    <xdr:col>6</xdr:col>
                    <xdr:colOff>9525</xdr:colOff>
                    <xdr:row>18</xdr:row>
                    <xdr:rowOff>19050</xdr:rowOff>
                  </to>
                </anchor>
              </controlPr>
            </control>
          </mc:Choice>
        </mc:AlternateContent>
        <mc:AlternateContent xmlns:mc="http://schemas.openxmlformats.org/markup-compatibility/2006">
          <mc:Choice Requires="x14">
            <control shapeId="1035" r:id="rId8" name="Check Box 11">
              <controlPr defaultSize="0" autoFill="0" autoLine="0" autoPict="0">
                <anchor moveWithCells="1">
                  <from>
                    <xdr:col>4</xdr:col>
                    <xdr:colOff>381000</xdr:colOff>
                    <xdr:row>18</xdr:row>
                    <xdr:rowOff>47625</xdr:rowOff>
                  </from>
                  <to>
                    <xdr:col>6</xdr:col>
                    <xdr:colOff>9525</xdr:colOff>
                    <xdr:row>20</xdr:row>
                    <xdr:rowOff>9525</xdr:rowOff>
                  </to>
                </anchor>
              </controlPr>
            </control>
          </mc:Choice>
        </mc:AlternateContent>
        <mc:AlternateContent xmlns:mc="http://schemas.openxmlformats.org/markup-compatibility/2006">
          <mc:Choice Requires="x14">
            <control shapeId="1036" r:id="rId9" name="Check Box 12">
              <controlPr defaultSize="0" autoFill="0" autoLine="0" autoPict="0">
                <anchor moveWithCells="1">
                  <from>
                    <xdr:col>4</xdr:col>
                    <xdr:colOff>381000</xdr:colOff>
                    <xdr:row>20</xdr:row>
                    <xdr:rowOff>57150</xdr:rowOff>
                  </from>
                  <to>
                    <xdr:col>6</xdr:col>
                    <xdr:colOff>9525</xdr:colOff>
                    <xdr:row>22</xdr:row>
                    <xdr:rowOff>19050</xdr:rowOff>
                  </to>
                </anchor>
              </controlPr>
            </control>
          </mc:Choice>
        </mc:AlternateContent>
        <mc:AlternateContent xmlns:mc="http://schemas.openxmlformats.org/markup-compatibility/2006">
          <mc:Choice Requires="x14">
            <control shapeId="1037" r:id="rId10" name="Check Box 13">
              <controlPr defaultSize="0" autoFill="0" autoLine="0" autoPict="0">
                <anchor moveWithCells="1">
                  <from>
                    <xdr:col>4</xdr:col>
                    <xdr:colOff>381000</xdr:colOff>
                    <xdr:row>22</xdr:row>
                    <xdr:rowOff>57150</xdr:rowOff>
                  </from>
                  <to>
                    <xdr:col>6</xdr:col>
                    <xdr:colOff>9525</xdr:colOff>
                    <xdr:row>24</xdr:row>
                    <xdr:rowOff>19050</xdr:rowOff>
                  </to>
                </anchor>
              </controlPr>
            </control>
          </mc:Choice>
        </mc:AlternateContent>
        <mc:AlternateContent xmlns:mc="http://schemas.openxmlformats.org/markup-compatibility/2006">
          <mc:Choice Requires="x14">
            <control shapeId="1038" r:id="rId11" name="Check Box 14">
              <controlPr defaultSize="0" autoFill="0" autoLine="0" autoPict="0">
                <anchor moveWithCells="1">
                  <from>
                    <xdr:col>4</xdr:col>
                    <xdr:colOff>381000</xdr:colOff>
                    <xdr:row>24</xdr:row>
                    <xdr:rowOff>66675</xdr:rowOff>
                  </from>
                  <to>
                    <xdr:col>6</xdr:col>
                    <xdr:colOff>9525</xdr:colOff>
                    <xdr:row>26</xdr:row>
                    <xdr:rowOff>28575</xdr:rowOff>
                  </to>
                </anchor>
              </controlPr>
            </control>
          </mc:Choice>
        </mc:AlternateContent>
        <mc:AlternateContent xmlns:mc="http://schemas.openxmlformats.org/markup-compatibility/2006">
          <mc:Choice Requires="x14">
            <control shapeId="1039" r:id="rId12" name="Check Box 15">
              <controlPr defaultSize="0" autoFill="0" autoLine="0" autoPict="0">
                <anchor moveWithCells="1">
                  <from>
                    <xdr:col>4</xdr:col>
                    <xdr:colOff>381000</xdr:colOff>
                    <xdr:row>26</xdr:row>
                    <xdr:rowOff>66675</xdr:rowOff>
                  </from>
                  <to>
                    <xdr:col>6</xdr:col>
                    <xdr:colOff>9525</xdr:colOff>
                    <xdr:row>28</xdr:row>
                    <xdr:rowOff>28575</xdr:rowOff>
                  </to>
                </anchor>
              </controlPr>
            </control>
          </mc:Choice>
        </mc:AlternateContent>
        <mc:AlternateContent xmlns:mc="http://schemas.openxmlformats.org/markup-compatibility/2006">
          <mc:Choice Requires="x14">
            <control shapeId="1040" r:id="rId13" name="Check Box 16">
              <controlPr defaultSize="0" autoFill="0" autoLine="0" autoPict="0">
                <anchor moveWithCells="1">
                  <from>
                    <xdr:col>4</xdr:col>
                    <xdr:colOff>381000</xdr:colOff>
                    <xdr:row>28</xdr:row>
                    <xdr:rowOff>57150</xdr:rowOff>
                  </from>
                  <to>
                    <xdr:col>6</xdr:col>
                    <xdr:colOff>9525</xdr:colOff>
                    <xdr:row>30</xdr:row>
                    <xdr:rowOff>19050</xdr:rowOff>
                  </to>
                </anchor>
              </controlPr>
            </control>
          </mc:Choice>
        </mc:AlternateContent>
        <mc:AlternateContent xmlns:mc="http://schemas.openxmlformats.org/markup-compatibility/2006">
          <mc:Choice Requires="x14">
            <control shapeId="1041" r:id="rId14" name="Check Box 17">
              <controlPr defaultSize="0" autoFill="0" autoLine="0" autoPict="0">
                <anchor moveWithCells="1">
                  <from>
                    <xdr:col>4</xdr:col>
                    <xdr:colOff>381000</xdr:colOff>
                    <xdr:row>30</xdr:row>
                    <xdr:rowOff>57150</xdr:rowOff>
                  </from>
                  <to>
                    <xdr:col>6</xdr:col>
                    <xdr:colOff>9525</xdr:colOff>
                    <xdr:row>32</xdr:row>
                    <xdr:rowOff>19050</xdr:rowOff>
                  </to>
                </anchor>
              </controlPr>
            </control>
          </mc:Choice>
        </mc:AlternateContent>
        <mc:AlternateContent xmlns:mc="http://schemas.openxmlformats.org/markup-compatibility/2006">
          <mc:Choice Requires="x14">
            <control shapeId="1042" r:id="rId15" name="Check Box 18">
              <controlPr defaultSize="0" autoFill="0" autoLine="0" autoPict="0">
                <anchor moveWithCells="1">
                  <from>
                    <xdr:col>4</xdr:col>
                    <xdr:colOff>381000</xdr:colOff>
                    <xdr:row>32</xdr:row>
                    <xdr:rowOff>57150</xdr:rowOff>
                  </from>
                  <to>
                    <xdr:col>6</xdr:col>
                    <xdr:colOff>9525</xdr:colOff>
                    <xdr:row>34</xdr:row>
                    <xdr:rowOff>19050</xdr:rowOff>
                  </to>
                </anchor>
              </controlPr>
            </control>
          </mc:Choice>
        </mc:AlternateContent>
        <mc:AlternateContent xmlns:mc="http://schemas.openxmlformats.org/markup-compatibility/2006">
          <mc:Choice Requires="x14">
            <control shapeId="1043" r:id="rId16" name="Check Box 19">
              <controlPr defaultSize="0" autoFill="0" autoLine="0" autoPict="0">
                <anchor moveWithCells="1">
                  <from>
                    <xdr:col>4</xdr:col>
                    <xdr:colOff>381000</xdr:colOff>
                    <xdr:row>34</xdr:row>
                    <xdr:rowOff>47625</xdr:rowOff>
                  </from>
                  <to>
                    <xdr:col>6</xdr:col>
                    <xdr:colOff>9525</xdr:colOff>
                    <xdr:row>36</xdr:row>
                    <xdr:rowOff>9525</xdr:rowOff>
                  </to>
                </anchor>
              </controlPr>
            </control>
          </mc:Choice>
        </mc:AlternateContent>
        <mc:AlternateContent xmlns:mc="http://schemas.openxmlformats.org/markup-compatibility/2006">
          <mc:Choice Requires="x14">
            <control shapeId="1044" r:id="rId17" name="Check Box 20">
              <controlPr defaultSize="0" autoFill="0" autoLine="0" autoPict="0">
                <anchor moveWithCells="1">
                  <from>
                    <xdr:col>4</xdr:col>
                    <xdr:colOff>381000</xdr:colOff>
                    <xdr:row>36</xdr:row>
                    <xdr:rowOff>57150</xdr:rowOff>
                  </from>
                  <to>
                    <xdr:col>6</xdr:col>
                    <xdr:colOff>9525</xdr:colOff>
                    <xdr:row>38</xdr:row>
                    <xdr:rowOff>19050</xdr:rowOff>
                  </to>
                </anchor>
              </controlPr>
            </control>
          </mc:Choice>
        </mc:AlternateContent>
        <mc:AlternateContent xmlns:mc="http://schemas.openxmlformats.org/markup-compatibility/2006">
          <mc:Choice Requires="x14">
            <control shapeId="1045" r:id="rId18" name="Check Box 21">
              <controlPr defaultSize="0" autoFill="0" autoLine="0" autoPict="0">
                <anchor moveWithCells="1">
                  <from>
                    <xdr:col>4</xdr:col>
                    <xdr:colOff>381000</xdr:colOff>
                    <xdr:row>38</xdr:row>
                    <xdr:rowOff>57150</xdr:rowOff>
                  </from>
                  <to>
                    <xdr:col>6</xdr:col>
                    <xdr:colOff>9525</xdr:colOff>
                    <xdr:row>40</xdr:row>
                    <xdr:rowOff>19050</xdr:rowOff>
                  </to>
                </anchor>
              </controlPr>
            </control>
          </mc:Choice>
        </mc:AlternateContent>
        <mc:AlternateContent xmlns:mc="http://schemas.openxmlformats.org/markup-compatibility/2006">
          <mc:Choice Requires="x14">
            <control shapeId="1046" r:id="rId19" name="Check Box 22">
              <controlPr defaultSize="0" autoFill="0" autoLine="0" autoPict="0">
                <anchor moveWithCells="1">
                  <from>
                    <xdr:col>4</xdr:col>
                    <xdr:colOff>381000</xdr:colOff>
                    <xdr:row>40</xdr:row>
                    <xdr:rowOff>66675</xdr:rowOff>
                  </from>
                  <to>
                    <xdr:col>6</xdr:col>
                    <xdr:colOff>9525</xdr:colOff>
                    <xdr:row>42</xdr:row>
                    <xdr:rowOff>28575</xdr:rowOff>
                  </to>
                </anchor>
              </controlPr>
            </control>
          </mc:Choice>
        </mc:AlternateContent>
        <mc:AlternateContent xmlns:mc="http://schemas.openxmlformats.org/markup-compatibility/2006">
          <mc:Choice Requires="x14">
            <control shapeId="1047" r:id="rId20" name="Check Box 23">
              <controlPr defaultSize="0" autoFill="0" autoLine="0" autoPict="0">
                <anchor moveWithCells="1">
                  <from>
                    <xdr:col>4</xdr:col>
                    <xdr:colOff>381000</xdr:colOff>
                    <xdr:row>42</xdr:row>
                    <xdr:rowOff>57150</xdr:rowOff>
                  </from>
                  <to>
                    <xdr:col>6</xdr:col>
                    <xdr:colOff>9525</xdr:colOff>
                    <xdr:row>44</xdr:row>
                    <xdr:rowOff>19050</xdr:rowOff>
                  </to>
                </anchor>
              </controlPr>
            </control>
          </mc:Choice>
        </mc:AlternateContent>
        <mc:AlternateContent xmlns:mc="http://schemas.openxmlformats.org/markup-compatibility/2006">
          <mc:Choice Requires="x14">
            <control shapeId="1048" r:id="rId21" name="Check Box 24">
              <controlPr defaultSize="0" autoFill="0" autoLine="0" autoPict="0">
                <anchor moveWithCells="1">
                  <from>
                    <xdr:col>4</xdr:col>
                    <xdr:colOff>381000</xdr:colOff>
                    <xdr:row>44</xdr:row>
                    <xdr:rowOff>57150</xdr:rowOff>
                  </from>
                  <to>
                    <xdr:col>6</xdr:col>
                    <xdr:colOff>9525</xdr:colOff>
                    <xdr:row>46</xdr:row>
                    <xdr:rowOff>19050</xdr:rowOff>
                  </to>
                </anchor>
              </controlPr>
            </control>
          </mc:Choice>
        </mc:AlternateContent>
        <mc:AlternateContent xmlns:mc="http://schemas.openxmlformats.org/markup-compatibility/2006">
          <mc:Choice Requires="x14">
            <control shapeId="1049" r:id="rId22" name="Check Box 25">
              <controlPr defaultSize="0" autoFill="0" autoLine="0" autoPict="0">
                <anchor moveWithCells="1">
                  <from>
                    <xdr:col>4</xdr:col>
                    <xdr:colOff>381000</xdr:colOff>
                    <xdr:row>46</xdr:row>
                    <xdr:rowOff>57150</xdr:rowOff>
                  </from>
                  <to>
                    <xdr:col>6</xdr:col>
                    <xdr:colOff>9525</xdr:colOff>
                    <xdr:row>48</xdr:row>
                    <xdr:rowOff>19050</xdr:rowOff>
                  </to>
                </anchor>
              </controlPr>
            </control>
          </mc:Choice>
        </mc:AlternateContent>
        <mc:AlternateContent xmlns:mc="http://schemas.openxmlformats.org/markup-compatibility/2006">
          <mc:Choice Requires="x14">
            <control shapeId="1050" r:id="rId23" name="Check Box 26">
              <controlPr defaultSize="0" autoFill="0" autoLine="0" autoPict="0">
                <anchor moveWithCells="1">
                  <from>
                    <xdr:col>4</xdr:col>
                    <xdr:colOff>381000</xdr:colOff>
                    <xdr:row>48</xdr:row>
                    <xdr:rowOff>47625</xdr:rowOff>
                  </from>
                  <to>
                    <xdr:col>6</xdr:col>
                    <xdr:colOff>9525</xdr:colOff>
                    <xdr:row>50</xdr:row>
                    <xdr:rowOff>9525</xdr:rowOff>
                  </to>
                </anchor>
              </controlPr>
            </control>
          </mc:Choice>
        </mc:AlternateContent>
        <mc:AlternateContent xmlns:mc="http://schemas.openxmlformats.org/markup-compatibility/2006">
          <mc:Choice Requires="x14">
            <control shapeId="1051" r:id="rId24" name="Check Box 27">
              <controlPr defaultSize="0" autoFill="0" autoLine="0" autoPict="0">
                <anchor moveWithCells="1">
                  <from>
                    <xdr:col>4</xdr:col>
                    <xdr:colOff>381000</xdr:colOff>
                    <xdr:row>50</xdr:row>
                    <xdr:rowOff>57150</xdr:rowOff>
                  </from>
                  <to>
                    <xdr:col>6</xdr:col>
                    <xdr:colOff>9525</xdr:colOff>
                    <xdr:row>52</xdr:row>
                    <xdr:rowOff>19050</xdr:rowOff>
                  </to>
                </anchor>
              </controlPr>
            </control>
          </mc:Choice>
        </mc:AlternateContent>
        <mc:AlternateContent xmlns:mc="http://schemas.openxmlformats.org/markup-compatibility/2006">
          <mc:Choice Requires="x14">
            <control shapeId="1052" r:id="rId25" name="Check Box 28">
              <controlPr defaultSize="0" autoFill="0" autoLine="0" autoPict="0">
                <anchor moveWithCells="1">
                  <from>
                    <xdr:col>4</xdr:col>
                    <xdr:colOff>381000</xdr:colOff>
                    <xdr:row>52</xdr:row>
                    <xdr:rowOff>57150</xdr:rowOff>
                  </from>
                  <to>
                    <xdr:col>6</xdr:col>
                    <xdr:colOff>9525</xdr:colOff>
                    <xdr:row>54</xdr:row>
                    <xdr:rowOff>19050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H41"/>
  <sheetViews>
    <sheetView showGridLines="0" workbookViewId="0"/>
  </sheetViews>
  <sheetFormatPr defaultRowHeight="12"/>
  <cols>
    <col min="1" max="1" width="3" style="4" customWidth="1"/>
    <col min="2" max="2" width="2.6640625" style="4" customWidth="1"/>
    <col min="3" max="3" width="3.33203125" style="4" customWidth="1"/>
    <col min="4" max="4" width="44.5" style="4" customWidth="1"/>
    <col min="5" max="5" width="20.6640625" style="418" customWidth="1"/>
    <col min="6" max="7" width="14.83203125" style="418" customWidth="1"/>
    <col min="8" max="8" width="3" style="4" customWidth="1"/>
    <col min="9" max="9" width="9.6640625" style="4" bestFit="1" customWidth="1"/>
    <col min="10" max="10" width="16.6640625" style="4" bestFit="1" customWidth="1"/>
    <col min="11" max="11" width="13.6640625" style="4" customWidth="1"/>
    <col min="12" max="16384" width="9.33203125" style="4"/>
  </cols>
  <sheetData>
    <row r="1" spans="2:8" ht="12.75" thickBot="1"/>
    <row r="2" spans="2:8" ht="18.75" thickBot="1">
      <c r="B2" s="432" t="s">
        <v>884</v>
      </c>
      <c r="C2" s="433"/>
      <c r="D2" s="433"/>
      <c r="E2" s="456">
        <v>1</v>
      </c>
      <c r="F2" s="456">
        <v>2</v>
      </c>
      <c r="G2" s="456">
        <v>3</v>
      </c>
      <c r="H2" s="406"/>
    </row>
    <row r="3" spans="2:8" ht="13.5" thickBot="1">
      <c r="B3" s="434"/>
      <c r="C3" s="435"/>
      <c r="D3" s="435"/>
      <c r="E3" s="436"/>
      <c r="F3" s="436"/>
      <c r="G3" s="436"/>
      <c r="H3" s="408"/>
    </row>
    <row r="4" spans="2:8" ht="16.5" thickBot="1">
      <c r="B4" s="437" t="str">
        <f>INDEX(decTeamName,2)&amp;" Competitor Intelligence"</f>
        <v>Bloomfield Competitor Intelligence</v>
      </c>
      <c r="C4" s="438"/>
      <c r="D4" s="438"/>
      <c r="E4" s="439"/>
      <c r="F4" s="439"/>
      <c r="G4" s="439"/>
      <c r="H4" s="431"/>
    </row>
    <row r="5" spans="2:8" ht="13.5" customHeight="1">
      <c r="B5" s="440"/>
      <c r="C5" s="441"/>
      <c r="D5" s="442"/>
      <c r="E5" s="436"/>
      <c r="F5" s="436"/>
      <c r="G5" s="436"/>
      <c r="H5" s="407"/>
    </row>
    <row r="6" spans="2:8" ht="13.5" customHeight="1">
      <c r="B6" s="444" t="s">
        <v>651</v>
      </c>
      <c r="C6" s="445"/>
      <c r="D6" s="443"/>
      <c r="E6" s="436"/>
      <c r="F6" s="436"/>
      <c r="G6" s="436"/>
      <c r="H6" s="407"/>
    </row>
    <row r="7" spans="2:8" ht="13.5" customHeight="1">
      <c r="B7" s="444"/>
      <c r="C7" s="445" t="str">
        <f>"Price "&amp; DataNameProd1</f>
        <v>Price Growth</v>
      </c>
      <c r="D7" s="443"/>
      <c r="E7" s="1022">
        <f>INDEX(decProd1Price,2)</f>
        <v>11880.000000000002</v>
      </c>
      <c r="F7" s="545" t="s">
        <v>3094</v>
      </c>
      <c r="G7" s="436"/>
      <c r="H7" s="407"/>
    </row>
    <row r="8" spans="2:8" ht="13.5" customHeight="1">
      <c r="B8" s="444"/>
      <c r="C8" s="445" t="str">
        <f>"Price "&amp; DataNameProd2</f>
        <v>Price Transform</v>
      </c>
      <c r="D8" s="443"/>
      <c r="E8" s="1022">
        <f>INDEX(decProd2Price,2)</f>
        <v>12600</v>
      </c>
      <c r="F8" s="545" t="s">
        <v>3095</v>
      </c>
      <c r="G8" s="436"/>
      <c r="H8" s="407"/>
    </row>
    <row r="9" spans="2:8" ht="13.5" customHeight="1">
      <c r="B9" s="444"/>
      <c r="C9" s="445" t="str">
        <f>DataNameProd1</f>
        <v>Growth</v>
      </c>
      <c r="D9" s="443"/>
      <c r="E9" s="521">
        <f>INDEX(obalPNLProd1Rev,2)/INDEX(obalPNLRev,2)</f>
        <v>0.45536049592927891</v>
      </c>
      <c r="F9" s="545" t="s">
        <v>787</v>
      </c>
      <c r="G9" s="436"/>
      <c r="H9" s="407"/>
    </row>
    <row r="10" spans="2:8" ht="13.5" customHeight="1">
      <c r="B10" s="444"/>
      <c r="C10" s="445" t="str">
        <f>DataNameProd2</f>
        <v>Transform</v>
      </c>
      <c r="D10" s="443"/>
      <c r="E10" s="521">
        <f>INDEX(obalPNLProd2Rev,2)/INDEX(obalPNLRev,2)</f>
        <v>0.54463950407072093</v>
      </c>
      <c r="F10" s="545" t="s">
        <v>788</v>
      </c>
      <c r="G10" s="436"/>
      <c r="H10" s="407"/>
    </row>
    <row r="11" spans="2:8" ht="13.5" customHeight="1">
      <c r="B11" s="444"/>
      <c r="C11" s="445"/>
      <c r="D11" s="443"/>
      <c r="E11" s="436"/>
      <c r="F11" s="545"/>
      <c r="G11" s="436"/>
      <c r="H11" s="407"/>
    </row>
    <row r="12" spans="2:8" ht="13.5" customHeight="1">
      <c r="B12" s="444" t="s">
        <v>652</v>
      </c>
      <c r="C12" s="445"/>
      <c r="D12" s="443"/>
      <c r="E12" s="436"/>
      <c r="F12" s="545"/>
      <c r="G12" s="436"/>
      <c r="H12" s="407"/>
    </row>
    <row r="13" spans="2:8" ht="13.5" customHeight="1">
      <c r="B13" s="444"/>
      <c r="C13" s="445" t="s">
        <v>1427</v>
      </c>
      <c r="D13" s="443"/>
      <c r="E13" s="668">
        <f>INDEX(finPNLEmpExp,2)</f>
        <v>1749815042.0956995</v>
      </c>
      <c r="F13" s="545"/>
      <c r="G13" s="436"/>
      <c r="H13" s="407"/>
    </row>
    <row r="14" spans="2:8" ht="13.5" customHeight="1">
      <c r="B14" s="444"/>
      <c r="C14" s="445" t="s">
        <v>1533</v>
      </c>
      <c r="D14" s="443"/>
      <c r="E14" s="668">
        <f>INDEX(finPNLRevExp,2)</f>
        <v>507060027.37474138</v>
      </c>
      <c r="F14" s="545"/>
      <c r="G14" s="436"/>
      <c r="H14" s="407"/>
    </row>
    <row r="15" spans="2:8" ht="13.5" customHeight="1">
      <c r="B15" s="444"/>
      <c r="C15" s="445" t="s">
        <v>1556</v>
      </c>
      <c r="D15" s="443"/>
      <c r="E15" s="668">
        <f>INDEX(finPNLProdDevExp,2)</f>
        <v>5000000</v>
      </c>
      <c r="F15" s="545"/>
      <c r="G15" s="436"/>
      <c r="H15" s="407"/>
    </row>
    <row r="16" spans="2:8" ht="13.5" customHeight="1">
      <c r="B16" s="444"/>
      <c r="C16" s="445" t="s">
        <v>1557</v>
      </c>
      <c r="D16" s="443"/>
      <c r="E16" s="668">
        <f>INDEX(finPNLAdminInfraExp,2)</f>
        <v>294000000</v>
      </c>
      <c r="F16" s="545"/>
      <c r="G16" s="436"/>
      <c r="H16" s="407"/>
    </row>
    <row r="17" spans="2:8" ht="13.5" customHeight="1">
      <c r="B17" s="444"/>
      <c r="C17" s="445" t="s">
        <v>1893</v>
      </c>
      <c r="D17" s="443"/>
      <c r="E17" s="668">
        <f>INDEX(finPNLOtherOpExp,2)</f>
        <v>181000000</v>
      </c>
      <c r="F17" s="545"/>
      <c r="G17" s="436"/>
      <c r="H17" s="407"/>
    </row>
    <row r="18" spans="2:8" ht="13.5" customHeight="1">
      <c r="B18" s="444"/>
      <c r="C18" s="445"/>
      <c r="D18" s="443"/>
      <c r="E18" s="436"/>
      <c r="F18" s="545"/>
      <c r="G18" s="436"/>
      <c r="H18" s="407"/>
    </row>
    <row r="19" spans="2:8" ht="13.5" customHeight="1">
      <c r="B19" s="444"/>
      <c r="C19" s="445" t="s">
        <v>473</v>
      </c>
      <c r="D19" s="443"/>
      <c r="E19" s="544">
        <f>INDEX(obalPNLOperatingMargin,2)</f>
        <v>0.1900023113894177</v>
      </c>
      <c r="F19" s="545"/>
      <c r="G19" s="436"/>
      <c r="H19" s="407"/>
    </row>
    <row r="20" spans="2:8" ht="13.5" customHeight="1">
      <c r="B20" s="444"/>
      <c r="C20" s="445" t="s">
        <v>1276</v>
      </c>
      <c r="D20" s="443"/>
      <c r="E20" s="668">
        <f>INDEX(obalPNLRev,2)</f>
        <v>4411410974.5023985</v>
      </c>
      <c r="F20" s="545"/>
      <c r="G20" s="436"/>
      <c r="H20" s="407"/>
    </row>
    <row r="21" spans="2:8" ht="13.5" customHeight="1">
      <c r="B21" s="444"/>
      <c r="C21" s="445"/>
      <c r="D21" s="443"/>
      <c r="E21" s="436"/>
      <c r="F21" s="545"/>
      <c r="G21" s="436"/>
      <c r="H21" s="407"/>
    </row>
    <row r="22" spans="2:8" ht="13.5" customHeight="1" thickBot="1">
      <c r="B22" s="444"/>
      <c r="C22" s="445"/>
      <c r="D22" s="443"/>
      <c r="E22" s="436"/>
      <c r="F22" s="545"/>
      <c r="G22" s="436"/>
      <c r="H22" s="407"/>
    </row>
    <row r="23" spans="2:8" ht="16.5" thickBot="1">
      <c r="B23" s="437" t="str">
        <f>INDEX(decTeamName,3)&amp;" Competitor Intelligence"</f>
        <v>Nextus Competitor Intelligence</v>
      </c>
      <c r="C23" s="438"/>
      <c r="D23" s="438"/>
      <c r="E23" s="439"/>
      <c r="F23" s="546"/>
      <c r="G23" s="439"/>
      <c r="H23" s="431"/>
    </row>
    <row r="24" spans="2:8" ht="13.5" customHeight="1">
      <c r="B24" s="444"/>
      <c r="C24" s="445"/>
      <c r="D24" s="443"/>
      <c r="E24" s="436"/>
      <c r="F24" s="545"/>
      <c r="G24" s="436"/>
      <c r="H24" s="407"/>
    </row>
    <row r="25" spans="2:8" ht="13.5" customHeight="1">
      <c r="B25" s="444" t="s">
        <v>651</v>
      </c>
      <c r="C25" s="445"/>
      <c r="D25" s="443"/>
      <c r="E25" s="436"/>
      <c r="F25" s="545"/>
      <c r="G25" s="436"/>
      <c r="H25" s="407"/>
    </row>
    <row r="26" spans="2:8" ht="13.5" customHeight="1">
      <c r="B26" s="444"/>
      <c r="C26" s="445" t="str">
        <f>"Price "&amp; DataNameProd1</f>
        <v>Price Growth</v>
      </c>
      <c r="D26" s="443"/>
      <c r="E26" s="1022">
        <f>INDEX(decProd1Price,3)</f>
        <v>10476</v>
      </c>
      <c r="F26" s="545" t="s">
        <v>3096</v>
      </c>
      <c r="G26" s="436"/>
      <c r="H26" s="407"/>
    </row>
    <row r="27" spans="2:8" ht="13.5" customHeight="1">
      <c r="B27" s="444"/>
      <c r="C27" s="445" t="str">
        <f>"Price "&amp; DataNameProd2</f>
        <v>Price Transform</v>
      </c>
      <c r="D27" s="443"/>
      <c r="E27" s="1022">
        <f>INDEX(decProd2Price,3)</f>
        <v>11640</v>
      </c>
      <c r="F27" s="545" t="s">
        <v>3097</v>
      </c>
      <c r="G27" s="436"/>
      <c r="H27" s="407"/>
    </row>
    <row r="28" spans="2:8" ht="13.5" customHeight="1">
      <c r="B28" s="444"/>
      <c r="C28" s="445" t="str">
        <f>DataNameProd1</f>
        <v>Growth</v>
      </c>
      <c r="D28" s="443"/>
      <c r="E28" s="521">
        <f>INDEX(obalPNLProd1Rev,3)/INDEX(obalPNLRev,3)</f>
        <v>0.45536049592927891</v>
      </c>
      <c r="F28" s="545" t="s">
        <v>789</v>
      </c>
      <c r="G28" s="436"/>
      <c r="H28" s="407"/>
    </row>
    <row r="29" spans="2:8" ht="13.5" customHeight="1">
      <c r="B29" s="444"/>
      <c r="C29" s="445" t="str">
        <f>DataNameProd2</f>
        <v>Transform</v>
      </c>
      <c r="D29" s="443"/>
      <c r="E29" s="521">
        <f>INDEX(obalPNLProd2Rev,3)/INDEX(obalPNLRev,3)</f>
        <v>0.54463950407072093</v>
      </c>
      <c r="F29" s="545" t="s">
        <v>790</v>
      </c>
      <c r="G29" s="436"/>
      <c r="H29" s="407"/>
    </row>
    <row r="30" spans="2:8" ht="13.5" customHeight="1">
      <c r="B30" s="444"/>
      <c r="C30" s="445"/>
      <c r="D30" s="443"/>
      <c r="E30" s="436"/>
      <c r="F30" s="545"/>
      <c r="G30" s="436"/>
      <c r="H30" s="407"/>
    </row>
    <row r="31" spans="2:8" ht="13.5" customHeight="1">
      <c r="B31" s="444" t="s">
        <v>652</v>
      </c>
      <c r="D31" s="443"/>
      <c r="E31" s="436"/>
      <c r="F31" s="545"/>
      <c r="G31" s="436"/>
      <c r="H31" s="407"/>
    </row>
    <row r="32" spans="2:8" ht="13.5" customHeight="1">
      <c r="B32" s="444"/>
      <c r="C32" s="445" t="s">
        <v>1427</v>
      </c>
      <c r="D32" s="443"/>
      <c r="E32" s="543">
        <f>INDEX(finPNLEmpExp,3)</f>
        <v>1531397169.8875041</v>
      </c>
      <c r="F32" s="545"/>
      <c r="G32" s="436"/>
      <c r="H32" s="407"/>
    </row>
    <row r="33" spans="2:8" ht="13.5" customHeight="1">
      <c r="B33" s="444"/>
      <c r="C33" s="445" t="s">
        <v>1533</v>
      </c>
      <c r="D33" s="443"/>
      <c r="E33" s="543">
        <f>INDEX(finPNLRevExp,3)</f>
        <v>384641542.69712645</v>
      </c>
      <c r="F33" s="545"/>
      <c r="G33" s="436"/>
      <c r="H33" s="407"/>
    </row>
    <row r="34" spans="2:8" ht="13.5" customHeight="1">
      <c r="B34" s="444"/>
      <c r="C34" s="445" t="s">
        <v>1556</v>
      </c>
      <c r="D34" s="443"/>
      <c r="E34" s="543">
        <f>INDEX(finPNLProdDevExp,3)</f>
        <v>5000000.0000000009</v>
      </c>
      <c r="F34" s="545"/>
      <c r="G34" s="436"/>
      <c r="H34" s="407"/>
    </row>
    <row r="35" spans="2:8" ht="13.5" customHeight="1">
      <c r="B35" s="444"/>
      <c r="C35" s="445" t="s">
        <v>1557</v>
      </c>
      <c r="D35" s="443"/>
      <c r="E35" s="543">
        <f>INDEX(finPNLAdminInfraExp,3)</f>
        <v>237500000</v>
      </c>
      <c r="F35" s="545"/>
      <c r="G35" s="436"/>
      <c r="H35" s="407"/>
    </row>
    <row r="36" spans="2:8" ht="13.5" customHeight="1">
      <c r="B36" s="444"/>
      <c r="C36" s="445" t="s">
        <v>1893</v>
      </c>
      <c r="D36" s="443"/>
      <c r="E36" s="543">
        <f>INDEX(finPNLOtherOpExp,3)</f>
        <v>181000000</v>
      </c>
      <c r="F36" s="545"/>
      <c r="G36" s="436"/>
      <c r="H36" s="407"/>
    </row>
    <row r="37" spans="2:8" ht="13.5" customHeight="1">
      <c r="B37" s="444"/>
      <c r="C37" s="445"/>
      <c r="D37" s="443"/>
      <c r="E37" s="436"/>
      <c r="F37" s="545"/>
      <c r="G37" s="436"/>
      <c r="H37" s="407"/>
    </row>
    <row r="38" spans="2:8" ht="13.5" customHeight="1">
      <c r="B38" s="444"/>
      <c r="C38" s="445" t="s">
        <v>473</v>
      </c>
      <c r="D38" s="443"/>
      <c r="E38" s="544">
        <f>INDEX(obalPNLOperatingMargin,3)</f>
        <v>0.1900023113894177</v>
      </c>
      <c r="F38" s="545"/>
      <c r="G38" s="436"/>
      <c r="H38" s="407"/>
    </row>
    <row r="39" spans="2:8" ht="13.5" customHeight="1">
      <c r="B39" s="444"/>
      <c r="C39" s="445" t="s">
        <v>1276</v>
      </c>
      <c r="D39" s="443"/>
      <c r="E39" s="668">
        <f>INDEX(obalPNLRev,3)</f>
        <v>4411410974.5023985</v>
      </c>
      <c r="F39" s="545"/>
      <c r="G39" s="436"/>
      <c r="H39" s="407"/>
    </row>
    <row r="40" spans="2:8" ht="13.5" customHeight="1">
      <c r="B40" s="444"/>
      <c r="C40" s="445"/>
      <c r="D40" s="443"/>
      <c r="E40" s="436"/>
      <c r="F40" s="436"/>
      <c r="G40" s="436"/>
      <c r="H40" s="407"/>
    </row>
    <row r="41" spans="2:8" ht="13.5" thickBot="1">
      <c r="B41" s="446"/>
      <c r="C41" s="447"/>
      <c r="D41" s="447"/>
      <c r="E41" s="448"/>
      <c r="F41" s="449"/>
      <c r="G41" s="449"/>
      <c r="H41" s="56"/>
    </row>
  </sheetData>
  <phoneticPr fontId="0" type="noConversion"/>
  <printOptions horizontalCentered="1"/>
  <pageMargins left="0.5" right="0.5" top="0.6" bottom="0.6" header="0.5" footer="0.5"/>
  <pageSetup scale="82" fitToHeight="15" orientation="landscape" r:id="rId1"/>
  <headerFooter alignWithMargins="0">
    <oddFooter>&amp;CPage &amp;P of &amp;N</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T339"/>
  <sheetViews>
    <sheetView view="pageBreakPreview" topLeftCell="A28" zoomScaleNormal="100" zoomScaleSheetLayoutView="100" workbookViewId="0">
      <selection activeCell="E46" sqref="E46"/>
    </sheetView>
  </sheetViews>
  <sheetFormatPr defaultRowHeight="11.25"/>
  <cols>
    <col min="1" max="1" width="9.5" customWidth="1"/>
    <col min="2" max="2" width="15" customWidth="1"/>
    <col min="3" max="3" width="6.5" customWidth="1"/>
    <col min="4" max="4" width="8.1640625" customWidth="1"/>
    <col min="5" max="11" width="14.1640625" customWidth="1"/>
    <col min="13" max="13" width="13" customWidth="1"/>
    <col min="15" max="15" width="15.1640625" bestFit="1" customWidth="1"/>
  </cols>
  <sheetData>
    <row r="1" spans="1:11" s="565" customFormat="1">
      <c r="A1" s="3" t="s">
        <v>2804</v>
      </c>
      <c r="J1" s="785">
        <f ca="1">NOW()</f>
        <v>41680.394886574075</v>
      </c>
    </row>
    <row r="2" spans="1:11" s="565" customFormat="1">
      <c r="A2" s="565">
        <v>1</v>
      </c>
      <c r="B2" s="565">
        <v>2</v>
      </c>
      <c r="C2" s="565">
        <v>3</v>
      </c>
      <c r="D2" s="565">
        <v>4</v>
      </c>
      <c r="E2" s="565">
        <v>4</v>
      </c>
      <c r="F2" s="565">
        <v>5</v>
      </c>
      <c r="G2" s="565">
        <v>6</v>
      </c>
      <c r="H2" s="565">
        <v>7</v>
      </c>
      <c r="I2" s="565">
        <v>8</v>
      </c>
      <c r="J2" s="565">
        <v>9</v>
      </c>
      <c r="K2" s="565">
        <v>10</v>
      </c>
    </row>
    <row r="4" spans="1:11">
      <c r="B4" t="s">
        <v>286</v>
      </c>
      <c r="E4" s="5">
        <f>decTeamNumber</f>
        <v>1</v>
      </c>
      <c r="F4" s="5">
        <f>decTeamNumber</f>
        <v>2</v>
      </c>
      <c r="G4" s="5">
        <f>decTeamNumber</f>
        <v>3</v>
      </c>
    </row>
    <row r="5" spans="1:11">
      <c r="B5" t="s">
        <v>287</v>
      </c>
      <c r="E5" s="5" t="str">
        <f>E22</f>
        <v>IIC</v>
      </c>
      <c r="F5" s="5" t="str">
        <f t="shared" ref="F5:G5" si="0">F22</f>
        <v>Bloomfield</v>
      </c>
      <c r="G5" s="5" t="str">
        <f t="shared" si="0"/>
        <v>Nextus</v>
      </c>
      <c r="H5" s="5">
        <f>H22</f>
        <v>0</v>
      </c>
      <c r="I5" s="5">
        <f>I22</f>
        <v>0</v>
      </c>
    </row>
    <row r="8" spans="1:11">
      <c r="B8" t="s">
        <v>2805</v>
      </c>
    </row>
    <row r="9" spans="1:11">
      <c r="B9" s="565" t="s">
        <v>2807</v>
      </c>
      <c r="E9" s="326">
        <f>analyCashOI*IF(xxYear=3,1.5,1)</f>
        <v>940488897.02871478</v>
      </c>
      <c r="F9" s="326">
        <f>analyCashOI*IF(xxYear=3,1.5,1)</f>
        <v>994108450.93279386</v>
      </c>
      <c r="G9" s="326">
        <f>analyCashOI*IF(xxYear=3,1.5,1)</f>
        <v>349301186.90683627</v>
      </c>
      <c r="H9" s="326">
        <f>analyCashOI</f>
        <v>0</v>
      </c>
      <c r="I9" s="326">
        <f>analyCashOI</f>
        <v>0</v>
      </c>
      <c r="J9" s="1122" t="s">
        <v>2809</v>
      </c>
    </row>
    <row r="10" spans="1:11">
      <c r="B10" s="565" t="s">
        <v>2808</v>
      </c>
      <c r="E10" s="326">
        <f>CHOOSE(xxYear+1,analyCashOI,analyCashOI,AVERAGE(analyCashOI+0,analyWinMetricYr1+0),AVERAGE(E9,analyWinMetricYr1+0,analyWinMetricYr2+0),AVERAGE(E9,analyWinMetricYr1+0,analyWinMetricYr2+0,analyWinMetricYr3+0))</f>
        <v>940488897.02871478</v>
      </c>
      <c r="F10" s="326">
        <f>CHOOSE(xxYear+1,analyCashOI,analyCashOI,AVERAGE(analyCashOI+0,analyWinMetricYr1+0),AVERAGE(F9,analyWinMetricYr1+0,analyWinMetricYr2+0),AVERAGE(F9,analyWinMetricYr1+0,analyWinMetricYr2+0,analyWinMetricYr3*1.5+0))</f>
        <v>994108450.93279386</v>
      </c>
      <c r="G10" s="326">
        <f>CHOOSE(xxYear+1,analyCashOI,analyCashOI,AVERAGE(analyCashOI+0,analyWinMetricYr1+0),AVERAGE(G9,analyWinMetricYr1+0,analyWinMetricYr2+0),AVERAGE(G9,analyWinMetricYr1+0,analyWinMetricYr2+0,analyWinMetricYr3*1.5+0))</f>
        <v>349301186.90683627</v>
      </c>
      <c r="H10" s="326">
        <f>CHOOSE(xxYear+1,analyCashOI,analyCashOI,AVERAGE(analyCashOI+0,analyWinMetricYr1+0),AVERAGE(H9,analyWinMetricYr1+0,analyWinMetricYr2+0),AVERAGE(H9,analyWinMetricYr1+0,analyWinMetricYr2+0,analyWinMetricYr3*1.5+0))</f>
        <v>0</v>
      </c>
      <c r="I10" s="326">
        <f>CHOOSE(xxYear+1,analyCashOI,analyCashOI,AVERAGE(analyCashOI+0,analyWinMetricYr1+0),AVERAGE(I9,analyWinMetricYr1+0,analyWinMetricYr2+0),AVERAGE(I9,analyWinMetricYr1+0,analyWinMetricYr2+0,analyWinMetricYr3*1.5+0))</f>
        <v>0</v>
      </c>
      <c r="J10" s="565" t="s">
        <v>2810</v>
      </c>
    </row>
    <row r="11" spans="1:11">
      <c r="B11" t="s">
        <v>60</v>
      </c>
      <c r="E11">
        <f>RANK(E10,analyWinMetricAvg)</f>
        <v>2</v>
      </c>
      <c r="F11">
        <f>RANK(F10,analyWinMetricAvg)</f>
        <v>1</v>
      </c>
      <c r="G11">
        <f>RANK(G10,analyWinMetricAvg)</f>
        <v>3</v>
      </c>
      <c r="H11">
        <f>RANK(H10,analyWinMetricAvg)</f>
        <v>4</v>
      </c>
      <c r="I11">
        <f>RANK(I10,analyWinMetricAvg)</f>
        <v>4</v>
      </c>
      <c r="J11" t="s">
        <v>2811</v>
      </c>
    </row>
    <row r="12" spans="1:11">
      <c r="B12" t="s">
        <v>2806</v>
      </c>
      <c r="E12" t="e">
        <f>CHOOSE(xxYear+1,NA(),analyWinMetricYr0,analyWinMetricYr1,analyWinMetricYr2+0,analyWinMetricYr3)</f>
        <v>#N/A</v>
      </c>
      <c r="F12" t="e">
        <f>CHOOSE(xxYear+1,NA(),analyWinMetricYr0,analyWinMetricYr1,analyWinMetricYr2+0,analyWinMetricYr3)</f>
        <v>#N/A</v>
      </c>
      <c r="G12" t="e">
        <f>CHOOSE(xxYear+1,NA(),analyWinMetricYr0,analyWinMetricYr1,analyWinMetricYr2+0,analyWinMetricYr3)</f>
        <v>#N/A</v>
      </c>
      <c r="H12" t="e">
        <f>CHOOSE(xxYear+1,NA(),analyWinMetricYr0,analyWinMetricYr1,analyWinMetricYr2+0,analyWinMetricYr3)</f>
        <v>#N/A</v>
      </c>
      <c r="I12" t="e">
        <f>CHOOSE(xxYear+1,NA(),analyWinMetricYr0,analyWinMetricYr1,analyWinMetricYr2+0,analyWinMetricYr3)</f>
        <v>#N/A</v>
      </c>
      <c r="J12" t="s">
        <v>2812</v>
      </c>
    </row>
    <row r="13" spans="1:11" s="387" customFormat="1" ht="12.75">
      <c r="B13" s="813" t="s">
        <v>2803</v>
      </c>
      <c r="C13" s="813"/>
      <c r="D13" s="813"/>
      <c r="E13" s="813"/>
      <c r="F13" s="813"/>
      <c r="G13" s="813"/>
      <c r="H13" s="813"/>
      <c r="I13" s="813"/>
      <c r="J13" s="813"/>
      <c r="K13" s="803" t="str">
        <f>"Year "&amp; xxYear</f>
        <v>Year 0</v>
      </c>
    </row>
    <row r="14" spans="1:11">
      <c r="B14" s="59" t="s">
        <v>2814</v>
      </c>
      <c r="C14" s="21"/>
      <c r="D14" s="21"/>
      <c r="E14" s="21"/>
      <c r="F14" s="21"/>
      <c r="G14" s="21"/>
      <c r="H14" s="21"/>
      <c r="I14" s="21"/>
      <c r="K14" s="21"/>
    </row>
    <row r="15" spans="1:11">
      <c r="B15" s="793" t="s">
        <v>60</v>
      </c>
      <c r="C15" s="21"/>
      <c r="D15" s="21"/>
      <c r="E15" s="793" t="s">
        <v>2815</v>
      </c>
      <c r="F15" s="793" t="s">
        <v>679</v>
      </c>
      <c r="G15" s="793" t="s">
        <v>2816</v>
      </c>
      <c r="H15" s="793" t="s">
        <v>2817</v>
      </c>
      <c r="I15" s="793" t="s">
        <v>895</v>
      </c>
      <c r="J15" s="21"/>
      <c r="K15" s="21"/>
    </row>
    <row r="16" spans="1:11">
      <c r="B16" s="801">
        <v>1</v>
      </c>
      <c r="C16" s="21"/>
      <c r="D16" s="21"/>
      <c r="E16" s="794">
        <f>MATCH(B16,analyRank,0)</f>
        <v>2</v>
      </c>
      <c r="F16" s="21" t="str">
        <f>INDEX($E$22:$I$22,,E16)</f>
        <v>Bloomfield</v>
      </c>
      <c r="G16" s="513">
        <f>INDEX(analyWinMetricAvg,E16)</f>
        <v>994108450.93279386</v>
      </c>
      <c r="H16" s="513">
        <f>INDEX(analyCashOI,E16)</f>
        <v>994108450.93279386</v>
      </c>
      <c r="I16" s="513" t="e">
        <f>INDEX(analyWinMetricLastYear,E16)</f>
        <v>#N/A</v>
      </c>
      <c r="J16" s="21"/>
      <c r="K16" s="21"/>
    </row>
    <row r="17" spans="2:15">
      <c r="B17" s="801">
        <v>2</v>
      </c>
      <c r="C17" s="21"/>
      <c r="D17" s="21"/>
      <c r="E17" s="794">
        <f>MATCH(B17,analyRank,0)</f>
        <v>1</v>
      </c>
      <c r="F17" s="21" t="str">
        <f>INDEX($E$22:$I$22,,E17)</f>
        <v>IIC</v>
      </c>
      <c r="G17" s="513">
        <f>INDEX(analyWinMetricAvg,E17)</f>
        <v>940488897.02871478</v>
      </c>
      <c r="H17" s="513">
        <f>INDEX(analyCashOI,E17)</f>
        <v>940488897.02871478</v>
      </c>
      <c r="I17" s="513" t="e">
        <f>INDEX(analyWinMetricLastYear,E17)</f>
        <v>#N/A</v>
      </c>
      <c r="J17" s="21"/>
      <c r="K17" s="21"/>
    </row>
    <row r="18" spans="2:15">
      <c r="B18" s="801">
        <v>3</v>
      </c>
      <c r="C18" s="21"/>
      <c r="D18" s="21"/>
      <c r="E18" s="794">
        <f>MATCH(B18,analyRank,0)</f>
        <v>3</v>
      </c>
      <c r="F18" s="21" t="str">
        <f>INDEX($E$22:$I$22,,E18)</f>
        <v>Nextus</v>
      </c>
      <c r="G18" s="513">
        <f>INDEX(analyWinMetricAvg,E18)</f>
        <v>349301186.90683627</v>
      </c>
      <c r="H18" s="513">
        <f>INDEX(analyCashOI,E18)</f>
        <v>349301186.90683627</v>
      </c>
      <c r="I18" s="513" t="e">
        <f>INDEX(analyWinMetricLastYear,E18)</f>
        <v>#N/A</v>
      </c>
      <c r="J18" s="21"/>
      <c r="K18" s="21"/>
    </row>
    <row r="19" spans="2:15">
      <c r="B19" s="801">
        <v>4</v>
      </c>
      <c r="C19" s="21"/>
      <c r="D19" s="21"/>
      <c r="E19" s="794">
        <f>MATCH(B19,analyRank,0)</f>
        <v>4</v>
      </c>
      <c r="F19" s="21">
        <f>INDEX($E$22:$I$22,,E19)</f>
        <v>0</v>
      </c>
      <c r="G19" s="513">
        <f>INDEX(analyWinMetricAvg,E19)</f>
        <v>0</v>
      </c>
      <c r="H19" s="513">
        <f>INDEX(analyCashOI,E19)</f>
        <v>0</v>
      </c>
      <c r="I19" s="513" t="e">
        <f>INDEX(analyWinMetricLastYear,E19)</f>
        <v>#N/A</v>
      </c>
      <c r="J19" s="21"/>
      <c r="K19" s="21"/>
    </row>
    <row r="20" spans="2:15">
      <c r="B20" s="801">
        <v>5</v>
      </c>
      <c r="C20" s="21"/>
      <c r="D20" s="21"/>
      <c r="E20" s="794" t="e">
        <f>MATCH(B20,analyRank,0)</f>
        <v>#N/A</v>
      </c>
      <c r="F20" s="21" t="e">
        <f>INDEX($E$22:$I$22,,E20)</f>
        <v>#N/A</v>
      </c>
      <c r="G20" s="513" t="e">
        <f>INDEX(analyWinMetricAvg,E20)</f>
        <v>#N/A</v>
      </c>
      <c r="H20" s="513" t="e">
        <f>INDEX(analyCashOI,E20)</f>
        <v>#N/A</v>
      </c>
      <c r="I20" s="513" t="e">
        <f>INDEX(analyWinMetricLastYear,E20)</f>
        <v>#N/A</v>
      </c>
      <c r="J20" s="21"/>
      <c r="K20" s="21"/>
    </row>
    <row r="21" spans="2:15">
      <c r="B21" s="806" t="s">
        <v>2858</v>
      </c>
      <c r="C21" s="21"/>
      <c r="D21" s="21"/>
      <c r="E21" s="807" t="s">
        <v>2857</v>
      </c>
      <c r="F21" s="808" t="s">
        <v>2853</v>
      </c>
      <c r="G21" s="808" t="s">
        <v>2854</v>
      </c>
      <c r="H21" s="808" t="s">
        <v>2855</v>
      </c>
      <c r="I21" s="808" t="s">
        <v>2856</v>
      </c>
      <c r="J21" s="1123" t="s">
        <v>3732</v>
      </c>
      <c r="K21" s="21"/>
    </row>
    <row r="22" spans="2:15" s="387" customFormat="1">
      <c r="B22" s="812" t="s">
        <v>2819</v>
      </c>
      <c r="C22" s="812"/>
      <c r="D22" s="812"/>
      <c r="E22" s="805" t="str">
        <f>decTeamName</f>
        <v>IIC</v>
      </c>
      <c r="F22" s="805" t="str">
        <f>decTeamName</f>
        <v>Bloomfield</v>
      </c>
      <c r="G22" s="805" t="str">
        <f>decTeamName</f>
        <v>Nextus</v>
      </c>
      <c r="H22" s="805"/>
      <c r="I22" s="805"/>
      <c r="J22" s="805" t="s">
        <v>2816</v>
      </c>
      <c r="K22" s="805" t="s">
        <v>2818</v>
      </c>
      <c r="O22" s="992" t="s">
        <v>3813</v>
      </c>
    </row>
    <row r="23" spans="2:15">
      <c r="B23" s="563" t="s">
        <v>450</v>
      </c>
      <c r="C23" s="21"/>
      <c r="D23" s="21"/>
      <c r="E23" s="799">
        <f>capCSAT</f>
        <v>63</v>
      </c>
      <c r="F23" s="799">
        <f>capCSAT</f>
        <v>63</v>
      </c>
      <c r="G23" s="799">
        <f>capCSAT</f>
        <v>63</v>
      </c>
      <c r="H23" s="799"/>
      <c r="I23" s="799"/>
      <c r="J23" s="799">
        <f>SUM(E23:I23)/(5-COUNTIF(E23:I23,""))</f>
        <v>63</v>
      </c>
      <c r="K23" s="799">
        <v>63</v>
      </c>
      <c r="O23" s="992" t="s">
        <v>3814</v>
      </c>
    </row>
    <row r="24" spans="2:15">
      <c r="B24" s="563" t="s">
        <v>447</v>
      </c>
      <c r="C24" s="21"/>
      <c r="D24" s="21"/>
      <c r="E24" s="799">
        <f>capESAT</f>
        <v>63</v>
      </c>
      <c r="F24" s="799">
        <f>capESAT</f>
        <v>63</v>
      </c>
      <c r="G24" s="799">
        <f>capESAT</f>
        <v>63</v>
      </c>
      <c r="H24" s="799"/>
      <c r="I24" s="799"/>
      <c r="J24" s="799">
        <f>SUM(E24:I24)/(5-COUNTIF(E24:I24,""))</f>
        <v>63</v>
      </c>
      <c r="K24" s="799">
        <v>63</v>
      </c>
      <c r="O24" s="992" t="s">
        <v>3815</v>
      </c>
    </row>
    <row r="25" spans="2:15" s="387" customFormat="1">
      <c r="B25" s="812" t="s">
        <v>2813</v>
      </c>
      <c r="C25" s="812"/>
      <c r="D25" s="812"/>
      <c r="E25" s="805" t="str">
        <f>decTeamName</f>
        <v>IIC</v>
      </c>
      <c r="F25" s="805" t="str">
        <f>decTeamName</f>
        <v>Bloomfield</v>
      </c>
      <c r="G25" s="805" t="str">
        <f>decTeamName</f>
        <v>Nextus</v>
      </c>
      <c r="H25" s="805"/>
      <c r="I25" s="805"/>
      <c r="J25" s="805" t="s">
        <v>2816</v>
      </c>
      <c r="K25" s="805" t="s">
        <v>2818</v>
      </c>
      <c r="O25" s="805"/>
    </row>
    <row r="26" spans="2:15">
      <c r="B26" s="563" t="s">
        <v>1276</v>
      </c>
      <c r="C26" s="21"/>
      <c r="D26" s="21"/>
      <c r="E26" s="513">
        <f>finPNLRev</f>
        <v>4411410974.5023985</v>
      </c>
      <c r="F26" s="513">
        <f>finPNLRev</f>
        <v>3912627978.3075352</v>
      </c>
      <c r="G26" s="513">
        <f>finPNLRev</f>
        <v>2939604569.6039629</v>
      </c>
      <c r="H26" s="513"/>
      <c r="I26" s="513"/>
      <c r="J26" s="513">
        <f t="shared" ref="J26:J31" si="1">SUM(E26:I26)/(5-COUNTIF(E26:I26,""))</f>
        <v>3754547840.8046322</v>
      </c>
      <c r="K26" s="513">
        <v>4411410974.5023985</v>
      </c>
      <c r="M26" s="327">
        <f t="shared" ref="M26:M31" si="2">E26-K26</f>
        <v>0</v>
      </c>
      <c r="O26" s="992" t="s">
        <v>3816</v>
      </c>
    </row>
    <row r="27" spans="2:15">
      <c r="B27" s="563" t="s">
        <v>2869</v>
      </c>
      <c r="C27" s="21"/>
      <c r="D27" s="21"/>
      <c r="E27" s="551">
        <f>cbalPNLRevCAGR</f>
        <v>0</v>
      </c>
      <c r="F27" s="551">
        <f>cbalPNLRevCAGR</f>
        <v>0</v>
      </c>
      <c r="G27" s="551">
        <f>cbalPNLRevCAGR</f>
        <v>0</v>
      </c>
      <c r="H27" s="551"/>
      <c r="I27" s="551"/>
      <c r="J27" s="551">
        <f t="shared" si="1"/>
        <v>0</v>
      </c>
      <c r="K27" s="551">
        <v>0</v>
      </c>
      <c r="M27" s="327">
        <f t="shared" si="2"/>
        <v>0</v>
      </c>
      <c r="O27" s="992" t="s">
        <v>3817</v>
      </c>
    </row>
    <row r="28" spans="2:15">
      <c r="B28" s="563" t="s">
        <v>1625</v>
      </c>
      <c r="C28" s="21"/>
      <c r="D28" s="21"/>
      <c r="E28" s="513">
        <f>finPNLOperatingIncome</f>
        <v>838178281.64409935</v>
      </c>
      <c r="F28" s="513">
        <f>finPNLOperatingIncome</f>
        <v>919798017.25623417</v>
      </c>
      <c r="G28" s="513">
        <f>finPNLOperatingIncome</f>
        <v>341661922.99683321</v>
      </c>
      <c r="H28" s="513"/>
      <c r="I28" s="513"/>
      <c r="J28" s="513">
        <f t="shared" si="1"/>
        <v>699879407.29905558</v>
      </c>
      <c r="K28" s="513">
        <v>838178281.64409935</v>
      </c>
      <c r="M28" s="327">
        <f>E28-K28</f>
        <v>0</v>
      </c>
      <c r="O28" s="992" t="s">
        <v>3818</v>
      </c>
    </row>
    <row r="29" spans="2:15">
      <c r="B29" s="563" t="s">
        <v>403</v>
      </c>
      <c r="C29" s="21"/>
      <c r="D29" s="21"/>
      <c r="E29" s="551">
        <f>finPNLOperatingMargin</f>
        <v>0.1900023113894177</v>
      </c>
      <c r="F29" s="551">
        <f>finPNLOperatingMargin</f>
        <v>0.23508445534709546</v>
      </c>
      <c r="G29" s="551">
        <f>finPNLOperatingMargin</f>
        <v>0.11622717100445366</v>
      </c>
      <c r="H29" s="551"/>
      <c r="I29" s="551"/>
      <c r="J29" s="551">
        <f t="shared" si="1"/>
        <v>0.18043797924698893</v>
      </c>
      <c r="K29" s="551">
        <v>0.1900023113894177</v>
      </c>
      <c r="M29" s="993">
        <f t="shared" si="2"/>
        <v>0</v>
      </c>
      <c r="O29" s="992" t="s">
        <v>3819</v>
      </c>
    </row>
    <row r="30" spans="2:15">
      <c r="B30" s="563" t="s">
        <v>1737</v>
      </c>
      <c r="C30" s="21"/>
      <c r="D30" s="21"/>
      <c r="E30" s="513">
        <f>finCashOI</f>
        <v>940488897.02871478</v>
      </c>
      <c r="F30" s="513">
        <f>finCashOI</f>
        <v>994108450.93279386</v>
      </c>
      <c r="G30" s="513">
        <f>finCashOI</f>
        <v>349301186.90683627</v>
      </c>
      <c r="H30" s="513"/>
      <c r="I30" s="513"/>
      <c r="J30" s="513">
        <f t="shared" si="1"/>
        <v>761299511.62278175</v>
      </c>
      <c r="K30" s="513">
        <v>940488897.02871478</v>
      </c>
      <c r="M30" s="327">
        <f t="shared" si="2"/>
        <v>0</v>
      </c>
      <c r="O30" s="992" t="s">
        <v>3820</v>
      </c>
    </row>
    <row r="31" spans="2:15">
      <c r="B31" s="563" t="s">
        <v>2291</v>
      </c>
      <c r="C31" s="21"/>
      <c r="D31" s="21"/>
      <c r="E31" s="551">
        <f>finCashOIMargin</f>
        <v>0.21319457707855041</v>
      </c>
      <c r="F31" s="551">
        <f>finCashOIMargin</f>
        <v>0.25407691619145711</v>
      </c>
      <c r="G31" s="551">
        <f>finCashOIMargin</f>
        <v>0.11882590962018261</v>
      </c>
      <c r="H31" s="551"/>
      <c r="I31" s="551"/>
      <c r="J31" s="551">
        <f t="shared" si="1"/>
        <v>0.1953658009633967</v>
      </c>
      <c r="K31" s="551">
        <v>0.21319457707855041</v>
      </c>
      <c r="M31" s="993">
        <f t="shared" si="2"/>
        <v>0</v>
      </c>
      <c r="O31" s="992" t="s">
        <v>3821</v>
      </c>
    </row>
    <row r="32" spans="2:15" s="387" customFormat="1">
      <c r="B32" s="812" t="s">
        <v>2820</v>
      </c>
      <c r="C32" s="812"/>
      <c r="D32" s="812"/>
      <c r="E32" s="805" t="str">
        <f>decTeamName</f>
        <v>IIC</v>
      </c>
      <c r="F32" s="805" t="str">
        <f>decTeamName</f>
        <v>Bloomfield</v>
      </c>
      <c r="G32" s="805" t="str">
        <f>decTeamName</f>
        <v>Nextus</v>
      </c>
      <c r="H32" s="805"/>
      <c r="I32" s="805"/>
      <c r="J32" s="805" t="s">
        <v>2816</v>
      </c>
      <c r="K32" s="805" t="s">
        <v>2818</v>
      </c>
      <c r="O32" s="805"/>
    </row>
    <row r="33" spans="1:15">
      <c r="B33" s="59" t="s">
        <v>101</v>
      </c>
      <c r="C33" s="21"/>
      <c r="D33" s="21"/>
      <c r="E33" s="21"/>
      <c r="F33" s="21"/>
      <c r="G33" s="21"/>
      <c r="H33" s="21"/>
      <c r="I33" s="21"/>
      <c r="J33" s="21"/>
      <c r="K33" s="21"/>
      <c r="O33" s="21"/>
    </row>
    <row r="34" spans="1:15" s="387" customFormat="1">
      <c r="A34" s="810">
        <v>1</v>
      </c>
      <c r="B34" s="571" t="s">
        <v>2293</v>
      </c>
      <c r="C34" s="795"/>
      <c r="D34" s="795"/>
      <c r="E34" s="795" t="e">
        <f>INDEX(DataPage!$M$309:$M$335,MATCH(cbalEVT1Y1,DataPage!$L$309:$L$335,0))</f>
        <v>#N/A</v>
      </c>
      <c r="F34" s="795" t="e">
        <f>INDEX(DataPage!$M$309:$M$335,MATCH(cbalEVT1Y1,DataPage!$L$309:$L$335,0))</f>
        <v>#N/A</v>
      </c>
      <c r="G34" s="795" t="e">
        <f>INDEX(DataPage!$M$309:$M$335,MATCH(cbalEVT1Y1,DataPage!$L$309:$L$335,0))</f>
        <v>#N/A</v>
      </c>
      <c r="H34" s="795"/>
      <c r="I34" s="795"/>
      <c r="J34" s="795"/>
      <c r="K34" s="795"/>
      <c r="O34" s="992" t="s">
        <v>3822</v>
      </c>
    </row>
    <row r="35" spans="1:15" s="387" customFormat="1">
      <c r="A35" s="810">
        <v>2</v>
      </c>
      <c r="B35" s="571" t="s">
        <v>2292</v>
      </c>
      <c r="C35" s="795"/>
      <c r="D35" s="795"/>
      <c r="E35" s="795" t="e">
        <f>INDEX(DataPage!$M$309:$M$335,MATCH(cbalEVT2Y1,DataPage!$L$309:$L$335,0))</f>
        <v>#N/A</v>
      </c>
      <c r="F35" s="795" t="e">
        <f>INDEX(DataPage!$M$309:$M$335,MATCH(cbalEVT2Y1,DataPage!$L$309:$L$335,0))</f>
        <v>#N/A</v>
      </c>
      <c r="G35" s="795" t="e">
        <f>INDEX(DataPage!$M$309:$M$335,MATCH(cbalEVT2Y1,DataPage!$L$309:$L$335,0))</f>
        <v>#N/A</v>
      </c>
      <c r="H35" s="795"/>
      <c r="I35" s="795"/>
      <c r="J35" s="795"/>
      <c r="K35" s="795"/>
      <c r="O35" s="992" t="s">
        <v>3823</v>
      </c>
    </row>
    <row r="36" spans="1:15" s="387" customFormat="1">
      <c r="A36" s="810">
        <v>3</v>
      </c>
      <c r="B36" s="571" t="s">
        <v>2294</v>
      </c>
      <c r="C36" s="795"/>
      <c r="D36" s="795"/>
      <c r="E36" s="795" t="e">
        <f>INDEX(DataPage!$M$309:$M$335,MATCH(cbalEVT3Y1,DataPage!$L$309:$L$335,0))</f>
        <v>#N/A</v>
      </c>
      <c r="F36" s="795" t="e">
        <f>INDEX(DataPage!$M$309:$M$335,MATCH(cbalEVT3Y1,DataPage!$L$309:$L$335,0))</f>
        <v>#N/A</v>
      </c>
      <c r="G36" s="795" t="e">
        <f>INDEX(DataPage!$M$309:$M$335,MATCH(cbalEVT3Y1,DataPage!$L$309:$L$335,0))</f>
        <v>#N/A</v>
      </c>
      <c r="H36" s="795"/>
      <c r="I36" s="795"/>
      <c r="J36" s="795"/>
      <c r="K36" s="795"/>
      <c r="O36" s="992" t="s">
        <v>3824</v>
      </c>
    </row>
    <row r="37" spans="1:15" s="387" customFormat="1">
      <c r="B37" s="811" t="s">
        <v>102</v>
      </c>
      <c r="C37" s="795"/>
      <c r="D37" s="795"/>
      <c r="E37" s="795"/>
      <c r="F37" s="795"/>
      <c r="G37" s="795"/>
      <c r="H37" s="795"/>
      <c r="I37" s="795"/>
      <c r="J37" s="795"/>
      <c r="K37" s="795"/>
      <c r="O37" s="795"/>
    </row>
    <row r="38" spans="1:15" s="387" customFormat="1">
      <c r="A38" s="810">
        <v>4</v>
      </c>
      <c r="B38" s="571" t="s">
        <v>2296</v>
      </c>
      <c r="C38" s="795"/>
      <c r="D38" s="795"/>
      <c r="E38" s="795" t="e">
        <f>INDEX(DataPage!$M$309:$M$335,MATCH(cbalEVT1Y2,DataPage!$L$309:$L$335,0))</f>
        <v>#N/A</v>
      </c>
      <c r="F38" s="795" t="e">
        <f>INDEX(DataPage!$M$309:$M$335,MATCH(cbalEVT1Y2,DataPage!$L$309:$L$335,0))</f>
        <v>#N/A</v>
      </c>
      <c r="G38" s="795" t="e">
        <f>INDEX(DataPage!$M$309:$M$335,MATCH(cbalEVT1Y2,DataPage!$L$309:$L$335,0))</f>
        <v>#N/A</v>
      </c>
      <c r="H38" s="795"/>
      <c r="I38" s="795"/>
      <c r="J38" s="795"/>
      <c r="K38" s="795"/>
      <c r="O38" s="992" t="s">
        <v>3825</v>
      </c>
    </row>
    <row r="39" spans="1:15" s="387" customFormat="1">
      <c r="A39" s="810">
        <v>5</v>
      </c>
      <c r="B39" s="571" t="s">
        <v>2295</v>
      </c>
      <c r="C39" s="795"/>
      <c r="D39" s="795"/>
      <c r="E39" s="795" t="e">
        <f>INDEX(DataPage!$M$309:$M$335,MATCH(cbalEVT2Y2,DataPage!$L$309:$L$335,0))</f>
        <v>#N/A</v>
      </c>
      <c r="F39" s="795" t="e">
        <f>INDEX(DataPage!$M$309:$M$335,MATCH(cbalEVT2Y2,DataPage!$L$309:$L$335,0))</f>
        <v>#N/A</v>
      </c>
      <c r="G39" s="795" t="e">
        <f>INDEX(DataPage!$M$309:$M$335,MATCH(cbalEVT2Y2,DataPage!$L$309:$L$335,0))</f>
        <v>#N/A</v>
      </c>
      <c r="H39" s="795"/>
      <c r="I39" s="795"/>
      <c r="J39" s="795"/>
      <c r="K39" s="795"/>
      <c r="O39" s="992" t="s">
        <v>3826</v>
      </c>
    </row>
    <row r="40" spans="1:15" s="387" customFormat="1">
      <c r="A40" s="810">
        <v>6</v>
      </c>
      <c r="B40" s="571" t="s">
        <v>2302</v>
      </c>
      <c r="C40" s="795"/>
      <c r="D40" s="795"/>
      <c r="E40" s="795" t="e">
        <f>INDEX(DataPage!$M$309:$M$335,MATCH(cbalEVT3Y2,DataPage!$L$309:$L$335,0))</f>
        <v>#N/A</v>
      </c>
      <c r="F40" s="795" t="e">
        <f>INDEX(DataPage!$M$309:$M$335,MATCH(cbalEVT3Y2,DataPage!$L$309:$L$335,0))</f>
        <v>#N/A</v>
      </c>
      <c r="G40" s="795" t="e">
        <f>INDEX(DataPage!$M$309:$M$335,MATCH(cbalEVT3Y2,DataPage!$L$309:$L$335,0))</f>
        <v>#N/A</v>
      </c>
      <c r="H40" s="795"/>
      <c r="I40" s="795"/>
      <c r="J40" s="795"/>
      <c r="K40" s="795"/>
      <c r="O40" s="992" t="s">
        <v>3827</v>
      </c>
    </row>
    <row r="41" spans="1:15" s="387" customFormat="1">
      <c r="B41" s="811" t="s">
        <v>103</v>
      </c>
      <c r="C41" s="795"/>
      <c r="D41" s="795"/>
      <c r="E41" s="795"/>
      <c r="F41" s="795"/>
      <c r="G41" s="795"/>
      <c r="H41" s="795"/>
      <c r="I41" s="795"/>
      <c r="J41" s="795"/>
      <c r="K41" s="795"/>
      <c r="O41" s="795"/>
    </row>
    <row r="42" spans="1:15" s="387" customFormat="1">
      <c r="A42" s="810">
        <v>7</v>
      </c>
      <c r="B42" s="571" t="s">
        <v>2297</v>
      </c>
      <c r="C42" s="795"/>
      <c r="D42" s="795"/>
      <c r="E42" s="795" t="e">
        <f>INDEX(DataPage!$M$309:$M$335,MATCH(cbalEVT1Y3,DataPage!$L$309:$L$335,0))</f>
        <v>#N/A</v>
      </c>
      <c r="F42" s="795" t="e">
        <f>INDEX(DataPage!$M$309:$M$335,MATCH(cbalEVT1Y3,DataPage!$L$309:$L$335,0))</f>
        <v>#N/A</v>
      </c>
      <c r="G42" s="795" t="e">
        <f>INDEX(DataPage!$M$309:$M$335,MATCH(cbalEVT1Y3,DataPage!$L$309:$L$335,0))</f>
        <v>#N/A</v>
      </c>
      <c r="H42" s="795"/>
      <c r="I42" s="795"/>
      <c r="J42" s="795"/>
      <c r="K42" s="795"/>
      <c r="O42" s="992" t="s">
        <v>3828</v>
      </c>
    </row>
    <row r="43" spans="1:15" s="387" customFormat="1">
      <c r="A43" s="810">
        <v>8</v>
      </c>
      <c r="B43" s="571" t="s">
        <v>2298</v>
      </c>
      <c r="C43" s="795"/>
      <c r="D43" s="795"/>
      <c r="E43" s="795" t="e">
        <f>INDEX(DataPage!$M$309:$M$335,MATCH(cbalEVT2Y3,DataPage!$L$309:$L$335,0))</f>
        <v>#N/A</v>
      </c>
      <c r="F43" s="795" t="e">
        <f>INDEX(DataPage!$M$309:$M$335,MATCH(cbalEVT2Y3,DataPage!$L$309:$L$335,0))</f>
        <v>#N/A</v>
      </c>
      <c r="G43" s="795" t="e">
        <f>INDEX(DataPage!$M$309:$M$335,MATCH(cbalEVT2Y3,DataPage!$L$309:$L$335,0))</f>
        <v>#N/A</v>
      </c>
      <c r="H43" s="795"/>
      <c r="I43" s="795"/>
      <c r="J43" s="795"/>
      <c r="K43" s="795"/>
      <c r="O43" s="992" t="s">
        <v>3829</v>
      </c>
    </row>
    <row r="44" spans="1:15" s="387" customFormat="1">
      <c r="A44" s="810">
        <v>9</v>
      </c>
      <c r="B44" s="571" t="s">
        <v>2299</v>
      </c>
      <c r="C44" s="795"/>
      <c r="D44" s="795"/>
      <c r="E44" s="795" t="e">
        <f>INDEX(DataPage!$M$309:$M$335,MATCH(cbalEVT3Y3,DataPage!$L$309:$L$335,0))</f>
        <v>#N/A</v>
      </c>
      <c r="F44" s="795" t="e">
        <f>INDEX(DataPage!$M$309:$M$335,MATCH(cbalEVT3Y3,DataPage!$L$309:$L$335,0))</f>
        <v>#N/A</v>
      </c>
      <c r="G44" s="795" t="e">
        <f>INDEX(DataPage!$M$309:$M$335,MATCH(cbalEVT3Y3,DataPage!$L$309:$L$335,0))</f>
        <v>#N/A</v>
      </c>
      <c r="H44" s="795"/>
      <c r="I44" s="795"/>
      <c r="J44" s="795"/>
      <c r="K44" s="795"/>
      <c r="O44" s="992" t="s">
        <v>3830</v>
      </c>
    </row>
    <row r="45" spans="1:15" s="387" customFormat="1">
      <c r="B45" s="812" t="s">
        <v>2978</v>
      </c>
      <c r="C45" s="812"/>
      <c r="D45" s="812"/>
      <c r="E45" s="805" t="str">
        <f>decTeamName</f>
        <v>IIC</v>
      </c>
      <c r="F45" s="805" t="str">
        <f>decTeamName</f>
        <v>Bloomfield</v>
      </c>
      <c r="G45" s="805" t="str">
        <f>decTeamName</f>
        <v>Nextus</v>
      </c>
      <c r="H45" s="805"/>
      <c r="I45" s="805"/>
      <c r="J45" s="805" t="s">
        <v>2816</v>
      </c>
      <c r="K45" s="805" t="s">
        <v>2818</v>
      </c>
      <c r="O45" s="805"/>
    </row>
    <row r="46" spans="1:15" s="387" customFormat="1">
      <c r="B46" s="571" t="s">
        <v>2871</v>
      </c>
      <c r="C46" s="795"/>
      <c r="D46" s="795"/>
      <c r="E46" s="795" t="e">
        <f>cbalSpecProg1Yr1 &amp; ": "&amp; INDEX(DataPage!$C$309:$C$335,MATCH(cbalSpecProg1Yr1,DataPage!$B$309:$B$335,0))</f>
        <v>#N/A</v>
      </c>
      <c r="F46" s="795" t="e">
        <f>cbalSpecProg1Yr1 &amp; ": "&amp; INDEX(DataPage!$C$309:$C$335,MATCH(cbalSpecProg1Yr1,DataPage!$B$309:$B$335,0))</f>
        <v>#N/A</v>
      </c>
      <c r="G46" s="795" t="e">
        <f>cbalSpecProg1Yr1 &amp; ": "&amp; INDEX(DataPage!$C$309:$C$335,MATCH(cbalSpecProg1Yr1,DataPage!$B$309:$B$335,0))</f>
        <v>#N/A</v>
      </c>
      <c r="H46" s="795"/>
      <c r="I46" s="795"/>
      <c r="J46" s="795"/>
      <c r="K46" s="795"/>
      <c r="O46" s="992" t="s">
        <v>3831</v>
      </c>
    </row>
    <row r="47" spans="1:15" s="387" customFormat="1">
      <c r="B47" s="571" t="s">
        <v>2872</v>
      </c>
      <c r="C47" s="795"/>
      <c r="D47" s="795"/>
      <c r="E47" s="795" t="e">
        <f>cbalSpecProg2Yr1 &amp; ": "&amp; INDEX(DataPage!$C$309:$C$335,MATCH(cbalSpecProg2Yr1,DataPage!$B$309:$B$335,0))</f>
        <v>#N/A</v>
      </c>
      <c r="F47" s="795" t="e">
        <f>cbalSpecProg2Yr1 &amp; ": "&amp; INDEX(DataPage!$C$309:$C$335,MATCH(cbalSpecProg2Yr1,DataPage!$B$309:$B$335,0))</f>
        <v>#N/A</v>
      </c>
      <c r="G47" s="795" t="e">
        <f>cbalSpecProg2Yr1 &amp; ": "&amp; INDEX(DataPage!$C$309:$C$335,MATCH(cbalSpecProg2Yr1,DataPage!$B$309:$B$335,0))</f>
        <v>#N/A</v>
      </c>
      <c r="H47" s="795"/>
      <c r="I47" s="795"/>
      <c r="J47" s="795"/>
      <c r="K47" s="795"/>
      <c r="O47" s="992" t="s">
        <v>3832</v>
      </c>
    </row>
    <row r="48" spans="1:15" s="387" customFormat="1">
      <c r="B48" s="571" t="s">
        <v>2873</v>
      </c>
      <c r="C48" s="795"/>
      <c r="D48" s="795"/>
      <c r="E48" s="795" t="e">
        <f>cbalSpecProg3Yr1 &amp; ": "&amp; INDEX(DataPage!$C$309:$C$335,MATCH(cbalSpecProg3Yr1,DataPage!$B$309:$B$335,0))</f>
        <v>#N/A</v>
      </c>
      <c r="F48" s="795" t="e">
        <f>cbalSpecProg3Yr1 &amp; ": "&amp; INDEX(DataPage!$C$309:$C$335,MATCH(cbalSpecProg3Yr1,DataPage!$B$309:$B$335,0))</f>
        <v>#N/A</v>
      </c>
      <c r="G48" s="795" t="e">
        <f>cbalSpecProg3Yr1 &amp; ": "&amp; INDEX(DataPage!$C$309:$C$335,MATCH(cbalSpecProg3Yr1,DataPage!$B$309:$B$335,0))</f>
        <v>#N/A</v>
      </c>
      <c r="H48" s="795"/>
      <c r="I48" s="795"/>
      <c r="J48" s="795"/>
      <c r="K48" s="795"/>
      <c r="O48" s="992" t="s">
        <v>3833</v>
      </c>
    </row>
    <row r="49" spans="2:15" s="387" customFormat="1">
      <c r="B49" s="571" t="s">
        <v>2874</v>
      </c>
      <c r="C49" s="795"/>
      <c r="D49" s="795"/>
      <c r="E49" s="795" t="e">
        <f>cbalSpecProg1Yr2 &amp; ": "&amp; INDEX(DataPage!$C$309:$C$335,MATCH(cbalSpecProg1Yr2,DataPage!$B$309:$B$335,0))</f>
        <v>#N/A</v>
      </c>
      <c r="F49" s="795" t="e">
        <f>cbalSpecProg1Yr2 &amp; ": "&amp; INDEX(DataPage!$C$309:$C$335,MATCH(cbalSpecProg1Yr2,DataPage!$B$309:$B$335,0))</f>
        <v>#N/A</v>
      </c>
      <c r="G49" s="795" t="e">
        <f>cbalSpecProg1Yr2 &amp; ": "&amp; INDEX(DataPage!$C$309:$C$335,MATCH(cbalSpecProg1Yr2,DataPage!$B$309:$B$335,0))</f>
        <v>#N/A</v>
      </c>
      <c r="H49" s="795"/>
      <c r="I49" s="795"/>
      <c r="J49" s="795"/>
      <c r="K49" s="795"/>
      <c r="O49" s="992" t="s">
        <v>3834</v>
      </c>
    </row>
    <row r="50" spans="2:15" s="387" customFormat="1">
      <c r="B50" s="571" t="s">
        <v>2875</v>
      </c>
      <c r="C50" s="795"/>
      <c r="D50" s="795"/>
      <c r="E50" s="795" t="e">
        <f>cbalSpecProg2Yr2 &amp; ": "&amp; INDEX(DataPage!$C$309:$C$335,MATCH(cbalSpecProg2Yr2,DataPage!$B$309:$B$335,0))</f>
        <v>#N/A</v>
      </c>
      <c r="F50" s="795" t="e">
        <f>cbalSpecProg2Yr2 &amp; ": "&amp; INDEX(DataPage!$C$309:$C$335,MATCH(cbalSpecProg2Yr2,DataPage!$B$309:$B$335,0))</f>
        <v>#N/A</v>
      </c>
      <c r="G50" s="795" t="e">
        <f>cbalSpecProg2Yr2 &amp; ": "&amp; INDEX(DataPage!$C$309:$C$335,MATCH(cbalSpecProg2Yr2,DataPage!$B$309:$B$335,0))</f>
        <v>#N/A</v>
      </c>
      <c r="H50" s="795"/>
      <c r="I50" s="795"/>
      <c r="J50" s="795"/>
      <c r="K50" s="795"/>
      <c r="O50" s="992" t="s">
        <v>3835</v>
      </c>
    </row>
    <row r="51" spans="2:15" s="387" customFormat="1">
      <c r="B51" s="571" t="s">
        <v>2876</v>
      </c>
      <c r="C51" s="795"/>
      <c r="D51" s="795"/>
      <c r="E51" s="795" t="e">
        <f>cbalSpecProg3Yr2 &amp; ": "&amp; INDEX(DataPage!$C$309:$C$335,MATCH(cbalSpecProg3Yr2,DataPage!$B$309:$B$335,0))</f>
        <v>#N/A</v>
      </c>
      <c r="F51" s="795" t="e">
        <f>cbalSpecProg3Yr2 &amp; ": "&amp; INDEX(DataPage!$C$309:$C$335,MATCH(cbalSpecProg3Yr2,DataPage!$B$309:$B$335,0))</f>
        <v>#N/A</v>
      </c>
      <c r="G51" s="795" t="e">
        <f>cbalSpecProg3Yr2 &amp; ": "&amp; INDEX(DataPage!$C$309:$C$335,MATCH(cbalSpecProg3Yr2,DataPage!$B$309:$B$335,0))</f>
        <v>#N/A</v>
      </c>
      <c r="H51" s="795"/>
      <c r="I51" s="795"/>
      <c r="J51" s="795"/>
      <c r="K51" s="795"/>
      <c r="O51" s="992" t="s">
        <v>3836</v>
      </c>
    </row>
    <row r="52" spans="2:15" s="387" customFormat="1">
      <c r="B52" s="571" t="s">
        <v>2879</v>
      </c>
      <c r="C52" s="795"/>
      <c r="D52" s="795"/>
      <c r="E52" s="795" t="e">
        <f>cbalSpecProg1Yr3 &amp; ": "&amp; INDEX(DataPage!$C$309:$C$335,MATCH(cbalSpecProg1Yr3,DataPage!$B$309:$B$335,0))</f>
        <v>#N/A</v>
      </c>
      <c r="F52" s="795" t="e">
        <f>cbalSpecProg1Yr3 &amp; ": "&amp; INDEX(DataPage!$C$309:$C$335,MATCH(cbalSpecProg1Yr3,DataPage!$B$309:$B$335,0))</f>
        <v>#N/A</v>
      </c>
      <c r="G52" s="795" t="e">
        <f>cbalSpecProg1Yr3 &amp; ": "&amp; INDEX(DataPage!$C$309:$C$335,MATCH(cbalSpecProg1Yr3,DataPage!$B$309:$B$335,0))</f>
        <v>#N/A</v>
      </c>
      <c r="H52" s="795"/>
      <c r="I52" s="795"/>
      <c r="J52" s="795"/>
      <c r="K52" s="795"/>
      <c r="O52" s="992" t="s">
        <v>3837</v>
      </c>
    </row>
    <row r="53" spans="2:15" s="387" customFormat="1">
      <c r="B53" s="571" t="s">
        <v>2877</v>
      </c>
      <c r="C53" s="795"/>
      <c r="D53" s="795"/>
      <c r="E53" s="795" t="e">
        <f>cbalSpecProg2Yr3 &amp; ": "&amp; INDEX(DataPage!$C$309:$C$335,MATCH(cbalSpecProg2Yr3,DataPage!$B$309:$B$335,0))</f>
        <v>#N/A</v>
      </c>
      <c r="F53" s="795" t="e">
        <f>cbalSpecProg2Yr3 &amp; ": "&amp; INDEX(DataPage!$C$309:$C$335,MATCH(cbalSpecProg2Yr3,DataPage!$B$309:$B$335,0))</f>
        <v>#N/A</v>
      </c>
      <c r="G53" s="795" t="e">
        <f>cbalSpecProg2Yr3 &amp; ": "&amp; INDEX(DataPage!$C$309:$C$335,MATCH(cbalSpecProg2Yr3,DataPage!$B$309:$B$335,0))</f>
        <v>#N/A</v>
      </c>
      <c r="H53" s="795"/>
      <c r="I53" s="795"/>
      <c r="J53" s="795"/>
      <c r="K53" s="795"/>
      <c r="O53" s="992" t="s">
        <v>3838</v>
      </c>
    </row>
    <row r="54" spans="2:15" s="387" customFormat="1">
      <c r="B54" s="571" t="s">
        <v>2878</v>
      </c>
      <c r="C54" s="795"/>
      <c r="D54" s="795"/>
      <c r="E54" s="795" t="e">
        <f>cbalSpecProg3Yr3 &amp; ": "&amp; INDEX(DataPage!$C$309:$C$335,MATCH(cbalSpecProg3Yr3,DataPage!$B$309:$B$335,0))</f>
        <v>#N/A</v>
      </c>
      <c r="F54" s="795" t="e">
        <f>cbalSpecProg3Yr3 &amp; ": "&amp; INDEX(DataPage!$C$309:$C$335,MATCH(cbalSpecProg3Yr3,DataPage!$B$309:$B$335,0))</f>
        <v>#N/A</v>
      </c>
      <c r="G54" s="795" t="e">
        <f>cbalSpecProg3Yr3 &amp; ": "&amp; INDEX(DataPage!$C$309:$C$335,MATCH(cbalSpecProg3Yr3,DataPage!$B$309:$B$335,0))</f>
        <v>#N/A</v>
      </c>
      <c r="H54" s="795"/>
      <c r="I54" s="795"/>
      <c r="J54" s="795"/>
      <c r="K54" s="795"/>
      <c r="O54" s="992" t="s">
        <v>3839</v>
      </c>
    </row>
    <row r="55" spans="2:15" s="387" customFormat="1">
      <c r="B55" s="812" t="s">
        <v>2979</v>
      </c>
      <c r="C55" s="812"/>
      <c r="D55" s="812"/>
      <c r="E55" s="805" t="str">
        <f>decTeamName</f>
        <v>IIC</v>
      </c>
      <c r="F55" s="805" t="str">
        <f>decTeamName</f>
        <v>Bloomfield</v>
      </c>
      <c r="G55" s="805" t="str">
        <f>decTeamName</f>
        <v>Nextus</v>
      </c>
      <c r="H55" s="805"/>
      <c r="I55" s="805"/>
      <c r="J55" s="805" t="s">
        <v>2816</v>
      </c>
      <c r="K55" s="805" t="s">
        <v>2818</v>
      </c>
      <c r="O55" s="805"/>
    </row>
    <row r="56" spans="2:15" s="387" customFormat="1">
      <c r="B56" s="984" t="s">
        <v>2746</v>
      </c>
      <c r="C56" s="795"/>
      <c r="D56" s="795"/>
      <c r="E56" s="795"/>
      <c r="F56" s="795"/>
      <c r="G56" s="795"/>
      <c r="H56" s="795"/>
      <c r="I56" s="795"/>
      <c r="J56" s="795"/>
      <c r="K56" s="795"/>
      <c r="M56" s="795"/>
      <c r="N56" s="795"/>
      <c r="O56" s="795"/>
    </row>
    <row r="57" spans="2:15" s="387" customFormat="1">
      <c r="B57" s="563" t="s">
        <v>1000</v>
      </c>
      <c r="D57" s="795"/>
      <c r="E57" s="412">
        <f>paramSpecProgExp</f>
        <v>60000000</v>
      </c>
      <c r="F57" s="412">
        <f>paramSpecProgExp</f>
        <v>60000000</v>
      </c>
      <c r="G57" s="412">
        <f>paramSpecProgExp</f>
        <v>60000000</v>
      </c>
      <c r="H57" s="412"/>
      <c r="I57" s="412"/>
      <c r="J57" s="412">
        <f>SUM(E57:I57)/(5-COUNTIF(E57:I57,""))</f>
        <v>60000000</v>
      </c>
      <c r="K57" s="412">
        <v>60000000</v>
      </c>
      <c r="L57" s="670" t="s">
        <v>2118</v>
      </c>
      <c r="M57" s="795"/>
      <c r="O57" s="1002" t="s">
        <v>3840</v>
      </c>
    </row>
    <row r="58" spans="2:15" s="387" customFormat="1">
      <c r="B58" s="563" t="s">
        <v>3530</v>
      </c>
      <c r="D58" s="795"/>
      <c r="E58" s="599">
        <f>paramSpecProgProd1Exp</f>
        <v>0</v>
      </c>
      <c r="F58" s="1002">
        <f>paramSpecProgProd1Exp</f>
        <v>0</v>
      </c>
      <c r="G58" s="1002">
        <f>paramSpecProgProd1Exp</f>
        <v>0</v>
      </c>
      <c r="H58" s="1002"/>
      <c r="I58" s="1002"/>
      <c r="J58" s="599">
        <f>SUM(E58:I58)/(5-COUNTIF(E58:I58,""))</f>
        <v>0</v>
      </c>
      <c r="K58" s="599">
        <v>0</v>
      </c>
      <c r="L58" s="670" t="s">
        <v>2119</v>
      </c>
      <c r="M58" s="795"/>
      <c r="O58" s="1002" t="s">
        <v>3841</v>
      </c>
    </row>
    <row r="59" spans="2:15" s="387" customFormat="1">
      <c r="B59" s="563" t="s">
        <v>3527</v>
      </c>
      <c r="D59" s="795"/>
      <c r="E59" s="412">
        <f>paramSpecProgProd2Exp</f>
        <v>0</v>
      </c>
      <c r="F59" s="412">
        <f>paramSpecProgProd2Exp</f>
        <v>0</v>
      </c>
      <c r="G59" s="412">
        <f>paramSpecProgProd2Exp</f>
        <v>0</v>
      </c>
      <c r="H59" s="412"/>
      <c r="I59" s="412"/>
      <c r="J59" s="412">
        <f>SUM(E59:I59)/(5-COUNTIF(E59:I59,""))</f>
        <v>0</v>
      </c>
      <c r="K59" s="412">
        <v>0</v>
      </c>
      <c r="L59" s="670" t="s">
        <v>2120</v>
      </c>
      <c r="M59" s="795"/>
      <c r="O59" s="1002" t="s">
        <v>3842</v>
      </c>
    </row>
    <row r="60" spans="2:15" s="387" customFormat="1">
      <c r="B60" s="563" t="s">
        <v>762</v>
      </c>
      <c r="D60" s="795"/>
      <c r="E60" s="412">
        <f>paramSpecProgEmp1Req+paramSpecProgProd1Emp1Req+paramSpecProgProd2Emp1Req</f>
        <v>0</v>
      </c>
      <c r="F60" s="412">
        <f>paramSpecProgEmp1Req+paramSpecProgProd1Emp1Req+paramSpecProgProd2Emp1Req</f>
        <v>0</v>
      </c>
      <c r="G60" s="412">
        <f>paramSpecProgEmp1Req+paramSpecProgProd1Emp1Req+paramSpecProgProd2Emp1Req</f>
        <v>0</v>
      </c>
      <c r="H60" s="412"/>
      <c r="I60" s="412"/>
      <c r="J60" s="412">
        <f>SUM(E60:I60)/(5-COUNTIF(E60:I60,""))</f>
        <v>0</v>
      </c>
      <c r="K60" s="412">
        <v>0</v>
      </c>
      <c r="L60" s="670" t="s">
        <v>2117</v>
      </c>
      <c r="M60" s="795"/>
      <c r="O60" s="1002" t="s">
        <v>3843</v>
      </c>
    </row>
    <row r="61" spans="2:15" s="387" customFormat="1">
      <c r="B61" s="3" t="s">
        <v>2739</v>
      </c>
      <c r="C61" s="795"/>
      <c r="D61" s="795"/>
      <c r="E61" s="987"/>
      <c r="F61" s="987"/>
      <c r="G61" s="987"/>
      <c r="H61" s="987"/>
      <c r="I61" s="987"/>
      <c r="J61" s="987"/>
      <c r="K61" s="987"/>
      <c r="L61" s="795"/>
      <c r="M61" s="795"/>
      <c r="O61" s="987"/>
    </row>
    <row r="62" spans="2:15" s="387" customFormat="1">
      <c r="B62" s="563" t="s">
        <v>3569</v>
      </c>
      <c r="D62" s="795"/>
      <c r="E62" s="599">
        <f>paramProd1AddSubs</f>
        <v>0</v>
      </c>
      <c r="F62" s="1002">
        <f>paramProd1AddSubs</f>
        <v>0</v>
      </c>
      <c r="G62" s="1002">
        <f>paramProd1AddSubs</f>
        <v>0</v>
      </c>
      <c r="H62" s="1002"/>
      <c r="I62" s="1002"/>
      <c r="J62" s="599">
        <f t="shared" ref="J62:J69" si="3">SUM(E62:I62)/(5-COUNTIF(E62:I62,""))</f>
        <v>0</v>
      </c>
      <c r="K62" s="599">
        <v>0</v>
      </c>
      <c r="L62" s="670" t="s">
        <v>2761</v>
      </c>
      <c r="M62" s="795"/>
      <c r="O62" s="1002" t="s">
        <v>3844</v>
      </c>
    </row>
    <row r="63" spans="2:15" s="387" customFormat="1">
      <c r="B63" s="563" t="s">
        <v>3580</v>
      </c>
      <c r="D63" s="795"/>
      <c r="E63" s="599">
        <f>paramProd2AddSubs</f>
        <v>0</v>
      </c>
      <c r="F63" s="1002">
        <f>paramProd2AddSubs</f>
        <v>0</v>
      </c>
      <c r="G63" s="1002">
        <f>paramProd2AddSubs</f>
        <v>0</v>
      </c>
      <c r="H63" s="1002"/>
      <c r="I63" s="1002"/>
      <c r="J63" s="599">
        <f t="shared" si="3"/>
        <v>0</v>
      </c>
      <c r="K63" s="599">
        <v>0</v>
      </c>
      <c r="L63" s="670" t="s">
        <v>2763</v>
      </c>
      <c r="M63" s="795"/>
      <c r="O63" s="1002" t="s">
        <v>3845</v>
      </c>
    </row>
    <row r="64" spans="2:15" s="387" customFormat="1">
      <c r="B64" s="563" t="s">
        <v>3546</v>
      </c>
      <c r="D64" s="795"/>
      <c r="E64" s="599">
        <f>paramProd1SubtractSubs</f>
        <v>0</v>
      </c>
      <c r="F64" s="1002">
        <f>paramProd1SubtractSubs</f>
        <v>0</v>
      </c>
      <c r="G64" s="1002">
        <f>paramProd1SubtractSubs</f>
        <v>0</v>
      </c>
      <c r="H64" s="1002"/>
      <c r="I64" s="1002"/>
      <c r="J64" s="599">
        <f t="shared" si="3"/>
        <v>0</v>
      </c>
      <c r="K64" s="599">
        <v>0</v>
      </c>
      <c r="L64" s="670" t="s">
        <v>2765</v>
      </c>
      <c r="M64" s="795"/>
      <c r="O64" s="1002" t="s">
        <v>3846</v>
      </c>
    </row>
    <row r="65" spans="2:15" s="387" customFormat="1">
      <c r="B65" s="563" t="s">
        <v>3547</v>
      </c>
      <c r="D65" s="795"/>
      <c r="E65" s="599">
        <f>paramProd2SubtractSubs</f>
        <v>0</v>
      </c>
      <c r="F65" s="1002">
        <f>paramProd2SubtractSubs</f>
        <v>0</v>
      </c>
      <c r="G65" s="1002">
        <f>paramProd2SubtractSubs</f>
        <v>0</v>
      </c>
      <c r="H65" s="1002"/>
      <c r="I65" s="1002"/>
      <c r="J65" s="599">
        <f t="shared" si="3"/>
        <v>0</v>
      </c>
      <c r="K65" s="599">
        <v>0</v>
      </c>
      <c r="L65" s="670" t="s">
        <v>2767</v>
      </c>
      <c r="M65" s="795"/>
      <c r="O65" s="1002" t="s">
        <v>3847</v>
      </c>
    </row>
    <row r="66" spans="2:15" s="387" customFormat="1">
      <c r="B66" s="563" t="s">
        <v>3563</v>
      </c>
      <c r="D66" s="795"/>
      <c r="E66" s="599">
        <f>paramProd1ServicePrice</f>
        <v>16000</v>
      </c>
      <c r="F66" s="1002">
        <f>paramProd1ServicePrice</f>
        <v>16000</v>
      </c>
      <c r="G66" s="1002">
        <f>paramProd1ServicePrice</f>
        <v>16000</v>
      </c>
      <c r="H66" s="1002"/>
      <c r="I66" s="1002"/>
      <c r="J66" s="599">
        <f t="shared" si="3"/>
        <v>16000</v>
      </c>
      <c r="K66" s="599">
        <v>16000</v>
      </c>
      <c r="L66" s="670" t="s">
        <v>1430</v>
      </c>
      <c r="M66" s="795"/>
      <c r="O66" s="1002" t="s">
        <v>3848</v>
      </c>
    </row>
    <row r="67" spans="2:15" s="387" customFormat="1">
      <c r="B67" s="563" t="s">
        <v>3564</v>
      </c>
      <c r="D67" s="795"/>
      <c r="E67" s="599">
        <f>paramProd2ServicePrice</f>
        <v>16000</v>
      </c>
      <c r="F67" s="1002">
        <f>paramProd2ServicePrice</f>
        <v>16000</v>
      </c>
      <c r="G67" s="1002">
        <f>paramProd2ServicePrice</f>
        <v>16000</v>
      </c>
      <c r="H67" s="1002"/>
      <c r="I67" s="1002"/>
      <c r="J67" s="599">
        <f t="shared" si="3"/>
        <v>16000</v>
      </c>
      <c r="K67" s="599">
        <v>16000</v>
      </c>
      <c r="L67" s="670" t="s">
        <v>1434</v>
      </c>
      <c r="M67" s="795"/>
      <c r="O67" s="1002" t="s">
        <v>3849</v>
      </c>
    </row>
    <row r="68" spans="2:15" s="387" customFormat="1">
      <c r="B68" s="563" t="s">
        <v>3550</v>
      </c>
      <c r="D68" s="795"/>
      <c r="E68" s="592">
        <f>paramProd1ServiceAttachRate</f>
        <v>0.9</v>
      </c>
      <c r="F68" s="592">
        <f>paramProd1ServiceAttachRate</f>
        <v>0.9</v>
      </c>
      <c r="G68" s="592">
        <f>paramProd1ServiceAttachRate</f>
        <v>0.9</v>
      </c>
      <c r="H68" s="592"/>
      <c r="I68" s="592"/>
      <c r="J68" s="592">
        <f t="shared" si="3"/>
        <v>0.9</v>
      </c>
      <c r="K68" s="592">
        <v>0.9</v>
      </c>
      <c r="L68" s="670" t="s">
        <v>1431</v>
      </c>
      <c r="M68" s="795"/>
      <c r="O68" s="1002" t="s">
        <v>3850</v>
      </c>
    </row>
    <row r="69" spans="2:15" s="387" customFormat="1">
      <c r="B69" s="563" t="s">
        <v>3551</v>
      </c>
      <c r="D69" s="795"/>
      <c r="E69" s="592">
        <f>paramProd2ServiceAttachRate</f>
        <v>0.8</v>
      </c>
      <c r="F69" s="592">
        <f>paramProd2ServiceAttachRate</f>
        <v>0.8</v>
      </c>
      <c r="G69" s="592">
        <f>paramProd2ServiceAttachRate</f>
        <v>0.8</v>
      </c>
      <c r="H69" s="592"/>
      <c r="I69" s="592"/>
      <c r="J69" s="592">
        <f t="shared" si="3"/>
        <v>0.80000000000000016</v>
      </c>
      <c r="K69" s="592">
        <v>0.8</v>
      </c>
      <c r="L69" s="670" t="s">
        <v>1435</v>
      </c>
      <c r="M69" s="795"/>
      <c r="O69" s="1002" t="s">
        <v>3851</v>
      </c>
    </row>
    <row r="70" spans="2:15" s="387" customFormat="1">
      <c r="B70" s="985" t="s">
        <v>2740</v>
      </c>
      <c r="C70" s="795"/>
      <c r="D70" s="795"/>
      <c r="E70" s="987"/>
      <c r="F70" s="987"/>
      <c r="G70" s="987"/>
      <c r="H70" s="987"/>
      <c r="I70" s="987"/>
      <c r="J70" s="987"/>
      <c r="K70" s="987"/>
      <c r="L70" s="795"/>
      <c r="M70" s="795"/>
      <c r="O70" s="987"/>
    </row>
    <row r="71" spans="2:15" s="387" customFormat="1">
      <c r="B71" s="563" t="s">
        <v>3543</v>
      </c>
      <c r="D71" s="795"/>
      <c r="E71" s="592">
        <f>1-paramProd1CancellationRate</f>
        <v>0</v>
      </c>
      <c r="F71" s="592">
        <f>1-paramProd1CancellationRate</f>
        <v>0</v>
      </c>
      <c r="G71" s="592">
        <f>1-paramProd1CancellationRate</f>
        <v>0</v>
      </c>
      <c r="H71" s="592"/>
      <c r="I71" s="592"/>
      <c r="J71" s="592">
        <f>SUM(E71:I71)/(5-COUNTIF(E71:I71,""))</f>
        <v>0</v>
      </c>
      <c r="K71" s="592">
        <v>0</v>
      </c>
      <c r="L71" s="670" t="s">
        <v>1389</v>
      </c>
      <c r="M71" s="795"/>
      <c r="O71" s="1002" t="s">
        <v>3852</v>
      </c>
    </row>
    <row r="72" spans="2:15" s="387" customFormat="1">
      <c r="B72" s="563" t="s">
        <v>3544</v>
      </c>
      <c r="D72" s="795"/>
      <c r="E72" s="592">
        <f>1-paramProd2CancellationRate</f>
        <v>0</v>
      </c>
      <c r="F72" s="592">
        <f>1-paramProd2CancellationRate</f>
        <v>0</v>
      </c>
      <c r="G72" s="592">
        <f>1-paramProd2CancellationRate</f>
        <v>0</v>
      </c>
      <c r="H72" s="592"/>
      <c r="I72" s="592"/>
      <c r="J72" s="592">
        <f>SUM(E72:I72)/(5-COUNTIF(E72:I72,""))</f>
        <v>0</v>
      </c>
      <c r="K72" s="592">
        <v>0</v>
      </c>
      <c r="L72" s="670" t="s">
        <v>1405</v>
      </c>
      <c r="M72" s="795"/>
      <c r="O72" s="1002" t="s">
        <v>3853</v>
      </c>
    </row>
    <row r="73" spans="2:15" s="387" customFormat="1">
      <c r="B73" s="3" t="s">
        <v>714</v>
      </c>
      <c r="C73" s="795"/>
      <c r="D73" s="795"/>
      <c r="E73" s="987"/>
      <c r="F73" s="987"/>
      <c r="G73" s="987"/>
      <c r="H73" s="987"/>
      <c r="I73" s="987"/>
      <c r="J73" s="987"/>
      <c r="K73" s="987"/>
      <c r="L73" s="795"/>
      <c r="M73" s="795"/>
      <c r="O73" s="987"/>
    </row>
    <row r="74" spans="2:15" s="387" customFormat="1">
      <c r="B74" s="563" t="s">
        <v>3524</v>
      </c>
      <c r="D74" s="795"/>
      <c r="E74" s="505">
        <f>paramSpecProgProd1Sales</f>
        <v>0</v>
      </c>
      <c r="F74" s="505">
        <f>paramSpecProgProd1Sales</f>
        <v>0</v>
      </c>
      <c r="G74" s="505">
        <f>paramSpecProgProd1Sales</f>
        <v>0</v>
      </c>
      <c r="H74" s="505"/>
      <c r="I74" s="505"/>
      <c r="J74" s="505">
        <f>SUM(E74:I74)/(5-COUNTIF(E74:I74,""))</f>
        <v>0</v>
      </c>
      <c r="K74" s="505">
        <v>0</v>
      </c>
      <c r="L74" s="670" t="s">
        <v>2125</v>
      </c>
      <c r="M74" s="795"/>
      <c r="O74" s="1002" t="s">
        <v>3854</v>
      </c>
    </row>
    <row r="75" spans="2:15" s="387" customFormat="1">
      <c r="B75" s="563" t="s">
        <v>3525</v>
      </c>
      <c r="D75" s="795"/>
      <c r="E75" s="505">
        <f>paramSpecProgProd2Sales</f>
        <v>0</v>
      </c>
      <c r="F75" s="505">
        <f>paramSpecProgProd2Sales</f>
        <v>0</v>
      </c>
      <c r="G75" s="505">
        <f>paramSpecProgProd2Sales</f>
        <v>0</v>
      </c>
      <c r="H75" s="505"/>
      <c r="I75" s="505"/>
      <c r="J75" s="505">
        <f>SUM(E75:I75)/(5-COUNTIF(E75:I75,""))</f>
        <v>0</v>
      </c>
      <c r="K75" s="505">
        <v>0</v>
      </c>
      <c r="L75" s="670" t="s">
        <v>2126</v>
      </c>
      <c r="M75" s="795"/>
      <c r="O75" s="1002" t="s">
        <v>3855</v>
      </c>
    </row>
    <row r="76" spans="2:15" s="387" customFormat="1">
      <c r="B76" s="3" t="s">
        <v>2741</v>
      </c>
      <c r="C76" s="795"/>
      <c r="D76" s="795"/>
      <c r="E76" s="987"/>
      <c r="F76" s="987"/>
      <c r="G76" s="987"/>
      <c r="H76" s="987"/>
      <c r="I76" s="987"/>
      <c r="J76" s="987"/>
      <c r="K76" s="987"/>
      <c r="L76" s="795"/>
      <c r="M76" s="795"/>
      <c r="O76" s="987"/>
    </row>
    <row r="77" spans="2:15" s="387" customFormat="1">
      <c r="B77" s="563" t="s">
        <v>3550</v>
      </c>
      <c r="D77" s="795"/>
      <c r="E77" s="592">
        <f>paramProd1ServiceAttachRate</f>
        <v>0.9</v>
      </c>
      <c r="F77" s="592">
        <f>paramProd1ServiceAttachRate</f>
        <v>0.9</v>
      </c>
      <c r="G77" s="592">
        <f>paramProd1ServiceAttachRate</f>
        <v>0.9</v>
      </c>
      <c r="H77" s="592"/>
      <c r="I77" s="592"/>
      <c r="J77" s="592">
        <f>SUM(E77:I77)/(5-COUNTIF(E77:I77,""))</f>
        <v>0.9</v>
      </c>
      <c r="K77" s="592">
        <v>0.9</v>
      </c>
      <c r="L77" s="670" t="s">
        <v>1431</v>
      </c>
      <c r="M77" s="795"/>
      <c r="O77" s="1002" t="s">
        <v>3856</v>
      </c>
    </row>
    <row r="78" spans="2:15" s="387" customFormat="1">
      <c r="B78" s="563" t="s">
        <v>3551</v>
      </c>
      <c r="D78" s="795"/>
      <c r="E78" s="592">
        <f>paramProd2ServiceAttachRate</f>
        <v>0.8</v>
      </c>
      <c r="F78" s="592">
        <f>paramProd2ServiceAttachRate</f>
        <v>0.8</v>
      </c>
      <c r="G78" s="592">
        <f>paramProd2ServiceAttachRate</f>
        <v>0.8</v>
      </c>
      <c r="H78" s="592"/>
      <c r="I78" s="592"/>
      <c r="J78" s="592">
        <f>SUM(E78:I78)/(5-COUNTIF(E78:I78,""))</f>
        <v>0.80000000000000016</v>
      </c>
      <c r="K78" s="592">
        <v>0.8</v>
      </c>
      <c r="L78" s="670" t="s">
        <v>1435</v>
      </c>
      <c r="M78" s="795"/>
      <c r="O78" s="1002" t="s">
        <v>3857</v>
      </c>
    </row>
    <row r="79" spans="2:15" s="387" customFormat="1">
      <c r="B79" s="812" t="s">
        <v>2982</v>
      </c>
      <c r="C79" s="812"/>
      <c r="D79" s="812"/>
      <c r="E79" s="988" t="str">
        <f>decTeamName</f>
        <v>IIC</v>
      </c>
      <c r="F79" s="988" t="str">
        <f>decTeamName</f>
        <v>Bloomfield</v>
      </c>
      <c r="G79" s="988" t="str">
        <f>decTeamName</f>
        <v>Nextus</v>
      </c>
      <c r="H79" s="988"/>
      <c r="I79" s="988"/>
      <c r="J79" s="988" t="s">
        <v>2816</v>
      </c>
      <c r="K79" s="805" t="s">
        <v>2818</v>
      </c>
      <c r="L79" s="795"/>
      <c r="M79" s="795"/>
      <c r="O79" s="988"/>
    </row>
    <row r="80" spans="2:15" s="387" customFormat="1">
      <c r="B80" s="985" t="s">
        <v>2980</v>
      </c>
      <c r="C80" s="795"/>
      <c r="D80" s="795"/>
      <c r="E80" s="987"/>
      <c r="F80" s="987"/>
      <c r="G80" s="987"/>
      <c r="H80" s="987"/>
      <c r="I80" s="987"/>
      <c r="J80" s="987"/>
      <c r="K80" s="987"/>
      <c r="L80" s="795"/>
      <c r="M80" s="795"/>
      <c r="O80" s="987"/>
    </row>
    <row r="81" spans="2:15" s="387" customFormat="1">
      <c r="B81" s="563" t="s">
        <v>44</v>
      </c>
      <c r="D81" s="795"/>
      <c r="E81" s="505">
        <f>paramCSATAdj</f>
        <v>0</v>
      </c>
      <c r="F81" s="505">
        <f>paramCSATAdj</f>
        <v>0</v>
      </c>
      <c r="G81" s="505">
        <f>paramCSATAdj</f>
        <v>0</v>
      </c>
      <c r="H81" s="505"/>
      <c r="I81" s="505"/>
      <c r="J81" s="505">
        <f>SUM(E81:I81)/(5-COUNTIF(E81:I81,""))</f>
        <v>0</v>
      </c>
      <c r="K81" s="505">
        <v>0</v>
      </c>
      <c r="L81" s="670" t="s">
        <v>2132</v>
      </c>
      <c r="M81" s="795"/>
      <c r="O81" s="1002" t="s">
        <v>3858</v>
      </c>
    </row>
    <row r="82" spans="2:15" s="387" customFormat="1">
      <c r="B82" s="563" t="s">
        <v>1044</v>
      </c>
      <c r="D82" s="795"/>
      <c r="E82" s="505">
        <f>paramESATAdj</f>
        <v>0</v>
      </c>
      <c r="F82" s="505">
        <f>paramESATAdj</f>
        <v>0</v>
      </c>
      <c r="G82" s="505">
        <f>paramESATAdj</f>
        <v>0</v>
      </c>
      <c r="H82" s="505"/>
      <c r="I82" s="505"/>
      <c r="J82" s="505">
        <f>SUM(E82:I82)/(5-COUNTIF(E82:I82,""))</f>
        <v>0</v>
      </c>
      <c r="K82" s="505">
        <v>0</v>
      </c>
      <c r="L82" s="670" t="s">
        <v>2131</v>
      </c>
      <c r="M82" s="795"/>
      <c r="O82" s="1002" t="s">
        <v>3859</v>
      </c>
    </row>
    <row r="83" spans="2:15" s="387" customFormat="1">
      <c r="B83" s="985" t="s">
        <v>2742</v>
      </c>
      <c r="C83" s="795"/>
      <c r="D83" s="795"/>
      <c r="E83" s="987"/>
      <c r="F83" s="987"/>
      <c r="G83" s="987"/>
      <c r="H83" s="987"/>
      <c r="I83" s="987"/>
      <c r="J83" s="987"/>
      <c r="K83" s="987"/>
      <c r="L83" s="795"/>
      <c r="M83" s="795"/>
      <c r="O83" s="987"/>
    </row>
    <row r="84" spans="2:15" s="387" customFormat="1">
      <c r="B84" s="563" t="s">
        <v>3533</v>
      </c>
      <c r="D84" s="795"/>
      <c r="E84" s="986">
        <f>paramProd1LabHrsReqPSub</f>
        <v>6</v>
      </c>
      <c r="F84" s="986">
        <f>paramProd1LabHrsReqPSub</f>
        <v>6</v>
      </c>
      <c r="G84" s="986">
        <f>paramProd1LabHrsReqPSub</f>
        <v>6</v>
      </c>
      <c r="H84" s="986"/>
      <c r="I84" s="986"/>
      <c r="J84" s="986">
        <f t="shared" ref="J84:J89" si="4">SUM(E84:I84)/(5-COUNTIF(E84:I84,""))</f>
        <v>6</v>
      </c>
      <c r="K84" s="986">
        <v>6</v>
      </c>
      <c r="L84" s="670" t="s">
        <v>1517</v>
      </c>
      <c r="M84" s="795"/>
      <c r="O84" s="1002" t="s">
        <v>3860</v>
      </c>
    </row>
    <row r="85" spans="2:15" s="387" customFormat="1">
      <c r="B85" s="563" t="s">
        <v>3534</v>
      </c>
      <c r="D85" s="795"/>
      <c r="E85" s="412">
        <f>paramProd1OtherCost</f>
        <v>6000000</v>
      </c>
      <c r="F85" s="412">
        <f>paramProd1OtherCost</f>
        <v>6000000</v>
      </c>
      <c r="G85" s="412">
        <f>paramProd1OtherCost</f>
        <v>6000000</v>
      </c>
      <c r="H85" s="412"/>
      <c r="I85" s="412"/>
      <c r="J85" s="412">
        <f t="shared" si="4"/>
        <v>6000000</v>
      </c>
      <c r="K85" s="412">
        <v>6000000</v>
      </c>
      <c r="L85" s="670" t="s">
        <v>2065</v>
      </c>
      <c r="M85" s="795"/>
      <c r="O85" s="1002" t="s">
        <v>3861</v>
      </c>
    </row>
    <row r="86" spans="2:15" s="387" customFormat="1">
      <c r="B86" s="563" t="s">
        <v>3535</v>
      </c>
      <c r="D86" s="795"/>
      <c r="E86" s="986">
        <f>paramProd2LabHrsReqPSub</f>
        <v>4</v>
      </c>
      <c r="F86" s="986">
        <f>paramProd2LabHrsReqPSub</f>
        <v>4</v>
      </c>
      <c r="G86" s="986">
        <f>paramProd2LabHrsReqPSub</f>
        <v>4</v>
      </c>
      <c r="H86" s="986"/>
      <c r="I86" s="986"/>
      <c r="J86" s="986">
        <f t="shared" si="4"/>
        <v>4</v>
      </c>
      <c r="K86" s="986">
        <v>4</v>
      </c>
      <c r="L86" s="670" t="s">
        <v>1519</v>
      </c>
      <c r="M86" s="795"/>
      <c r="O86" s="1002" t="s">
        <v>3862</v>
      </c>
    </row>
    <row r="87" spans="2:15" s="387" customFormat="1">
      <c r="B87" s="563" t="s">
        <v>3536</v>
      </c>
      <c r="D87" s="795"/>
      <c r="E87" s="599">
        <f>paramProd2OtherCost</f>
        <v>5000000</v>
      </c>
      <c r="F87" s="1002">
        <f>paramProd2OtherCost</f>
        <v>5000000</v>
      </c>
      <c r="G87" s="1002">
        <f>paramProd2OtherCost</f>
        <v>5000000</v>
      </c>
      <c r="H87" s="1002"/>
      <c r="I87" s="1002"/>
      <c r="J87" s="599">
        <f t="shared" si="4"/>
        <v>5000000</v>
      </c>
      <c r="K87" s="599">
        <v>5000000</v>
      </c>
      <c r="L87" s="670" t="s">
        <v>2067</v>
      </c>
      <c r="M87" s="795"/>
      <c r="O87" s="1002" t="s">
        <v>3863</v>
      </c>
    </row>
    <row r="88" spans="2:15" s="387" customFormat="1">
      <c r="B88" s="563" t="s">
        <v>1493</v>
      </c>
      <c r="D88" s="795"/>
      <c r="E88" s="599">
        <f>paramGlobalExpansionLaborPLvl</f>
        <v>150</v>
      </c>
      <c r="F88" s="1002">
        <f>paramGlobalExpansionLaborPLvl</f>
        <v>150</v>
      </c>
      <c r="G88" s="1002">
        <f>paramGlobalExpansionLaborPLvl</f>
        <v>150</v>
      </c>
      <c r="H88" s="1002"/>
      <c r="I88" s="1002"/>
      <c r="J88" s="599">
        <f t="shared" si="4"/>
        <v>150</v>
      </c>
      <c r="K88" s="599">
        <v>150</v>
      </c>
      <c r="L88" s="670" t="s">
        <v>1475</v>
      </c>
      <c r="M88" s="795"/>
      <c r="O88" s="1002" t="s">
        <v>3864</v>
      </c>
    </row>
    <row r="89" spans="2:15" s="387" customFormat="1">
      <c r="B89" s="563" t="s">
        <v>1496</v>
      </c>
      <c r="D89" s="795"/>
      <c r="E89" s="599">
        <f>paramCorporateLabor</f>
        <v>5000</v>
      </c>
      <c r="F89" s="1002">
        <f>paramCorporateLabor</f>
        <v>5000</v>
      </c>
      <c r="G89" s="1002">
        <f>paramCorporateLabor</f>
        <v>5000</v>
      </c>
      <c r="H89" s="1002"/>
      <c r="I89" s="1002"/>
      <c r="J89" s="599">
        <f t="shared" si="4"/>
        <v>5000</v>
      </c>
      <c r="K89" s="599">
        <v>5000</v>
      </c>
      <c r="L89" s="670" t="s">
        <v>1495</v>
      </c>
      <c r="M89" s="795"/>
      <c r="O89" s="1002" t="s">
        <v>3865</v>
      </c>
    </row>
    <row r="90" spans="2:15" s="387" customFormat="1">
      <c r="B90" s="3" t="s">
        <v>1428</v>
      </c>
      <c r="C90" s="795"/>
      <c r="D90" s="795"/>
      <c r="E90" s="987"/>
      <c r="F90" s="987"/>
      <c r="G90" s="987"/>
      <c r="H90" s="987"/>
      <c r="I90" s="987"/>
      <c r="J90" s="987"/>
      <c r="K90" s="987"/>
      <c r="L90" s="795"/>
      <c r="M90" s="795"/>
      <c r="O90" s="987"/>
    </row>
    <row r="91" spans="2:15" s="387" customFormat="1">
      <c r="B91" s="563" t="s">
        <v>3600</v>
      </c>
      <c r="D91" s="795"/>
      <c r="E91" s="989">
        <f>paramProd1DCCapacityPSub</f>
        <v>0.22</v>
      </c>
      <c r="F91" s="989">
        <f>paramProd1DCCapacityPSub</f>
        <v>0.22</v>
      </c>
      <c r="G91" s="989">
        <f>paramProd1DCCapacityPSub</f>
        <v>0.22</v>
      </c>
      <c r="H91" s="989"/>
      <c r="I91" s="989"/>
      <c r="J91" s="989">
        <f>SUM(E91:I91)/(5-COUNTIF(E91:I91,""))</f>
        <v>0.22</v>
      </c>
      <c r="K91" s="989">
        <v>0.22</v>
      </c>
      <c r="L91" s="670" t="s">
        <v>1483</v>
      </c>
      <c r="M91" s="795"/>
      <c r="O91" s="1002" t="s">
        <v>3866</v>
      </c>
    </row>
    <row r="92" spans="2:15" s="387" customFormat="1">
      <c r="B92" s="563" t="s">
        <v>3601</v>
      </c>
      <c r="D92" s="795"/>
      <c r="E92" s="989">
        <f>paramProd2DCCapacityPSub</f>
        <v>0.22</v>
      </c>
      <c r="F92" s="989">
        <f>paramProd2DCCapacityPSub</f>
        <v>0.22</v>
      </c>
      <c r="G92" s="989">
        <f>paramProd2DCCapacityPSub</f>
        <v>0.22</v>
      </c>
      <c r="H92" s="989"/>
      <c r="I92" s="989"/>
      <c r="J92" s="989">
        <f>SUM(E92:I92)/(5-COUNTIF(E92:I92,""))</f>
        <v>0.22</v>
      </c>
      <c r="K92" s="989">
        <v>0.22</v>
      </c>
      <c r="L92" s="670" t="s">
        <v>1484</v>
      </c>
      <c r="M92" s="795"/>
      <c r="O92" s="1002" t="s">
        <v>3867</v>
      </c>
    </row>
    <row r="93" spans="2:15" s="387" customFormat="1">
      <c r="B93" s="985" t="s">
        <v>2981</v>
      </c>
      <c r="C93" s="795"/>
      <c r="D93" s="795"/>
      <c r="E93" s="987"/>
      <c r="F93" s="987"/>
      <c r="G93" s="987"/>
      <c r="H93" s="987"/>
      <c r="I93" s="987"/>
      <c r="J93" s="987"/>
      <c r="K93" s="987"/>
      <c r="L93" s="795"/>
      <c r="M93" s="795"/>
      <c r="O93" s="987"/>
    </row>
    <row r="94" spans="2:15" s="387" customFormat="1">
      <c r="B94" s="21" t="s">
        <v>1972</v>
      </c>
      <c r="D94" s="795"/>
      <c r="E94" s="505">
        <f>paramEmp1FTECoefficient</f>
        <v>0.66039999999999999</v>
      </c>
      <c r="F94" s="505">
        <f>paramEmp1FTECoefficient</f>
        <v>0.66039999999999999</v>
      </c>
      <c r="G94" s="505">
        <f>paramEmp1FTECoefficient</f>
        <v>0.65780000000000005</v>
      </c>
      <c r="H94" s="505"/>
      <c r="I94" s="505"/>
      <c r="J94" s="505">
        <f>SUM(E94:I94)/(5-COUNTIF(E94:I94,""))</f>
        <v>0.65953333333333342</v>
      </c>
      <c r="K94" s="505">
        <v>0.66039999999999999</v>
      </c>
      <c r="L94" s="737" t="s">
        <v>2076</v>
      </c>
      <c r="M94" s="795"/>
      <c r="O94" s="1002" t="s">
        <v>3868</v>
      </c>
    </row>
    <row r="95" spans="2:15" s="387" customFormat="1">
      <c r="B95" s="21" t="s">
        <v>2744</v>
      </c>
      <c r="D95" s="795"/>
      <c r="E95" s="592">
        <f>paramSalesForceProductivity-1</f>
        <v>0</v>
      </c>
      <c r="F95" s="592">
        <f>paramSalesForceProductivity-1</f>
        <v>0</v>
      </c>
      <c r="G95" s="592">
        <f>paramSalesForceProductivity-1</f>
        <v>0</v>
      </c>
      <c r="H95" s="592"/>
      <c r="I95" s="592"/>
      <c r="J95" s="592">
        <f>SUM(E95:I95)/(5-COUNTIF(E95:I95,""))</f>
        <v>0</v>
      </c>
      <c r="K95" s="592">
        <v>0</v>
      </c>
      <c r="L95" s="670" t="s">
        <v>2743</v>
      </c>
      <c r="M95" s="795"/>
      <c r="O95" s="1002" t="s">
        <v>3869</v>
      </c>
    </row>
    <row r="96" spans="2:15" s="387" customFormat="1">
      <c r="B96" s="571"/>
      <c r="C96" s="795"/>
      <c r="D96" s="795"/>
      <c r="E96" s="795"/>
      <c r="F96" s="795"/>
      <c r="G96" s="795"/>
      <c r="H96" s="795"/>
      <c r="I96" s="795"/>
      <c r="J96" s="795"/>
      <c r="K96" s="795"/>
      <c r="M96" s="795"/>
      <c r="N96" s="795"/>
      <c r="O96" s="795"/>
    </row>
    <row r="97" spans="2:20" s="387" customFormat="1">
      <c r="B97" s="812" t="s">
        <v>714</v>
      </c>
      <c r="C97" s="812"/>
      <c r="D97" s="812"/>
      <c r="E97" s="805" t="str">
        <f>decTeamName</f>
        <v>IIC</v>
      </c>
      <c r="F97" s="805" t="str">
        <f>decTeamName</f>
        <v>Bloomfield</v>
      </c>
      <c r="G97" s="805" t="str">
        <f>decTeamName</f>
        <v>Nextus</v>
      </c>
      <c r="H97" s="805"/>
      <c r="I97" s="805"/>
      <c r="J97" s="805"/>
      <c r="K97" s="805"/>
      <c r="M97" s="795"/>
      <c r="N97" s="795"/>
      <c r="O97" s="805"/>
    </row>
    <row r="98" spans="2:20">
      <c r="B98" s="21" t="s">
        <v>3602</v>
      </c>
      <c r="C98" s="21"/>
      <c r="D98" s="21"/>
      <c r="E98" s="809">
        <f>cbalSpecProg1Year</f>
        <v>0</v>
      </c>
      <c r="F98" s="809">
        <f>cbalSpecProg1Year</f>
        <v>0</v>
      </c>
      <c r="G98" s="809">
        <f>cbalSpecProg1Year</f>
        <v>0</v>
      </c>
      <c r="H98" s="809"/>
      <c r="I98" s="809"/>
      <c r="J98" s="21"/>
      <c r="K98" s="21"/>
      <c r="L98">
        <v>1</v>
      </c>
      <c r="O98" s="1002" t="s">
        <v>3870</v>
      </c>
      <c r="S98" s="809" t="str">
        <f>"cbalSpecProg"&amp;$L98&amp;"Year"</f>
        <v>cbalSpecProg1Year</v>
      </c>
    </row>
    <row r="99" spans="2:20">
      <c r="B99" s="21" t="s">
        <v>3603</v>
      </c>
      <c r="C99" s="21"/>
      <c r="D99" s="21"/>
      <c r="E99" s="21">
        <f>cbalSpecProg2Year</f>
        <v>0</v>
      </c>
      <c r="F99" s="21">
        <f>cbalSpecProg2Year</f>
        <v>0</v>
      </c>
      <c r="G99" s="21">
        <f>cbalSpecProg2Year</f>
        <v>0</v>
      </c>
      <c r="H99" s="21"/>
      <c r="I99" s="21"/>
      <c r="J99" s="21"/>
      <c r="K99" s="21"/>
      <c r="L99">
        <v>2</v>
      </c>
      <c r="O99" s="1002" t="s">
        <v>3871</v>
      </c>
    </row>
    <row r="100" spans="2:20">
      <c r="B100" s="21" t="s">
        <v>3604</v>
      </c>
      <c r="C100" s="21"/>
      <c r="D100" s="21"/>
      <c r="E100" s="21">
        <f>cbalSpecProg5Year</f>
        <v>0</v>
      </c>
      <c r="F100" s="21">
        <f>cbalSpecProg5Year</f>
        <v>0</v>
      </c>
      <c r="G100" s="21">
        <f>cbalSpecProg5Year</f>
        <v>0</v>
      </c>
      <c r="H100" s="21"/>
      <c r="I100" s="21"/>
      <c r="J100" s="21"/>
      <c r="K100" s="21"/>
      <c r="L100">
        <v>5</v>
      </c>
      <c r="O100" s="1002" t="s">
        <v>3872</v>
      </c>
    </row>
    <row r="101" spans="2:20">
      <c r="B101" s="21" t="s">
        <v>3605</v>
      </c>
      <c r="C101" s="21"/>
      <c r="D101" s="21"/>
      <c r="E101" s="21">
        <f>cbalSpecProg6Year</f>
        <v>0</v>
      </c>
      <c r="F101" s="21">
        <f>cbalSpecProg6Year</f>
        <v>0</v>
      </c>
      <c r="G101" s="21">
        <f>cbalSpecProg6Year</f>
        <v>0</v>
      </c>
      <c r="H101" s="21"/>
      <c r="I101" s="21"/>
      <c r="J101" s="21"/>
      <c r="K101" s="21"/>
      <c r="L101">
        <v>6</v>
      </c>
      <c r="O101" s="1002" t="s">
        <v>3873</v>
      </c>
    </row>
    <row r="102" spans="2:20">
      <c r="B102" s="21" t="s">
        <v>3606</v>
      </c>
      <c r="C102" s="21"/>
      <c r="D102" s="21"/>
      <c r="E102" s="21">
        <f>cbalSpecProg7Year</f>
        <v>0</v>
      </c>
      <c r="F102" s="21">
        <f>cbalSpecProg7Year</f>
        <v>0</v>
      </c>
      <c r="G102" s="21">
        <f>cbalSpecProg7Year</f>
        <v>0</v>
      </c>
      <c r="H102" s="21"/>
      <c r="I102" s="21"/>
      <c r="J102" s="21"/>
      <c r="K102" s="21"/>
      <c r="L102">
        <v>7</v>
      </c>
      <c r="O102" s="1002" t="s">
        <v>3874</v>
      </c>
    </row>
    <row r="103" spans="2:20">
      <c r="B103" s="21" t="s">
        <v>3607</v>
      </c>
      <c r="C103" s="21"/>
      <c r="D103" s="21"/>
      <c r="E103" s="21">
        <f>cbalSpecProg8Year</f>
        <v>0</v>
      </c>
      <c r="F103" s="21">
        <f>cbalSpecProg8Year</f>
        <v>0</v>
      </c>
      <c r="G103" s="21">
        <f>cbalSpecProg8Year</f>
        <v>0</v>
      </c>
      <c r="H103" s="21"/>
      <c r="I103" s="21"/>
      <c r="J103" s="21"/>
      <c r="K103" s="21"/>
      <c r="L103">
        <v>8</v>
      </c>
      <c r="O103" s="1002" t="s">
        <v>3875</v>
      </c>
    </row>
    <row r="104" spans="2:20">
      <c r="B104" s="21" t="s">
        <v>3608</v>
      </c>
      <c r="C104" s="21"/>
      <c r="D104" s="21"/>
      <c r="E104" s="21">
        <f>cbalSpecProg10Year</f>
        <v>0</v>
      </c>
      <c r="F104" s="21">
        <f>cbalSpecProg10Year</f>
        <v>0</v>
      </c>
      <c r="G104" s="21">
        <f>cbalSpecProg10Year</f>
        <v>0</v>
      </c>
      <c r="H104" s="21"/>
      <c r="I104" s="21"/>
      <c r="J104" s="21"/>
      <c r="K104" s="21"/>
      <c r="L104">
        <v>10</v>
      </c>
      <c r="O104" s="1002" t="s">
        <v>3876</v>
      </c>
    </row>
    <row r="105" spans="2:20">
      <c r="B105" s="21" t="s">
        <v>3609</v>
      </c>
      <c r="C105" s="21"/>
      <c r="D105" s="21"/>
      <c r="E105" s="21">
        <f>cbalSpecProg11Year</f>
        <v>0</v>
      </c>
      <c r="F105" s="21">
        <f>cbalSpecProg11Year</f>
        <v>0</v>
      </c>
      <c r="G105" s="21">
        <f>cbalSpecProg11Year</f>
        <v>0</v>
      </c>
      <c r="H105" s="21"/>
      <c r="I105" s="21"/>
      <c r="J105" s="21"/>
      <c r="K105" s="21"/>
      <c r="L105">
        <v>11</v>
      </c>
      <c r="O105" s="1002" t="s">
        <v>3877</v>
      </c>
    </row>
    <row r="106" spans="2:20">
      <c r="B106" s="21" t="s">
        <v>3610</v>
      </c>
      <c r="C106" s="21"/>
      <c r="D106" s="21"/>
      <c r="E106" s="21">
        <f>cbalSpecProg14Year</f>
        <v>0</v>
      </c>
      <c r="F106" s="21">
        <f>cbalSpecProg14Year</f>
        <v>0</v>
      </c>
      <c r="G106" s="21">
        <f>cbalSpecProg14Year</f>
        <v>0</v>
      </c>
      <c r="H106" s="21"/>
      <c r="I106" s="21"/>
      <c r="J106" s="21"/>
      <c r="K106" s="21"/>
      <c r="L106">
        <v>14</v>
      </c>
      <c r="O106" s="1002" t="s">
        <v>3878</v>
      </c>
    </row>
    <row r="107" spans="2:20">
      <c r="B107" s="21" t="s">
        <v>3611</v>
      </c>
      <c r="C107" s="21"/>
      <c r="D107" s="21"/>
      <c r="E107" s="21">
        <f>cbalSpecProg15Year</f>
        <v>0</v>
      </c>
      <c r="F107" s="21">
        <f>cbalSpecProg15Year</f>
        <v>0</v>
      </c>
      <c r="G107" s="21">
        <f>cbalSpecProg15Year</f>
        <v>0</v>
      </c>
      <c r="H107" s="21"/>
      <c r="I107" s="21"/>
      <c r="J107" s="21"/>
      <c r="K107" s="21"/>
      <c r="L107">
        <v>15</v>
      </c>
      <c r="O107" s="1002" t="s">
        <v>3879</v>
      </c>
    </row>
    <row r="108" spans="2:20">
      <c r="B108" s="21" t="s">
        <v>3612</v>
      </c>
      <c r="C108" s="21"/>
      <c r="D108" s="21"/>
      <c r="E108" s="21">
        <f>cbalSpecProg17Year</f>
        <v>0</v>
      </c>
      <c r="F108" s="21">
        <f>cbalSpecProg17Year</f>
        <v>0</v>
      </c>
      <c r="G108" s="21">
        <f>cbalSpecProg17Year</f>
        <v>0</v>
      </c>
      <c r="H108" s="21"/>
      <c r="I108" s="21"/>
      <c r="J108" s="21"/>
      <c r="K108" s="21"/>
      <c r="L108">
        <v>17</v>
      </c>
      <c r="O108" s="1002" t="s">
        <v>3880</v>
      </c>
    </row>
    <row r="109" spans="2:20">
      <c r="B109" s="21" t="s">
        <v>3613</v>
      </c>
      <c r="C109" s="21"/>
      <c r="D109" s="21"/>
      <c r="E109" s="21">
        <f>cbalSpecProg18Year</f>
        <v>0</v>
      </c>
      <c r="F109" s="21">
        <f>cbalSpecProg18Year</f>
        <v>0</v>
      </c>
      <c r="G109" s="21">
        <f>cbalSpecProg18Year</f>
        <v>0</v>
      </c>
      <c r="H109" s="21"/>
      <c r="I109" s="21"/>
      <c r="J109" s="21"/>
      <c r="K109" s="21"/>
      <c r="L109">
        <v>18</v>
      </c>
      <c r="O109" s="1002" t="s">
        <v>3881</v>
      </c>
    </row>
    <row r="110" spans="2:20">
      <c r="B110" s="21" t="s">
        <v>3614</v>
      </c>
      <c r="C110" s="21"/>
      <c r="D110" s="21"/>
      <c r="E110" s="21">
        <f>cbalSpecProg19Year</f>
        <v>0</v>
      </c>
      <c r="F110" s="21">
        <f>cbalSpecProg19Year</f>
        <v>0</v>
      </c>
      <c r="G110" s="21">
        <f>cbalSpecProg19Year</f>
        <v>0</v>
      </c>
      <c r="H110" s="21"/>
      <c r="I110" s="21"/>
      <c r="J110" s="21"/>
      <c r="K110" s="21"/>
      <c r="L110">
        <v>19</v>
      </c>
      <c r="O110" s="1002" t="s">
        <v>3882</v>
      </c>
    </row>
    <row r="111" spans="2:20">
      <c r="B111" s="21" t="s">
        <v>3615</v>
      </c>
      <c r="C111" s="21"/>
      <c r="D111" s="21"/>
      <c r="E111" s="21">
        <f>cbalSpecProg21Year</f>
        <v>0</v>
      </c>
      <c r="F111" s="21">
        <f>cbalSpecProg21Year</f>
        <v>0</v>
      </c>
      <c r="G111" s="21">
        <f>cbalSpecProg21Year</f>
        <v>0</v>
      </c>
      <c r="H111" s="21"/>
      <c r="I111" s="21"/>
      <c r="J111" s="21"/>
      <c r="K111" s="21"/>
      <c r="L111">
        <v>21</v>
      </c>
      <c r="O111" s="1002" t="s">
        <v>3883</v>
      </c>
    </row>
    <row r="112" spans="2:20">
      <c r="B112" s="21" t="s">
        <v>3616</v>
      </c>
      <c r="C112" s="21"/>
      <c r="D112" s="21"/>
      <c r="E112" s="21">
        <f>cbalEvent101Year</f>
        <v>0</v>
      </c>
      <c r="F112" s="21">
        <f>cbalEvent101Year</f>
        <v>0</v>
      </c>
      <c r="G112" s="21">
        <f>cbalEvent101Year</f>
        <v>0</v>
      </c>
      <c r="H112" s="21"/>
      <c r="I112" s="21"/>
      <c r="J112" s="21"/>
      <c r="K112" s="21"/>
      <c r="L112" s="5">
        <v>101</v>
      </c>
      <c r="O112" s="1002" t="s">
        <v>3884</v>
      </c>
      <c r="T112" s="21" t="str">
        <f>"cbalEvent"&amp;$L112&amp;"Year"</f>
        <v>cbalEvent101Year</v>
      </c>
    </row>
    <row r="113" spans="2:15">
      <c r="B113" s="21" t="s">
        <v>3617</v>
      </c>
      <c r="C113" s="21"/>
      <c r="D113" s="21"/>
      <c r="E113" s="21">
        <f>cbalEvent102Year</f>
        <v>0</v>
      </c>
      <c r="F113" s="21">
        <f>cbalEvent102Year</f>
        <v>0</v>
      </c>
      <c r="G113" s="21">
        <f>cbalEvent102Year</f>
        <v>0</v>
      </c>
      <c r="H113" s="21"/>
      <c r="I113" s="21"/>
      <c r="J113" s="21"/>
      <c r="K113" s="21"/>
      <c r="L113">
        <v>102</v>
      </c>
      <c r="O113" s="1002" t="s">
        <v>3885</v>
      </c>
    </row>
    <row r="114" spans="2:15">
      <c r="B114" s="21" t="s">
        <v>3618</v>
      </c>
      <c r="C114" s="21"/>
      <c r="D114" s="21"/>
      <c r="E114" s="21">
        <f>cbalEvent301Year</f>
        <v>0</v>
      </c>
      <c r="F114" s="21">
        <f>cbalEvent301Year</f>
        <v>0</v>
      </c>
      <c r="G114" s="21">
        <f>cbalEvent301Year</f>
        <v>0</v>
      </c>
      <c r="H114" s="21"/>
      <c r="I114" s="21"/>
      <c r="J114" s="21"/>
      <c r="K114" s="21"/>
      <c r="L114">
        <v>301</v>
      </c>
      <c r="O114" s="1002" t="s">
        <v>3886</v>
      </c>
    </row>
    <row r="115" spans="2:15">
      <c r="B115" s="21" t="s">
        <v>3619</v>
      </c>
      <c r="C115" s="21"/>
      <c r="D115" s="21"/>
      <c r="E115" s="21">
        <f>cbalEvent302Year</f>
        <v>0</v>
      </c>
      <c r="F115" s="21">
        <f>cbalEvent302Year</f>
        <v>0</v>
      </c>
      <c r="G115" s="21">
        <f>cbalEvent302Year</f>
        <v>0</v>
      </c>
      <c r="H115" s="21"/>
      <c r="I115" s="21"/>
      <c r="J115" s="21"/>
      <c r="K115" s="21"/>
      <c r="L115">
        <v>302</v>
      </c>
      <c r="O115" s="1002" t="s">
        <v>3887</v>
      </c>
    </row>
    <row r="116" spans="2:15">
      <c r="B116" s="21" t="s">
        <v>3620</v>
      </c>
      <c r="C116" s="21"/>
      <c r="D116" s="21"/>
      <c r="E116" s="21">
        <f>cbalEvent601Year</f>
        <v>0</v>
      </c>
      <c r="F116" s="21">
        <f>cbalEvent601Year</f>
        <v>0</v>
      </c>
      <c r="G116" s="21">
        <f>cbalEvent601Year</f>
        <v>0</v>
      </c>
      <c r="H116" s="21"/>
      <c r="I116" s="21"/>
      <c r="J116" s="21"/>
      <c r="K116" s="21"/>
      <c r="L116">
        <v>601</v>
      </c>
      <c r="O116" s="1002" t="s">
        <v>3888</v>
      </c>
    </row>
    <row r="117" spans="2:15">
      <c r="B117" s="21" t="s">
        <v>3621</v>
      </c>
      <c r="C117" s="21"/>
      <c r="D117" s="21"/>
      <c r="E117" s="21">
        <f>cbalEvent602Year</f>
        <v>0</v>
      </c>
      <c r="F117" s="21">
        <f>cbalEvent602Year</f>
        <v>0</v>
      </c>
      <c r="G117" s="21">
        <f>cbalEvent602Year</f>
        <v>0</v>
      </c>
      <c r="H117" s="21"/>
      <c r="I117" s="21"/>
      <c r="J117" s="21"/>
      <c r="K117" s="21"/>
      <c r="L117">
        <v>602</v>
      </c>
      <c r="O117" s="1002" t="s">
        <v>3889</v>
      </c>
    </row>
    <row r="118" spans="2:15">
      <c r="B118" s="21" t="s">
        <v>3622</v>
      </c>
      <c r="C118" s="21"/>
      <c r="D118" s="21"/>
      <c r="E118" s="21">
        <f>cbalEvent803Year</f>
        <v>0</v>
      </c>
      <c r="F118" s="21">
        <f>cbalEvent803Year</f>
        <v>0</v>
      </c>
      <c r="G118" s="21">
        <f>cbalEvent803Year</f>
        <v>0</v>
      </c>
      <c r="H118" s="21"/>
      <c r="I118" s="21"/>
      <c r="J118" s="21"/>
      <c r="K118" s="21"/>
      <c r="L118">
        <v>803</v>
      </c>
      <c r="O118" s="1002" t="s">
        <v>3890</v>
      </c>
    </row>
    <row r="119" spans="2:15" s="387" customFormat="1">
      <c r="B119" s="812" t="s">
        <v>2870</v>
      </c>
      <c r="C119" s="812"/>
      <c r="D119" s="812"/>
      <c r="E119" s="805" t="str">
        <f>decTeamName</f>
        <v>IIC</v>
      </c>
      <c r="F119" s="805" t="str">
        <f>decTeamName</f>
        <v>Bloomfield</v>
      </c>
      <c r="G119" s="805" t="str">
        <f>decTeamName</f>
        <v>Nextus</v>
      </c>
      <c r="H119" s="805"/>
      <c r="I119" s="805"/>
      <c r="J119" s="805"/>
      <c r="K119" s="805"/>
      <c r="O119" s="805"/>
    </row>
    <row r="120" spans="2:15">
      <c r="B120" s="563" t="s">
        <v>3623</v>
      </c>
      <c r="C120" s="21"/>
      <c r="D120" s="21"/>
      <c r="E120" s="21">
        <f>cbalSpecProg8Year</f>
        <v>0</v>
      </c>
      <c r="F120" s="21">
        <f>cbalSpecProg8Year</f>
        <v>0</v>
      </c>
      <c r="G120" s="21">
        <f>cbalSpecProg8Year</f>
        <v>0</v>
      </c>
      <c r="H120" s="21"/>
      <c r="I120" s="21"/>
      <c r="J120" s="21"/>
      <c r="K120" s="21"/>
      <c r="L120">
        <v>8</v>
      </c>
      <c r="O120" s="1002" t="s">
        <v>3891</v>
      </c>
    </row>
    <row r="121" spans="2:15">
      <c r="B121" s="21" t="s">
        <v>3608</v>
      </c>
      <c r="C121" s="21"/>
      <c r="D121" s="21"/>
      <c r="E121" s="21">
        <f>cbalSpecProg10Year</f>
        <v>0</v>
      </c>
      <c r="F121" s="21">
        <f>cbalSpecProg10Year</f>
        <v>0</v>
      </c>
      <c r="G121" s="21">
        <f>cbalSpecProg10Year</f>
        <v>0</v>
      </c>
      <c r="H121" s="21"/>
      <c r="I121" s="21"/>
      <c r="J121" s="21"/>
      <c r="K121" s="21"/>
      <c r="L121">
        <v>10</v>
      </c>
      <c r="O121" s="1002" t="s">
        <v>3892</v>
      </c>
    </row>
    <row r="122" spans="2:15">
      <c r="B122" s="21" t="s">
        <v>3611</v>
      </c>
      <c r="C122" s="21"/>
      <c r="D122" s="21"/>
      <c r="E122" s="21">
        <f>cbalSpecProg15Year</f>
        <v>0</v>
      </c>
      <c r="F122" s="21">
        <f>cbalSpecProg15Year</f>
        <v>0</v>
      </c>
      <c r="G122" s="21">
        <f>cbalSpecProg15Year</f>
        <v>0</v>
      </c>
      <c r="H122" s="21"/>
      <c r="I122" s="21"/>
      <c r="J122" s="21"/>
      <c r="K122" s="21"/>
      <c r="L122">
        <v>15</v>
      </c>
      <c r="O122" s="1002" t="s">
        <v>3893</v>
      </c>
    </row>
    <row r="123" spans="2:15">
      <c r="B123" s="21" t="s">
        <v>3613</v>
      </c>
      <c r="C123" s="21"/>
      <c r="D123" s="21"/>
      <c r="E123" s="21">
        <f>cbalSpecProg18Year</f>
        <v>0</v>
      </c>
      <c r="F123" s="21">
        <f>cbalSpecProg18Year</f>
        <v>0</v>
      </c>
      <c r="G123" s="21">
        <f>cbalSpecProg18Year</f>
        <v>0</v>
      </c>
      <c r="H123" s="21"/>
      <c r="I123" s="21"/>
      <c r="J123" s="21"/>
      <c r="K123" s="21"/>
      <c r="L123">
        <v>18</v>
      </c>
      <c r="O123" s="1002" t="s">
        <v>3894</v>
      </c>
    </row>
    <row r="124" spans="2:15">
      <c r="B124" s="21" t="s">
        <v>3614</v>
      </c>
      <c r="C124" s="21"/>
      <c r="D124" s="21"/>
      <c r="E124" s="21">
        <f>cbalSpecProg19Year</f>
        <v>0</v>
      </c>
      <c r="F124" s="21">
        <f>cbalSpecProg19Year</f>
        <v>0</v>
      </c>
      <c r="G124" s="21">
        <f>cbalSpecProg19Year</f>
        <v>0</v>
      </c>
      <c r="H124" s="21"/>
      <c r="I124" s="21"/>
      <c r="J124" s="21"/>
      <c r="K124" s="21"/>
      <c r="L124">
        <v>19</v>
      </c>
      <c r="O124" s="1002" t="s">
        <v>3895</v>
      </c>
    </row>
    <row r="125" spans="2:15">
      <c r="B125" s="21" t="s">
        <v>3624</v>
      </c>
      <c r="C125" s="21"/>
      <c r="D125" s="21"/>
      <c r="E125" s="21">
        <f>cbalSpecProg20Year</f>
        <v>0</v>
      </c>
      <c r="F125" s="21">
        <f>cbalSpecProg20Year</f>
        <v>0</v>
      </c>
      <c r="G125" s="21">
        <f>cbalSpecProg20Year</f>
        <v>0</v>
      </c>
      <c r="H125" s="21"/>
      <c r="I125" s="21"/>
      <c r="J125" s="21"/>
      <c r="K125" s="21"/>
      <c r="L125">
        <v>20</v>
      </c>
      <c r="O125" s="1002" t="s">
        <v>3896</v>
      </c>
    </row>
    <row r="126" spans="2:15">
      <c r="B126" s="21" t="s">
        <v>3616</v>
      </c>
      <c r="C126" s="21"/>
      <c r="D126" s="21"/>
      <c r="E126" s="21">
        <f>cbalEvent101Year</f>
        <v>0</v>
      </c>
      <c r="F126" s="21">
        <f>cbalEvent101Year</f>
        <v>0</v>
      </c>
      <c r="G126" s="21">
        <f>cbalEvent101Year</f>
        <v>0</v>
      </c>
      <c r="H126" s="21"/>
      <c r="I126" s="21"/>
      <c r="J126" s="21"/>
      <c r="K126" s="21"/>
      <c r="L126">
        <v>101</v>
      </c>
      <c r="O126" s="1002" t="s">
        <v>3897</v>
      </c>
    </row>
    <row r="127" spans="2:15">
      <c r="B127" s="21" t="s">
        <v>3617</v>
      </c>
      <c r="C127" s="21"/>
      <c r="D127" s="21"/>
      <c r="E127" s="21">
        <f>cbalEvent102Year</f>
        <v>0</v>
      </c>
      <c r="F127" s="21">
        <f>cbalEvent102Year</f>
        <v>0</v>
      </c>
      <c r="G127" s="21">
        <f>cbalEvent102Year</f>
        <v>0</v>
      </c>
      <c r="H127" s="21"/>
      <c r="I127" s="21"/>
      <c r="J127" s="21"/>
      <c r="K127" s="21"/>
      <c r="L127">
        <v>102</v>
      </c>
      <c r="O127" s="1002" t="s">
        <v>3898</v>
      </c>
    </row>
    <row r="128" spans="2:15">
      <c r="B128" s="21" t="s">
        <v>3625</v>
      </c>
      <c r="C128" s="21"/>
      <c r="D128" s="21"/>
      <c r="E128" s="21">
        <f>cbalEvent103Year</f>
        <v>0</v>
      </c>
      <c r="F128" s="21">
        <f>cbalEvent103Year</f>
        <v>0</v>
      </c>
      <c r="G128" s="21">
        <f>cbalEvent103Year</f>
        <v>0</v>
      </c>
      <c r="H128" s="21"/>
      <c r="I128" s="21"/>
      <c r="J128" s="21"/>
      <c r="K128" s="21"/>
      <c r="L128">
        <v>103</v>
      </c>
      <c r="O128" s="1002" t="s">
        <v>3899</v>
      </c>
    </row>
    <row r="129" spans="2:15">
      <c r="B129" s="21" t="s">
        <v>3618</v>
      </c>
      <c r="C129" s="21"/>
      <c r="D129" s="21"/>
      <c r="E129" s="21">
        <f>cbalEvent301Year</f>
        <v>0</v>
      </c>
      <c r="F129" s="21">
        <f>cbalEvent301Year</f>
        <v>0</v>
      </c>
      <c r="G129" s="21">
        <f>cbalEvent301Year</f>
        <v>0</v>
      </c>
      <c r="H129" s="21"/>
      <c r="I129" s="21"/>
      <c r="J129" s="21"/>
      <c r="K129" s="21"/>
      <c r="L129">
        <v>301</v>
      </c>
      <c r="O129" s="1002" t="s">
        <v>3900</v>
      </c>
    </row>
    <row r="130" spans="2:15">
      <c r="B130" s="21" t="s">
        <v>3619</v>
      </c>
      <c r="C130" s="21"/>
      <c r="D130" s="21"/>
      <c r="E130" s="21">
        <f>cbalEvent302Year</f>
        <v>0</v>
      </c>
      <c r="F130" s="21">
        <f>cbalEvent302Year</f>
        <v>0</v>
      </c>
      <c r="G130" s="21">
        <f>cbalEvent302Year</f>
        <v>0</v>
      </c>
      <c r="H130" s="21"/>
      <c r="I130" s="21"/>
      <c r="J130" s="21"/>
      <c r="K130" s="21"/>
      <c r="L130">
        <v>302</v>
      </c>
      <c r="O130" s="1002" t="s">
        <v>3901</v>
      </c>
    </row>
    <row r="131" spans="2:15">
      <c r="B131" s="21" t="s">
        <v>3626</v>
      </c>
      <c r="C131" s="21"/>
      <c r="D131" s="21"/>
      <c r="E131" s="21">
        <f>cbalEvent402Year</f>
        <v>0</v>
      </c>
      <c r="F131" s="21">
        <f>cbalEvent402Year</f>
        <v>0</v>
      </c>
      <c r="G131" s="21">
        <f>cbalEvent402Year</f>
        <v>0</v>
      </c>
      <c r="H131" s="21"/>
      <c r="I131" s="21"/>
      <c r="J131" s="21"/>
      <c r="K131" s="21"/>
      <c r="L131">
        <v>402</v>
      </c>
      <c r="O131" s="1002" t="s">
        <v>3902</v>
      </c>
    </row>
    <row r="132" spans="2:15">
      <c r="B132" s="21" t="s">
        <v>3627</v>
      </c>
      <c r="C132" s="21"/>
      <c r="D132" s="21"/>
      <c r="E132" s="21">
        <f>cbalEvent502Year</f>
        <v>0</v>
      </c>
      <c r="F132" s="21">
        <f>cbalEvent502Year</f>
        <v>0</v>
      </c>
      <c r="G132" s="21">
        <f>cbalEvent502Year</f>
        <v>0</v>
      </c>
      <c r="H132" s="21"/>
      <c r="I132" s="21"/>
      <c r="J132" s="21"/>
      <c r="K132" s="21"/>
      <c r="L132">
        <v>502</v>
      </c>
      <c r="O132" s="1002" t="s">
        <v>3903</v>
      </c>
    </row>
    <row r="133" spans="2:15">
      <c r="B133" s="21" t="s">
        <v>3628</v>
      </c>
      <c r="C133" s="21"/>
      <c r="D133" s="21"/>
      <c r="E133" s="21">
        <f>cbalEvent503Year</f>
        <v>0</v>
      </c>
      <c r="F133" s="21">
        <f>cbalEvent503Year</f>
        <v>0</v>
      </c>
      <c r="G133" s="21">
        <f>cbalEvent503Year</f>
        <v>0</v>
      </c>
      <c r="H133" s="21"/>
      <c r="I133" s="21"/>
      <c r="J133" s="21"/>
      <c r="K133" s="21"/>
      <c r="L133">
        <v>503</v>
      </c>
      <c r="O133" s="1002" t="s">
        <v>3904</v>
      </c>
    </row>
    <row r="134" spans="2:15">
      <c r="B134" s="21" t="s">
        <v>3620</v>
      </c>
      <c r="C134" s="21"/>
      <c r="D134" s="21"/>
      <c r="E134" s="21">
        <f>cbalEvent601Year</f>
        <v>0</v>
      </c>
      <c r="F134" s="21">
        <f>cbalEvent601Year</f>
        <v>0</v>
      </c>
      <c r="G134" s="21">
        <f>cbalEvent601Year</f>
        <v>0</v>
      </c>
      <c r="H134" s="21"/>
      <c r="I134" s="21"/>
      <c r="J134" s="21"/>
      <c r="K134" s="21"/>
      <c r="L134">
        <v>601</v>
      </c>
      <c r="O134" s="1002" t="s">
        <v>3905</v>
      </c>
    </row>
    <row r="135" spans="2:15">
      <c r="B135" s="21" t="s">
        <v>3621</v>
      </c>
      <c r="C135" s="21"/>
      <c r="D135" s="21"/>
      <c r="E135" s="21">
        <f>cbalEvent602Year</f>
        <v>0</v>
      </c>
      <c r="F135" s="21">
        <f>cbalEvent602Year</f>
        <v>0</v>
      </c>
      <c r="G135" s="21">
        <f>cbalEvent602Year</f>
        <v>0</v>
      </c>
      <c r="H135" s="21"/>
      <c r="I135" s="21"/>
      <c r="J135" s="21"/>
      <c r="K135" s="21"/>
      <c r="L135">
        <v>602</v>
      </c>
      <c r="O135" s="1002" t="s">
        <v>3906</v>
      </c>
    </row>
    <row r="136" spans="2:15">
      <c r="B136" s="21" t="s">
        <v>3629</v>
      </c>
      <c r="C136" s="21"/>
      <c r="D136" s="21"/>
      <c r="E136" s="21">
        <f>cbalEvent603Year</f>
        <v>0</v>
      </c>
      <c r="F136" s="21">
        <f>cbalEvent603Year</f>
        <v>0</v>
      </c>
      <c r="G136" s="21">
        <f>cbalEvent603Year</f>
        <v>0</v>
      </c>
      <c r="H136" s="21"/>
      <c r="I136" s="21"/>
      <c r="J136" s="21"/>
      <c r="K136" s="21"/>
      <c r="L136">
        <v>603</v>
      </c>
      <c r="O136" s="1002" t="s">
        <v>3907</v>
      </c>
    </row>
    <row r="137" spans="2:15">
      <c r="B137" s="21" t="s">
        <v>3630</v>
      </c>
      <c r="C137" s="21"/>
      <c r="D137" s="21"/>
      <c r="E137" s="21">
        <f>cbalEvent701Year</f>
        <v>0</v>
      </c>
      <c r="F137" s="21">
        <f>cbalEvent701Year</f>
        <v>0</v>
      </c>
      <c r="G137" s="21">
        <f>cbalEvent701Year</f>
        <v>0</v>
      </c>
      <c r="H137" s="21"/>
      <c r="I137" s="21"/>
      <c r="J137" s="21"/>
      <c r="K137" s="21"/>
      <c r="L137">
        <v>701</v>
      </c>
      <c r="O137" s="1002" t="s">
        <v>3908</v>
      </c>
    </row>
    <row r="138" spans="2:15">
      <c r="B138" s="21" t="s">
        <v>3631</v>
      </c>
      <c r="C138" s="21"/>
      <c r="D138" s="21"/>
      <c r="E138" s="21">
        <f>cbalEvent901Year</f>
        <v>0</v>
      </c>
      <c r="F138" s="21">
        <f>cbalEvent901Year</f>
        <v>0</v>
      </c>
      <c r="G138" s="21">
        <f>cbalEvent901Year</f>
        <v>0</v>
      </c>
      <c r="H138" s="21"/>
      <c r="I138" s="21"/>
      <c r="J138" s="21"/>
      <c r="K138" s="21"/>
      <c r="L138">
        <v>901</v>
      </c>
      <c r="O138" s="1002" t="s">
        <v>3909</v>
      </c>
    </row>
    <row r="139" spans="2:15">
      <c r="B139" s="21" t="s">
        <v>3632</v>
      </c>
      <c r="C139" s="21"/>
      <c r="D139" s="21"/>
      <c r="E139" s="21">
        <f>cbalEvent902Year</f>
        <v>0</v>
      </c>
      <c r="F139" s="21">
        <f>cbalEvent902Year</f>
        <v>0</v>
      </c>
      <c r="G139" s="21">
        <f>cbalEvent902Year</f>
        <v>0</v>
      </c>
      <c r="H139" s="21"/>
      <c r="I139" s="21"/>
      <c r="J139" s="21"/>
      <c r="K139" s="21"/>
      <c r="L139">
        <v>902</v>
      </c>
      <c r="O139" s="1002" t="s">
        <v>3910</v>
      </c>
    </row>
    <row r="140" spans="2:15">
      <c r="B140" s="21"/>
      <c r="C140" s="21"/>
      <c r="D140" s="21"/>
      <c r="E140" s="21"/>
      <c r="F140" s="21"/>
      <c r="G140" s="21"/>
      <c r="H140" s="21"/>
      <c r="I140" s="21"/>
      <c r="J140" s="21"/>
      <c r="K140" s="21"/>
      <c r="O140" s="21"/>
    </row>
    <row r="141" spans="2:15" s="387" customFormat="1">
      <c r="B141" s="812" t="s">
        <v>2740</v>
      </c>
      <c r="C141" s="812"/>
      <c r="D141" s="812"/>
      <c r="E141" s="805" t="str">
        <f>decTeamName</f>
        <v>IIC</v>
      </c>
      <c r="F141" s="805" t="str">
        <f>decTeamName</f>
        <v>Bloomfield</v>
      </c>
      <c r="G141" s="805" t="str">
        <f>decTeamName</f>
        <v>Nextus</v>
      </c>
      <c r="H141" s="805"/>
      <c r="I141" s="805"/>
      <c r="J141" s="805"/>
      <c r="K141" s="805"/>
      <c r="O141" s="805"/>
    </row>
    <row r="142" spans="2:15">
      <c r="B142" s="21" t="s">
        <v>3606</v>
      </c>
      <c r="C142" s="21"/>
      <c r="D142" s="21"/>
      <c r="E142" s="21">
        <f>cbalSpecProg7Year</f>
        <v>0</v>
      </c>
      <c r="F142" s="21">
        <f>cbalSpecProg7Year</f>
        <v>0</v>
      </c>
      <c r="G142" s="21">
        <f>cbalSpecProg7Year</f>
        <v>0</v>
      </c>
      <c r="H142" s="21"/>
      <c r="I142" s="21"/>
      <c r="J142" s="21"/>
      <c r="K142" s="21"/>
      <c r="L142">
        <v>7</v>
      </c>
      <c r="M142" s="387"/>
      <c r="O142" s="1002" t="s">
        <v>3911</v>
      </c>
    </row>
    <row r="143" spans="2:15">
      <c r="B143" s="21" t="s">
        <v>3607</v>
      </c>
      <c r="C143" s="21"/>
      <c r="D143" s="21"/>
      <c r="E143" s="21">
        <f>cbalSpecProg8Year</f>
        <v>0</v>
      </c>
      <c r="F143" s="21">
        <f>cbalSpecProg8Year</f>
        <v>0</v>
      </c>
      <c r="G143" s="21">
        <f>cbalSpecProg8Year</f>
        <v>0</v>
      </c>
      <c r="H143" s="21"/>
      <c r="I143" s="21"/>
      <c r="J143" s="21"/>
      <c r="K143" s="21"/>
      <c r="L143">
        <v>8</v>
      </c>
      <c r="M143" s="387"/>
      <c r="O143" s="1002" t="s">
        <v>3912</v>
      </c>
    </row>
    <row r="144" spans="2:15">
      <c r="B144" s="21" t="s">
        <v>3609</v>
      </c>
      <c r="C144" s="21"/>
      <c r="D144" s="21"/>
      <c r="E144" s="21">
        <f>cbalSpecProg11Year</f>
        <v>0</v>
      </c>
      <c r="F144" s="21">
        <f>cbalSpecProg11Year</f>
        <v>0</v>
      </c>
      <c r="G144" s="21">
        <f>cbalSpecProg11Year</f>
        <v>0</v>
      </c>
      <c r="H144" s="21"/>
      <c r="I144" s="21"/>
      <c r="J144" s="21"/>
      <c r="K144" s="21"/>
      <c r="L144">
        <v>11</v>
      </c>
      <c r="M144" s="387"/>
      <c r="O144" s="1002" t="s">
        <v>3913</v>
      </c>
    </row>
    <row r="145" spans="2:15">
      <c r="B145" s="21" t="s">
        <v>3610</v>
      </c>
      <c r="C145" s="21"/>
      <c r="D145" s="21"/>
      <c r="E145" s="21">
        <f>cbalSpecProg14Year</f>
        <v>0</v>
      </c>
      <c r="F145" s="21">
        <f>cbalSpecProg14Year</f>
        <v>0</v>
      </c>
      <c r="G145" s="21">
        <f>cbalSpecProg14Year</f>
        <v>0</v>
      </c>
      <c r="H145" s="21"/>
      <c r="I145" s="21"/>
      <c r="J145" s="21"/>
      <c r="K145" s="21"/>
      <c r="L145">
        <v>14</v>
      </c>
      <c r="M145" s="387"/>
      <c r="O145" s="1002" t="s">
        <v>3914</v>
      </c>
    </row>
    <row r="146" spans="2:15">
      <c r="B146" s="21" t="s">
        <v>3611</v>
      </c>
      <c r="C146" s="21"/>
      <c r="D146" s="21"/>
      <c r="E146" s="21">
        <f>cbalSpecProg15Year</f>
        <v>0</v>
      </c>
      <c r="F146" s="21">
        <f>cbalSpecProg15Year</f>
        <v>0</v>
      </c>
      <c r="G146" s="21">
        <f>cbalSpecProg15Year</f>
        <v>0</v>
      </c>
      <c r="H146" s="21"/>
      <c r="I146" s="21"/>
      <c r="J146" s="21"/>
      <c r="K146" s="21"/>
      <c r="L146">
        <v>15</v>
      </c>
      <c r="M146" s="387"/>
      <c r="O146" s="1002" t="s">
        <v>3915</v>
      </c>
    </row>
    <row r="147" spans="2:15">
      <c r="B147" s="21" t="s">
        <v>3615</v>
      </c>
      <c r="C147" s="21"/>
      <c r="D147" s="21"/>
      <c r="E147" s="21">
        <f>cbalSpecProg21Year</f>
        <v>0</v>
      </c>
      <c r="F147" s="21">
        <f>cbalSpecProg21Year</f>
        <v>0</v>
      </c>
      <c r="G147" s="21">
        <f>cbalSpecProg21Year</f>
        <v>0</v>
      </c>
      <c r="H147" s="21"/>
      <c r="I147" s="21"/>
      <c r="J147" s="21"/>
      <c r="K147" s="21"/>
      <c r="L147">
        <v>21</v>
      </c>
      <c r="M147" s="387"/>
      <c r="O147" s="1002" t="s">
        <v>3916</v>
      </c>
    </row>
    <row r="148" spans="2:15">
      <c r="B148" s="21" t="s">
        <v>3633</v>
      </c>
      <c r="C148" s="21"/>
      <c r="D148" s="21"/>
      <c r="E148" s="21">
        <f>cbalSpecProg22Year</f>
        <v>0</v>
      </c>
      <c r="F148" s="21">
        <f>cbalSpecProg22Year</f>
        <v>0</v>
      </c>
      <c r="G148" s="21">
        <f>cbalSpecProg22Year</f>
        <v>0</v>
      </c>
      <c r="H148" s="21"/>
      <c r="I148" s="21"/>
      <c r="J148" s="21"/>
      <c r="K148" s="21"/>
      <c r="L148">
        <v>22</v>
      </c>
      <c r="M148" s="387"/>
      <c r="O148" s="1002" t="s">
        <v>3917</v>
      </c>
    </row>
    <row r="149" spans="2:15">
      <c r="B149" s="21" t="s">
        <v>3616</v>
      </c>
      <c r="C149" s="21"/>
      <c r="D149" s="21"/>
      <c r="E149" s="21">
        <f>cbalEvent101Year</f>
        <v>0</v>
      </c>
      <c r="F149" s="21">
        <f>cbalEvent101Year</f>
        <v>0</v>
      </c>
      <c r="G149" s="21">
        <f>cbalEvent101Year</f>
        <v>0</v>
      </c>
      <c r="H149" s="21"/>
      <c r="I149" s="21"/>
      <c r="J149" s="21"/>
      <c r="K149" s="21"/>
      <c r="L149">
        <v>101</v>
      </c>
      <c r="M149" s="387"/>
      <c r="O149" s="1002" t="s">
        <v>3918</v>
      </c>
    </row>
    <row r="150" spans="2:15">
      <c r="B150" s="21" t="s">
        <v>3634</v>
      </c>
      <c r="C150" s="21"/>
      <c r="D150" s="21"/>
      <c r="E150" s="21">
        <f>cbalEvent201Year</f>
        <v>0</v>
      </c>
      <c r="F150" s="21">
        <f>cbalEvent201Year</f>
        <v>0</v>
      </c>
      <c r="G150" s="21">
        <f>cbalEvent201Year</f>
        <v>0</v>
      </c>
      <c r="H150" s="21"/>
      <c r="I150" s="21"/>
      <c r="J150" s="21"/>
      <c r="K150" s="21"/>
      <c r="L150">
        <v>201</v>
      </c>
      <c r="M150" s="387"/>
      <c r="O150" s="1002" t="s">
        <v>3919</v>
      </c>
    </row>
    <row r="151" spans="2:15">
      <c r="B151" s="21" t="s">
        <v>3618</v>
      </c>
      <c r="C151" s="21"/>
      <c r="D151" s="21"/>
      <c r="E151" s="21">
        <f>cbalEvent301Year</f>
        <v>0</v>
      </c>
      <c r="F151" s="21">
        <f>cbalEvent301Year</f>
        <v>0</v>
      </c>
      <c r="G151" s="21">
        <f>cbalEvent301Year</f>
        <v>0</v>
      </c>
      <c r="H151" s="21"/>
      <c r="I151" s="21"/>
      <c r="J151" s="21"/>
      <c r="K151" s="21"/>
      <c r="L151">
        <v>301</v>
      </c>
      <c r="M151" s="387"/>
      <c r="O151" s="1002" t="s">
        <v>3920</v>
      </c>
    </row>
    <row r="152" spans="2:15">
      <c r="B152" s="21" t="s">
        <v>3626</v>
      </c>
      <c r="C152" s="21"/>
      <c r="D152" s="21"/>
      <c r="E152" s="21">
        <f>cbalEvent402Year</f>
        <v>0</v>
      </c>
      <c r="F152" s="21">
        <f>cbalEvent402Year</f>
        <v>0</v>
      </c>
      <c r="G152" s="21">
        <f>cbalEvent402Year</f>
        <v>0</v>
      </c>
      <c r="H152" s="21"/>
      <c r="I152" s="21"/>
      <c r="J152" s="21"/>
      <c r="K152" s="21"/>
      <c r="L152">
        <v>402</v>
      </c>
      <c r="M152" s="387"/>
      <c r="O152" s="1002" t="s">
        <v>3921</v>
      </c>
    </row>
    <row r="153" spans="2:15">
      <c r="B153" s="21" t="s">
        <v>3627</v>
      </c>
      <c r="C153" s="21"/>
      <c r="D153" s="21"/>
      <c r="E153" s="21">
        <f>cbalEvent502Year</f>
        <v>0</v>
      </c>
      <c r="F153" s="21">
        <f>cbalEvent502Year</f>
        <v>0</v>
      </c>
      <c r="G153" s="21">
        <f>cbalEvent502Year</f>
        <v>0</v>
      </c>
      <c r="H153" s="21"/>
      <c r="I153" s="21"/>
      <c r="J153" s="21"/>
      <c r="K153" s="21"/>
      <c r="L153">
        <v>502</v>
      </c>
      <c r="M153" s="387"/>
      <c r="O153" s="1002" t="s">
        <v>3922</v>
      </c>
    </row>
    <row r="154" spans="2:15">
      <c r="B154" s="21" t="s">
        <v>3628</v>
      </c>
      <c r="C154" s="21"/>
      <c r="D154" s="21"/>
      <c r="E154" s="21">
        <f>cbalEvent503Year</f>
        <v>0</v>
      </c>
      <c r="F154" s="21">
        <f>cbalEvent503Year</f>
        <v>0</v>
      </c>
      <c r="G154" s="21">
        <f>cbalEvent503Year</f>
        <v>0</v>
      </c>
      <c r="H154" s="21"/>
      <c r="I154" s="21"/>
      <c r="J154" s="21"/>
      <c r="K154" s="21"/>
      <c r="L154">
        <v>503</v>
      </c>
      <c r="M154" s="387"/>
      <c r="O154" s="1002" t="s">
        <v>3923</v>
      </c>
    </row>
    <row r="155" spans="2:15">
      <c r="B155" s="21" t="s">
        <v>3631</v>
      </c>
      <c r="C155" s="21"/>
      <c r="D155" s="21"/>
      <c r="E155" s="21">
        <f>cbalEvent901Year</f>
        <v>0</v>
      </c>
      <c r="F155" s="21">
        <f>cbalEvent901Year</f>
        <v>0</v>
      </c>
      <c r="G155" s="21">
        <f>cbalEvent901Year</f>
        <v>0</v>
      </c>
      <c r="H155" s="21"/>
      <c r="I155" s="21"/>
      <c r="J155" s="21"/>
      <c r="K155" s="21"/>
      <c r="L155">
        <v>901</v>
      </c>
      <c r="M155" s="387"/>
      <c r="O155" s="1002" t="s">
        <v>3924</v>
      </c>
    </row>
    <row r="156" spans="2:15">
      <c r="B156" s="21"/>
      <c r="C156" s="21"/>
      <c r="D156" s="21"/>
      <c r="E156" s="21"/>
      <c r="F156" s="21"/>
      <c r="G156" s="21"/>
      <c r="H156" s="21"/>
      <c r="I156" s="21"/>
      <c r="J156" s="21"/>
      <c r="K156" s="21"/>
      <c r="O156" s="21"/>
    </row>
    <row r="157" spans="2:15" s="387" customFormat="1">
      <c r="B157" s="812" t="s">
        <v>2747</v>
      </c>
      <c r="C157" s="812"/>
      <c r="D157" s="812"/>
      <c r="E157" s="805" t="str">
        <f>decTeamName</f>
        <v>IIC</v>
      </c>
      <c r="F157" s="805" t="str">
        <f>decTeamName</f>
        <v>Bloomfield</v>
      </c>
      <c r="G157" s="805" t="str">
        <f>decTeamName</f>
        <v>Nextus</v>
      </c>
      <c r="H157" s="805"/>
      <c r="I157" s="805"/>
      <c r="J157" s="805"/>
      <c r="K157" s="805"/>
      <c r="O157" s="805"/>
    </row>
    <row r="158" spans="2:15">
      <c r="B158" s="21" t="s">
        <v>3635</v>
      </c>
      <c r="C158" s="21"/>
      <c r="D158" s="21"/>
      <c r="E158" s="21">
        <f>cbalSpecProg3Year</f>
        <v>0</v>
      </c>
      <c r="F158" s="21">
        <f>cbalSpecProg3Year</f>
        <v>0</v>
      </c>
      <c r="G158" s="21">
        <f>cbalSpecProg3Year</f>
        <v>0</v>
      </c>
      <c r="H158" s="21"/>
      <c r="I158" s="21"/>
      <c r="J158" s="21"/>
      <c r="K158" s="21"/>
      <c r="L158">
        <v>3</v>
      </c>
      <c r="M158" s="387"/>
      <c r="O158" s="1002" t="s">
        <v>3925</v>
      </c>
    </row>
    <row r="159" spans="2:15">
      <c r="B159" s="21" t="s">
        <v>3636</v>
      </c>
      <c r="C159" s="21"/>
      <c r="D159" s="21"/>
      <c r="E159" s="21">
        <f>cbalSpecProg4Year</f>
        <v>0</v>
      </c>
      <c r="F159" s="21">
        <f>cbalSpecProg4Year</f>
        <v>0</v>
      </c>
      <c r="G159" s="21">
        <f>cbalSpecProg4Year</f>
        <v>0</v>
      </c>
      <c r="H159" s="21"/>
      <c r="I159" s="21"/>
      <c r="J159" s="21"/>
      <c r="K159" s="21"/>
      <c r="L159">
        <v>4</v>
      </c>
      <c r="M159" s="387"/>
      <c r="O159" s="1002" t="s">
        <v>3926</v>
      </c>
    </row>
    <row r="160" spans="2:15">
      <c r="B160" s="21" t="s">
        <v>3607</v>
      </c>
      <c r="C160" s="21"/>
      <c r="D160" s="21"/>
      <c r="E160" s="21">
        <f>cbalSpecProg8Year</f>
        <v>0</v>
      </c>
      <c r="F160" s="21">
        <f>cbalSpecProg8Year</f>
        <v>0</v>
      </c>
      <c r="G160" s="21">
        <f>cbalSpecProg8Year</f>
        <v>0</v>
      </c>
      <c r="H160" s="21"/>
      <c r="I160" s="21"/>
      <c r="J160" s="21"/>
      <c r="K160" s="21"/>
      <c r="L160">
        <v>8</v>
      </c>
      <c r="M160" s="387"/>
      <c r="O160" s="1002" t="s">
        <v>3927</v>
      </c>
    </row>
    <row r="161" spans="2:15">
      <c r="B161" s="21" t="s">
        <v>3637</v>
      </c>
      <c r="C161" s="21"/>
      <c r="D161" s="21"/>
      <c r="E161" s="21">
        <f>cbalSpecProg9Year</f>
        <v>0</v>
      </c>
      <c r="F161" s="21">
        <f>cbalSpecProg9Year</f>
        <v>0</v>
      </c>
      <c r="G161" s="21">
        <f>cbalSpecProg9Year</f>
        <v>0</v>
      </c>
      <c r="H161" s="21"/>
      <c r="I161" s="21"/>
      <c r="J161" s="21"/>
      <c r="K161" s="21"/>
      <c r="L161">
        <v>9</v>
      </c>
      <c r="M161" s="387"/>
      <c r="O161" s="1002" t="s">
        <v>3928</v>
      </c>
    </row>
    <row r="162" spans="2:15">
      <c r="B162" s="21" t="s">
        <v>3608</v>
      </c>
      <c r="C162" s="21"/>
      <c r="D162" s="21"/>
      <c r="E162" s="21">
        <f>cbalSpecProg10Year</f>
        <v>0</v>
      </c>
      <c r="F162" s="21">
        <f>cbalSpecProg10Year</f>
        <v>0</v>
      </c>
      <c r="G162" s="21">
        <f>cbalSpecProg10Year</f>
        <v>0</v>
      </c>
      <c r="H162" s="21"/>
      <c r="I162" s="21"/>
      <c r="J162" s="21"/>
      <c r="K162" s="21"/>
      <c r="L162">
        <v>10</v>
      </c>
      <c r="M162" s="387"/>
      <c r="O162" s="1002" t="s">
        <v>3929</v>
      </c>
    </row>
    <row r="163" spans="2:15">
      <c r="B163" s="21" t="s">
        <v>3638</v>
      </c>
      <c r="C163" s="21"/>
      <c r="D163" s="21"/>
      <c r="E163" s="21">
        <f>cbalSpecProg12Year</f>
        <v>0</v>
      </c>
      <c r="F163" s="21">
        <f>cbalSpecProg12Year</f>
        <v>0</v>
      </c>
      <c r="G163" s="21">
        <f>cbalSpecProg12Year</f>
        <v>0</v>
      </c>
      <c r="H163" s="21"/>
      <c r="I163" s="21"/>
      <c r="J163" s="21"/>
      <c r="K163" s="21"/>
      <c r="L163">
        <v>12</v>
      </c>
      <c r="M163" s="387"/>
      <c r="O163" s="1002" t="s">
        <v>3930</v>
      </c>
    </row>
    <row r="164" spans="2:15">
      <c r="B164" s="21" t="s">
        <v>3639</v>
      </c>
      <c r="C164" s="21"/>
      <c r="D164" s="21"/>
      <c r="E164" s="21">
        <f>cbalSpecProg13Year</f>
        <v>0</v>
      </c>
      <c r="F164" s="21">
        <f>cbalSpecProg13Year</f>
        <v>0</v>
      </c>
      <c r="G164" s="21">
        <f>cbalSpecProg13Year</f>
        <v>0</v>
      </c>
      <c r="H164" s="21"/>
      <c r="I164" s="21"/>
      <c r="J164" s="21"/>
      <c r="K164" s="21"/>
      <c r="L164">
        <v>13</v>
      </c>
      <c r="M164" s="387"/>
      <c r="O164" s="1002" t="s">
        <v>3931</v>
      </c>
    </row>
    <row r="165" spans="2:15">
      <c r="B165" s="21" t="s">
        <v>3640</v>
      </c>
      <c r="C165" s="21"/>
      <c r="D165" s="21"/>
      <c r="E165" s="21">
        <f>cbalSpecProg16Year</f>
        <v>0</v>
      </c>
      <c r="F165" s="21">
        <f>cbalSpecProg16Year</f>
        <v>0</v>
      </c>
      <c r="G165" s="21">
        <f>cbalSpecProg16Year</f>
        <v>0</v>
      </c>
      <c r="H165" s="21"/>
      <c r="I165" s="21"/>
      <c r="J165" s="21"/>
      <c r="K165" s="21"/>
      <c r="L165">
        <v>16</v>
      </c>
      <c r="M165" s="387"/>
      <c r="O165" s="1002" t="s">
        <v>3932</v>
      </c>
    </row>
    <row r="166" spans="2:15">
      <c r="B166" s="21" t="s">
        <v>3615</v>
      </c>
      <c r="C166" s="21"/>
      <c r="D166" s="21"/>
      <c r="E166" s="21">
        <f>cbalSpecProg21Year</f>
        <v>0</v>
      </c>
      <c r="F166" s="21">
        <f>cbalSpecProg21Year</f>
        <v>0</v>
      </c>
      <c r="G166" s="21">
        <f>cbalSpecProg21Year</f>
        <v>0</v>
      </c>
      <c r="H166" s="21"/>
      <c r="I166" s="21"/>
      <c r="J166" s="21"/>
      <c r="K166" s="21"/>
      <c r="L166">
        <v>21</v>
      </c>
      <c r="M166" s="387"/>
      <c r="O166" s="1002" t="s">
        <v>3933</v>
      </c>
    </row>
    <row r="167" spans="2:15">
      <c r="B167" s="21" t="s">
        <v>3634</v>
      </c>
      <c r="C167" s="21"/>
      <c r="D167" s="21"/>
      <c r="E167" s="21">
        <f>cbalEvent201Year</f>
        <v>0</v>
      </c>
      <c r="F167" s="21">
        <f>cbalEvent201Year</f>
        <v>0</v>
      </c>
      <c r="G167" s="21">
        <f>cbalEvent201Year</f>
        <v>0</v>
      </c>
      <c r="H167" s="21"/>
      <c r="I167" s="21"/>
      <c r="J167" s="21"/>
      <c r="K167" s="21"/>
      <c r="L167">
        <v>201</v>
      </c>
      <c r="M167" s="387"/>
      <c r="O167" s="1002" t="s">
        <v>3934</v>
      </c>
    </row>
    <row r="168" spans="2:15">
      <c r="B168" s="21" t="s">
        <v>3641</v>
      </c>
      <c r="C168" s="21"/>
      <c r="D168" s="21"/>
      <c r="E168" s="21">
        <f>cbalEvent203Year</f>
        <v>0</v>
      </c>
      <c r="F168" s="21">
        <f>cbalEvent203Year</f>
        <v>0</v>
      </c>
      <c r="G168" s="21">
        <f>cbalEvent203Year</f>
        <v>0</v>
      </c>
      <c r="H168" s="21"/>
      <c r="I168" s="21"/>
      <c r="J168" s="21"/>
      <c r="K168" s="21"/>
      <c r="L168">
        <v>203</v>
      </c>
      <c r="M168" s="387"/>
      <c r="O168" s="1002" t="s">
        <v>3935</v>
      </c>
    </row>
    <row r="169" spans="2:15">
      <c r="B169" s="21" t="s">
        <v>3642</v>
      </c>
      <c r="C169" s="21"/>
      <c r="D169" s="21"/>
      <c r="E169" s="21">
        <f>cbalEvent702Year</f>
        <v>0</v>
      </c>
      <c r="F169" s="21">
        <f>cbalEvent702Year</f>
        <v>0</v>
      </c>
      <c r="G169" s="21">
        <f>cbalEvent702Year</f>
        <v>0</v>
      </c>
      <c r="H169" s="21"/>
      <c r="I169" s="21"/>
      <c r="J169" s="21"/>
      <c r="K169" s="21"/>
      <c r="L169">
        <v>702</v>
      </c>
      <c r="M169" s="387"/>
      <c r="O169" s="1002" t="s">
        <v>3936</v>
      </c>
    </row>
    <row r="170" spans="2:15">
      <c r="B170" s="21" t="s">
        <v>3643</v>
      </c>
      <c r="C170" s="21"/>
      <c r="D170" s="21"/>
      <c r="E170" s="21">
        <f>cbalEvent801Year</f>
        <v>0</v>
      </c>
      <c r="F170" s="21">
        <f>cbalEvent801Year</f>
        <v>0</v>
      </c>
      <c r="G170" s="21">
        <f>cbalEvent801Year</f>
        <v>0</v>
      </c>
      <c r="H170" s="21"/>
      <c r="I170" s="21"/>
      <c r="J170" s="21"/>
      <c r="K170" s="21"/>
      <c r="L170">
        <v>801</v>
      </c>
      <c r="M170" s="387"/>
      <c r="O170" s="1002" t="s">
        <v>3937</v>
      </c>
    </row>
    <row r="171" spans="2:15">
      <c r="B171" s="21" t="s">
        <v>3622</v>
      </c>
      <c r="C171" s="21"/>
      <c r="D171" s="21"/>
      <c r="E171" s="21">
        <f>cbalEvent803Year</f>
        <v>0</v>
      </c>
      <c r="F171" s="21">
        <f>cbalEvent803Year</f>
        <v>0</v>
      </c>
      <c r="G171" s="21">
        <f>cbalEvent803Year</f>
        <v>0</v>
      </c>
      <c r="H171" s="21"/>
      <c r="I171" s="21"/>
      <c r="J171" s="21"/>
      <c r="K171" s="21"/>
      <c r="L171">
        <v>803</v>
      </c>
      <c r="M171" s="387"/>
      <c r="O171" s="1002" t="s">
        <v>3938</v>
      </c>
    </row>
    <row r="172" spans="2:15">
      <c r="B172" s="21"/>
      <c r="C172" s="21"/>
      <c r="D172" s="21"/>
      <c r="E172" s="21"/>
      <c r="F172" s="21"/>
      <c r="G172" s="21"/>
      <c r="H172" s="21"/>
      <c r="I172" s="21"/>
      <c r="J172" s="21"/>
      <c r="K172" s="21"/>
      <c r="O172" s="21"/>
    </row>
    <row r="173" spans="2:15" s="387" customFormat="1">
      <c r="B173" s="812" t="s">
        <v>2170</v>
      </c>
      <c r="C173" s="812"/>
      <c r="D173" s="812"/>
      <c r="E173" s="805" t="str">
        <f>decTeamName</f>
        <v>IIC</v>
      </c>
      <c r="F173" s="805" t="str">
        <f>decTeamName</f>
        <v>Bloomfield</v>
      </c>
      <c r="G173" s="805" t="str">
        <f>decTeamName</f>
        <v>Nextus</v>
      </c>
      <c r="H173" s="805"/>
      <c r="I173" s="805"/>
      <c r="J173" s="805"/>
      <c r="K173" s="805"/>
      <c r="O173" s="805"/>
    </row>
    <row r="174" spans="2:15">
      <c r="B174" s="21" t="s">
        <v>3604</v>
      </c>
      <c r="C174" s="21"/>
      <c r="D174" s="21"/>
      <c r="E174" s="21">
        <f>cbalSpecProg5Year</f>
        <v>0</v>
      </c>
      <c r="F174" s="21">
        <f>cbalSpecProg5Year</f>
        <v>0</v>
      </c>
      <c r="G174" s="21">
        <f>cbalSpecProg5Year</f>
        <v>0</v>
      </c>
      <c r="H174" s="21"/>
      <c r="I174" s="21"/>
      <c r="J174" s="21"/>
      <c r="K174" s="21"/>
      <c r="L174">
        <v>5</v>
      </c>
      <c r="M174" s="387"/>
      <c r="O174" s="1002" t="s">
        <v>3939</v>
      </c>
    </row>
    <row r="175" spans="2:15">
      <c r="B175" s="21" t="s">
        <v>3606</v>
      </c>
      <c r="C175" s="21"/>
      <c r="D175" s="21"/>
      <c r="E175" s="21">
        <f>cbalSpecProg7Year</f>
        <v>0</v>
      </c>
      <c r="F175" s="21">
        <f>cbalSpecProg7Year</f>
        <v>0</v>
      </c>
      <c r="G175" s="21">
        <f>cbalSpecProg7Year</f>
        <v>0</v>
      </c>
      <c r="H175" s="21"/>
      <c r="I175" s="21"/>
      <c r="J175" s="21"/>
      <c r="K175" s="21"/>
      <c r="L175">
        <v>7</v>
      </c>
      <c r="M175" s="387"/>
      <c r="O175" s="1002" t="s">
        <v>3940</v>
      </c>
    </row>
    <row r="176" spans="2:15">
      <c r="B176" s="21" t="s">
        <v>3623</v>
      </c>
      <c r="C176" s="21"/>
      <c r="D176" s="21"/>
      <c r="E176" s="21">
        <f>cbalSpecProg8Year</f>
        <v>0</v>
      </c>
      <c r="F176" s="21">
        <f>cbalSpecProg8Year</f>
        <v>0</v>
      </c>
      <c r="G176" s="21">
        <f>cbalSpecProg8Year</f>
        <v>0</v>
      </c>
      <c r="H176" s="21"/>
      <c r="I176" s="21"/>
      <c r="J176" s="21"/>
      <c r="K176" s="21"/>
      <c r="L176">
        <v>8</v>
      </c>
      <c r="M176" s="565"/>
      <c r="O176" s="1002" t="s">
        <v>3941</v>
      </c>
    </row>
    <row r="177" spans="2:15">
      <c r="B177" s="21" t="s">
        <v>3644</v>
      </c>
      <c r="C177" s="21"/>
      <c r="D177" s="21"/>
      <c r="E177" s="21">
        <f>cbalSpecProg9Year</f>
        <v>0</v>
      </c>
      <c r="F177" s="21">
        <f>cbalSpecProg9Year</f>
        <v>0</v>
      </c>
      <c r="G177" s="21">
        <f>cbalSpecProg9Year</f>
        <v>0</v>
      </c>
      <c r="H177" s="21"/>
      <c r="I177" s="21"/>
      <c r="J177" s="21"/>
      <c r="K177" s="21"/>
      <c r="L177">
        <v>9</v>
      </c>
      <c r="M177" s="387"/>
      <c r="O177" s="1002" t="s">
        <v>3942</v>
      </c>
    </row>
    <row r="178" spans="2:15">
      <c r="B178" s="21" t="s">
        <v>3608</v>
      </c>
      <c r="C178" s="21"/>
      <c r="D178" s="21"/>
      <c r="E178" s="21">
        <f>cbalSpecProg10Year</f>
        <v>0</v>
      </c>
      <c r="F178" s="21">
        <f>cbalSpecProg10Year</f>
        <v>0</v>
      </c>
      <c r="G178" s="21">
        <f>cbalSpecProg10Year</f>
        <v>0</v>
      </c>
      <c r="H178" s="21"/>
      <c r="I178" s="21"/>
      <c r="J178" s="21"/>
      <c r="K178" s="21"/>
      <c r="L178">
        <v>10</v>
      </c>
      <c r="M178" s="387"/>
      <c r="O178" s="1002" t="s">
        <v>3943</v>
      </c>
    </row>
    <row r="179" spans="2:15">
      <c r="B179" s="21" t="s">
        <v>3645</v>
      </c>
      <c r="C179" s="21"/>
      <c r="D179" s="21"/>
      <c r="E179" s="21">
        <f>cbalSpecProg12Year</f>
        <v>0</v>
      </c>
      <c r="F179" s="21">
        <f>cbalSpecProg12Year</f>
        <v>0</v>
      </c>
      <c r="G179" s="21">
        <f>cbalSpecProg12Year</f>
        <v>0</v>
      </c>
      <c r="H179" s="21"/>
      <c r="I179" s="21"/>
      <c r="J179" s="21"/>
      <c r="K179" s="21"/>
      <c r="L179">
        <v>12</v>
      </c>
      <c r="M179" s="565"/>
      <c r="O179" s="1002" t="s">
        <v>3944</v>
      </c>
    </row>
    <row r="180" spans="2:15">
      <c r="B180" s="21" t="s">
        <v>3639</v>
      </c>
      <c r="C180" s="21"/>
      <c r="D180" s="21"/>
      <c r="E180" s="21">
        <f>cbalSpecProg13Year</f>
        <v>0</v>
      </c>
      <c r="F180" s="21">
        <f>cbalSpecProg13Year</f>
        <v>0</v>
      </c>
      <c r="G180" s="21">
        <f>cbalSpecProg13Year</f>
        <v>0</v>
      </c>
      <c r="H180" s="21"/>
      <c r="I180" s="21"/>
      <c r="J180" s="21"/>
      <c r="K180" s="21"/>
      <c r="L180">
        <v>13</v>
      </c>
      <c r="M180" s="387"/>
      <c r="O180" s="1002" t="s">
        <v>3945</v>
      </c>
    </row>
    <row r="181" spans="2:15">
      <c r="B181" s="21" t="s">
        <v>3646</v>
      </c>
      <c r="C181" s="21"/>
      <c r="D181" s="21"/>
      <c r="E181" s="21">
        <f>cbalSpecProg16Year</f>
        <v>0</v>
      </c>
      <c r="F181" s="21">
        <f>cbalSpecProg16Year</f>
        <v>0</v>
      </c>
      <c r="G181" s="21">
        <f>cbalSpecProg16Year</f>
        <v>0</v>
      </c>
      <c r="H181" s="21"/>
      <c r="I181" s="21"/>
      <c r="J181" s="21"/>
      <c r="K181" s="21"/>
      <c r="L181">
        <v>16</v>
      </c>
      <c r="M181" s="387"/>
      <c r="O181" s="1002" t="s">
        <v>3946</v>
      </c>
    </row>
    <row r="182" spans="2:15">
      <c r="B182" s="21" t="s">
        <v>3615</v>
      </c>
      <c r="C182" s="21"/>
      <c r="D182" s="21"/>
      <c r="E182" s="21">
        <f>cbalSpecProg21Year</f>
        <v>0</v>
      </c>
      <c r="F182" s="21">
        <f>cbalSpecProg21Year</f>
        <v>0</v>
      </c>
      <c r="G182" s="21">
        <f>cbalSpecProg21Year</f>
        <v>0</v>
      </c>
      <c r="H182" s="21"/>
      <c r="I182" s="21"/>
      <c r="J182" s="21"/>
      <c r="K182" s="21"/>
      <c r="L182">
        <v>21</v>
      </c>
      <c r="M182" s="565"/>
      <c r="O182" s="1002" t="s">
        <v>3947</v>
      </c>
    </row>
    <row r="183" spans="2:15">
      <c r="B183" s="21" t="s">
        <v>3633</v>
      </c>
      <c r="C183" s="21"/>
      <c r="D183" s="21"/>
      <c r="E183" s="21">
        <f>cbalSpecProg22Year</f>
        <v>0</v>
      </c>
      <c r="F183" s="21">
        <f>cbalSpecProg22Year</f>
        <v>0</v>
      </c>
      <c r="G183" s="21">
        <f>cbalSpecProg22Year</f>
        <v>0</v>
      </c>
      <c r="H183" s="21"/>
      <c r="I183" s="21"/>
      <c r="J183" s="21"/>
      <c r="K183" s="21"/>
      <c r="L183">
        <v>22</v>
      </c>
      <c r="M183" s="387"/>
      <c r="O183" s="1002" t="s">
        <v>3948</v>
      </c>
    </row>
    <row r="184" spans="2:15">
      <c r="B184" s="21" t="s">
        <v>3647</v>
      </c>
      <c r="C184" s="21"/>
      <c r="D184" s="21"/>
      <c r="E184" s="21">
        <f>cbalEvent202Year</f>
        <v>0</v>
      </c>
      <c r="F184" s="21">
        <f>cbalEvent202Year</f>
        <v>0</v>
      </c>
      <c r="G184" s="21">
        <f>cbalEvent202Year</f>
        <v>0</v>
      </c>
      <c r="H184" s="21"/>
      <c r="I184" s="21"/>
      <c r="J184" s="21"/>
      <c r="K184" s="21"/>
      <c r="L184">
        <v>202</v>
      </c>
      <c r="M184" s="387"/>
      <c r="O184" s="1002" t="s">
        <v>3949</v>
      </c>
    </row>
    <row r="185" spans="2:15">
      <c r="B185" s="21" t="s">
        <v>3626</v>
      </c>
      <c r="C185" s="21"/>
      <c r="D185" s="21"/>
      <c r="E185" s="21">
        <f>cbalEvent402Year</f>
        <v>0</v>
      </c>
      <c r="F185" s="21">
        <f>cbalEvent402Year</f>
        <v>0</v>
      </c>
      <c r="G185" s="21">
        <f>cbalEvent402Year</f>
        <v>0</v>
      </c>
      <c r="H185" s="21"/>
      <c r="I185" s="21"/>
      <c r="J185" s="21"/>
      <c r="K185" s="21"/>
      <c r="L185">
        <v>402</v>
      </c>
      <c r="M185" s="565"/>
      <c r="O185" s="1002" t="s">
        <v>3950</v>
      </c>
    </row>
    <row r="186" spans="2:15">
      <c r="B186" s="21" t="s">
        <v>3630</v>
      </c>
      <c r="C186" s="21"/>
      <c r="D186" s="21"/>
      <c r="E186" s="21">
        <f>cbalEvent701Year</f>
        <v>0</v>
      </c>
      <c r="F186" s="21">
        <f>cbalEvent701Year</f>
        <v>0</v>
      </c>
      <c r="G186" s="21">
        <f>cbalEvent701Year</f>
        <v>0</v>
      </c>
      <c r="H186" s="21"/>
      <c r="I186" s="21"/>
      <c r="J186" s="21"/>
      <c r="K186" s="21"/>
      <c r="L186">
        <v>701</v>
      </c>
      <c r="M186" s="387"/>
      <c r="O186" s="1002" t="s">
        <v>3951</v>
      </c>
    </row>
    <row r="187" spans="2:15">
      <c r="B187" s="21" t="s">
        <v>3642</v>
      </c>
      <c r="C187" s="21"/>
      <c r="D187" s="21"/>
      <c r="E187" s="21">
        <f>cbalEvent702Year</f>
        <v>0</v>
      </c>
      <c r="F187" s="21">
        <f>cbalEvent702Year</f>
        <v>0</v>
      </c>
      <c r="G187" s="21">
        <f>cbalEvent702Year</f>
        <v>0</v>
      </c>
      <c r="H187" s="21"/>
      <c r="I187" s="21"/>
      <c r="J187" s="21"/>
      <c r="K187" s="21"/>
      <c r="L187">
        <v>702</v>
      </c>
      <c r="M187" s="387"/>
      <c r="O187" s="1002" t="s">
        <v>3952</v>
      </c>
    </row>
    <row r="188" spans="2:15">
      <c r="B188" s="21" t="s">
        <v>3648</v>
      </c>
      <c r="C188" s="21"/>
      <c r="D188" s="21"/>
      <c r="E188" s="21">
        <f>cbalEvent801Year</f>
        <v>0</v>
      </c>
      <c r="F188" s="21">
        <f>cbalEvent801Year</f>
        <v>0</v>
      </c>
      <c r="G188" s="21">
        <f>cbalEvent801Year</f>
        <v>0</v>
      </c>
      <c r="H188" s="21"/>
      <c r="I188" s="21"/>
      <c r="J188" s="21"/>
      <c r="K188" s="21"/>
      <c r="L188">
        <v>801</v>
      </c>
      <c r="M188" s="565"/>
      <c r="O188" s="1002" t="s">
        <v>3953</v>
      </c>
    </row>
    <row r="189" spans="2:15">
      <c r="B189" s="21" t="s">
        <v>3649</v>
      </c>
      <c r="C189" s="21"/>
      <c r="D189" s="21"/>
      <c r="E189" s="21">
        <f>cbalEvent802Year</f>
        <v>0</v>
      </c>
      <c r="F189" s="21">
        <f>cbalEvent802Year</f>
        <v>0</v>
      </c>
      <c r="G189" s="21">
        <f>cbalEvent802Year</f>
        <v>0</v>
      </c>
      <c r="H189" s="21"/>
      <c r="I189" s="21"/>
      <c r="J189" s="21"/>
      <c r="K189" s="21"/>
      <c r="L189">
        <v>802</v>
      </c>
      <c r="M189" s="387"/>
      <c r="O189" s="1002" t="s">
        <v>3954</v>
      </c>
    </row>
    <row r="190" spans="2:15">
      <c r="B190" s="21" t="s">
        <v>3650</v>
      </c>
      <c r="C190" s="21"/>
      <c r="D190" s="21"/>
      <c r="E190" s="21">
        <f>cbalEvent803Year</f>
        <v>0</v>
      </c>
      <c r="F190" s="21">
        <f>cbalEvent803Year</f>
        <v>0</v>
      </c>
      <c r="G190" s="21">
        <f>cbalEvent803Year</f>
        <v>0</v>
      </c>
      <c r="H190" s="21"/>
      <c r="I190" s="21"/>
      <c r="J190" s="21"/>
      <c r="K190" s="21"/>
      <c r="L190">
        <v>803</v>
      </c>
      <c r="M190" s="387"/>
      <c r="O190" s="1002" t="s">
        <v>3955</v>
      </c>
    </row>
    <row r="191" spans="2:15" s="387" customFormat="1">
      <c r="B191" s="812" t="s">
        <v>1981</v>
      </c>
      <c r="C191" s="812"/>
      <c r="D191" s="812"/>
      <c r="E191" s="805" t="str">
        <f>decTeamName</f>
        <v>IIC</v>
      </c>
      <c r="F191" s="805" t="str">
        <f>decTeamName</f>
        <v>Bloomfield</v>
      </c>
      <c r="G191" s="805" t="str">
        <f>decTeamName</f>
        <v>Nextus</v>
      </c>
      <c r="H191" s="805"/>
      <c r="I191" s="805"/>
      <c r="J191" s="805"/>
      <c r="K191" s="805"/>
      <c r="O191" s="805"/>
    </row>
    <row r="192" spans="2:15">
      <c r="B192" s="21" t="s">
        <v>3635</v>
      </c>
      <c r="C192" s="21"/>
      <c r="D192" s="21"/>
      <c r="E192" s="21">
        <f>cbalSpecProg3Year</f>
        <v>0</v>
      </c>
      <c r="F192" s="21">
        <f>cbalSpecProg3Year</f>
        <v>0</v>
      </c>
      <c r="G192" s="21">
        <f>cbalSpecProg3Year</f>
        <v>0</v>
      </c>
      <c r="H192" s="21"/>
      <c r="I192" s="21"/>
      <c r="J192" s="21"/>
      <c r="K192" s="21"/>
      <c r="L192">
        <v>3</v>
      </c>
      <c r="M192" s="387"/>
      <c r="O192" s="1002" t="s">
        <v>3956</v>
      </c>
    </row>
    <row r="193" spans="2:15">
      <c r="B193" s="21" t="s">
        <v>3636</v>
      </c>
      <c r="C193" s="21"/>
      <c r="D193" s="21"/>
      <c r="E193" s="21">
        <f>cbalSpecProg4Year</f>
        <v>0</v>
      </c>
      <c r="F193" s="21">
        <f>cbalSpecProg4Year</f>
        <v>0</v>
      </c>
      <c r="G193" s="21">
        <f>cbalSpecProg4Year</f>
        <v>0</v>
      </c>
      <c r="H193" s="21"/>
      <c r="I193" s="21"/>
      <c r="J193" s="21"/>
      <c r="K193" s="21"/>
      <c r="L193">
        <v>4</v>
      </c>
      <c r="M193" s="387"/>
      <c r="O193" s="1002" t="s">
        <v>3957</v>
      </c>
    </row>
    <row r="194" spans="2:15">
      <c r="B194" s="21" t="s">
        <v>3637</v>
      </c>
      <c r="C194" s="21"/>
      <c r="D194" s="21"/>
      <c r="E194" s="21">
        <f>cbalSpecProg9Year</f>
        <v>0</v>
      </c>
      <c r="F194" s="21">
        <f>cbalSpecProg9Year</f>
        <v>0</v>
      </c>
      <c r="G194" s="21">
        <f>cbalSpecProg9Year</f>
        <v>0</v>
      </c>
      <c r="H194" s="21"/>
      <c r="I194" s="21"/>
      <c r="J194" s="21"/>
      <c r="K194" s="21"/>
      <c r="L194">
        <v>9</v>
      </c>
      <c r="M194" s="387"/>
      <c r="O194" s="1002" t="s">
        <v>3958</v>
      </c>
    </row>
    <row r="195" spans="2:15">
      <c r="B195" s="21" t="s">
        <v>3608</v>
      </c>
      <c r="C195" s="21"/>
      <c r="D195" s="21"/>
      <c r="E195" s="21">
        <f>cbalSpecProg10Year</f>
        <v>0</v>
      </c>
      <c r="F195" s="21">
        <f>cbalSpecProg10Year</f>
        <v>0</v>
      </c>
      <c r="G195" s="21">
        <f>cbalSpecProg10Year</f>
        <v>0</v>
      </c>
      <c r="H195" s="21"/>
      <c r="I195" s="21"/>
      <c r="J195" s="21"/>
      <c r="K195" s="21"/>
      <c r="L195">
        <v>10</v>
      </c>
      <c r="M195" s="387"/>
      <c r="O195" s="1002" t="s">
        <v>3959</v>
      </c>
    </row>
    <row r="196" spans="2:15">
      <c r="B196" s="21" t="s">
        <v>3609</v>
      </c>
      <c r="C196" s="21"/>
      <c r="D196" s="21"/>
      <c r="E196" s="21">
        <f>cbalSpecProg11Year</f>
        <v>0</v>
      </c>
      <c r="F196" s="21">
        <f>cbalSpecProg11Year</f>
        <v>0</v>
      </c>
      <c r="G196" s="21">
        <f>cbalSpecProg11Year</f>
        <v>0</v>
      </c>
      <c r="H196" s="21"/>
      <c r="I196" s="21"/>
      <c r="J196" s="21"/>
      <c r="K196" s="21"/>
      <c r="L196">
        <v>11</v>
      </c>
      <c r="M196" s="387"/>
      <c r="O196" s="1002" t="s">
        <v>3960</v>
      </c>
    </row>
    <row r="197" spans="2:15">
      <c r="B197" s="21" t="s">
        <v>3639</v>
      </c>
      <c r="C197" s="21"/>
      <c r="D197" s="21"/>
      <c r="E197" s="21">
        <f>cbalSpecProg13Year</f>
        <v>0</v>
      </c>
      <c r="F197" s="21">
        <f>cbalSpecProg13Year</f>
        <v>0</v>
      </c>
      <c r="G197" s="21">
        <f>cbalSpecProg13Year</f>
        <v>0</v>
      </c>
      <c r="H197" s="21"/>
      <c r="I197" s="21"/>
      <c r="J197" s="21"/>
      <c r="K197" s="21"/>
      <c r="L197">
        <v>13</v>
      </c>
      <c r="M197" s="387"/>
      <c r="O197" s="1002" t="s">
        <v>3961</v>
      </c>
    </row>
    <row r="198" spans="2:15">
      <c r="B198" s="21" t="s">
        <v>3633</v>
      </c>
      <c r="C198" s="21"/>
      <c r="D198" s="21"/>
      <c r="E198" s="21">
        <f>cbalSpecProg22Year</f>
        <v>0</v>
      </c>
      <c r="F198" s="21">
        <f>cbalSpecProg22Year</f>
        <v>0</v>
      </c>
      <c r="G198" s="21">
        <f>cbalSpecProg22Year</f>
        <v>0</v>
      </c>
      <c r="H198" s="21"/>
      <c r="I198" s="21"/>
      <c r="J198" s="21"/>
      <c r="K198" s="21"/>
      <c r="L198">
        <v>22</v>
      </c>
      <c r="M198" s="387"/>
      <c r="O198" s="1002" t="s">
        <v>3962</v>
      </c>
    </row>
    <row r="199" spans="2:15" ht="11.25" customHeight="1">
      <c r="B199" s="21"/>
      <c r="C199" s="21"/>
      <c r="D199" s="21"/>
      <c r="E199" s="21"/>
      <c r="F199" s="21"/>
      <c r="G199" s="21"/>
      <c r="H199" s="21"/>
      <c r="I199" s="21"/>
      <c r="J199" s="21"/>
      <c r="K199" s="21"/>
      <c r="O199" s="21"/>
    </row>
    <row r="200" spans="2:15">
      <c r="B200" s="804" t="s">
        <v>322</v>
      </c>
      <c r="C200" s="804"/>
      <c r="D200" s="804"/>
      <c r="E200" s="805" t="str">
        <f>decTeamName</f>
        <v>IIC</v>
      </c>
      <c r="F200" s="805" t="str">
        <f>decTeamName</f>
        <v>Bloomfield</v>
      </c>
      <c r="G200" s="805" t="str">
        <f>decTeamName</f>
        <v>Nextus</v>
      </c>
      <c r="H200" s="805"/>
      <c r="I200" s="805"/>
      <c r="J200" s="805"/>
      <c r="K200" s="805"/>
      <c r="O200" s="805"/>
    </row>
    <row r="201" spans="2:15">
      <c r="B201" s="21" t="s">
        <v>3602</v>
      </c>
      <c r="C201" s="21"/>
      <c r="D201" s="21"/>
      <c r="E201" s="21">
        <f>cbalSpecProg1Year</f>
        <v>0</v>
      </c>
      <c r="F201" s="21">
        <f>cbalSpecProg1Year</f>
        <v>0</v>
      </c>
      <c r="G201" s="21">
        <f>cbalSpecProg1Year</f>
        <v>0</v>
      </c>
      <c r="H201" s="21"/>
      <c r="I201" s="21"/>
      <c r="J201" s="21"/>
      <c r="K201" s="21"/>
      <c r="L201">
        <v>1</v>
      </c>
      <c r="M201" s="387"/>
      <c r="O201" s="1002" t="s">
        <v>3963</v>
      </c>
    </row>
    <row r="202" spans="2:15">
      <c r="B202" s="21" t="s">
        <v>3636</v>
      </c>
      <c r="C202" s="21"/>
      <c r="D202" s="21"/>
      <c r="E202" s="21">
        <f>cbalSpecProg4Year</f>
        <v>0</v>
      </c>
      <c r="F202" s="21">
        <f>cbalSpecProg4Year</f>
        <v>0</v>
      </c>
      <c r="G202" s="21">
        <f>cbalSpecProg4Year</f>
        <v>0</v>
      </c>
      <c r="H202" s="21"/>
      <c r="I202" s="21"/>
      <c r="J202" s="21"/>
      <c r="K202" s="21"/>
      <c r="L202">
        <v>4</v>
      </c>
      <c r="M202" s="387"/>
      <c r="O202" s="1002" t="s">
        <v>3964</v>
      </c>
    </row>
    <row r="203" spans="2:15">
      <c r="B203" s="21" t="s">
        <v>3604</v>
      </c>
      <c r="C203" s="21"/>
      <c r="D203" s="21"/>
      <c r="E203" s="21">
        <f>cbalSpecProg5Year</f>
        <v>0</v>
      </c>
      <c r="F203" s="21">
        <f>cbalSpecProg5Year</f>
        <v>0</v>
      </c>
      <c r="G203" s="21">
        <f>cbalSpecProg5Year</f>
        <v>0</v>
      </c>
      <c r="H203" s="21"/>
      <c r="I203" s="21"/>
      <c r="J203" s="21"/>
      <c r="K203" s="21"/>
      <c r="L203">
        <v>5</v>
      </c>
      <c r="M203" s="387"/>
      <c r="O203" s="1002" t="s">
        <v>3965</v>
      </c>
    </row>
    <row r="204" spans="2:15">
      <c r="B204" s="21" t="s">
        <v>3605</v>
      </c>
      <c r="C204" s="21"/>
      <c r="D204" s="21"/>
      <c r="E204" s="21">
        <f>cbalSpecProg6Year</f>
        <v>0</v>
      </c>
      <c r="F204" s="21">
        <f>cbalSpecProg6Year</f>
        <v>0</v>
      </c>
      <c r="G204" s="21">
        <f>cbalSpecProg6Year</f>
        <v>0</v>
      </c>
      <c r="H204" s="21"/>
      <c r="I204" s="21"/>
      <c r="J204" s="21"/>
      <c r="K204" s="21"/>
      <c r="L204">
        <v>6</v>
      </c>
      <c r="M204" s="387"/>
      <c r="O204" s="1002" t="s">
        <v>3966</v>
      </c>
    </row>
    <row r="205" spans="2:15">
      <c r="B205" s="21" t="s">
        <v>3609</v>
      </c>
      <c r="C205" s="21"/>
      <c r="D205" s="21"/>
      <c r="E205" s="21">
        <f>cbalSpecProg11Year</f>
        <v>0</v>
      </c>
      <c r="F205" s="21">
        <f>cbalSpecProg11Year</f>
        <v>0</v>
      </c>
      <c r="G205" s="21">
        <f>cbalSpecProg11Year</f>
        <v>0</v>
      </c>
      <c r="H205" s="21"/>
      <c r="I205" s="21"/>
      <c r="J205" s="21"/>
      <c r="K205" s="21"/>
      <c r="L205">
        <v>11</v>
      </c>
      <c r="M205" s="387"/>
      <c r="O205" s="1002" t="s">
        <v>3967</v>
      </c>
    </row>
    <row r="206" spans="2:15">
      <c r="B206" s="21" t="s">
        <v>3610</v>
      </c>
      <c r="C206" s="21"/>
      <c r="D206" s="21"/>
      <c r="E206" s="21">
        <f>cbalSpecProg14Year</f>
        <v>0</v>
      </c>
      <c r="F206" s="21">
        <f>cbalSpecProg14Year</f>
        <v>0</v>
      </c>
      <c r="G206" s="21">
        <f>cbalSpecProg14Year</f>
        <v>0</v>
      </c>
      <c r="H206" s="21"/>
      <c r="I206" s="21"/>
      <c r="J206" s="21"/>
      <c r="K206" s="21"/>
      <c r="L206">
        <v>14</v>
      </c>
      <c r="M206" s="387"/>
      <c r="O206" s="1002" t="s">
        <v>3968</v>
      </c>
    </row>
    <row r="207" spans="2:15">
      <c r="B207" s="21" t="s">
        <v>3633</v>
      </c>
      <c r="C207" s="21"/>
      <c r="D207" s="21"/>
      <c r="E207" s="21">
        <f>cbalSpecProg22Year</f>
        <v>0</v>
      </c>
      <c r="F207" s="21">
        <f>cbalSpecProg22Year</f>
        <v>0</v>
      </c>
      <c r="G207" s="21">
        <f>cbalSpecProg22Year</f>
        <v>0</v>
      </c>
      <c r="H207" s="21"/>
      <c r="I207" s="21"/>
      <c r="J207" s="21"/>
      <c r="K207" s="21"/>
      <c r="L207">
        <v>22</v>
      </c>
      <c r="M207" s="387"/>
      <c r="O207" s="1002" t="s">
        <v>3969</v>
      </c>
    </row>
    <row r="208" spans="2:15">
      <c r="B208" s="21" t="s">
        <v>3634</v>
      </c>
      <c r="C208" s="21"/>
      <c r="D208" s="21"/>
      <c r="E208" s="21">
        <f>cbalEvent201Year</f>
        <v>0</v>
      </c>
      <c r="F208" s="21">
        <f>cbalEvent201Year</f>
        <v>0</v>
      </c>
      <c r="G208" s="21">
        <f>cbalEvent201Year</f>
        <v>0</v>
      </c>
      <c r="H208" s="21"/>
      <c r="I208" s="21"/>
      <c r="J208" s="21"/>
      <c r="K208" s="21"/>
      <c r="L208">
        <v>201</v>
      </c>
      <c r="M208" s="387"/>
      <c r="O208" s="1002" t="s">
        <v>3970</v>
      </c>
    </row>
    <row r="209" spans="2:15">
      <c r="B209" s="21" t="s">
        <v>3619</v>
      </c>
      <c r="C209" s="21"/>
      <c r="D209" s="21"/>
      <c r="E209" s="21">
        <f>cbalEvent302Year</f>
        <v>0</v>
      </c>
      <c r="F209" s="21">
        <f>cbalEvent302Year</f>
        <v>0</v>
      </c>
      <c r="G209" s="21">
        <f>cbalEvent302Year</f>
        <v>0</v>
      </c>
      <c r="H209" s="21"/>
      <c r="I209" s="21"/>
      <c r="J209" s="21"/>
      <c r="K209" s="21"/>
      <c r="L209">
        <v>302</v>
      </c>
      <c r="M209" s="387"/>
      <c r="O209" s="1002" t="s">
        <v>3971</v>
      </c>
    </row>
    <row r="210" spans="2:15">
      <c r="B210" s="21" t="s">
        <v>3651</v>
      </c>
      <c r="C210" s="21"/>
      <c r="D210" s="21"/>
      <c r="E210" s="21">
        <f>cbalEvent401Year</f>
        <v>0</v>
      </c>
      <c r="F210" s="21">
        <f>cbalEvent401Year</f>
        <v>0</v>
      </c>
      <c r="G210" s="21">
        <f>cbalEvent401Year</f>
        <v>0</v>
      </c>
      <c r="H210" s="21"/>
      <c r="I210" s="21"/>
      <c r="J210" s="21"/>
      <c r="K210" s="21"/>
      <c r="L210">
        <v>401</v>
      </c>
      <c r="M210" s="387"/>
      <c r="O210" s="1002" t="s">
        <v>3972</v>
      </c>
    </row>
    <row r="211" spans="2:15">
      <c r="B211" s="21" t="s">
        <v>3626</v>
      </c>
      <c r="C211" s="21"/>
      <c r="D211" s="21"/>
      <c r="E211" s="21">
        <f>cbalEvent402Year</f>
        <v>0</v>
      </c>
      <c r="F211" s="21">
        <f>cbalEvent402Year</f>
        <v>0</v>
      </c>
      <c r="G211" s="21">
        <f>cbalEvent402Year</f>
        <v>0</v>
      </c>
      <c r="H211" s="21"/>
      <c r="I211" s="21"/>
      <c r="J211" s="21"/>
      <c r="K211" s="21"/>
      <c r="L211">
        <v>402</v>
      </c>
      <c r="M211" s="387"/>
      <c r="O211" s="1002" t="s">
        <v>3973</v>
      </c>
    </row>
    <row r="212" spans="2:15">
      <c r="B212" s="21" t="s">
        <v>3652</v>
      </c>
      <c r="C212" s="21"/>
      <c r="D212" s="21"/>
      <c r="E212" s="21">
        <f>cbalEvent403Year</f>
        <v>0</v>
      </c>
      <c r="F212" s="21">
        <f>cbalEvent403Year</f>
        <v>0</v>
      </c>
      <c r="G212" s="21">
        <f>cbalEvent403Year</f>
        <v>0</v>
      </c>
      <c r="H212" s="21"/>
      <c r="I212" s="21"/>
      <c r="J212" s="21"/>
      <c r="K212" s="21"/>
      <c r="L212">
        <v>403</v>
      </c>
      <c r="M212" s="387"/>
      <c r="O212" s="1002" t="s">
        <v>3974</v>
      </c>
    </row>
    <row r="213" spans="2:15">
      <c r="B213" s="21" t="s">
        <v>3627</v>
      </c>
      <c r="C213" s="21"/>
      <c r="D213" s="21"/>
      <c r="E213" s="21">
        <f>cbalEvent502Year</f>
        <v>0</v>
      </c>
      <c r="F213" s="21">
        <f>cbalEvent502Year</f>
        <v>0</v>
      </c>
      <c r="G213" s="21">
        <f>cbalEvent502Year</f>
        <v>0</v>
      </c>
      <c r="H213" s="21"/>
      <c r="I213" s="21"/>
      <c r="J213" s="21"/>
      <c r="K213" s="21"/>
      <c r="L213">
        <v>502</v>
      </c>
      <c r="M213" s="387"/>
      <c r="O213" s="1002" t="s">
        <v>3975</v>
      </c>
    </row>
    <row r="214" spans="2:15">
      <c r="B214" s="21" t="s">
        <v>3628</v>
      </c>
      <c r="C214" s="21"/>
      <c r="D214" s="21"/>
      <c r="E214" s="21">
        <f>cbalEvent503Year</f>
        <v>0</v>
      </c>
      <c r="F214" s="21">
        <f>cbalEvent503Year</f>
        <v>0</v>
      </c>
      <c r="G214" s="21">
        <f>cbalEvent503Year</f>
        <v>0</v>
      </c>
      <c r="H214" s="21"/>
      <c r="I214" s="21"/>
      <c r="J214" s="21"/>
      <c r="K214" s="21"/>
      <c r="L214">
        <v>503</v>
      </c>
      <c r="M214" s="387"/>
      <c r="O214" s="1002" t="s">
        <v>3976</v>
      </c>
    </row>
    <row r="215" spans="2:15">
      <c r="B215" s="21" t="s">
        <v>3631</v>
      </c>
      <c r="C215" s="21"/>
      <c r="D215" s="21"/>
      <c r="E215" s="21">
        <f>cbalEvent901Year</f>
        <v>0</v>
      </c>
      <c r="F215" s="21">
        <f>cbalEvent901Year</f>
        <v>0</v>
      </c>
      <c r="G215" s="21">
        <f>cbalEvent901Year</f>
        <v>0</v>
      </c>
      <c r="H215" s="21"/>
      <c r="I215" s="21"/>
      <c r="J215" s="21"/>
      <c r="K215" s="21"/>
      <c r="L215">
        <v>901</v>
      </c>
      <c r="M215" s="387"/>
      <c r="O215" s="1002" t="s">
        <v>3977</v>
      </c>
    </row>
    <row r="216" spans="2:15">
      <c r="B216" s="21" t="s">
        <v>3653</v>
      </c>
      <c r="C216" s="21"/>
      <c r="D216" s="21"/>
      <c r="E216" s="21">
        <f>cbalEvent902Year</f>
        <v>0</v>
      </c>
      <c r="F216" s="21">
        <f>cbalEvent902Year</f>
        <v>0</v>
      </c>
      <c r="G216" s="21">
        <f>cbalEvent902Year</f>
        <v>0</v>
      </c>
      <c r="H216" s="21"/>
      <c r="I216" s="21"/>
      <c r="J216" s="21"/>
      <c r="K216" s="21"/>
      <c r="L216">
        <v>902</v>
      </c>
      <c r="M216" s="387"/>
      <c r="O216" s="1002" t="s">
        <v>3978</v>
      </c>
    </row>
    <row r="217" spans="2:15" ht="11.25" customHeight="1">
      <c r="B217" s="21"/>
      <c r="C217" s="21"/>
      <c r="D217" s="21"/>
      <c r="E217" s="21"/>
      <c r="F217" s="21"/>
      <c r="G217" s="21"/>
      <c r="H217" s="21"/>
      <c r="I217" s="21"/>
      <c r="J217" s="21"/>
      <c r="K217" s="21"/>
      <c r="M217" s="565"/>
      <c r="O217" s="21"/>
    </row>
    <row r="218" spans="2:15" s="387" customFormat="1">
      <c r="B218" s="812" t="s">
        <v>1207</v>
      </c>
      <c r="C218" s="812"/>
      <c r="D218" s="812"/>
      <c r="E218" s="805" t="str">
        <f>decTeamName</f>
        <v>IIC</v>
      </c>
      <c r="F218" s="805" t="str">
        <f>decTeamName</f>
        <v>Bloomfield</v>
      </c>
      <c r="G218" s="805" t="str">
        <f>decTeamName</f>
        <v>Nextus</v>
      </c>
      <c r="H218" s="805"/>
      <c r="I218" s="805"/>
      <c r="J218" s="805" t="s">
        <v>2816</v>
      </c>
      <c r="K218" s="805" t="s">
        <v>2818</v>
      </c>
      <c r="O218" s="805"/>
    </row>
    <row r="219" spans="2:15">
      <c r="B219" s="59" t="s">
        <v>2850</v>
      </c>
      <c r="C219" s="21"/>
      <c r="D219" s="21"/>
      <c r="E219" s="21"/>
      <c r="F219" s="21"/>
      <c r="G219" s="21"/>
      <c r="H219" s="21"/>
      <c r="I219" s="21"/>
      <c r="J219" s="21"/>
      <c r="K219" s="21"/>
      <c r="O219" s="21"/>
    </row>
    <row r="220" spans="2:15">
      <c r="B220" s="563" t="s">
        <v>2173</v>
      </c>
      <c r="C220" s="21"/>
      <c r="D220" s="21"/>
      <c r="E220" s="513">
        <f>finPNLProd1ExistSubRev</f>
        <v>1639034251.7625</v>
      </c>
      <c r="F220" s="513">
        <f>finPNLProd1ExistSubRev</f>
        <v>1458232675.9855313</v>
      </c>
      <c r="G220" s="513">
        <f>finPNLProd1ExistSubRev</f>
        <v>1050162556.3770657</v>
      </c>
      <c r="H220" s="513"/>
      <c r="I220" s="513"/>
      <c r="J220" s="513">
        <f t="shared" ref="J220:J230" si="5">SUM(E220:I220)/(5-COUNTIF(E220:I220,""))</f>
        <v>1382476494.7083657</v>
      </c>
      <c r="K220" s="513">
        <v>1639021351.4999998</v>
      </c>
      <c r="O220" s="737" t="s">
        <v>3979</v>
      </c>
    </row>
    <row r="221" spans="2:15">
      <c r="B221" s="563" t="s">
        <v>2848</v>
      </c>
      <c r="C221" s="21"/>
      <c r="D221" s="21"/>
      <c r="E221" s="513">
        <f>finPNLProd1NewSubRev</f>
        <v>62143200</v>
      </c>
      <c r="F221" s="513">
        <f>finPNLProd1NewSubRev</f>
        <v>58105080.000000007</v>
      </c>
      <c r="G221" s="513">
        <f>finPNLProd1NewSubRev</f>
        <v>39180240</v>
      </c>
      <c r="H221" s="513"/>
      <c r="I221" s="513"/>
      <c r="J221" s="513">
        <f t="shared" si="5"/>
        <v>53142840</v>
      </c>
      <c r="K221" s="513">
        <v>62148600</v>
      </c>
      <c r="O221" s="737" t="s">
        <v>3980</v>
      </c>
    </row>
    <row r="222" spans="2:15">
      <c r="B222" s="563" t="s">
        <v>2849</v>
      </c>
      <c r="C222" s="21"/>
      <c r="D222" s="21"/>
      <c r="E222" s="513">
        <f>finPNLProd1ServiceRev</f>
        <v>165715200</v>
      </c>
      <c r="F222" s="513">
        <f>finPNLProd1ServiceRev</f>
        <v>140860800.00000003</v>
      </c>
      <c r="G222" s="513">
        <f>finPNLProd1ServiceRev</f>
        <v>107712000</v>
      </c>
      <c r="H222" s="513"/>
      <c r="I222" s="513"/>
      <c r="J222" s="513">
        <f t="shared" si="5"/>
        <v>138096000</v>
      </c>
      <c r="K222" s="513">
        <v>165729600</v>
      </c>
      <c r="O222" s="737" t="s">
        <v>3981</v>
      </c>
    </row>
    <row r="223" spans="2:15">
      <c r="B223" s="563" t="s">
        <v>1276</v>
      </c>
      <c r="C223" s="21"/>
      <c r="D223" s="21"/>
      <c r="E223" s="513">
        <f>finPNLProd1Rev</f>
        <v>2008782289.0972757</v>
      </c>
      <c r="F223" s="513">
        <f>finPNLProd1Rev</f>
        <v>1802349097.9843411</v>
      </c>
      <c r="G223" s="513">
        <f>finPNLProd1Rev</f>
        <v>1339255376.5497975</v>
      </c>
      <c r="H223" s="513"/>
      <c r="I223" s="513"/>
      <c r="J223" s="513">
        <f t="shared" si="5"/>
        <v>1716795587.8771381</v>
      </c>
      <c r="K223" s="513">
        <v>2008791817.9013519</v>
      </c>
      <c r="O223" s="737" t="s">
        <v>3982</v>
      </c>
    </row>
    <row r="224" spans="2:15">
      <c r="B224" s="563" t="s">
        <v>1615</v>
      </c>
      <c r="C224" s="21"/>
      <c r="D224" s="21"/>
      <c r="E224" s="513">
        <f>finPNLProd1EBITDA</f>
        <v>419408398.00473642</v>
      </c>
      <c r="F224" s="513">
        <f>finPNLProd1EBITDA</f>
        <v>471912530.92898965</v>
      </c>
      <c r="G224" s="513">
        <f>finPNLProd1EBITDA</f>
        <v>194125670.23633265</v>
      </c>
      <c r="H224" s="513"/>
      <c r="I224" s="513"/>
      <c r="J224" s="513">
        <f t="shared" si="5"/>
        <v>361815533.05668622</v>
      </c>
      <c r="K224" s="513">
        <v>407278476.64619088</v>
      </c>
      <c r="O224" s="737" t="s">
        <v>3983</v>
      </c>
    </row>
    <row r="225" spans="1:15">
      <c r="B225" s="563" t="s">
        <v>1621</v>
      </c>
      <c r="C225" s="21"/>
      <c r="D225" s="21"/>
      <c r="E225" s="551">
        <f>finPNLProd1EBITDAMargin</f>
        <v>0.20878738342183106</v>
      </c>
      <c r="F225" s="551">
        <f>finPNLProd1EBITDAMargin</f>
        <v>0.26183192338085531</v>
      </c>
      <c r="G225" s="551">
        <f>finPNLProd1EBITDAMargin</f>
        <v>0.14495045055293418</v>
      </c>
      <c r="H225" s="551"/>
      <c r="I225" s="551"/>
      <c r="J225" s="551">
        <f t="shared" si="5"/>
        <v>0.2051899191185402</v>
      </c>
      <c r="K225" s="551">
        <v>0.20274797667768657</v>
      </c>
      <c r="O225" s="737" t="s">
        <v>3984</v>
      </c>
    </row>
    <row r="226" spans="1:15">
      <c r="B226" s="563" t="s">
        <v>1625</v>
      </c>
      <c r="C226" s="21"/>
      <c r="D226" s="21"/>
      <c r="E226" s="513">
        <f>finPNLProd1OperatingIncome</f>
        <v>279316997.94893551</v>
      </c>
      <c r="F226" s="513">
        <f>finPNLProd1OperatingIncome</f>
        <v>363112834.94780129</v>
      </c>
      <c r="G226" s="513">
        <f>finPNLProd1OperatingIncome</f>
        <v>76621093.588155091</v>
      </c>
      <c r="H226" s="513"/>
      <c r="I226" s="513"/>
      <c r="J226" s="513">
        <f t="shared" si="5"/>
        <v>239683642.16163063</v>
      </c>
      <c r="K226" s="513">
        <v>269615051.79806423</v>
      </c>
      <c r="O226" s="737" t="s">
        <v>3985</v>
      </c>
    </row>
    <row r="227" spans="1:15">
      <c r="B227" s="563" t="s">
        <v>403</v>
      </c>
      <c r="C227" s="21"/>
      <c r="D227" s="21"/>
      <c r="E227" s="551">
        <f>finPNLProd1OperatingMargin</f>
        <v>0.13904791946092745</v>
      </c>
      <c r="F227" s="551">
        <f>finPNLProd1OperatingMargin</f>
        <v>0.20146642809314183</v>
      </c>
      <c r="G227" s="551">
        <f>finPNLProd1OperatingMargin</f>
        <v>5.721171251561228E-2</v>
      </c>
      <c r="H227" s="551"/>
      <c r="I227" s="551"/>
      <c r="J227" s="551">
        <f t="shared" si="5"/>
        <v>0.13257535335656054</v>
      </c>
      <c r="K227" s="551">
        <v>0.1342175179107109</v>
      </c>
      <c r="O227" s="737" t="s">
        <v>3986</v>
      </c>
    </row>
    <row r="228" spans="1:15">
      <c r="B228" s="563" t="s">
        <v>2846</v>
      </c>
      <c r="C228" s="21"/>
      <c r="D228" s="21"/>
      <c r="E228" s="551">
        <f>capProd1SubGrowth</f>
        <v>2.516556451612903E-2</v>
      </c>
      <c r="F228" s="551">
        <f>capProd1SubGrowth</f>
        <v>2.216704191424626E-2</v>
      </c>
      <c r="G228" s="551">
        <f>capProd1SubGrowth</f>
        <v>2.5863632533975719E-2</v>
      </c>
      <c r="H228" s="551"/>
      <c r="I228" s="551"/>
      <c r="J228" s="551">
        <f t="shared" si="5"/>
        <v>2.4398746321450338E-2</v>
      </c>
      <c r="K228" s="551">
        <v>2.5164343458127306E-2</v>
      </c>
      <c r="O228" s="737" t="s">
        <v>3987</v>
      </c>
    </row>
    <row r="229" spans="1:15">
      <c r="B229" s="563" t="s">
        <v>2151</v>
      </c>
      <c r="C229" s="21"/>
      <c r="D229" s="21"/>
      <c r="E229" s="551">
        <f>capProd1SubCancellationRate</f>
        <v>4.7092500000000002E-2</v>
      </c>
      <c r="F229" s="551">
        <f>capProd1SubCancellationRate</f>
        <v>5.0092500000000012E-2</v>
      </c>
      <c r="G229" s="551">
        <f>capProd1SubCancellationRate</f>
        <v>4.6392500000000003E-2</v>
      </c>
      <c r="H229" s="551"/>
      <c r="I229" s="551"/>
      <c r="J229" s="551">
        <f t="shared" si="5"/>
        <v>4.7859166666666675E-2</v>
      </c>
      <c r="K229" s="551">
        <v>4.7100000000000003E-2</v>
      </c>
      <c r="O229" s="737" t="s">
        <v>3988</v>
      </c>
    </row>
    <row r="230" spans="1:15">
      <c r="B230" s="563" t="s">
        <v>2847</v>
      </c>
      <c r="C230" s="21"/>
      <c r="D230" s="21"/>
      <c r="E230" s="551">
        <f>paramProd1ServiceAttachRate</f>
        <v>0.9</v>
      </c>
      <c r="F230" s="551">
        <f>paramProd1ServiceAttachRate</f>
        <v>0.9</v>
      </c>
      <c r="G230" s="551">
        <f>paramProd1ServiceAttachRate</f>
        <v>0.9</v>
      </c>
      <c r="H230" s="551"/>
      <c r="I230" s="551"/>
      <c r="J230" s="551">
        <f t="shared" si="5"/>
        <v>0.9</v>
      </c>
      <c r="K230" s="551">
        <v>0.9</v>
      </c>
      <c r="O230" s="737" t="s">
        <v>3989</v>
      </c>
    </row>
    <row r="231" spans="1:15" ht="3.75" customHeight="1">
      <c r="B231" s="563"/>
      <c r="C231" s="21"/>
      <c r="D231" s="21"/>
      <c r="E231" s="551"/>
      <c r="F231" s="551"/>
      <c r="G231" s="551"/>
      <c r="H231" s="551"/>
      <c r="I231" s="551"/>
      <c r="J231" s="551"/>
      <c r="K231" s="551"/>
      <c r="O231" s="551"/>
    </row>
    <row r="232" spans="1:15">
      <c r="B232" s="59" t="s">
        <v>2851</v>
      </c>
      <c r="C232" s="21"/>
      <c r="D232" s="21"/>
      <c r="E232" s="21"/>
      <c r="F232" s="21"/>
      <c r="G232" s="21"/>
      <c r="H232" s="21"/>
      <c r="I232" s="21"/>
      <c r="J232" s="21"/>
      <c r="K232" s="21"/>
      <c r="O232" s="21"/>
    </row>
    <row r="233" spans="1:15">
      <c r="A233">
        <v>1</v>
      </c>
      <c r="B233" s="21" t="s">
        <v>3654</v>
      </c>
      <c r="C233" s="21"/>
      <c r="D233" s="21"/>
      <c r="E233" s="796">
        <f>obalProd1ProdTechLvl++paramProd1AddProdTechLvl+decProd1ProdTechLvl*((365-capProd1TTM)/365)</f>
        <v>2.7215282977364801</v>
      </c>
      <c r="F233" s="796">
        <f>obalProd1ProdTechLvl++paramProd1AddProdTechLvl+decProd1ProdTechLvl*((365-capProd1TTM)/365)</f>
        <v>1.8795999729018606</v>
      </c>
      <c r="G233" s="796">
        <f>obalProd1ProdTechLvl++paramProd1AddProdTechLvl+decProd1ProdTechLvl*((365-capProd1TTM)/365)</f>
        <v>3.455228602468623</v>
      </c>
      <c r="H233" s="796"/>
      <c r="I233" s="796"/>
      <c r="J233" s="796">
        <f t="shared" ref="J233:J247" si="6">SUM(E233:I233)/(5-COUNTIF(E233:I233,""))</f>
        <v>2.6854522910356544</v>
      </c>
      <c r="K233" s="796">
        <v>2.7215282977364801</v>
      </c>
      <c r="O233" s="737" t="s">
        <v>3990</v>
      </c>
    </row>
    <row r="234" spans="1:15">
      <c r="B234" s="563" t="s">
        <v>2864</v>
      </c>
      <c r="C234" s="21"/>
      <c r="D234" s="21"/>
      <c r="E234" s="792">
        <f>capProd1TTM</f>
        <v>50.821085663092326</v>
      </c>
      <c r="F234" s="792">
        <f>capProd1TTM</f>
        <v>43.946009890820847</v>
      </c>
      <c r="G234" s="792">
        <f>capProd1TTM</f>
        <v>66.280520032984185</v>
      </c>
      <c r="H234" s="792"/>
      <c r="I234" s="792"/>
      <c r="J234" s="792">
        <f t="shared" si="6"/>
        <v>53.682538528965786</v>
      </c>
      <c r="K234" s="792">
        <v>50.821085663092326</v>
      </c>
      <c r="O234" s="737" t="s">
        <v>3991</v>
      </c>
    </row>
    <row r="235" spans="1:15">
      <c r="B235" s="563" t="s">
        <v>2865</v>
      </c>
      <c r="C235" s="21"/>
      <c r="D235" s="21"/>
      <c r="E235" s="797">
        <f>decProd1TTMIntFTEs</f>
        <v>130</v>
      </c>
      <c r="F235" s="797">
        <f>decProd1TTMIntFTEs</f>
        <v>100</v>
      </c>
      <c r="G235" s="797">
        <f>decProd1TTMIntFTEs</f>
        <v>200</v>
      </c>
      <c r="H235" s="797"/>
      <c r="I235" s="797"/>
      <c r="J235" s="797">
        <f t="shared" si="6"/>
        <v>143.33333333333334</v>
      </c>
      <c r="K235" s="797">
        <v>130</v>
      </c>
      <c r="O235" s="737" t="s">
        <v>3992</v>
      </c>
    </row>
    <row r="236" spans="1:15">
      <c r="B236" s="563" t="s">
        <v>2866</v>
      </c>
      <c r="C236" s="21"/>
      <c r="D236" s="21"/>
      <c r="E236" s="797">
        <f>decProd1TTMConFTEs</f>
        <v>100</v>
      </c>
      <c r="F236" s="797">
        <f>decProd1TTMConFTEs</f>
        <v>0</v>
      </c>
      <c r="G236" s="797">
        <f>decProd1TTMConFTEs</f>
        <v>0</v>
      </c>
      <c r="H236" s="797"/>
      <c r="I236" s="797"/>
      <c r="J236" s="797">
        <f t="shared" si="6"/>
        <v>33.333333333333336</v>
      </c>
      <c r="K236" s="797">
        <v>100</v>
      </c>
      <c r="O236" s="737" t="s">
        <v>3993</v>
      </c>
    </row>
    <row r="237" spans="1:15">
      <c r="A237">
        <v>2</v>
      </c>
      <c r="B237" s="21" t="s">
        <v>2134</v>
      </c>
      <c r="C237" s="21"/>
      <c r="D237" s="21"/>
      <c r="E237" s="551">
        <f>decSalesNewPerc+(1-paramSalesForceProductivity)+cbalEmp1TrainingLvl/100</f>
        <v>0.54</v>
      </c>
      <c r="F237" s="551">
        <f>decSalesNewPerc+(1-paramSalesForceProductivity)+cbalEmp1TrainingLvl/100</f>
        <v>0.38999999999999996</v>
      </c>
      <c r="G237" s="551">
        <f>decSalesNewPerc+(1-paramSalesForceProductivity)+cbalEmp1TrainingLvl/100</f>
        <v>0.57000000000000006</v>
      </c>
      <c r="H237" s="551"/>
      <c r="I237" s="551"/>
      <c r="J237" s="551">
        <f t="shared" si="6"/>
        <v>0.5</v>
      </c>
      <c r="K237" s="551">
        <v>0.54</v>
      </c>
      <c r="O237" s="737" t="s">
        <v>3994</v>
      </c>
    </row>
    <row r="238" spans="1:15">
      <c r="B238" s="608" t="s">
        <v>2987</v>
      </c>
      <c r="C238" s="21"/>
      <c r="D238" s="21"/>
      <c r="E238" s="551">
        <f>decSalesNewPerc</f>
        <v>0.5</v>
      </c>
      <c r="F238" s="551">
        <f>decSalesNewPerc</f>
        <v>0.35</v>
      </c>
      <c r="G238" s="551">
        <f>decSalesNewPerc</f>
        <v>0.55000000000000004</v>
      </c>
      <c r="H238" s="551"/>
      <c r="I238" s="551"/>
      <c r="J238" s="551">
        <f t="shared" si="6"/>
        <v>0.46666666666666662</v>
      </c>
      <c r="K238" s="551">
        <v>0.5</v>
      </c>
      <c r="O238" s="737" t="s">
        <v>3995</v>
      </c>
    </row>
    <row r="239" spans="1:15">
      <c r="B239" s="608" t="s">
        <v>2986</v>
      </c>
      <c r="C239" s="21"/>
      <c r="D239" s="21"/>
      <c r="E239" s="992">
        <f>1-paramSalesForceProductivity</f>
        <v>0</v>
      </c>
      <c r="F239" s="992">
        <f>1-paramSalesForceProductivity</f>
        <v>0</v>
      </c>
      <c r="G239" s="992">
        <f>1-paramSalesForceProductivity</f>
        <v>0</v>
      </c>
      <c r="H239" s="992"/>
      <c r="I239" s="992"/>
      <c r="J239" s="551">
        <f t="shared" si="6"/>
        <v>0</v>
      </c>
      <c r="K239" s="551">
        <v>0</v>
      </c>
      <c r="O239" s="737" t="s">
        <v>3996</v>
      </c>
    </row>
    <row r="240" spans="1:15">
      <c r="B240" s="608" t="s">
        <v>2988</v>
      </c>
      <c r="C240" s="21"/>
      <c r="D240" s="21"/>
      <c r="E240" s="992">
        <f>cbalEmp1TrainingLvl/100</f>
        <v>0.04</v>
      </c>
      <c r="F240" s="992">
        <f>cbalEmp1TrainingLvl/100</f>
        <v>0.04</v>
      </c>
      <c r="G240" s="992">
        <f>cbalEmp1TrainingLvl/100</f>
        <v>0.02</v>
      </c>
      <c r="H240" s="992"/>
      <c r="I240" s="992"/>
      <c r="J240" s="551">
        <f t="shared" si="6"/>
        <v>3.3333333333333333E-2</v>
      </c>
      <c r="K240" s="551">
        <v>0.04</v>
      </c>
      <c r="O240" s="737" t="s">
        <v>3997</v>
      </c>
    </row>
    <row r="241" spans="1:15">
      <c r="A241">
        <v>3</v>
      </c>
      <c r="B241" s="21" t="s">
        <v>1226</v>
      </c>
      <c r="C241" s="21"/>
      <c r="D241" s="21"/>
      <c r="E241" s="513">
        <f>decMarketing</f>
        <v>195000</v>
      </c>
      <c r="F241" s="513">
        <f>decMarketing</f>
        <v>200000</v>
      </c>
      <c r="G241" s="513">
        <f>decMarketing</f>
        <v>150000</v>
      </c>
      <c r="H241" s="513"/>
      <c r="I241" s="513"/>
      <c r="J241" s="513">
        <f t="shared" si="6"/>
        <v>181666.66666666666</v>
      </c>
      <c r="K241" s="513">
        <v>200000</v>
      </c>
      <c r="O241" s="737" t="s">
        <v>3998</v>
      </c>
    </row>
    <row r="242" spans="1:15">
      <c r="A242">
        <v>4</v>
      </c>
      <c r="B242" s="21" t="s">
        <v>1759</v>
      </c>
      <c r="C242" s="21"/>
      <c r="D242" s="21"/>
      <c r="E242" s="796">
        <f>cbalContentLvl</f>
        <v>2</v>
      </c>
      <c r="F242" s="796">
        <f>cbalContentLvl</f>
        <v>2</v>
      </c>
      <c r="G242" s="796">
        <f>cbalContentLvl</f>
        <v>3</v>
      </c>
      <c r="H242" s="796"/>
      <c r="I242" s="796"/>
      <c r="J242" s="796">
        <f t="shared" si="6"/>
        <v>2.3333333333333335</v>
      </c>
      <c r="K242" s="796">
        <v>2</v>
      </c>
      <c r="O242" s="737" t="s">
        <v>3999</v>
      </c>
    </row>
    <row r="243" spans="1:15">
      <c r="B243" s="563" t="s">
        <v>2867</v>
      </c>
      <c r="C243" s="21"/>
      <c r="D243" s="21"/>
      <c r="E243" s="798">
        <f>(100-decContentMethod)/100</f>
        <v>1</v>
      </c>
      <c r="F243" s="798">
        <f>(100-decContentMethod)/100</f>
        <v>1</v>
      </c>
      <c r="G243" s="798">
        <f>(100-decContentMethod)/100</f>
        <v>1</v>
      </c>
      <c r="H243" s="798"/>
      <c r="I243" s="798"/>
      <c r="J243" s="798">
        <f t="shared" si="6"/>
        <v>1</v>
      </c>
      <c r="K243" s="798">
        <v>1</v>
      </c>
      <c r="O243" s="737" t="s">
        <v>4000</v>
      </c>
    </row>
    <row r="244" spans="1:15">
      <c r="A244">
        <v>5</v>
      </c>
      <c r="B244" s="21" t="s">
        <v>288</v>
      </c>
      <c r="C244" s="21"/>
      <c r="D244" s="21"/>
      <c r="E244" s="513">
        <f>decProd1Price</f>
        <v>10800</v>
      </c>
      <c r="F244" s="513">
        <f>decProd1Price</f>
        <v>11880.000000000002</v>
      </c>
      <c r="G244" s="513">
        <f>decProd1Price</f>
        <v>10476</v>
      </c>
      <c r="H244" s="513"/>
      <c r="I244" s="513"/>
      <c r="J244" s="513">
        <f t="shared" si="6"/>
        <v>11052</v>
      </c>
      <c r="K244" s="513">
        <v>10800</v>
      </c>
      <c r="O244" s="737" t="s">
        <v>4001</v>
      </c>
    </row>
    <row r="245" spans="1:15">
      <c r="A245">
        <v>6</v>
      </c>
      <c r="B245" s="21" t="s">
        <v>2135</v>
      </c>
      <c r="C245" s="21"/>
      <c r="D245" s="21"/>
      <c r="E245" s="799">
        <f>capCustomerService</f>
        <v>5.04</v>
      </c>
      <c r="F245" s="799">
        <f>capCustomerService</f>
        <v>5.04</v>
      </c>
      <c r="G245" s="799">
        <f>capCustomerService</f>
        <v>2.52</v>
      </c>
      <c r="H245" s="799"/>
      <c r="I245" s="799"/>
      <c r="J245" s="796">
        <f t="shared" si="6"/>
        <v>4.2</v>
      </c>
      <c r="K245" s="799">
        <v>5.04</v>
      </c>
      <c r="O245" s="737" t="s">
        <v>4002</v>
      </c>
    </row>
    <row r="246" spans="1:15">
      <c r="B246" s="608" t="s">
        <v>3117</v>
      </c>
      <c r="C246" s="21"/>
      <c r="D246" s="21"/>
      <c r="E246" s="799">
        <f>(obalCSAT/100)*cbalEmp1TrainingLvl</f>
        <v>2.52</v>
      </c>
      <c r="F246" s="799">
        <f>(obalCSAT/100)*cbalEmp1TrainingLvl</f>
        <v>2.52</v>
      </c>
      <c r="G246" s="799">
        <f>(obalCSAT/100)*cbalEmp1TrainingLvl</f>
        <v>1.26</v>
      </c>
      <c r="H246" s="799"/>
      <c r="I246" s="799"/>
      <c r="J246" s="796">
        <f t="shared" si="6"/>
        <v>2.1</v>
      </c>
      <c r="K246" s="799">
        <v>2.52</v>
      </c>
      <c r="O246" s="737" t="s">
        <v>4003</v>
      </c>
    </row>
    <row r="247" spans="1:15">
      <c r="B247" s="608" t="s">
        <v>3001</v>
      </c>
      <c r="C247" s="21"/>
      <c r="D247" s="21"/>
      <c r="E247" s="994">
        <f>(obalESAT/100)*cbalEmp1TrainingLvl</f>
        <v>2.52</v>
      </c>
      <c r="F247" s="994">
        <f>(obalESAT/100)*cbalEmp1TrainingLvl</f>
        <v>2.52</v>
      </c>
      <c r="G247" s="994">
        <f>(obalESAT/100)*cbalEmp1TrainingLvl</f>
        <v>1.26</v>
      </c>
      <c r="H247" s="994"/>
      <c r="I247" s="994"/>
      <c r="J247" s="796">
        <f t="shared" si="6"/>
        <v>2.1</v>
      </c>
      <c r="K247" s="799">
        <v>2.52</v>
      </c>
      <c r="O247" s="737" t="s">
        <v>4004</v>
      </c>
    </row>
    <row r="248" spans="1:15">
      <c r="B248" s="21"/>
      <c r="C248" s="21"/>
      <c r="D248" s="21"/>
      <c r="E248" s="551"/>
      <c r="F248" s="551"/>
      <c r="G248" s="551"/>
      <c r="H248" s="551"/>
      <c r="I248" s="551"/>
      <c r="J248" s="796"/>
      <c r="K248" s="799"/>
      <c r="O248" s="551"/>
    </row>
    <row r="249" spans="1:15">
      <c r="B249" s="59" t="s">
        <v>3655</v>
      </c>
      <c r="C249" s="21"/>
      <c r="D249" s="21"/>
      <c r="E249" s="21"/>
      <c r="F249" s="21"/>
      <c r="G249" s="21"/>
      <c r="H249" s="21"/>
      <c r="I249" s="21"/>
      <c r="J249" s="21"/>
      <c r="K249" s="21"/>
      <c r="O249" s="21"/>
    </row>
    <row r="250" spans="1:15">
      <c r="B250" s="802" t="s">
        <v>714</v>
      </c>
      <c r="C250" s="788"/>
      <c r="D250" s="788"/>
      <c r="E250" s="789">
        <f>mmProd1MarketShare</f>
        <v>0.4</v>
      </c>
      <c r="F250" s="789">
        <f>mmProd1MarketShare</f>
        <v>0.34000695168578382</v>
      </c>
      <c r="G250" s="789">
        <f>mmProd1MarketShare</f>
        <v>0.25999304831421621</v>
      </c>
      <c r="H250" s="789"/>
      <c r="I250" s="789"/>
      <c r="J250" s="563" t="s">
        <v>2852</v>
      </c>
      <c r="K250" s="21"/>
      <c r="O250" s="737" t="s">
        <v>4005</v>
      </c>
    </row>
    <row r="251" spans="1:15">
      <c r="A251">
        <v>1</v>
      </c>
      <c r="B251" s="85" t="s">
        <v>1274</v>
      </c>
      <c r="C251" s="21">
        <f t="shared" ref="C251:C257" si="7">VLOOKUP($A251,mmProd1Explain,C$2,FALSE)</f>
        <v>10</v>
      </c>
      <c r="D251" s="21"/>
      <c r="E251" s="100">
        <f t="shared" ref="E251:G257" si="8">(VLOOKUP($A251,mmProd1Explain,E$2,FALSE)-VLOOKUP($A251,mmProd1Explain,7,FALSE)/tlInputMaxTeams)/VLOOKUP(100,mmProd1Explain,7,FALSE)</f>
        <v>1.9777266471179733E-3</v>
      </c>
      <c r="F251" s="100">
        <f t="shared" si="8"/>
        <v>-4.38779340270814E-2</v>
      </c>
      <c r="G251" s="100">
        <f t="shared" si="8"/>
        <v>4.1900207379963438E-2</v>
      </c>
      <c r="H251" s="100"/>
      <c r="I251" s="100"/>
      <c r="J251" s="551">
        <f t="shared" ref="J251:J258" si="9">MAX(E251:G251)-MIN(E251:G251)</f>
        <v>8.5778141407044844E-2</v>
      </c>
      <c r="K251" s="21"/>
      <c r="O251" s="737" t="s">
        <v>4006</v>
      </c>
    </row>
    <row r="252" spans="1:15">
      <c r="A252">
        <v>2</v>
      </c>
      <c r="B252" s="85" t="s">
        <v>2134</v>
      </c>
      <c r="C252" s="21">
        <f t="shared" si="7"/>
        <v>9</v>
      </c>
      <c r="D252" s="21"/>
      <c r="E252" s="100">
        <f t="shared" si="8"/>
        <v>1.0284944570899389E-2</v>
      </c>
      <c r="F252" s="100">
        <f t="shared" si="8"/>
        <v>-2.8274856162495053E-2</v>
      </c>
      <c r="G252" s="100">
        <f t="shared" si="8"/>
        <v>1.7989911591595648E-2</v>
      </c>
      <c r="H252" s="100"/>
      <c r="I252" s="100"/>
      <c r="J252" s="551">
        <f t="shared" si="9"/>
        <v>4.6264767754090705E-2</v>
      </c>
      <c r="K252" s="21"/>
      <c r="O252" s="737" t="s">
        <v>4007</v>
      </c>
    </row>
    <row r="253" spans="1:15">
      <c r="A253">
        <v>3</v>
      </c>
      <c r="B253" s="85" t="s">
        <v>1226</v>
      </c>
      <c r="C253" s="21">
        <f t="shared" si="7"/>
        <v>8</v>
      </c>
      <c r="D253" s="21"/>
      <c r="E253" s="100">
        <f t="shared" si="8"/>
        <v>1.0670651761052518E-2</v>
      </c>
      <c r="F253" s="100">
        <f t="shared" si="8"/>
        <v>1.466786062404917E-2</v>
      </c>
      <c r="G253" s="100">
        <f t="shared" si="8"/>
        <v>-2.5338512385101659E-2</v>
      </c>
      <c r="H253" s="100"/>
      <c r="I253" s="100"/>
      <c r="J253" s="551">
        <f t="shared" si="9"/>
        <v>4.0006373009150831E-2</v>
      </c>
      <c r="K253" s="21"/>
      <c r="O253" s="737" t="s">
        <v>4008</v>
      </c>
    </row>
    <row r="254" spans="1:15">
      <c r="A254">
        <v>4</v>
      </c>
      <c r="B254" s="85" t="s">
        <v>1759</v>
      </c>
      <c r="C254" s="21">
        <f t="shared" si="7"/>
        <v>7</v>
      </c>
      <c r="D254" s="21"/>
      <c r="E254" s="100">
        <f t="shared" si="8"/>
        <v>-1.3623292237036034E-2</v>
      </c>
      <c r="F254" s="100">
        <f t="shared" si="8"/>
        <v>-1.3623292237036034E-2</v>
      </c>
      <c r="G254" s="100">
        <f t="shared" si="8"/>
        <v>2.724658447407205E-2</v>
      </c>
      <c r="H254" s="100"/>
      <c r="I254" s="100"/>
      <c r="J254" s="551">
        <f t="shared" si="9"/>
        <v>4.0869876711108082E-2</v>
      </c>
      <c r="K254" s="21"/>
      <c r="O254" s="737" t="s">
        <v>4009</v>
      </c>
    </row>
    <row r="255" spans="1:15">
      <c r="A255">
        <v>5</v>
      </c>
      <c r="B255" s="85" t="s">
        <v>288</v>
      </c>
      <c r="C255" s="21">
        <f t="shared" si="7"/>
        <v>6</v>
      </c>
      <c r="D255" s="21"/>
      <c r="E255" s="100">
        <f t="shared" si="8"/>
        <v>1.288464389753472E-2</v>
      </c>
      <c r="F255" s="100">
        <f t="shared" si="8"/>
        <v>-4.1356869848706158E-2</v>
      </c>
      <c r="G255" s="100">
        <f t="shared" si="8"/>
        <v>2.8472225951171423E-2</v>
      </c>
      <c r="H255" s="100"/>
      <c r="I255" s="100"/>
      <c r="J255" s="551">
        <f t="shared" si="9"/>
        <v>6.9829095799877589E-2</v>
      </c>
      <c r="K255" s="21"/>
      <c r="O255" s="737" t="s">
        <v>4010</v>
      </c>
    </row>
    <row r="256" spans="1:15">
      <c r="A256">
        <v>6</v>
      </c>
      <c r="B256" s="85" t="s">
        <v>2135</v>
      </c>
      <c r="C256" s="21">
        <f t="shared" si="7"/>
        <v>5</v>
      </c>
      <c r="D256" s="21"/>
      <c r="E256" s="100">
        <f t="shared" si="8"/>
        <v>9.7309230264543047E-3</v>
      </c>
      <c r="F256" s="100">
        <f t="shared" si="8"/>
        <v>9.7309230264543047E-3</v>
      </c>
      <c r="G256" s="100">
        <f t="shared" si="8"/>
        <v>-1.9461846052908599E-2</v>
      </c>
      <c r="H256" s="100"/>
      <c r="I256" s="100"/>
      <c r="J256" s="551">
        <f t="shared" si="9"/>
        <v>2.9192769079362905E-2</v>
      </c>
      <c r="K256" s="21"/>
      <c r="O256" s="737" t="s">
        <v>4011</v>
      </c>
    </row>
    <row r="257" spans="1:15">
      <c r="A257">
        <v>99</v>
      </c>
      <c r="B257" s="88" t="s">
        <v>451</v>
      </c>
      <c r="C257" s="89">
        <f t="shared" si="7"/>
        <v>0</v>
      </c>
      <c r="D257" s="89"/>
      <c r="E257" s="791">
        <f t="shared" si="8"/>
        <v>0</v>
      </c>
      <c r="F257" s="791">
        <f t="shared" si="8"/>
        <v>0</v>
      </c>
      <c r="G257" s="791">
        <f t="shared" si="8"/>
        <v>0</v>
      </c>
      <c r="H257" s="791"/>
      <c r="I257" s="791"/>
      <c r="J257" s="551">
        <f t="shared" si="9"/>
        <v>0</v>
      </c>
      <c r="K257" s="21"/>
      <c r="O257" s="737" t="s">
        <v>4012</v>
      </c>
    </row>
    <row r="258" spans="1:15">
      <c r="B258" s="802" t="s">
        <v>799</v>
      </c>
      <c r="C258" s="788"/>
      <c r="D258" s="788"/>
      <c r="E258" s="789">
        <f>SUM(E251:E257)</f>
        <v>3.1925597666022869E-2</v>
      </c>
      <c r="F258" s="789">
        <f t="shared" ref="F258:G258" si="10">SUM(F251:F257)</f>
        <v>-0.10273416862481517</v>
      </c>
      <c r="G258" s="789">
        <f t="shared" si="10"/>
        <v>7.0808570958792311E-2</v>
      </c>
      <c r="H258" s="789"/>
      <c r="I258" s="789"/>
      <c r="J258" s="551">
        <f t="shared" si="9"/>
        <v>0.1735427395836075</v>
      </c>
      <c r="K258" s="21"/>
      <c r="O258" s="737" t="s">
        <v>4013</v>
      </c>
    </row>
    <row r="259" spans="1:15" s="387" customFormat="1">
      <c r="B259" s="812" t="s">
        <v>1341</v>
      </c>
      <c r="C259" s="812"/>
      <c r="D259" s="812"/>
      <c r="E259" s="805" t="str">
        <f>decTeamName</f>
        <v>IIC</v>
      </c>
      <c r="F259" s="805" t="str">
        <f>decTeamName</f>
        <v>Bloomfield</v>
      </c>
      <c r="G259" s="805" t="str">
        <f>decTeamName</f>
        <v>Nextus</v>
      </c>
      <c r="H259" s="805"/>
      <c r="I259" s="805"/>
      <c r="J259" s="805" t="s">
        <v>2816</v>
      </c>
      <c r="K259" s="805" t="s">
        <v>2818</v>
      </c>
      <c r="O259" s="805"/>
    </row>
    <row r="260" spans="1:15">
      <c r="B260" s="59" t="s">
        <v>2850</v>
      </c>
      <c r="C260" s="21"/>
      <c r="D260" s="21"/>
      <c r="E260" s="21"/>
      <c r="F260" s="21"/>
      <c r="G260" s="21"/>
      <c r="H260" s="21"/>
      <c r="I260" s="21"/>
      <c r="J260" s="21"/>
      <c r="K260" s="21"/>
      <c r="O260" s="21"/>
    </row>
    <row r="261" spans="1:15">
      <c r="B261" s="563" t="s">
        <v>2173</v>
      </c>
      <c r="C261" s="21"/>
      <c r="D261" s="21"/>
      <c r="E261" s="513">
        <f>finPNLProd2ExistSubRev</f>
        <v>2130647736.0000005</v>
      </c>
      <c r="F261" s="513">
        <f>finPNLProd2ExistSubRev</f>
        <v>1850503519.9950004</v>
      </c>
      <c r="G261" s="513">
        <f>finPNLProd2ExistSubRev</f>
        <v>1359867866.487</v>
      </c>
      <c r="H261" s="513"/>
      <c r="I261" s="513"/>
      <c r="J261" s="513">
        <f t="shared" ref="J261:J271" si="11">SUM(E261:I261)/(5-COUNTIF(E261:I261,""))</f>
        <v>1780339707.4940002</v>
      </c>
      <c r="K261" s="513">
        <v>2130561120.0000005</v>
      </c>
      <c r="O261" s="737" t="s">
        <v>4014</v>
      </c>
    </row>
    <row r="262" spans="1:15">
      <c r="B262" s="563" t="s">
        <v>2848</v>
      </c>
      <c r="C262" s="21"/>
      <c r="D262" s="21"/>
      <c r="E262" s="513">
        <f>finPNLProd2NewSubRev</f>
        <v>27936000</v>
      </c>
      <c r="F262" s="513">
        <f>finPNLProd2NewSubRev</f>
        <v>24929100</v>
      </c>
      <c r="G262" s="513">
        <f>finPNLProd2NewSubRev</f>
        <v>17611320</v>
      </c>
      <c r="H262" s="513"/>
      <c r="I262" s="513"/>
      <c r="J262" s="513">
        <f t="shared" si="11"/>
        <v>23492140</v>
      </c>
      <c r="K262" s="513">
        <v>27942000</v>
      </c>
      <c r="O262" s="737" t="s">
        <v>4015</v>
      </c>
    </row>
    <row r="263" spans="1:15">
      <c r="B263" s="563" t="s">
        <v>2849</v>
      </c>
      <c r="C263" s="21"/>
      <c r="D263" s="21"/>
      <c r="E263" s="513">
        <f>finPNLProd2ServiceRev</f>
        <v>59596800</v>
      </c>
      <c r="F263" s="513">
        <f>finPNLProd2ServiceRev</f>
        <v>50649600.000000007</v>
      </c>
      <c r="G263" s="513">
        <f>finPNLProd2ServiceRev</f>
        <v>38732800</v>
      </c>
      <c r="H263" s="513"/>
      <c r="I263" s="513"/>
      <c r="J263" s="513">
        <f t="shared" si="11"/>
        <v>49659733.333333336</v>
      </c>
      <c r="K263" s="513">
        <v>59609600.000000007</v>
      </c>
      <c r="O263" s="737" t="s">
        <v>4016</v>
      </c>
    </row>
    <row r="264" spans="1:15">
      <c r="B264" s="563" t="s">
        <v>1276</v>
      </c>
      <c r="C264" s="21"/>
      <c r="D264" s="21"/>
      <c r="E264" s="513">
        <f>finPNLProd2Rev</f>
        <v>2402628685.4051218</v>
      </c>
      <c r="F264" s="513">
        <f>finPNLProd2Rev</f>
        <v>2110278880.323194</v>
      </c>
      <c r="G264" s="513">
        <f>finPNLProd2Rev</f>
        <v>1600349193.0541656</v>
      </c>
      <c r="H264" s="513"/>
      <c r="I264" s="513"/>
      <c r="J264" s="513">
        <f t="shared" si="11"/>
        <v>2037752252.9274938</v>
      </c>
      <c r="K264" s="513">
        <v>2402558240.3385458</v>
      </c>
      <c r="O264" s="737" t="s">
        <v>4017</v>
      </c>
    </row>
    <row r="265" spans="1:15">
      <c r="B265" s="563" t="s">
        <v>1615</v>
      </c>
      <c r="C265" s="21"/>
      <c r="D265" s="21"/>
      <c r="E265" s="513">
        <f>finPNLProd2EBITDA</f>
        <v>730849729.79320812</v>
      </c>
      <c r="F265" s="513">
        <f>finPNLProd2EBITDA</f>
        <v>703840377.90810466</v>
      </c>
      <c r="G265" s="513">
        <f>finPNLProd2EBITDA</f>
        <v>405940186.78299999</v>
      </c>
      <c r="H265" s="513"/>
      <c r="I265" s="513"/>
      <c r="J265" s="513">
        <f t="shared" si="11"/>
        <v>613543431.49477088</v>
      </c>
      <c r="K265" s="513">
        <v>716511831.89728475</v>
      </c>
      <c r="O265" s="737" t="s">
        <v>4018</v>
      </c>
    </row>
    <row r="266" spans="1:15">
      <c r="B266" s="563" t="s">
        <v>1621</v>
      </c>
      <c r="C266" s="21"/>
      <c r="D266" s="21"/>
      <c r="E266" s="551">
        <f>finPNLProd2EBITDAMargin</f>
        <v>0.30418754851000834</v>
      </c>
      <c r="F266" s="551">
        <f>finPNLProd2EBITDAMargin</f>
        <v>0.33352955596101586</v>
      </c>
      <c r="G266" s="551">
        <f>finPNLProd2EBITDAMargin</f>
        <v>0.25365725714416659</v>
      </c>
      <c r="H266" s="551"/>
      <c r="I266" s="551"/>
      <c r="J266" s="551">
        <f t="shared" si="11"/>
        <v>0.29712478720506358</v>
      </c>
      <c r="K266" s="551">
        <v>0.29822870466454154</v>
      </c>
      <c r="O266" s="737" t="s">
        <v>4019</v>
      </c>
    </row>
    <row r="267" spans="1:15">
      <c r="B267" s="563" t="s">
        <v>1625</v>
      </c>
      <c r="C267" s="21"/>
      <c r="D267" s="21"/>
      <c r="E267" s="513">
        <f>finPNLProd2OperatingIncome</f>
        <v>558861283.69516289</v>
      </c>
      <c r="F267" s="513">
        <f>finPNLProd2OperatingIncome</f>
        <v>556685182.30843282</v>
      </c>
      <c r="G267" s="513">
        <f>finPNLProd2OperatingIncome</f>
        <v>265040829.40867832</v>
      </c>
      <c r="H267" s="513"/>
      <c r="I267" s="513"/>
      <c r="J267" s="513">
        <f t="shared" si="11"/>
        <v>460195765.13742471</v>
      </c>
      <c r="K267" s="513">
        <v>547378044.62419915</v>
      </c>
      <c r="O267" s="737" t="s">
        <v>4020</v>
      </c>
    </row>
    <row r="268" spans="1:15">
      <c r="B268" s="563" t="s">
        <v>403</v>
      </c>
      <c r="C268" s="21"/>
      <c r="D268" s="21"/>
      <c r="E268" s="551">
        <f>finPNLProd2OperatingMargin</f>
        <v>0.23260410028815165</v>
      </c>
      <c r="F268" s="551">
        <f>finPNLProd2OperatingMargin</f>
        <v>0.26379697370765293</v>
      </c>
      <c r="G268" s="551">
        <f>finPNLProd2OperatingMargin</f>
        <v>0.16561437376230659</v>
      </c>
      <c r="H268" s="551"/>
      <c r="I268" s="551"/>
      <c r="J268" s="551">
        <f t="shared" si="11"/>
        <v>0.22067181591937038</v>
      </c>
      <c r="K268" s="551">
        <v>0.22783133221655755</v>
      </c>
      <c r="O268" s="737" t="s">
        <v>4021</v>
      </c>
    </row>
    <row r="269" spans="1:15">
      <c r="B269" s="563" t="s">
        <v>2846</v>
      </c>
      <c r="C269" s="21"/>
      <c r="D269" s="21"/>
      <c r="E269" s="551">
        <f>capProd2SubGrowth</f>
        <v>-9.1222054862842877E-2</v>
      </c>
      <c r="F269" s="551">
        <f>capProd2SubGrowth</f>
        <v>-9.400357547308201E-2</v>
      </c>
      <c r="G269" s="551">
        <f>capProd2SubGrowth</f>
        <v>-9.400312411279492E-2</v>
      </c>
      <c r="H269" s="551"/>
      <c r="I269" s="551"/>
      <c r="J269" s="551">
        <f t="shared" si="11"/>
        <v>-9.3076251482906602E-2</v>
      </c>
      <c r="K269" s="551">
        <v>-9.1253067331670823E-2</v>
      </c>
      <c r="O269" s="737" t="s">
        <v>4022</v>
      </c>
    </row>
    <row r="270" spans="1:15">
      <c r="B270" s="563" t="s">
        <v>2151</v>
      </c>
      <c r="C270" s="21"/>
      <c r="D270" s="21"/>
      <c r="E270" s="551">
        <f>capProd2SubCancellationRate</f>
        <v>0.11444399999999999</v>
      </c>
      <c r="F270" s="551">
        <f>capProd2SubCancellationRate</f>
        <v>0.11722199999999999</v>
      </c>
      <c r="G270" s="551">
        <f>capProd2SubCancellationRate</f>
        <v>0.11722199999999999</v>
      </c>
      <c r="H270" s="551"/>
      <c r="I270" s="551"/>
      <c r="J270" s="551">
        <f t="shared" si="11"/>
        <v>0.116296</v>
      </c>
      <c r="K270" s="551">
        <v>0.11447999999999998</v>
      </c>
      <c r="O270" s="737" t="s">
        <v>4023</v>
      </c>
    </row>
    <row r="271" spans="1:15">
      <c r="B271" s="563" t="s">
        <v>2847</v>
      </c>
      <c r="C271" s="21"/>
      <c r="D271" s="21"/>
      <c r="E271" s="551">
        <f>paramProd2ServiceAttachRate</f>
        <v>0.8</v>
      </c>
      <c r="F271" s="551">
        <f>paramProd2ServiceAttachRate</f>
        <v>0.8</v>
      </c>
      <c r="G271" s="551">
        <f>paramProd2ServiceAttachRate</f>
        <v>0.8</v>
      </c>
      <c r="H271" s="551"/>
      <c r="I271" s="551"/>
      <c r="J271" s="551">
        <f t="shared" si="11"/>
        <v>0.80000000000000016</v>
      </c>
      <c r="K271" s="551">
        <v>0.8</v>
      </c>
      <c r="O271" s="737" t="s">
        <v>4024</v>
      </c>
    </row>
    <row r="272" spans="1:15">
      <c r="B272" s="563"/>
      <c r="C272" s="21"/>
      <c r="D272" s="21"/>
      <c r="E272" s="551"/>
      <c r="F272" s="551"/>
      <c r="G272" s="551"/>
      <c r="H272" s="551"/>
      <c r="I272" s="551"/>
      <c r="J272" s="551"/>
      <c r="K272" s="551"/>
      <c r="O272" s="551"/>
    </row>
    <row r="273" spans="1:15">
      <c r="B273" s="59" t="s">
        <v>2851</v>
      </c>
      <c r="C273" s="21"/>
      <c r="D273" s="21"/>
      <c r="E273" s="21"/>
      <c r="F273" s="21"/>
      <c r="G273" s="21"/>
      <c r="H273" s="21"/>
      <c r="I273" s="21"/>
      <c r="J273" s="21"/>
      <c r="K273" s="21"/>
      <c r="O273" s="21"/>
    </row>
    <row r="274" spans="1:15">
      <c r="A274">
        <v>1</v>
      </c>
      <c r="B274" s="21" t="s">
        <v>3654</v>
      </c>
      <c r="C274" s="21"/>
      <c r="D274" s="21"/>
      <c r="E274" s="796">
        <f>obalProd2ProdTechLvl+paramProd2AddProdTechLvl+decProd2ProdTechLvl*((365-capProd2TTM)/365)</f>
        <v>2.7173884952878629</v>
      </c>
      <c r="F274" s="796">
        <f>obalProd2ProdTechLvl+paramProd2AddProdTechLvl+decProd2ProdTechLvl*((365-capProd2TTM)/365)</f>
        <v>2.6719713985089024</v>
      </c>
      <c r="G274" s="796">
        <f>obalProd2ProdTechLvl+paramProd2AddProdTechLvl+decProd2ProdTechLvl*((365-capProd2TTM)/365)</f>
        <v>2.6236019524729586</v>
      </c>
      <c r="H274" s="796"/>
      <c r="I274" s="796"/>
      <c r="J274" s="796">
        <f t="shared" ref="J274:J288" si="12">SUM(E274:I274)/(5-COUNTIF(E274:I274,""))</f>
        <v>2.6709872820899077</v>
      </c>
      <c r="K274" s="796">
        <v>2.7173884952878629</v>
      </c>
      <c r="O274" s="737" t="s">
        <v>4025</v>
      </c>
    </row>
    <row r="275" spans="1:15">
      <c r="B275" s="563" t="s">
        <v>2864</v>
      </c>
      <c r="C275" s="21"/>
      <c r="D275" s="21"/>
      <c r="E275" s="792">
        <f>capProd2TTM</f>
        <v>51.576599609964973</v>
      </c>
      <c r="F275" s="792">
        <f>capProd2TTM</f>
        <v>59.865219772125258</v>
      </c>
      <c r="G275" s="792">
        <f>capProd2TTM</f>
        <v>68.692643673685041</v>
      </c>
      <c r="H275" s="792"/>
      <c r="I275" s="792"/>
      <c r="J275" s="792">
        <f t="shared" si="12"/>
        <v>60.044821018591755</v>
      </c>
      <c r="K275" s="792">
        <v>51.576599609964973</v>
      </c>
      <c r="O275" s="737" t="s">
        <v>4026</v>
      </c>
    </row>
    <row r="276" spans="1:15">
      <c r="B276" s="563" t="s">
        <v>2865</v>
      </c>
      <c r="C276" s="21"/>
      <c r="D276" s="21"/>
      <c r="E276" s="797">
        <f>decProd2TTMIntFTEs</f>
        <v>125</v>
      </c>
      <c r="F276" s="797">
        <f>decProd2TTMIntFTEs</f>
        <v>200</v>
      </c>
      <c r="G276" s="797">
        <f>decProd2TTMIntFTEs</f>
        <v>155</v>
      </c>
      <c r="H276" s="797"/>
      <c r="I276" s="797"/>
      <c r="J276" s="797">
        <f t="shared" si="12"/>
        <v>160</v>
      </c>
      <c r="K276" s="797">
        <v>125</v>
      </c>
      <c r="O276" s="737" t="s">
        <v>4027</v>
      </c>
    </row>
    <row r="277" spans="1:15">
      <c r="B277" s="563" t="s">
        <v>2866</v>
      </c>
      <c r="C277" s="21"/>
      <c r="D277" s="21"/>
      <c r="E277" s="797">
        <f>decProd2TTMConFTEs</f>
        <v>100</v>
      </c>
      <c r="F277" s="797">
        <f>decProd2TTMConFTEs</f>
        <v>0</v>
      </c>
      <c r="G277" s="797">
        <f>decProd2TTMConFTEs</f>
        <v>0</v>
      </c>
      <c r="H277" s="797"/>
      <c r="I277" s="797"/>
      <c r="J277" s="797">
        <f t="shared" si="12"/>
        <v>33.333333333333336</v>
      </c>
      <c r="K277" s="797">
        <v>100</v>
      </c>
      <c r="O277" s="737" t="s">
        <v>4028</v>
      </c>
    </row>
    <row r="278" spans="1:15">
      <c r="A278">
        <v>2</v>
      </c>
      <c r="B278" s="21" t="s">
        <v>288</v>
      </c>
      <c r="C278" s="21"/>
      <c r="D278" s="21"/>
      <c r="E278" s="513">
        <f>decProd2Price</f>
        <v>12000</v>
      </c>
      <c r="F278" s="513">
        <f>decProd2Price</f>
        <v>12600</v>
      </c>
      <c r="G278" s="513">
        <f>decProd2Price</f>
        <v>11640</v>
      </c>
      <c r="H278" s="513"/>
      <c r="I278" s="513"/>
      <c r="J278" s="513">
        <f t="shared" si="12"/>
        <v>12080</v>
      </c>
      <c r="K278" s="513">
        <v>12000</v>
      </c>
      <c r="O278" s="737" t="s">
        <v>4029</v>
      </c>
    </row>
    <row r="279" spans="1:15">
      <c r="A279">
        <v>3</v>
      </c>
      <c r="B279" s="21" t="s">
        <v>1759</v>
      </c>
      <c r="C279" s="21"/>
      <c r="D279" s="21"/>
      <c r="E279" s="796">
        <f>cbalContentLvl</f>
        <v>2</v>
      </c>
      <c r="F279" s="796">
        <f>cbalContentLvl</f>
        <v>2</v>
      </c>
      <c r="G279" s="796">
        <f>cbalContentLvl</f>
        <v>3</v>
      </c>
      <c r="H279" s="796"/>
      <c r="I279" s="796"/>
      <c r="J279" s="796">
        <f t="shared" si="12"/>
        <v>2.3333333333333335</v>
      </c>
      <c r="K279" s="796">
        <v>2</v>
      </c>
      <c r="O279" s="737" t="s">
        <v>4030</v>
      </c>
    </row>
    <row r="280" spans="1:15">
      <c r="B280" s="563" t="s">
        <v>2867</v>
      </c>
      <c r="C280" s="21"/>
      <c r="D280" s="21"/>
      <c r="E280" s="798">
        <f>(100-decContentMethod)/100</f>
        <v>1</v>
      </c>
      <c r="F280" s="798">
        <f>(100-decContentMethod)/100</f>
        <v>1</v>
      </c>
      <c r="G280" s="798">
        <f>(100-decContentMethod)/100</f>
        <v>1</v>
      </c>
      <c r="H280" s="798"/>
      <c r="I280" s="798"/>
      <c r="J280" s="798">
        <f t="shared" si="12"/>
        <v>1</v>
      </c>
      <c r="K280" s="798">
        <v>1</v>
      </c>
      <c r="O280" s="737" t="s">
        <v>4031</v>
      </c>
    </row>
    <row r="281" spans="1:15">
      <c r="A281">
        <v>4</v>
      </c>
      <c r="B281" s="21" t="s">
        <v>2134</v>
      </c>
      <c r="C281" s="21"/>
      <c r="D281" s="21"/>
      <c r="E281" s="551">
        <f>decSalesNewPerc+(1-paramSalesForceProductivity)+cbalEmp1TrainingLvl/100</f>
        <v>0.54</v>
      </c>
      <c r="F281" s="551">
        <f>decSalesNewPerc+(1-paramSalesForceProductivity)+cbalEmp1TrainingLvl/100</f>
        <v>0.38999999999999996</v>
      </c>
      <c r="G281" s="551">
        <f>decSalesNewPerc+(1-paramSalesForceProductivity)+cbalEmp1TrainingLvl/100</f>
        <v>0.57000000000000006</v>
      </c>
      <c r="H281" s="551"/>
      <c r="I281" s="551"/>
      <c r="J281" s="551">
        <f t="shared" si="12"/>
        <v>0.5</v>
      </c>
      <c r="K281" s="551">
        <v>0.54</v>
      </c>
      <c r="O281" s="737" t="s">
        <v>4032</v>
      </c>
    </row>
    <row r="282" spans="1:15">
      <c r="B282" s="608" t="s">
        <v>2987</v>
      </c>
      <c r="C282" s="21"/>
      <c r="D282" s="21"/>
      <c r="E282" s="551">
        <f>decSalesNewPerc</f>
        <v>0.5</v>
      </c>
      <c r="F282" s="551">
        <f>decSalesNewPerc</f>
        <v>0.35</v>
      </c>
      <c r="G282" s="551">
        <f>decSalesNewPerc</f>
        <v>0.55000000000000004</v>
      </c>
      <c r="H282" s="551"/>
      <c r="I282" s="551"/>
      <c r="J282" s="551">
        <f t="shared" si="12"/>
        <v>0.46666666666666662</v>
      </c>
      <c r="K282" s="551">
        <v>0.5</v>
      </c>
      <c r="O282" s="737" t="s">
        <v>4033</v>
      </c>
    </row>
    <row r="283" spans="1:15">
      <c r="B283" s="608" t="s">
        <v>2986</v>
      </c>
      <c r="C283" s="21"/>
      <c r="D283" s="21"/>
      <c r="E283" s="992">
        <f>1-paramSalesForceProductivity</f>
        <v>0</v>
      </c>
      <c r="F283" s="992">
        <f>1-paramSalesForceProductivity</f>
        <v>0</v>
      </c>
      <c r="G283" s="992">
        <f>1-paramSalesForceProductivity</f>
        <v>0</v>
      </c>
      <c r="H283" s="992"/>
      <c r="I283" s="992"/>
      <c r="J283" s="551">
        <f t="shared" si="12"/>
        <v>0</v>
      </c>
      <c r="K283" s="551">
        <v>0</v>
      </c>
      <c r="O283" s="737" t="s">
        <v>4034</v>
      </c>
    </row>
    <row r="284" spans="1:15">
      <c r="B284" s="608" t="s">
        <v>2988</v>
      </c>
      <c r="C284" s="21"/>
      <c r="D284" s="21"/>
      <c r="E284" s="992">
        <f>cbalEmp1TrainingLvl/100</f>
        <v>0.04</v>
      </c>
      <c r="F284" s="992">
        <f>cbalEmp1TrainingLvl/100</f>
        <v>0.04</v>
      </c>
      <c r="G284" s="992">
        <f>cbalEmp1TrainingLvl/100</f>
        <v>0.02</v>
      </c>
      <c r="H284" s="992"/>
      <c r="I284" s="992"/>
      <c r="J284" s="551">
        <f t="shared" si="12"/>
        <v>3.3333333333333333E-2</v>
      </c>
      <c r="K284" s="551">
        <v>0.04</v>
      </c>
      <c r="O284" s="737" t="s">
        <v>4035</v>
      </c>
    </row>
    <row r="285" spans="1:15">
      <c r="A285">
        <v>5</v>
      </c>
      <c r="B285" s="21" t="s">
        <v>2135</v>
      </c>
      <c r="C285" s="21"/>
      <c r="D285" s="21"/>
      <c r="E285" s="799">
        <f>capCustomerService</f>
        <v>5.04</v>
      </c>
      <c r="F285" s="799">
        <f>capCustomerService</f>
        <v>5.04</v>
      </c>
      <c r="G285" s="799">
        <f>capCustomerService</f>
        <v>2.52</v>
      </c>
      <c r="H285" s="799"/>
      <c r="I285" s="799"/>
      <c r="J285" s="796">
        <f t="shared" si="12"/>
        <v>4.2</v>
      </c>
      <c r="K285" s="799">
        <v>5.04</v>
      </c>
      <c r="O285" s="737" t="s">
        <v>4036</v>
      </c>
    </row>
    <row r="286" spans="1:15">
      <c r="B286" s="608" t="s">
        <v>3117</v>
      </c>
      <c r="C286" s="21"/>
      <c r="D286" s="21"/>
      <c r="E286" s="799">
        <f>(obalCSAT/100)*cbalEmp1TrainingLvl</f>
        <v>2.52</v>
      </c>
      <c r="F286" s="799">
        <f>(obalCSAT/100)*cbalEmp1TrainingLvl</f>
        <v>2.52</v>
      </c>
      <c r="G286" s="799">
        <f>(obalCSAT/100)*cbalEmp1TrainingLvl</f>
        <v>1.26</v>
      </c>
      <c r="H286" s="799"/>
      <c r="I286" s="799"/>
      <c r="J286" s="796">
        <f t="shared" si="12"/>
        <v>2.1</v>
      </c>
      <c r="K286" s="799">
        <v>2.52</v>
      </c>
      <c r="O286" s="737" t="s">
        <v>4037</v>
      </c>
    </row>
    <row r="287" spans="1:15">
      <c r="B287" s="608" t="s">
        <v>3001</v>
      </c>
      <c r="C287" s="21"/>
      <c r="D287" s="21"/>
      <c r="E287" s="994">
        <f>(obalESAT/100)*cbalEmp1TrainingLvl</f>
        <v>2.52</v>
      </c>
      <c r="F287" s="994">
        <f>(obalESAT/100)*cbalEmp1TrainingLvl</f>
        <v>2.52</v>
      </c>
      <c r="G287" s="994">
        <f>(obalESAT/100)*cbalEmp1TrainingLvl</f>
        <v>1.26</v>
      </c>
      <c r="H287" s="994"/>
      <c r="I287" s="994"/>
      <c r="J287" s="796">
        <f t="shared" si="12"/>
        <v>2.1</v>
      </c>
      <c r="K287" s="799">
        <v>2.52</v>
      </c>
      <c r="O287" s="737" t="s">
        <v>4038</v>
      </c>
    </row>
    <row r="288" spans="1:15">
      <c r="A288">
        <v>6</v>
      </c>
      <c r="B288" s="21" t="s">
        <v>1226</v>
      </c>
      <c r="C288" s="21"/>
      <c r="D288" s="21"/>
      <c r="E288" s="513">
        <f>decMarketing</f>
        <v>195000</v>
      </c>
      <c r="F288" s="513">
        <f>decMarketing</f>
        <v>200000</v>
      </c>
      <c r="G288" s="513">
        <f>decMarketing</f>
        <v>150000</v>
      </c>
      <c r="H288" s="513"/>
      <c r="I288" s="513"/>
      <c r="J288" s="513">
        <f t="shared" si="12"/>
        <v>181666.66666666666</v>
      </c>
      <c r="K288" s="513">
        <v>200000</v>
      </c>
      <c r="O288" s="737" t="s">
        <v>4039</v>
      </c>
    </row>
    <row r="289" spans="1:15">
      <c r="B289" s="21"/>
      <c r="C289" s="21"/>
      <c r="D289" s="21"/>
      <c r="E289" s="21"/>
      <c r="F289" s="21"/>
      <c r="G289" s="21"/>
      <c r="H289" s="21"/>
      <c r="I289" s="21"/>
      <c r="J289" s="513"/>
      <c r="K289" s="21"/>
      <c r="O289" s="551"/>
    </row>
    <row r="290" spans="1:15">
      <c r="B290" s="59" t="s">
        <v>3656</v>
      </c>
      <c r="C290" s="21"/>
      <c r="D290" s="21"/>
      <c r="E290" s="21"/>
      <c r="F290" s="21"/>
      <c r="G290" s="21"/>
      <c r="H290" s="21"/>
      <c r="I290" s="21"/>
      <c r="J290" s="21"/>
      <c r="K290" s="21"/>
      <c r="O290" s="21"/>
    </row>
    <row r="291" spans="1:15">
      <c r="B291" s="802" t="s">
        <v>714</v>
      </c>
      <c r="C291" s="788"/>
      <c r="D291" s="788"/>
      <c r="E291" s="789">
        <f>mmProd2MarketShare</f>
        <v>0.40003436721367813</v>
      </c>
      <c r="F291" s="789">
        <f>mmProd2MarketShare</f>
        <v>0.33997766131110918</v>
      </c>
      <c r="G291" s="789">
        <f>mmProd2MarketShare</f>
        <v>0.25998797147521263</v>
      </c>
      <c r="H291" s="789"/>
      <c r="I291" s="789"/>
      <c r="J291" s="563" t="s">
        <v>2852</v>
      </c>
      <c r="K291" s="21"/>
      <c r="N291" s="565" t="s">
        <v>531</v>
      </c>
      <c r="O291" s="737" t="s">
        <v>4040</v>
      </c>
    </row>
    <row r="292" spans="1:15">
      <c r="A292">
        <v>1</v>
      </c>
      <c r="B292" s="85" t="s">
        <v>1274</v>
      </c>
      <c r="C292" s="21">
        <f t="shared" ref="C292:C298" si="13">VLOOKUP($A292,mmProd2Explain,C$2,FALSE)</f>
        <v>10</v>
      </c>
      <c r="D292" s="21"/>
      <c r="E292" s="100">
        <f t="shared" ref="E292:G298" si="14">(VLOOKUP($A292,mmProd2Explain,E$2,FALSE)-VLOOKUP($A292,mmProd2Explain,7,FALSE)/tlInputMaxTeams)/VLOOKUP(100,mmProd2Explain,7,FALSE)</f>
        <v>3.3378427121863175E-2</v>
      </c>
      <c r="F292" s="100">
        <f t="shared" si="14"/>
        <v>7.095466566117574E-4</v>
      </c>
      <c r="G292" s="100">
        <f t="shared" si="14"/>
        <v>-3.4087973778474959E-2</v>
      </c>
      <c r="H292" s="100"/>
      <c r="I292" s="100"/>
      <c r="J292" s="551">
        <f t="shared" ref="J292:J299" si="15">MAX(E292:G292)-MIN(E292:G292)</f>
        <v>6.7466400900338133E-2</v>
      </c>
      <c r="K292" s="21"/>
      <c r="O292" s="737" t="s">
        <v>4041</v>
      </c>
    </row>
    <row r="293" spans="1:15">
      <c r="A293">
        <v>2</v>
      </c>
      <c r="B293" s="85" t="s">
        <v>288</v>
      </c>
      <c r="C293" s="21">
        <f t="shared" si="13"/>
        <v>9</v>
      </c>
      <c r="D293" s="21"/>
      <c r="E293" s="100">
        <f t="shared" si="14"/>
        <v>9.4160453502971191E-3</v>
      </c>
      <c r="F293" s="100">
        <f t="shared" si="14"/>
        <v>-5.8821340435678486E-2</v>
      </c>
      <c r="G293" s="100">
        <f t="shared" si="14"/>
        <v>4.9405295085381357E-2</v>
      </c>
      <c r="H293" s="100"/>
      <c r="I293" s="100"/>
      <c r="J293" s="551">
        <f t="shared" si="15"/>
        <v>0.10822663552105985</v>
      </c>
      <c r="K293" s="21"/>
      <c r="O293" s="737" t="s">
        <v>4042</v>
      </c>
    </row>
    <row r="294" spans="1:15">
      <c r="A294">
        <v>3</v>
      </c>
      <c r="B294" s="85" t="s">
        <v>1759</v>
      </c>
      <c r="C294" s="21">
        <f t="shared" si="13"/>
        <v>8</v>
      </c>
      <c r="D294" s="21"/>
      <c r="E294" s="100">
        <f t="shared" si="14"/>
        <v>-1.559474796110377E-2</v>
      </c>
      <c r="F294" s="100">
        <f t="shared" si="14"/>
        <v>-1.559474796110377E-2</v>
      </c>
      <c r="G294" s="100">
        <f t="shared" si="14"/>
        <v>3.118949592220752E-2</v>
      </c>
      <c r="H294" s="100"/>
      <c r="I294" s="100"/>
      <c r="J294" s="551">
        <f t="shared" si="15"/>
        <v>4.6784243883311288E-2</v>
      </c>
      <c r="K294" s="21"/>
      <c r="O294" s="737" t="s">
        <v>4043</v>
      </c>
    </row>
    <row r="295" spans="1:15">
      <c r="A295">
        <v>4</v>
      </c>
      <c r="B295" s="85" t="s">
        <v>2134</v>
      </c>
      <c r="C295" s="21">
        <f t="shared" si="13"/>
        <v>7</v>
      </c>
      <c r="D295" s="21"/>
      <c r="E295" s="100">
        <f t="shared" si="14"/>
        <v>9.8094682150465899E-3</v>
      </c>
      <c r="F295" s="100">
        <f t="shared" si="14"/>
        <v>-2.6955902223706498E-2</v>
      </c>
      <c r="G295" s="100">
        <f t="shared" si="14"/>
        <v>1.7146434008659912E-2</v>
      </c>
      <c r="H295" s="100"/>
      <c r="I295" s="100"/>
      <c r="J295" s="551">
        <f t="shared" si="15"/>
        <v>4.410233623236641E-2</v>
      </c>
      <c r="K295" s="21"/>
      <c r="O295" s="737" t="s">
        <v>4044</v>
      </c>
    </row>
    <row r="296" spans="1:15">
      <c r="A296">
        <v>5</v>
      </c>
      <c r="B296" s="85" t="s">
        <v>2135</v>
      </c>
      <c r="C296" s="21">
        <f t="shared" si="13"/>
        <v>6</v>
      </c>
      <c r="D296" s="21"/>
      <c r="E296" s="100">
        <f t="shared" si="14"/>
        <v>1.1696060970827822E-2</v>
      </c>
      <c r="F296" s="100">
        <f t="shared" si="14"/>
        <v>1.1696060970827822E-2</v>
      </c>
      <c r="G296" s="100">
        <f t="shared" si="14"/>
        <v>-2.3392121941655637E-2</v>
      </c>
      <c r="H296" s="100"/>
      <c r="I296" s="100"/>
      <c r="J296" s="551">
        <f t="shared" si="15"/>
        <v>3.5088182912483459E-2</v>
      </c>
      <c r="K296" s="21"/>
      <c r="O296" s="737" t="s">
        <v>4045</v>
      </c>
    </row>
    <row r="297" spans="1:15">
      <c r="A297">
        <v>6</v>
      </c>
      <c r="B297" s="85" t="s">
        <v>1226</v>
      </c>
      <c r="C297" s="21">
        <f t="shared" si="13"/>
        <v>5</v>
      </c>
      <c r="D297" s="21"/>
      <c r="E297" s="100">
        <f t="shared" si="14"/>
        <v>8.1769184045946252E-3</v>
      </c>
      <c r="F297" s="100">
        <f t="shared" si="14"/>
        <v>1.123533033184902E-2</v>
      </c>
      <c r="G297" s="100">
        <f t="shared" si="14"/>
        <v>-1.9412248736443656E-2</v>
      </c>
      <c r="H297" s="100"/>
      <c r="I297" s="100"/>
      <c r="J297" s="551">
        <f t="shared" si="15"/>
        <v>3.0647579068292678E-2</v>
      </c>
      <c r="K297" s="21"/>
      <c r="O297" s="737" t="s">
        <v>4046</v>
      </c>
    </row>
    <row r="298" spans="1:15">
      <c r="A298">
        <v>99</v>
      </c>
      <c r="B298" s="88" t="s">
        <v>451</v>
      </c>
      <c r="C298" s="89">
        <f t="shared" si="13"/>
        <v>0</v>
      </c>
      <c r="D298" s="89"/>
      <c r="E298" s="791">
        <f t="shared" si="14"/>
        <v>0</v>
      </c>
      <c r="F298" s="791">
        <f t="shared" si="14"/>
        <v>0</v>
      </c>
      <c r="G298" s="791">
        <f t="shared" si="14"/>
        <v>0</v>
      </c>
      <c r="H298" s="791"/>
      <c r="I298" s="791"/>
      <c r="J298" s="551">
        <f t="shared" si="15"/>
        <v>0</v>
      </c>
      <c r="K298" s="21"/>
      <c r="O298" s="737" t="s">
        <v>4047</v>
      </c>
    </row>
    <row r="299" spans="1:15">
      <c r="B299" s="802" t="s">
        <v>799</v>
      </c>
      <c r="C299" s="788"/>
      <c r="D299" s="788"/>
      <c r="E299" s="789">
        <f>SUM(E292:E298)</f>
        <v>5.6882172101525567E-2</v>
      </c>
      <c r="F299" s="789">
        <f t="shared" ref="F299:G299" si="16">SUM(F292:F298)</f>
        <v>-7.7731052661200159E-2</v>
      </c>
      <c r="G299" s="789">
        <f t="shared" si="16"/>
        <v>2.0848880559674529E-2</v>
      </c>
      <c r="H299" s="789"/>
      <c r="I299" s="789"/>
      <c r="J299" s="551">
        <f t="shared" si="15"/>
        <v>0.13461322476272572</v>
      </c>
      <c r="K299" s="21"/>
      <c r="O299" s="737" t="s">
        <v>4048</v>
      </c>
    </row>
    <row r="300" spans="1:15">
      <c r="B300" s="21"/>
      <c r="C300" s="21"/>
      <c r="D300" s="21"/>
      <c r="E300" s="21"/>
      <c r="F300" s="21"/>
      <c r="G300" s="21"/>
      <c r="H300" s="21"/>
      <c r="I300" s="21"/>
      <c r="J300" s="21"/>
      <c r="K300" s="21"/>
      <c r="O300" s="21"/>
    </row>
    <row r="301" spans="1:15" s="387" customFormat="1">
      <c r="B301" s="812" t="s">
        <v>1358</v>
      </c>
      <c r="C301" s="812"/>
      <c r="D301" s="812"/>
      <c r="E301" s="805" t="str">
        <f>decTeamName</f>
        <v>IIC</v>
      </c>
      <c r="F301" s="805" t="str">
        <f>decTeamName</f>
        <v>Bloomfield</v>
      </c>
      <c r="G301" s="805" t="str">
        <f>decTeamName</f>
        <v>Nextus</v>
      </c>
      <c r="H301" s="805"/>
      <c r="I301" s="805"/>
      <c r="J301" s="805" t="s">
        <v>2816</v>
      </c>
      <c r="K301" s="805" t="s">
        <v>2818</v>
      </c>
      <c r="O301" s="805"/>
    </row>
    <row r="302" spans="1:15">
      <c r="B302" s="59" t="s">
        <v>1428</v>
      </c>
      <c r="C302" s="21"/>
      <c r="D302" s="21"/>
      <c r="E302" s="21"/>
      <c r="F302" s="21"/>
      <c r="G302" s="21"/>
      <c r="H302" s="21"/>
      <c r="I302" s="21"/>
      <c r="J302" s="21"/>
      <c r="K302" s="21"/>
      <c r="O302" s="21"/>
    </row>
    <row r="303" spans="1:15">
      <c r="B303" s="563" t="s">
        <v>2859</v>
      </c>
      <c r="C303" s="21"/>
      <c r="D303" s="21"/>
      <c r="E303" s="513">
        <f>capPlant1UnitsEnd</f>
        <v>30</v>
      </c>
      <c r="F303" s="513">
        <f>capPlant1UnitsEnd</f>
        <v>18</v>
      </c>
      <c r="G303" s="513">
        <f>capPlant1UnitsEnd</f>
        <v>15</v>
      </c>
      <c r="H303" s="513"/>
      <c r="I303" s="513"/>
      <c r="J303" s="513">
        <f>SUM(E303:I303)/(5-COUNTIF(E303:I303,""))</f>
        <v>21</v>
      </c>
      <c r="K303" s="513">
        <v>30</v>
      </c>
      <c r="O303" s="737" t="s">
        <v>4049</v>
      </c>
    </row>
    <row r="304" spans="1:15">
      <c r="B304" s="563" t="s">
        <v>2860</v>
      </c>
      <c r="C304" s="21"/>
      <c r="D304" s="21"/>
      <c r="E304" s="513">
        <f>obalDCConsolidation-decDCConsolidation</f>
        <v>0</v>
      </c>
      <c r="F304" s="513">
        <f>obalDCConsolidation-decDCConsolidation</f>
        <v>0</v>
      </c>
      <c r="G304" s="513">
        <f>obalDCConsolidation-decDCConsolidation</f>
        <v>0</v>
      </c>
      <c r="H304" s="513"/>
      <c r="I304" s="513"/>
      <c r="J304" s="86">
        <f>SUM(E304:I304)/(5-COUNTIF(E304:I304,""))</f>
        <v>0</v>
      </c>
      <c r="K304" s="86">
        <v>0</v>
      </c>
      <c r="O304" s="737" t="s">
        <v>4050</v>
      </c>
    </row>
    <row r="305" spans="2:15">
      <c r="B305" s="563" t="s">
        <v>3092</v>
      </c>
      <c r="C305" s="21"/>
      <c r="D305" s="21"/>
      <c r="E305" s="551">
        <f>capPlant1Utiliz</f>
        <v>0.56300511050462976</v>
      </c>
      <c r="F305" s="551">
        <f>capPlant1Utiliz</f>
        <v>0.79520055833217607</v>
      </c>
      <c r="G305" s="551">
        <f>capPlant1Utiliz</f>
        <v>0.73096087697824075</v>
      </c>
      <c r="H305" s="551"/>
      <c r="I305" s="551"/>
      <c r="J305" s="551">
        <f>SUM(E305:I305)/(5-COUNTIF(E305:I305,""))</f>
        <v>0.69638884860501549</v>
      </c>
      <c r="K305" s="551">
        <v>0.53903744095744677</v>
      </c>
      <c r="O305" s="737" t="s">
        <v>4051</v>
      </c>
    </row>
    <row r="306" spans="2:15">
      <c r="B306" s="59" t="s">
        <v>2861</v>
      </c>
      <c r="C306" s="21"/>
      <c r="D306" s="21"/>
      <c r="E306" s="513"/>
      <c r="F306" s="513"/>
      <c r="G306" s="513"/>
      <c r="H306" s="513"/>
      <c r="I306" s="513"/>
      <c r="J306" s="513"/>
      <c r="K306" s="513"/>
      <c r="O306" s="513"/>
    </row>
    <row r="307" spans="2:15">
      <c r="B307" s="563" t="s">
        <v>1360</v>
      </c>
      <c r="C307" s="21"/>
      <c r="D307" s="21"/>
      <c r="E307" s="799">
        <f>cbalGlobalExpansionLvl</f>
        <v>3</v>
      </c>
      <c r="F307" s="799">
        <f>cbalGlobalExpansionLvl</f>
        <v>4</v>
      </c>
      <c r="G307" s="799">
        <f>cbalGlobalExpansionLvl</f>
        <v>3</v>
      </c>
      <c r="H307" s="799"/>
      <c r="I307" s="799"/>
      <c r="J307" s="799">
        <f t="shared" ref="J307:J313" si="17">SUM(E307:I307)/(5-COUNTIF(E307:I307,""))</f>
        <v>3.3333333333333335</v>
      </c>
      <c r="K307" s="799">
        <v>3</v>
      </c>
      <c r="O307" s="737" t="s">
        <v>4052</v>
      </c>
    </row>
    <row r="308" spans="2:15">
      <c r="B308" s="563" t="s">
        <v>423</v>
      </c>
      <c r="C308" s="21"/>
      <c r="D308" s="21"/>
      <c r="E308" s="799">
        <f>cbalGlobalSalesCoverage</f>
        <v>2</v>
      </c>
      <c r="F308" s="799">
        <f>cbalGlobalSalesCoverage</f>
        <v>3</v>
      </c>
      <c r="G308" s="799">
        <f>cbalGlobalSalesCoverage</f>
        <v>2</v>
      </c>
      <c r="H308" s="799"/>
      <c r="I308" s="799"/>
      <c r="J308" s="799">
        <f t="shared" si="17"/>
        <v>2.3333333333333335</v>
      </c>
      <c r="K308" s="799">
        <v>2</v>
      </c>
      <c r="O308" s="737" t="s">
        <v>4053</v>
      </c>
    </row>
    <row r="309" spans="2:15">
      <c r="B309" s="563" t="s">
        <v>2792</v>
      </c>
      <c r="C309" s="21"/>
      <c r="D309" s="21"/>
      <c r="E309" s="513">
        <f>capEmp1End</f>
        <v>1000</v>
      </c>
      <c r="F309" s="513">
        <f>capEmp1End</f>
        <v>1400</v>
      </c>
      <c r="G309" s="513">
        <f>capEmp1End</f>
        <v>1400</v>
      </c>
      <c r="H309" s="513"/>
      <c r="I309" s="513"/>
      <c r="J309" s="513">
        <f t="shared" si="17"/>
        <v>1266.6666666666667</v>
      </c>
      <c r="K309" s="513">
        <v>1000</v>
      </c>
      <c r="O309" s="737" t="s">
        <v>4054</v>
      </c>
    </row>
    <row r="310" spans="2:15">
      <c r="B310" s="563" t="s">
        <v>2093</v>
      </c>
      <c r="C310" s="21"/>
      <c r="D310" s="21"/>
      <c r="E310" s="513">
        <f>capEmp2End</f>
        <v>12905</v>
      </c>
      <c r="F310" s="513">
        <f>capEmp2End</f>
        <v>10075</v>
      </c>
      <c r="G310" s="513">
        <f>capEmp2End</f>
        <v>9231</v>
      </c>
      <c r="H310" s="513"/>
      <c r="I310" s="513"/>
      <c r="J310" s="513">
        <f t="shared" si="17"/>
        <v>10737</v>
      </c>
      <c r="K310" s="513">
        <v>12905</v>
      </c>
      <c r="O310" s="737" t="s">
        <v>4055</v>
      </c>
    </row>
    <row r="311" spans="2:15">
      <c r="B311" s="563" t="s">
        <v>3093</v>
      </c>
      <c r="C311" s="21"/>
      <c r="D311" s="21"/>
      <c r="E311" s="513">
        <f>capEmp3End</f>
        <v>1409</v>
      </c>
      <c r="F311" s="513">
        <f>capEmp3End</f>
        <v>1197</v>
      </c>
      <c r="G311" s="513">
        <f>capEmp3End</f>
        <v>916</v>
      </c>
      <c r="H311" s="513"/>
      <c r="I311" s="513"/>
      <c r="J311" s="513">
        <f t="shared" si="17"/>
        <v>1174</v>
      </c>
      <c r="K311" s="513">
        <v>1409</v>
      </c>
      <c r="O311" s="737" t="s">
        <v>4056</v>
      </c>
    </row>
    <row r="312" spans="2:15">
      <c r="B312" s="563" t="s">
        <v>2862</v>
      </c>
      <c r="C312" s="21"/>
      <c r="D312" s="21"/>
      <c r="E312" s="513">
        <f>SUM(E309:E311)</f>
        <v>15314</v>
      </c>
      <c r="F312" s="513">
        <f t="shared" ref="F312:G312" si="18">SUM(F309:F311)</f>
        <v>12672</v>
      </c>
      <c r="G312" s="513">
        <f t="shared" si="18"/>
        <v>11547</v>
      </c>
      <c r="H312" s="513"/>
      <c r="I312" s="513"/>
      <c r="J312" s="513">
        <f t="shared" si="17"/>
        <v>13177.666666666666</v>
      </c>
      <c r="K312" s="513">
        <v>15314</v>
      </c>
      <c r="O312" s="737" t="s">
        <v>4057</v>
      </c>
    </row>
    <row r="313" spans="2:15">
      <c r="B313" s="563" t="s">
        <v>2863</v>
      </c>
      <c r="C313" s="21"/>
      <c r="D313" s="21"/>
      <c r="E313" s="513">
        <f>capPlant2UnitsEnd</f>
        <v>22</v>
      </c>
      <c r="F313" s="513">
        <f>capPlant2UnitsEnd</f>
        <v>22</v>
      </c>
      <c r="G313" s="513">
        <f>capPlant2UnitsEnd</f>
        <v>22</v>
      </c>
      <c r="H313" s="513"/>
      <c r="I313" s="513"/>
      <c r="J313" s="513">
        <f t="shared" si="17"/>
        <v>22</v>
      </c>
      <c r="K313" s="513">
        <v>22</v>
      </c>
      <c r="O313" s="737" t="s">
        <v>4058</v>
      </c>
    </row>
    <row r="314" spans="2:15">
      <c r="B314" s="59" t="s">
        <v>2868</v>
      </c>
      <c r="C314" s="21"/>
      <c r="D314" s="21"/>
      <c r="E314" s="21"/>
      <c r="F314" s="21"/>
      <c r="G314" s="21"/>
      <c r="H314" s="21"/>
      <c r="I314" s="21"/>
      <c r="J314" s="21"/>
      <c r="K314" s="21"/>
      <c r="O314" s="21"/>
    </row>
    <row r="315" spans="2:15">
      <c r="B315" s="571" t="s">
        <v>3657</v>
      </c>
      <c r="C315" s="571"/>
      <c r="D315" s="21"/>
      <c r="E315" s="611">
        <f>capProd1Ftr1Emp1Req+capProd1Ftr1TTMEmp1Req</f>
        <v>270</v>
      </c>
      <c r="F315" s="611">
        <f>capProd1Ftr1Emp1Req+capProd1Ftr1TTMEmp1Req</f>
        <v>170</v>
      </c>
      <c r="G315" s="611">
        <f>capProd1Ftr1Emp1Req+capProd1Ftr1TTMEmp1Req</f>
        <v>410</v>
      </c>
      <c r="H315" s="611"/>
      <c r="I315" s="611"/>
      <c r="J315" s="611">
        <f t="shared" ref="J315:J323" si="19">SUM(E315:I315)/(5-COUNTIF(E315:I315,""))</f>
        <v>283.33333333333331</v>
      </c>
      <c r="K315" s="611">
        <v>270</v>
      </c>
      <c r="O315" s="737" t="s">
        <v>4059</v>
      </c>
    </row>
    <row r="316" spans="2:15">
      <c r="B316" s="571" t="s">
        <v>3658</v>
      </c>
      <c r="C316" s="571"/>
      <c r="D316" s="21"/>
      <c r="E316" s="611">
        <f>capProd2Ftr1Emp1Req+capProd2Ftr1TTMEmp1Req</f>
        <v>265</v>
      </c>
      <c r="F316" s="611">
        <f>capProd2Ftr1Emp1Req+capProd2Ftr1TTMEmp1Req</f>
        <v>340</v>
      </c>
      <c r="G316" s="611">
        <f>capProd2Ftr1Emp1Req+capProd2Ftr1TTMEmp1Req</f>
        <v>295</v>
      </c>
      <c r="H316" s="611"/>
      <c r="I316" s="611"/>
      <c r="J316" s="611">
        <f t="shared" si="19"/>
        <v>300</v>
      </c>
      <c r="K316" s="611">
        <v>265</v>
      </c>
      <c r="O316" s="737" t="s">
        <v>4060</v>
      </c>
    </row>
    <row r="317" spans="2:15">
      <c r="B317" s="572" t="s">
        <v>1759</v>
      </c>
      <c r="C317" s="571"/>
      <c r="D317" s="21"/>
      <c r="E317" s="611">
        <f>capContentEmp1Req</f>
        <v>100</v>
      </c>
      <c r="F317" s="611">
        <f>capContentEmp1Req</f>
        <v>100</v>
      </c>
      <c r="G317" s="611">
        <f>capContentEmp1Req</f>
        <v>200</v>
      </c>
      <c r="H317" s="611"/>
      <c r="I317" s="611"/>
      <c r="J317" s="611">
        <f t="shared" si="19"/>
        <v>133.33333333333334</v>
      </c>
      <c r="K317" s="611">
        <v>100</v>
      </c>
      <c r="O317" s="737" t="s">
        <v>4061</v>
      </c>
    </row>
    <row r="318" spans="2:15">
      <c r="B318" s="572" t="s">
        <v>1974</v>
      </c>
      <c r="C318" s="571"/>
      <c r="D318" s="21"/>
      <c r="E318" s="611">
        <f>capTrainingEmp1Req</f>
        <v>15</v>
      </c>
      <c r="F318" s="611">
        <f>capTrainingEmp1Req</f>
        <v>15</v>
      </c>
      <c r="G318" s="611">
        <f>capTrainingEmp1Req</f>
        <v>5</v>
      </c>
      <c r="H318" s="611"/>
      <c r="I318" s="611"/>
      <c r="J318" s="611">
        <f t="shared" si="19"/>
        <v>11.666666666666666</v>
      </c>
      <c r="K318" s="611">
        <v>15</v>
      </c>
      <c r="O318" s="737" t="s">
        <v>4062</v>
      </c>
    </row>
    <row r="319" spans="2:15">
      <c r="B319" s="563" t="s">
        <v>1360</v>
      </c>
      <c r="C319" s="571"/>
      <c r="D319" s="21"/>
      <c r="E319" s="611">
        <f>capGlobalExpansionEmp1Req</f>
        <v>5</v>
      </c>
      <c r="F319" s="611">
        <f>capGlobalExpansionEmp1Req</f>
        <v>10</v>
      </c>
      <c r="G319" s="611">
        <f>capGlobalExpansionEmp1Req</f>
        <v>5</v>
      </c>
      <c r="H319" s="611"/>
      <c r="I319" s="611"/>
      <c r="J319" s="611">
        <f t="shared" si="19"/>
        <v>6.666666666666667</v>
      </c>
      <c r="K319" s="611">
        <v>5</v>
      </c>
      <c r="O319" s="737" t="s">
        <v>4063</v>
      </c>
    </row>
    <row r="320" spans="2:15">
      <c r="B320" s="563" t="s">
        <v>423</v>
      </c>
      <c r="C320" s="571"/>
      <c r="D320" s="21"/>
      <c r="E320" s="611">
        <f>capSalesCoverageEmp1Req</f>
        <v>5</v>
      </c>
      <c r="F320" s="611">
        <f>capSalesCoverageEmp1Req</f>
        <v>10</v>
      </c>
      <c r="G320" s="611">
        <f>capSalesCoverageEmp1Req</f>
        <v>5</v>
      </c>
      <c r="H320" s="611"/>
      <c r="I320" s="611"/>
      <c r="J320" s="611">
        <f t="shared" si="19"/>
        <v>6.666666666666667</v>
      </c>
      <c r="K320" s="611">
        <v>5</v>
      </c>
      <c r="O320" s="737" t="s">
        <v>4064</v>
      </c>
    </row>
    <row r="321" spans="2:15">
      <c r="B321" s="563" t="s">
        <v>2860</v>
      </c>
      <c r="C321" s="571"/>
      <c r="D321" s="21"/>
      <c r="E321" s="611">
        <f>capPlant1ConsolidationEmp1Req</f>
        <v>0</v>
      </c>
      <c r="F321" s="611">
        <f>capPlant1ConsolidationEmp1Req</f>
        <v>0</v>
      </c>
      <c r="G321" s="611">
        <f>capPlant1ConsolidationEmp1Req</f>
        <v>0</v>
      </c>
      <c r="H321" s="611"/>
      <c r="I321" s="611"/>
      <c r="J321" s="611">
        <f t="shared" si="19"/>
        <v>0</v>
      </c>
      <c r="K321" s="611">
        <v>0</v>
      </c>
      <c r="O321" s="737" t="s">
        <v>4065</v>
      </c>
    </row>
    <row r="322" spans="2:15">
      <c r="B322" s="572" t="s">
        <v>1998</v>
      </c>
      <c r="C322" s="571"/>
      <c r="D322" s="21"/>
      <c r="E322" s="513">
        <f>INDEX(capInitsEmp1Req,xxIndexTeam)+INDEX(capEventsEmp1Req,xxIndexTeam)</f>
        <v>0</v>
      </c>
      <c r="F322" s="513">
        <f>INDEX(capInitsEmp1Req,xxIndexTeam)+INDEX(capEventsEmp1Req,xxIndexTeam)</f>
        <v>0</v>
      </c>
      <c r="G322" s="513">
        <f>INDEX(capInitsEmp1Req,xxIndexTeam)+INDEX(capEventsEmp1Req,xxIndexTeam)</f>
        <v>0</v>
      </c>
      <c r="H322" s="513"/>
      <c r="I322" s="513"/>
      <c r="J322" s="513">
        <f t="shared" si="19"/>
        <v>0</v>
      </c>
      <c r="K322" s="513">
        <v>0</v>
      </c>
      <c r="O322" s="737" t="s">
        <v>4066</v>
      </c>
    </row>
    <row r="323" spans="2:15">
      <c r="B323" s="563" t="s">
        <v>1981</v>
      </c>
      <c r="C323" s="21"/>
      <c r="D323" s="21"/>
      <c r="E323" s="551">
        <f>paramEmp1FTECoefficient</f>
        <v>0.66039999999999999</v>
      </c>
      <c r="F323" s="551">
        <f>paramEmp1FTECoefficient</f>
        <v>0.66039999999999999</v>
      </c>
      <c r="G323" s="551">
        <f>paramEmp1FTECoefficient</f>
        <v>0.65780000000000005</v>
      </c>
      <c r="H323" s="551"/>
      <c r="I323" s="551"/>
      <c r="J323" s="551">
        <f t="shared" si="19"/>
        <v>0.65953333333333342</v>
      </c>
      <c r="K323" s="551">
        <v>0.66039999999999999</v>
      </c>
      <c r="O323" s="737" t="s">
        <v>4067</v>
      </c>
    </row>
    <row r="324" spans="2:15">
      <c r="B324" s="21"/>
      <c r="C324" s="21"/>
      <c r="D324" s="21"/>
      <c r="E324" s="21"/>
      <c r="F324" s="21"/>
      <c r="G324" s="21"/>
      <c r="H324" s="21"/>
      <c r="I324" s="21"/>
      <c r="J324" s="21"/>
      <c r="K324" s="21"/>
      <c r="O324" s="21"/>
    </row>
    <row r="325" spans="2:15">
      <c r="B325" s="800"/>
      <c r="C325" s="800"/>
      <c r="D325" s="800"/>
      <c r="E325" s="800"/>
      <c r="F325" s="800"/>
      <c r="G325" s="800"/>
      <c r="H325" s="805"/>
      <c r="I325" s="805"/>
      <c r="J325" s="800"/>
      <c r="K325" s="800"/>
      <c r="O325" s="800"/>
    </row>
    <row r="326" spans="2:15">
      <c r="H326" s="799"/>
      <c r="I326" s="799"/>
    </row>
    <row r="327" spans="2:15">
      <c r="B327" t="s">
        <v>1737</v>
      </c>
      <c r="E327" s="326">
        <f>finCashOI</f>
        <v>940488897.02871478</v>
      </c>
      <c r="F327" s="326">
        <f>finCashOI</f>
        <v>994108450.93279386</v>
      </c>
      <c r="G327" s="326">
        <f>finCashOI</f>
        <v>349301186.90683627</v>
      </c>
      <c r="H327" s="799"/>
      <c r="I327" s="799"/>
      <c r="J327" s="15" t="s">
        <v>2888</v>
      </c>
      <c r="O327" s="737" t="s">
        <v>4068</v>
      </c>
    </row>
    <row r="328" spans="2:15">
      <c r="B328" t="s">
        <v>2880</v>
      </c>
      <c r="E328" s="326">
        <f>cbalCashOIY0</f>
        <v>940488897.02871478</v>
      </c>
      <c r="F328" s="326">
        <f>cbalCashOIY0</f>
        <v>994108450.93279386</v>
      </c>
      <c r="G328" s="326">
        <f>cbalCashOIY0</f>
        <v>349301186.90683627</v>
      </c>
      <c r="H328" s="805"/>
      <c r="I328" s="805"/>
      <c r="J328" s="15" t="s">
        <v>2884</v>
      </c>
      <c r="O328" s="737" t="s">
        <v>4069</v>
      </c>
    </row>
    <row r="329" spans="2:15">
      <c r="B329" t="s">
        <v>2881</v>
      </c>
      <c r="E329" s="326">
        <f>cbalCashOIY1</f>
        <v>0</v>
      </c>
      <c r="F329" s="326">
        <f>cbalCashOIY1</f>
        <v>0</v>
      </c>
      <c r="G329" s="326">
        <f>cbalCashOIY1</f>
        <v>0</v>
      </c>
      <c r="H329" s="513"/>
      <c r="I329" s="513"/>
      <c r="J329" s="15" t="s">
        <v>2885</v>
      </c>
      <c r="O329" s="737" t="s">
        <v>4070</v>
      </c>
    </row>
    <row r="330" spans="2:15">
      <c r="B330" t="s">
        <v>2882</v>
      </c>
      <c r="E330" s="326">
        <f>cbalCashOIY2</f>
        <v>0</v>
      </c>
      <c r="F330" s="326">
        <f>cbalCashOIY2</f>
        <v>0</v>
      </c>
      <c r="G330" s="326">
        <f>cbalCashOIY2</f>
        <v>0</v>
      </c>
      <c r="H330" s="551"/>
      <c r="I330" s="551"/>
      <c r="J330" s="15" t="s">
        <v>2886</v>
      </c>
      <c r="O330" s="737" t="s">
        <v>4071</v>
      </c>
    </row>
    <row r="331" spans="2:15">
      <c r="B331" t="s">
        <v>2883</v>
      </c>
      <c r="E331" s="326">
        <f>cbalCashOIY3</f>
        <v>0</v>
      </c>
      <c r="F331" s="326">
        <f>cbalCashOIY3</f>
        <v>0</v>
      </c>
      <c r="G331" s="326">
        <f>cbalCashOIY3</f>
        <v>0</v>
      </c>
      <c r="H331" s="513"/>
      <c r="I331" s="513"/>
      <c r="J331" s="15" t="s">
        <v>2887</v>
      </c>
      <c r="O331" s="737" t="s">
        <v>4072</v>
      </c>
    </row>
    <row r="332" spans="2:15">
      <c r="H332" s="551"/>
      <c r="I332" s="551"/>
    </row>
    <row r="333" spans="2:15" ht="12" thickBot="1">
      <c r="B333" s="132"/>
      <c r="C333" s="132"/>
      <c r="D333" s="132"/>
      <c r="E333" s="132"/>
      <c r="F333" s="132"/>
      <c r="G333" s="132"/>
      <c r="H333" s="513"/>
      <c r="I333" s="513"/>
      <c r="J333" s="132"/>
      <c r="K333" s="132"/>
    </row>
    <row r="334" spans="2:15">
      <c r="E334" s="3" t="s">
        <v>3730</v>
      </c>
      <c r="H334" s="551"/>
      <c r="I334" s="551"/>
    </row>
    <row r="336" spans="2:15">
      <c r="E336" s="995"/>
      <c r="F336" s="995"/>
      <c r="G336" s="995"/>
    </row>
    <row r="337" spans="5:7">
      <c r="E337" s="995"/>
      <c r="F337" s="995"/>
      <c r="G337" s="995"/>
    </row>
    <row r="338" spans="5:7">
      <c r="E338" s="327"/>
      <c r="F338" s="327"/>
      <c r="G338" s="327"/>
    </row>
    <row r="339" spans="5:7">
      <c r="E339" s="385"/>
      <c r="F339" s="385"/>
      <c r="G339" s="385"/>
    </row>
  </sheetData>
  <conditionalFormatting sqref="E98:G118 E192:G193">
    <cfRule type="cellIs" dxfId="89" priority="103" operator="greaterThan">
      <formula>0</formula>
    </cfRule>
  </conditionalFormatting>
  <conditionalFormatting sqref="E140:G140 E120:G131">
    <cfRule type="cellIs" dxfId="88" priority="96" operator="greaterThan">
      <formula>0</formula>
    </cfRule>
  </conditionalFormatting>
  <conditionalFormatting sqref="E142:G156">
    <cfRule type="cellIs" dxfId="87" priority="95" operator="greaterThan">
      <formula>0</formula>
    </cfRule>
  </conditionalFormatting>
  <conditionalFormatting sqref="E158:G172">
    <cfRule type="cellIs" dxfId="86" priority="94" operator="greaterThan">
      <formula>0</formula>
    </cfRule>
  </conditionalFormatting>
  <conditionalFormatting sqref="E174:G190">
    <cfRule type="cellIs" dxfId="85" priority="93" operator="greaterThan">
      <formula>0</formula>
    </cfRule>
  </conditionalFormatting>
  <conditionalFormatting sqref="E194:G199">
    <cfRule type="cellIs" dxfId="84" priority="92" operator="greaterThan">
      <formula>0</formula>
    </cfRule>
  </conditionalFormatting>
  <conditionalFormatting sqref="E201:G217">
    <cfRule type="cellIs" dxfId="83" priority="91" operator="greaterThan">
      <formula>0</formula>
    </cfRule>
  </conditionalFormatting>
  <conditionalFormatting sqref="E132:G133">
    <cfRule type="cellIs" dxfId="82" priority="75" operator="greaterThan">
      <formula>0</formula>
    </cfRule>
  </conditionalFormatting>
  <conditionalFormatting sqref="E134:G135">
    <cfRule type="cellIs" dxfId="81" priority="74" operator="greaterThan">
      <formula>0</formula>
    </cfRule>
  </conditionalFormatting>
  <conditionalFormatting sqref="E136:G136">
    <cfRule type="cellIs" dxfId="80" priority="73" operator="greaterThan">
      <formula>0</formula>
    </cfRule>
  </conditionalFormatting>
  <conditionalFormatting sqref="E137:G137">
    <cfRule type="cellIs" dxfId="79" priority="72" operator="greaterThan">
      <formula>0</formula>
    </cfRule>
  </conditionalFormatting>
  <conditionalFormatting sqref="E138:G138">
    <cfRule type="cellIs" dxfId="78" priority="71" operator="greaterThan">
      <formula>0</formula>
    </cfRule>
  </conditionalFormatting>
  <conditionalFormatting sqref="E139:G139">
    <cfRule type="cellIs" dxfId="77" priority="70" operator="greaterThan">
      <formula>0</formula>
    </cfRule>
  </conditionalFormatting>
  <conditionalFormatting sqref="O140">
    <cfRule type="cellIs" dxfId="76" priority="64" operator="greaterThan">
      <formula>0</formula>
    </cfRule>
  </conditionalFormatting>
  <conditionalFormatting sqref="O156">
    <cfRule type="cellIs" dxfId="75" priority="63" operator="greaterThan">
      <formula>0</formula>
    </cfRule>
  </conditionalFormatting>
  <conditionalFormatting sqref="O172">
    <cfRule type="cellIs" dxfId="74" priority="62" operator="greaterThan">
      <formula>0</formula>
    </cfRule>
  </conditionalFormatting>
  <conditionalFormatting sqref="O199">
    <cfRule type="cellIs" dxfId="73" priority="61" operator="greaterThan">
      <formula>0</formula>
    </cfRule>
  </conditionalFormatting>
  <conditionalFormatting sqref="O217">
    <cfRule type="cellIs" dxfId="72" priority="60" operator="greaterThan">
      <formula>0</formula>
    </cfRule>
  </conditionalFormatting>
  <conditionalFormatting sqref="S98">
    <cfRule type="cellIs" dxfId="71" priority="20" operator="greaterThan">
      <formula>0</formula>
    </cfRule>
  </conditionalFormatting>
  <conditionalFormatting sqref="T112">
    <cfRule type="cellIs" dxfId="70" priority="19" operator="greaterThan">
      <formula>0</formula>
    </cfRule>
  </conditionalFormatting>
  <conditionalFormatting sqref="H98:I118 H192:I193">
    <cfRule type="cellIs" dxfId="69" priority="13" operator="greaterThan">
      <formula>0</formula>
    </cfRule>
  </conditionalFormatting>
  <conditionalFormatting sqref="H140:I140 H120:I131">
    <cfRule type="cellIs" dxfId="68" priority="12" operator="greaterThan">
      <formula>0</formula>
    </cfRule>
  </conditionalFormatting>
  <conditionalFormatting sqref="H142:I156">
    <cfRule type="cellIs" dxfId="67" priority="11" operator="greaterThan">
      <formula>0</formula>
    </cfRule>
  </conditionalFormatting>
  <conditionalFormatting sqref="H158:I172">
    <cfRule type="cellIs" dxfId="66" priority="10" operator="greaterThan">
      <formula>0</formula>
    </cfRule>
  </conditionalFormatting>
  <conditionalFormatting sqref="H174:I190">
    <cfRule type="cellIs" dxfId="65" priority="9" operator="greaterThan">
      <formula>0</formula>
    </cfRule>
  </conditionalFormatting>
  <conditionalFormatting sqref="H194:I199">
    <cfRule type="cellIs" dxfId="64" priority="8" operator="greaterThan">
      <formula>0</formula>
    </cfRule>
  </conditionalFormatting>
  <conditionalFormatting sqref="H201:I217">
    <cfRule type="cellIs" dxfId="63" priority="7" operator="greaterThan">
      <formula>0</formula>
    </cfRule>
  </conditionalFormatting>
  <conditionalFormatting sqref="H132:I133">
    <cfRule type="cellIs" dxfId="62" priority="6" operator="greaterThan">
      <formula>0</formula>
    </cfRule>
  </conditionalFormatting>
  <conditionalFormatting sqref="H134:I135">
    <cfRule type="cellIs" dxfId="61" priority="5" operator="greaterThan">
      <formula>0</formula>
    </cfRule>
  </conditionalFormatting>
  <conditionalFormatting sqref="H136:I136">
    <cfRule type="cellIs" dxfId="60" priority="4" operator="greaterThan">
      <formula>0</formula>
    </cfRule>
  </conditionalFormatting>
  <conditionalFormatting sqref="H137:I137">
    <cfRule type="cellIs" dxfId="59" priority="3" operator="greaterThan">
      <formula>0</formula>
    </cfRule>
  </conditionalFormatting>
  <conditionalFormatting sqref="H138:I138">
    <cfRule type="cellIs" dxfId="58" priority="2" operator="greaterThan">
      <formula>0</formula>
    </cfRule>
  </conditionalFormatting>
  <conditionalFormatting sqref="H139:I139">
    <cfRule type="cellIs" dxfId="57" priority="1" operator="greaterThan">
      <formula>0</formula>
    </cfRule>
  </conditionalFormatting>
  <printOptions horizontalCentered="1"/>
  <pageMargins left="0.25" right="0.25" top="0.75" bottom="0.75" header="0.3" footer="0.3"/>
  <pageSetup orientation="portrait" horizontalDpi="4294967292" r:id="rId1"/>
  <headerFooter>
    <oddFooter>&amp;CPage &amp;P of &amp;N</oddFooter>
  </headerFooter>
  <rowBreaks count="4" manualBreakCount="4">
    <brk id="118" max="16383" man="1"/>
    <brk id="172" max="16383" man="1"/>
    <brk id="217" max="16383" man="1"/>
    <brk id="258" max="16383" man="1"/>
  </rowBreaks>
  <cellWatches>
    <cellWatch r="G29"/>
  </cellWatches>
  <drawing r:id="rId2"/>
  <legacyDrawing r:id="rId3"/>
  <mc:AlternateContent xmlns:mc="http://schemas.openxmlformats.org/markup-compatibility/2006">
    <mc:Choice Requires="x14">
      <controls>
        <mc:AlternateContent xmlns:mc="http://schemas.openxmlformats.org/markup-compatibility/2006">
          <mc:Choice Requires="x14">
            <control shapeId="8932354" r:id="rId4" name="Button 2">
              <controlPr defaultSize="0" print="0" autoFill="0" autoPict="0" macro="[0]!AnalysisNewYear">
                <anchor moveWithCells="1" sizeWithCells="1">
                  <from>
                    <xdr:col>9</xdr:col>
                    <xdr:colOff>514350</xdr:colOff>
                    <xdr:row>13</xdr:row>
                    <xdr:rowOff>47625</xdr:rowOff>
                  </from>
                  <to>
                    <xdr:col>10</xdr:col>
                    <xdr:colOff>781050</xdr:colOff>
                    <xdr:row>15</xdr:row>
                    <xdr:rowOff>95250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ec" enableFormatConditionsCalculation="0">
    <tabColor indexed="11"/>
    <pageSetUpPr fitToPage="1"/>
  </sheetPr>
  <dimension ref="A1:IH95"/>
  <sheetViews>
    <sheetView workbookViewId="0">
      <pane xSplit="4" ySplit="1" topLeftCell="E2" activePane="bottomRight" state="frozen"/>
      <selection activeCell="B107" sqref="B107"/>
      <selection pane="topRight" activeCell="B107" sqref="B107"/>
      <selection pane="bottomLeft" activeCell="B107" sqref="B107"/>
      <selection pane="bottomRight" activeCell="F3" sqref="F3:G95"/>
    </sheetView>
  </sheetViews>
  <sheetFormatPr defaultRowHeight="11.25"/>
  <cols>
    <col min="1" max="1" width="7.5" customWidth="1"/>
    <col min="2" max="2" width="7" customWidth="1"/>
    <col min="3" max="3" width="8.33203125" customWidth="1"/>
    <col min="4" max="4" width="14.6640625" customWidth="1"/>
    <col min="5" max="7" width="25" customWidth="1"/>
    <col min="8" max="8" width="19.1640625" style="123" bestFit="1" customWidth="1"/>
    <col min="9" max="11" width="25" customWidth="1"/>
  </cols>
  <sheetData>
    <row r="1" spans="1:242" s="139" customFormat="1" ht="15" customHeight="1">
      <c r="A1" s="138" t="s">
        <v>455</v>
      </c>
      <c r="B1" s="140"/>
      <c r="C1" s="140"/>
      <c r="D1" s="140"/>
      <c r="E1" s="138">
        <v>1</v>
      </c>
      <c r="F1" s="138">
        <v>2</v>
      </c>
      <c r="G1" s="138">
        <v>3</v>
      </c>
      <c r="H1" s="507" t="s">
        <v>547</v>
      </c>
      <c r="I1" s="138"/>
      <c r="J1" s="138"/>
      <c r="K1" s="138"/>
      <c r="L1"/>
      <c r="M1"/>
      <c r="N1"/>
      <c r="O1"/>
      <c r="P1"/>
      <c r="Q1"/>
      <c r="R1"/>
      <c r="S1"/>
      <c r="T1">
        <v>3</v>
      </c>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row>
    <row r="2" spans="1:242">
      <c r="A2" s="3" t="s">
        <v>285</v>
      </c>
      <c r="E2" s="127" t="s">
        <v>1002</v>
      </c>
      <c r="I2" s="557" t="s">
        <v>1336</v>
      </c>
      <c r="J2" s="558" t="s">
        <v>1337</v>
      </c>
      <c r="K2" s="558" t="s">
        <v>3077</v>
      </c>
    </row>
    <row r="3" spans="1:242">
      <c r="B3" t="s">
        <v>286</v>
      </c>
      <c r="E3" s="658">
        <f>xxteamnumber</f>
        <v>1</v>
      </c>
      <c r="F3" s="292">
        <f>datapageCompdecTeamNumber</f>
        <v>2</v>
      </c>
      <c r="G3" s="292">
        <f>datapageCompdecTeamNumber</f>
        <v>3</v>
      </c>
      <c r="I3" s="292">
        <v>1</v>
      </c>
      <c r="J3" s="292" t="e">
        <f>xxteamnumber</f>
        <v>#VALUE!</v>
      </c>
      <c r="K3" s="292" t="e">
        <f>datapageCompdecTeamNumber</f>
        <v>#VALUE!</v>
      </c>
      <c r="Q3" s="561" t="s">
        <v>1338</v>
      </c>
      <c r="R3" s="562">
        <v>1</v>
      </c>
      <c r="S3" s="562">
        <v>2</v>
      </c>
      <c r="T3" s="562">
        <v>3</v>
      </c>
    </row>
    <row r="4" spans="1:242">
      <c r="B4" t="s">
        <v>287</v>
      </c>
      <c r="E4" s="659" t="str">
        <f>tlInputTeamName</f>
        <v>IIC</v>
      </c>
      <c r="F4" s="661" t="str">
        <f>datapageCompdecTeamName</f>
        <v>Bloomfield</v>
      </c>
      <c r="G4" s="661" t="str">
        <f>datapageCompdecTeamName</f>
        <v>Nextus</v>
      </c>
      <c r="I4" s="559" t="s">
        <v>1339</v>
      </c>
      <c r="J4" s="560" t="str">
        <f>tlInputTeamName</f>
        <v>IIC</v>
      </c>
      <c r="K4" s="560" t="e">
        <f>datapageCompdecTeamName</f>
        <v>#VALUE!</v>
      </c>
      <c r="R4" s="562" t="s">
        <v>1339</v>
      </c>
      <c r="S4" s="562" t="s">
        <v>2163</v>
      </c>
      <c r="T4" s="562" t="s">
        <v>1340</v>
      </c>
    </row>
    <row r="5" spans="1:242">
      <c r="B5" t="s">
        <v>901</v>
      </c>
      <c r="E5" s="411">
        <f>xxYear</f>
        <v>0</v>
      </c>
      <c r="F5" s="412">
        <f>xxYear</f>
        <v>0</v>
      </c>
      <c r="G5" s="412">
        <f>xxYear</f>
        <v>0</v>
      </c>
      <c r="I5" s="559">
        <v>0</v>
      </c>
      <c r="J5" s="560">
        <f>xxYear</f>
        <v>0</v>
      </c>
      <c r="K5" s="560">
        <f>xxYear</f>
        <v>0</v>
      </c>
      <c r="R5" s="562">
        <v>0</v>
      </c>
      <c r="S5" s="562">
        <v>0</v>
      </c>
      <c r="T5" s="562">
        <v>0</v>
      </c>
    </row>
    <row r="6" spans="1:242">
      <c r="B6" t="s">
        <v>1296</v>
      </c>
      <c r="E6" s="659"/>
      <c r="F6" s="661"/>
      <c r="G6" s="661"/>
      <c r="I6" s="559"/>
      <c r="J6" s="560"/>
      <c r="K6" s="560"/>
      <c r="R6" s="562"/>
      <c r="S6" s="562"/>
      <c r="T6" s="562"/>
    </row>
    <row r="7" spans="1:242">
      <c r="B7" t="s">
        <v>697</v>
      </c>
      <c r="E7" s="659"/>
      <c r="F7" s="661"/>
      <c r="G7" s="661"/>
      <c r="I7" s="559"/>
      <c r="J7" s="560"/>
      <c r="K7" s="560"/>
      <c r="R7" s="562"/>
      <c r="S7" s="562"/>
      <c r="T7" s="562"/>
    </row>
    <row r="8" spans="1:242">
      <c r="E8" s="659"/>
      <c r="F8" s="661"/>
      <c r="G8" s="661"/>
      <c r="I8" s="559"/>
      <c r="J8" s="560"/>
      <c r="K8" s="560"/>
      <c r="R8" s="562"/>
      <c r="S8" s="562"/>
      <c r="T8" s="562"/>
    </row>
    <row r="9" spans="1:242">
      <c r="B9" s="3" t="s">
        <v>1376</v>
      </c>
      <c r="E9" s="659"/>
      <c r="F9" s="661"/>
      <c r="G9" s="661"/>
      <c r="I9" s="559"/>
      <c r="J9" s="560"/>
      <c r="K9" s="560"/>
      <c r="R9" s="562"/>
      <c r="S9" s="562"/>
      <c r="T9" s="562"/>
    </row>
    <row r="10" spans="1:242">
      <c r="B10" t="str">
        <f>DataNameProd1&amp;" Forecast"</f>
        <v>Growth Forecast</v>
      </c>
      <c r="E10" s="411">
        <f>tlInputProd1Units</f>
        <v>13418</v>
      </c>
      <c r="F10" s="412">
        <f>datapageCompdecProd1Units</f>
        <v>10210.625</v>
      </c>
      <c r="G10" s="412">
        <f>datapageCompdecProd1Units</f>
        <v>7808.125</v>
      </c>
      <c r="H10" s="579" t="s">
        <v>2037</v>
      </c>
      <c r="I10" s="559">
        <v>13418</v>
      </c>
      <c r="J10" s="560">
        <f>tlInputProd1Units</f>
        <v>13418</v>
      </c>
      <c r="K10" s="560" t="e">
        <f>datapageCompdecProd1Units</f>
        <v>#VALUE!</v>
      </c>
      <c r="R10" s="562">
        <v>13418</v>
      </c>
      <c r="S10" s="562">
        <v>0</v>
      </c>
      <c r="T10" s="562">
        <v>7808.125</v>
      </c>
      <c r="U10" s="123" t="s">
        <v>2037</v>
      </c>
    </row>
    <row r="11" spans="1:242">
      <c r="B11" t="str">
        <f>DataNameProd1&amp;" Price"</f>
        <v>Growth Price</v>
      </c>
      <c r="E11" s="411">
        <f>tlInputProd1Price</f>
        <v>10800</v>
      </c>
      <c r="F11" s="412">
        <f>datapageCompdecProd1Price</f>
        <v>11880.000000000002</v>
      </c>
      <c r="G11" s="412">
        <f>datapageCompdecProd1Price</f>
        <v>10476</v>
      </c>
      <c r="H11" s="579" t="s">
        <v>2038</v>
      </c>
      <c r="I11" s="559">
        <v>10800</v>
      </c>
      <c r="J11" s="560">
        <f>tlInputProd1Price</f>
        <v>10800</v>
      </c>
      <c r="K11" s="560" t="e">
        <f>datapageCompdecProd1Price</f>
        <v>#VALUE!</v>
      </c>
      <c r="R11" s="562">
        <v>10800</v>
      </c>
      <c r="S11" s="562">
        <v>11880.000000000002</v>
      </c>
      <c r="T11" s="562">
        <v>10476</v>
      </c>
      <c r="U11" s="123" t="s">
        <v>2038</v>
      </c>
    </row>
    <row r="12" spans="1:242">
      <c r="B12" t="str">
        <f>DataNameProd2&amp;" Forecast"</f>
        <v>Transform Forecast</v>
      </c>
      <c r="E12" s="1011">
        <f>tlInputProd2Units</f>
        <v>0</v>
      </c>
      <c r="F12" s="412">
        <f>datapageCompdecProd2Units</f>
        <v>4810</v>
      </c>
      <c r="G12" s="412">
        <f>datapageCompdecProd2Units</f>
        <v>3678</v>
      </c>
      <c r="H12" s="579" t="s">
        <v>2039</v>
      </c>
      <c r="I12" s="559">
        <v>0</v>
      </c>
      <c r="J12" s="560">
        <f>tlInputProd2Units</f>
        <v>0</v>
      </c>
      <c r="K12" s="560" t="e">
        <f>datapageCompdecProd2Units</f>
        <v>#VALUE!</v>
      </c>
      <c r="R12" s="562">
        <v>6481</v>
      </c>
      <c r="S12" s="562">
        <v>0</v>
      </c>
      <c r="T12" s="562">
        <v>3678</v>
      </c>
      <c r="U12" s="123" t="s">
        <v>2039</v>
      </c>
    </row>
    <row r="13" spans="1:242">
      <c r="B13" t="str">
        <f>DataNameProd2&amp;" Price"</f>
        <v>Transform Price</v>
      </c>
      <c r="E13" s="411">
        <f>tlInputProd2Price</f>
        <v>12000</v>
      </c>
      <c r="F13" s="412">
        <f>datapageCompdecProd2Price</f>
        <v>12600</v>
      </c>
      <c r="G13" s="412">
        <f>datapageCompdecProd2Price</f>
        <v>11640</v>
      </c>
      <c r="H13" s="579" t="s">
        <v>2040</v>
      </c>
      <c r="I13" s="559">
        <v>12000</v>
      </c>
      <c r="J13" s="560">
        <f>tlInputProd2Price</f>
        <v>12000</v>
      </c>
      <c r="K13" s="560" t="e">
        <f>datapageCompdecProd2Price</f>
        <v>#VALUE!</v>
      </c>
      <c r="R13" s="562">
        <v>12000</v>
      </c>
      <c r="S13" s="562">
        <v>13200.000000000002</v>
      </c>
      <c r="T13" s="562">
        <v>11640</v>
      </c>
      <c r="U13" s="123" t="s">
        <v>2040</v>
      </c>
    </row>
    <row r="14" spans="1:242">
      <c r="E14" s="659"/>
      <c r="F14" s="661"/>
      <c r="G14" s="661"/>
      <c r="I14" s="559"/>
      <c r="J14" s="560"/>
      <c r="K14" s="560"/>
      <c r="R14" s="562"/>
      <c r="S14" s="562"/>
      <c r="T14" s="562"/>
      <c r="U14" s="123"/>
    </row>
    <row r="15" spans="1:242">
      <c r="B15" s="3" t="s">
        <v>1348</v>
      </c>
      <c r="E15" s="659"/>
      <c r="F15" s="661"/>
      <c r="G15" s="661"/>
      <c r="I15" s="559"/>
      <c r="J15" s="560"/>
      <c r="K15" s="560"/>
      <c r="R15" s="562"/>
      <c r="S15" s="562"/>
      <c r="T15" s="562"/>
      <c r="U15" s="123"/>
    </row>
    <row r="16" spans="1:242">
      <c r="B16" t="str">
        <f>DataNameProd1&amp;" Product Technology"</f>
        <v>Growth Product Technology</v>
      </c>
      <c r="E16" s="659">
        <f>tlInputProd1ProdTechLvl</f>
        <v>2</v>
      </c>
      <c r="F16" s="661">
        <f>datapageCompdecProd1ProdTechLvl</f>
        <v>1</v>
      </c>
      <c r="G16" s="661">
        <f>datapageCompdecProd1ProdTechLvl</f>
        <v>3</v>
      </c>
      <c r="H16" s="588" t="s">
        <v>1762</v>
      </c>
      <c r="I16" s="559">
        <v>2</v>
      </c>
      <c r="J16" s="560">
        <f>tlInputProd1ProdTechLvl</f>
        <v>2</v>
      </c>
      <c r="K16" s="560" t="e">
        <f>datapageCompdecProd1ProdTechLvl</f>
        <v>#VALUE!</v>
      </c>
      <c r="R16" s="562">
        <v>2</v>
      </c>
      <c r="S16" s="562">
        <v>1</v>
      </c>
      <c r="T16" s="562">
        <v>3</v>
      </c>
      <c r="U16" s="579" t="s">
        <v>1762</v>
      </c>
    </row>
    <row r="17" spans="2:21">
      <c r="B17" t="str">
        <f>DataNameProd1&amp;" TTM Internal FTEs"</f>
        <v>Growth TTM Internal FTEs</v>
      </c>
      <c r="E17" s="659">
        <f>tlInputProd1TTMIntFTEs</f>
        <v>130</v>
      </c>
      <c r="F17" s="661">
        <f>datapageCompdecProd1TTMIntFTEs</f>
        <v>100</v>
      </c>
      <c r="G17" s="661">
        <f>datapageCompdecProd1TTMIntFTEs</f>
        <v>200</v>
      </c>
      <c r="H17" s="588" t="s">
        <v>1444</v>
      </c>
      <c r="I17" s="559">
        <v>130</v>
      </c>
      <c r="J17" s="560">
        <f>tlInputProd1TTMIntFTEs</f>
        <v>130</v>
      </c>
      <c r="K17" s="560" t="e">
        <f>datapageCompdecProd1TTMIntFTEs</f>
        <v>#VALUE!</v>
      </c>
      <c r="R17" s="562">
        <v>144</v>
      </c>
      <c r="S17" s="562">
        <v>100</v>
      </c>
      <c r="T17" s="562">
        <v>200</v>
      </c>
      <c r="U17" s="123" t="s">
        <v>1444</v>
      </c>
    </row>
    <row r="18" spans="2:21">
      <c r="B18" t="str">
        <f>DataNameProd1&amp;" TTM Contractor FTEs"</f>
        <v>Growth TTM Contractor FTEs</v>
      </c>
      <c r="E18" s="659">
        <f>tlInputProd1TTMConFTEs</f>
        <v>100</v>
      </c>
      <c r="F18" s="661">
        <f>datapageCompdecProd1TTMConFTEs</f>
        <v>0</v>
      </c>
      <c r="G18" s="661">
        <f>datapageCompdecProd1TTMConFTEs</f>
        <v>0</v>
      </c>
      <c r="H18" s="588" t="s">
        <v>1445</v>
      </c>
      <c r="I18" s="559">
        <v>100</v>
      </c>
      <c r="J18" s="560">
        <f>tlInputProd1TTMConFTEs</f>
        <v>100</v>
      </c>
      <c r="K18" s="560" t="e">
        <f>datapageCompdecProd1TTMConFTEs</f>
        <v>#VALUE!</v>
      </c>
      <c r="R18" s="562">
        <v>100</v>
      </c>
      <c r="S18" s="562">
        <v>0</v>
      </c>
      <c r="T18" s="562">
        <v>0</v>
      </c>
      <c r="U18" s="123" t="s">
        <v>1445</v>
      </c>
    </row>
    <row r="19" spans="2:21">
      <c r="B19" t="str">
        <f>DataNameProd2&amp;" Product Technology"</f>
        <v>Transform Product Technology</v>
      </c>
      <c r="E19" s="659">
        <f>tlInputProd2ProdTechLvl</f>
        <v>2</v>
      </c>
      <c r="F19" s="661">
        <f>datapageCompdecProd2ProdTechLvl</f>
        <v>2</v>
      </c>
      <c r="G19" s="661">
        <f>datapageCompdecProd2ProdTechLvl</f>
        <v>2</v>
      </c>
      <c r="H19" s="588" t="s">
        <v>1763</v>
      </c>
      <c r="I19" s="559">
        <v>2</v>
      </c>
      <c r="J19" s="560">
        <f>tlInputProd2ProdTechLvl</f>
        <v>2</v>
      </c>
      <c r="K19" s="560" t="e">
        <f>datapageCompdecProd2ProdTechLvl</f>
        <v>#VALUE!</v>
      </c>
      <c r="R19" s="562">
        <v>2</v>
      </c>
      <c r="S19" s="562">
        <v>2</v>
      </c>
      <c r="T19" s="562">
        <v>2</v>
      </c>
      <c r="U19" s="579" t="s">
        <v>1763</v>
      </c>
    </row>
    <row r="20" spans="2:21">
      <c r="B20" t="str">
        <f>DataNameProd2&amp;" TTM Internal FTEs"</f>
        <v>Transform TTM Internal FTEs</v>
      </c>
      <c r="E20" s="659">
        <f>tlInputProd2TTMIntFTEs</f>
        <v>125</v>
      </c>
      <c r="F20" s="661">
        <f>datapageCompdecProd2TTMIntFTEs</f>
        <v>200</v>
      </c>
      <c r="G20" s="661">
        <f>datapageCompdecProd2TTMIntFTEs</f>
        <v>155</v>
      </c>
      <c r="H20" s="123" t="s">
        <v>1446</v>
      </c>
      <c r="I20" s="559">
        <v>125</v>
      </c>
      <c r="J20" s="560">
        <f>tlInputProd2TTMIntFTEs</f>
        <v>125</v>
      </c>
      <c r="K20" s="560" t="e">
        <f>datapageCompdecProd2TTMIntFTEs</f>
        <v>#VALUE!</v>
      </c>
      <c r="R20" s="562">
        <v>133</v>
      </c>
      <c r="S20" s="562">
        <v>200</v>
      </c>
      <c r="T20" s="562">
        <v>155</v>
      </c>
      <c r="U20" s="123" t="s">
        <v>1446</v>
      </c>
    </row>
    <row r="21" spans="2:21">
      <c r="B21" t="str">
        <f>DataNameProd2&amp;" TTM Contractor FTEs"</f>
        <v>Transform TTM Contractor FTEs</v>
      </c>
      <c r="E21" s="659">
        <f>tlInputProd2TTMConFTEs</f>
        <v>100</v>
      </c>
      <c r="F21" s="661">
        <f>datapageCompdecProd2TTMConFTEs</f>
        <v>0</v>
      </c>
      <c r="G21" s="661">
        <f>datapageCompdecProd2TTMConFTEs</f>
        <v>0</v>
      </c>
      <c r="H21" s="588" t="s">
        <v>1447</v>
      </c>
      <c r="I21" s="559">
        <v>100</v>
      </c>
      <c r="J21" s="560">
        <f>tlInputProd2TTMConFTEs</f>
        <v>100</v>
      </c>
      <c r="K21" s="560" t="e">
        <f>datapageCompdecProd2TTMConFTEs</f>
        <v>#VALUE!</v>
      </c>
      <c r="R21" s="562">
        <v>100</v>
      </c>
      <c r="S21" s="562">
        <v>0</v>
      </c>
      <c r="T21" s="562">
        <v>0</v>
      </c>
      <c r="U21" s="123" t="s">
        <v>1447</v>
      </c>
    </row>
    <row r="22" spans="2:21">
      <c r="B22" s="565" t="s">
        <v>1351</v>
      </c>
      <c r="E22" s="659">
        <f>tlInputContentLvl</f>
        <v>1</v>
      </c>
      <c r="F22" s="661">
        <f>datapageCompdecContentLvl</f>
        <v>1</v>
      </c>
      <c r="G22" s="661">
        <f>datapageCompdecContentLvl</f>
        <v>2</v>
      </c>
      <c r="H22" s="588" t="s">
        <v>1448</v>
      </c>
      <c r="I22" s="559">
        <v>1</v>
      </c>
      <c r="J22" s="560">
        <f>tlInputContentLvl</f>
        <v>1</v>
      </c>
      <c r="K22" s="560" t="e">
        <f>datapageCompdecContentLvl</f>
        <v>#VALUE!</v>
      </c>
      <c r="R22" s="562">
        <v>1</v>
      </c>
      <c r="S22" s="562">
        <v>1</v>
      </c>
      <c r="T22" s="562">
        <v>2</v>
      </c>
      <c r="U22" s="123" t="s">
        <v>1448</v>
      </c>
    </row>
    <row r="23" spans="2:21" ht="12" thickBot="1">
      <c r="B23" s="565" t="s">
        <v>1377</v>
      </c>
      <c r="D23" s="573">
        <v>0</v>
      </c>
      <c r="E23" s="659">
        <f>tlInputContentMethod</f>
        <v>0</v>
      </c>
      <c r="F23" s="661">
        <f>datapageCompdecContentMethod</f>
        <v>0</v>
      </c>
      <c r="G23" s="661">
        <f>datapageCompdecContentMethod</f>
        <v>0</v>
      </c>
      <c r="H23" s="588" t="s">
        <v>1449</v>
      </c>
      <c r="I23" s="559">
        <v>0</v>
      </c>
      <c r="J23" s="560">
        <f>tlInputContentMethod</f>
        <v>0</v>
      </c>
      <c r="K23" s="560" t="e">
        <f>datapageCompdecContentMethod</f>
        <v>#VALUE!</v>
      </c>
      <c r="R23" s="562">
        <v>0</v>
      </c>
      <c r="S23" s="562">
        <v>0</v>
      </c>
      <c r="T23" s="562">
        <v>0</v>
      </c>
      <c r="U23" s="123" t="s">
        <v>1449</v>
      </c>
    </row>
    <row r="24" spans="2:21">
      <c r="E24" s="659"/>
      <c r="F24" s="661"/>
      <c r="G24" s="661"/>
      <c r="I24" s="559"/>
      <c r="J24" s="560"/>
      <c r="K24" s="560"/>
      <c r="R24" s="562"/>
      <c r="S24" s="562"/>
      <c r="T24" s="562"/>
      <c r="U24" s="123"/>
    </row>
    <row r="25" spans="2:21">
      <c r="B25" s="3" t="s">
        <v>295</v>
      </c>
      <c r="E25" s="659"/>
      <c r="F25" s="661"/>
      <c r="G25" s="661"/>
      <c r="I25" s="559"/>
      <c r="J25" s="560"/>
      <c r="K25" s="560"/>
      <c r="R25" s="562"/>
      <c r="S25" s="562"/>
      <c r="T25" s="562"/>
      <c r="U25" s="123"/>
    </row>
    <row r="26" spans="2:21">
      <c r="B26" s="565" t="s">
        <v>1353</v>
      </c>
      <c r="E26" s="659">
        <f>tlInputEmp1Change</f>
        <v>100</v>
      </c>
      <c r="F26" s="661">
        <f>datapageCompdecEmp1Change</f>
        <v>500</v>
      </c>
      <c r="G26" s="661">
        <f>datapageCompdecEmp1Change</f>
        <v>500</v>
      </c>
      <c r="H26" s="588" t="s">
        <v>1450</v>
      </c>
      <c r="I26" s="559">
        <v>100</v>
      </c>
      <c r="J26" s="560">
        <f>tlInputEmp1Change</f>
        <v>100</v>
      </c>
      <c r="K26" s="560" t="e">
        <f>datapageCompdecEmp1Change</f>
        <v>#VALUE!</v>
      </c>
      <c r="R26" s="562">
        <v>100</v>
      </c>
      <c r="S26" s="562">
        <v>500</v>
      </c>
      <c r="T26" s="562">
        <v>500</v>
      </c>
      <c r="U26" s="123" t="s">
        <v>1450</v>
      </c>
    </row>
    <row r="27" spans="2:21">
      <c r="B27" s="565" t="s">
        <v>1354</v>
      </c>
      <c r="E27" s="659">
        <f>tlInputEmp1TrainingLvl</f>
        <v>3</v>
      </c>
      <c r="F27" s="661">
        <f>datapageCompdecEmp1TrainingLvl</f>
        <v>3</v>
      </c>
      <c r="G27" s="661">
        <f>datapageCompdecEmp1TrainingLvl</f>
        <v>1</v>
      </c>
      <c r="H27" s="588" t="s">
        <v>1451</v>
      </c>
      <c r="I27" s="559">
        <v>3</v>
      </c>
      <c r="J27" s="560">
        <f>tlInputEmp1TrainingLvl</f>
        <v>3</v>
      </c>
      <c r="K27" s="560" t="e">
        <f>datapageCompdecEmp1TrainingLvl</f>
        <v>#VALUE!</v>
      </c>
      <c r="R27" s="562">
        <v>3</v>
      </c>
      <c r="S27" s="562">
        <v>3</v>
      </c>
      <c r="T27" s="562">
        <v>1</v>
      </c>
      <c r="U27" s="123" t="s">
        <v>1451</v>
      </c>
    </row>
    <row r="28" spans="2:21">
      <c r="B28" s="572" t="s">
        <v>1378</v>
      </c>
      <c r="E28" s="662">
        <f>tlInputSalesNewPerc</f>
        <v>0.5</v>
      </c>
      <c r="F28" s="663">
        <f>datapageCompdecSalesNewPerc</f>
        <v>0.35</v>
      </c>
      <c r="G28" s="663">
        <f>datapageCompdecSalesNewPerc</f>
        <v>0.55000000000000004</v>
      </c>
      <c r="H28" s="579" t="s">
        <v>1452</v>
      </c>
      <c r="I28" s="559">
        <v>0.5</v>
      </c>
      <c r="J28" s="560">
        <f>tlInputSalesNewPerc</f>
        <v>0.5</v>
      </c>
      <c r="K28" s="560" t="e">
        <f>datapageCompdecSalesNewPerc</f>
        <v>#VALUE!</v>
      </c>
      <c r="R28" s="562">
        <v>0.5</v>
      </c>
      <c r="S28" s="562">
        <v>0.35</v>
      </c>
      <c r="T28" s="562">
        <v>0.55000000000000004</v>
      </c>
      <c r="U28" s="123" t="s">
        <v>1452</v>
      </c>
    </row>
    <row r="29" spans="2:21">
      <c r="E29" s="659"/>
      <c r="F29" s="661"/>
      <c r="G29" s="661"/>
      <c r="I29" s="559"/>
      <c r="J29" s="560"/>
      <c r="K29" s="560"/>
      <c r="R29" s="562"/>
      <c r="S29" s="562"/>
      <c r="T29" s="562"/>
      <c r="U29" s="123"/>
    </row>
    <row r="30" spans="2:21">
      <c r="B30" s="3" t="s">
        <v>1358</v>
      </c>
      <c r="E30" s="659"/>
      <c r="F30" s="661"/>
      <c r="G30" s="661"/>
      <c r="I30" s="559"/>
      <c r="J30" s="560"/>
      <c r="K30" s="560"/>
      <c r="R30" s="562"/>
      <c r="S30" s="562"/>
      <c r="T30" s="562"/>
      <c r="U30" s="123"/>
    </row>
    <row r="31" spans="2:21">
      <c r="B31" s="574" t="s">
        <v>1360</v>
      </c>
      <c r="E31" s="659">
        <f>tlInputGlobalExpansion</f>
        <v>1</v>
      </c>
      <c r="F31" s="661">
        <f>datapageCompdecGlobalExpansion</f>
        <v>2</v>
      </c>
      <c r="G31" s="661">
        <f>datapageCompdecGlobalExpansion</f>
        <v>1</v>
      </c>
      <c r="H31" s="588" t="s">
        <v>1453</v>
      </c>
      <c r="I31" s="559">
        <v>1</v>
      </c>
      <c r="J31" s="560">
        <f>tlInputGlobalExpansion</f>
        <v>1</v>
      </c>
      <c r="K31" s="560" t="e">
        <f>datapageCompdecGlobalExpansion</f>
        <v>#VALUE!</v>
      </c>
      <c r="R31" s="562">
        <v>1</v>
      </c>
      <c r="S31" s="562">
        <v>2</v>
      </c>
      <c r="T31" s="562">
        <v>1</v>
      </c>
      <c r="U31" s="579" t="s">
        <v>1453</v>
      </c>
    </row>
    <row r="32" spans="2:21">
      <c r="B32" s="574" t="s">
        <v>423</v>
      </c>
      <c r="E32" s="659">
        <f>tlInputSFCoverage</f>
        <v>1</v>
      </c>
      <c r="F32" s="661">
        <f>datapageCompdecSFCoverage</f>
        <v>2</v>
      </c>
      <c r="G32" s="661">
        <f>datapageCompdecSFCoverage</f>
        <v>1</v>
      </c>
      <c r="H32" s="588" t="s">
        <v>1454</v>
      </c>
      <c r="I32" s="559">
        <v>1</v>
      </c>
      <c r="J32" s="560">
        <f>tlInputSFCoverage</f>
        <v>1</v>
      </c>
      <c r="K32" s="560" t="e">
        <f>datapageCompdecSFCoverage</f>
        <v>#VALUE!</v>
      </c>
      <c r="R32" s="562">
        <v>1</v>
      </c>
      <c r="S32" s="562">
        <v>2</v>
      </c>
      <c r="T32" s="562">
        <v>1</v>
      </c>
      <c r="U32" s="123" t="s">
        <v>1454</v>
      </c>
    </row>
    <row r="33" spans="1:21" ht="12" thickBot="1">
      <c r="B33" s="577" t="s">
        <v>1380</v>
      </c>
      <c r="D33" s="576">
        <v>0</v>
      </c>
      <c r="E33" s="659">
        <f>tlInputDCConsolidation</f>
        <v>0</v>
      </c>
      <c r="F33" s="661">
        <f>datapageCompdecDCConsolidation</f>
        <v>0</v>
      </c>
      <c r="G33" s="661">
        <f>datapageCompdecDCConsolidation</f>
        <v>0</v>
      </c>
      <c r="H33" s="579" t="s">
        <v>1455</v>
      </c>
      <c r="I33" s="559">
        <v>0</v>
      </c>
      <c r="J33" s="560">
        <f>tlInputDCConsolidation</f>
        <v>0</v>
      </c>
      <c r="K33" s="560" t="e">
        <f>datapageCompdecDCConsolidation</f>
        <v>#VALUE!</v>
      </c>
      <c r="R33" s="562">
        <v>0</v>
      </c>
      <c r="S33" s="562">
        <v>0</v>
      </c>
      <c r="T33" s="562">
        <v>0</v>
      </c>
      <c r="U33" s="123" t="s">
        <v>1455</v>
      </c>
    </row>
    <row r="34" spans="1:21">
      <c r="B34" s="577" t="s">
        <v>1226</v>
      </c>
      <c r="E34" s="659">
        <f>tlInputMarketing</f>
        <v>195000</v>
      </c>
      <c r="F34" s="661">
        <f>datapageCompdecMarketing</f>
        <v>200000</v>
      </c>
      <c r="G34" s="661">
        <f>datapageCompdecMarketing</f>
        <v>150000</v>
      </c>
      <c r="H34" s="579" t="s">
        <v>1498</v>
      </c>
      <c r="I34" s="559">
        <v>195000</v>
      </c>
      <c r="J34" s="560">
        <f>tlInputMarketing</f>
        <v>195000</v>
      </c>
      <c r="K34" s="560" t="e">
        <f>datapageCompdecMarketing</f>
        <v>#VALUE!</v>
      </c>
      <c r="R34" s="562">
        <v>195000</v>
      </c>
      <c r="S34" s="562">
        <v>195000</v>
      </c>
      <c r="T34" s="562">
        <v>150000</v>
      </c>
      <c r="U34" s="588" t="s">
        <v>1498</v>
      </c>
    </row>
    <row r="35" spans="1:21">
      <c r="E35" s="218"/>
      <c r="F35" s="220"/>
      <c r="G35" s="220"/>
      <c r="I35" s="559"/>
      <c r="J35" s="560"/>
      <c r="K35" s="560"/>
      <c r="R35" s="562"/>
      <c r="S35" s="562"/>
      <c r="T35" s="562"/>
    </row>
    <row r="36" spans="1:21">
      <c r="A36" s="3"/>
      <c r="B36" s="3" t="s">
        <v>448</v>
      </c>
      <c r="E36" s="122"/>
      <c r="F36" s="34"/>
      <c r="G36" s="34"/>
      <c r="I36" s="559"/>
      <c r="J36" s="560"/>
      <c r="K36" s="560"/>
      <c r="R36" s="562"/>
      <c r="S36" s="562"/>
      <c r="T36" s="562"/>
    </row>
    <row r="37" spans="1:21">
      <c r="B37" t="s">
        <v>920</v>
      </c>
      <c r="E37" s="121">
        <v>0</v>
      </c>
      <c r="F37" s="135">
        <v>0</v>
      </c>
      <c r="G37" s="135">
        <v>0</v>
      </c>
      <c r="I37" s="559">
        <v>0</v>
      </c>
      <c r="J37" s="560">
        <v>0</v>
      </c>
      <c r="K37" s="560">
        <v>0</v>
      </c>
      <c r="R37" s="562">
        <v>0</v>
      </c>
      <c r="S37" s="562">
        <v>0</v>
      </c>
      <c r="T37" s="562">
        <v>0</v>
      </c>
    </row>
    <row r="38" spans="1:21">
      <c r="B38" t="s">
        <v>921</v>
      </c>
      <c r="E38" s="122">
        <v>0</v>
      </c>
      <c r="F38" s="34">
        <v>0</v>
      </c>
      <c r="G38" s="34">
        <v>0</v>
      </c>
      <c r="I38" s="559">
        <v>0</v>
      </c>
      <c r="J38" s="560">
        <v>0</v>
      </c>
      <c r="K38" s="560">
        <v>0</v>
      </c>
      <c r="R38" s="562">
        <v>0</v>
      </c>
      <c r="S38" s="562">
        <v>0</v>
      </c>
      <c r="T38" s="562">
        <v>0</v>
      </c>
    </row>
    <row r="39" spans="1:21">
      <c r="E39" s="122"/>
      <c r="F39" s="34"/>
      <c r="G39" s="34"/>
      <c r="I39" s="559"/>
      <c r="J39" s="560"/>
      <c r="K39" s="560"/>
      <c r="R39" s="562"/>
      <c r="S39" s="562"/>
      <c r="T39" s="562"/>
    </row>
    <row r="40" spans="1:21">
      <c r="A40" s="3" t="s">
        <v>451</v>
      </c>
      <c r="E40" s="122"/>
      <c r="F40" s="34"/>
      <c r="G40" s="34"/>
      <c r="I40" s="559"/>
      <c r="J40" s="560"/>
      <c r="K40" s="560"/>
      <c r="R40" s="562"/>
      <c r="S40" s="562"/>
      <c r="T40" s="562"/>
    </row>
    <row r="41" spans="1:21" ht="12" thickBot="1">
      <c r="A41">
        <v>1</v>
      </c>
      <c r="B41" t="s">
        <v>922</v>
      </c>
      <c r="D41" s="576" t="b">
        <v>0</v>
      </c>
      <c r="E41" s="1093" t="b">
        <f>tlInputSpecProg1Chosen</f>
        <v>0</v>
      </c>
      <c r="F41" s="34">
        <f>datapageCompdecSpecProg1</f>
        <v>0</v>
      </c>
      <c r="G41" s="34">
        <f>datapageCompdecSpecProg1</f>
        <v>0</v>
      </c>
      <c r="H41" s="579" t="s">
        <v>3198</v>
      </c>
      <c r="I41" s="559" t="b">
        <v>0</v>
      </c>
      <c r="J41" s="560" t="b">
        <f>tlInputSpecProg1Chosen</f>
        <v>0</v>
      </c>
      <c r="K41" s="560" t="e">
        <f>datapageCompdecSpecProg1</f>
        <v>#VALUE!</v>
      </c>
      <c r="R41" s="562">
        <v>0</v>
      </c>
      <c r="S41" s="562">
        <v>0</v>
      </c>
      <c r="T41" s="562">
        <v>0</v>
      </c>
    </row>
    <row r="42" spans="1:21" ht="12" thickBot="1">
      <c r="A42">
        <v>2</v>
      </c>
      <c r="B42" t="s">
        <v>923</v>
      </c>
      <c r="D42" s="576" t="b">
        <v>0</v>
      </c>
      <c r="E42" s="1093" t="b">
        <f>tlInputSpecProg2Chosen</f>
        <v>0</v>
      </c>
      <c r="F42" s="34">
        <f>datapageCompdecSpecProg2</f>
        <v>0</v>
      </c>
      <c r="G42" s="34">
        <f>datapageCompdecSpecProg2</f>
        <v>0</v>
      </c>
      <c r="H42" s="123" t="s">
        <v>3199</v>
      </c>
      <c r="I42" s="559" t="b">
        <v>0</v>
      </c>
      <c r="J42" s="560" t="b">
        <f>tlInputSpecProg2Chosen</f>
        <v>0</v>
      </c>
      <c r="K42" s="560" t="e">
        <f>datapageCompdecSpecProg2</f>
        <v>#VALUE!</v>
      </c>
      <c r="R42" s="562">
        <v>0</v>
      </c>
      <c r="S42" s="562">
        <v>0</v>
      </c>
      <c r="T42" s="562">
        <v>0</v>
      </c>
    </row>
    <row r="43" spans="1:21" ht="12" thickBot="1">
      <c r="A43">
        <v>3</v>
      </c>
      <c r="B43" t="s">
        <v>924</v>
      </c>
      <c r="D43" s="576" t="b">
        <v>0</v>
      </c>
      <c r="E43" s="1093" t="b">
        <f>tlInputSpecProg3Chosen</f>
        <v>0</v>
      </c>
      <c r="F43" s="34">
        <f>datapageCompdecSpecProg3</f>
        <v>0</v>
      </c>
      <c r="G43" s="34">
        <f>datapageCompdecSpecProg3</f>
        <v>0</v>
      </c>
      <c r="H43" s="123" t="s">
        <v>3200</v>
      </c>
      <c r="I43" s="559" t="b">
        <v>0</v>
      </c>
      <c r="J43" s="560" t="b">
        <f>tlInputSpecProg3Chosen</f>
        <v>0</v>
      </c>
      <c r="K43" s="560" t="e">
        <f>datapageCompdecSpecProg3</f>
        <v>#VALUE!</v>
      </c>
      <c r="R43" s="562">
        <v>0</v>
      </c>
      <c r="S43" s="562">
        <v>0</v>
      </c>
      <c r="T43" s="562">
        <v>0</v>
      </c>
    </row>
    <row r="44" spans="1:21" ht="12" thickBot="1">
      <c r="A44">
        <v>4</v>
      </c>
      <c r="B44" t="s">
        <v>925</v>
      </c>
      <c r="D44" s="576" t="b">
        <v>0</v>
      </c>
      <c r="E44" s="1093" t="b">
        <f>tlInputSpecProg4Chosen</f>
        <v>0</v>
      </c>
      <c r="F44" s="34">
        <f>datapageCompdecSpecProg4</f>
        <v>0</v>
      </c>
      <c r="G44" s="34">
        <f>datapageCompdecSpecProg4</f>
        <v>0</v>
      </c>
      <c r="H44" s="123" t="s">
        <v>3201</v>
      </c>
      <c r="I44" s="559" t="b">
        <v>0</v>
      </c>
      <c r="J44" s="560" t="b">
        <f>tlInputSpecProg4Chosen</f>
        <v>0</v>
      </c>
      <c r="K44" s="560" t="e">
        <f>datapageCompdecSpecProg4</f>
        <v>#VALUE!</v>
      </c>
      <c r="R44" s="562">
        <v>0</v>
      </c>
      <c r="S44" s="562">
        <v>0</v>
      </c>
      <c r="T44" s="562">
        <v>0</v>
      </c>
    </row>
    <row r="45" spans="1:21" ht="12" thickBot="1">
      <c r="A45">
        <v>5</v>
      </c>
      <c r="B45" t="s">
        <v>926</v>
      </c>
      <c r="D45" s="576" t="b">
        <v>0</v>
      </c>
      <c r="E45" s="1093" t="b">
        <f>tlInputSpecProg5Chosen</f>
        <v>0</v>
      </c>
      <c r="F45" s="34">
        <f>datapageCompdecSpecProg5</f>
        <v>0</v>
      </c>
      <c r="G45" s="34">
        <f>datapageCompdecSpecProg5</f>
        <v>0</v>
      </c>
      <c r="H45" s="123" t="s">
        <v>3202</v>
      </c>
      <c r="I45" s="559" t="b">
        <v>0</v>
      </c>
      <c r="J45" s="560" t="b">
        <f>tlInputSpecProg5Chosen</f>
        <v>0</v>
      </c>
      <c r="K45" s="560" t="e">
        <f>datapageCompdecSpecProg5</f>
        <v>#VALUE!</v>
      </c>
      <c r="R45" s="562">
        <v>0</v>
      </c>
      <c r="S45" s="562">
        <v>0</v>
      </c>
      <c r="T45" s="562">
        <v>0</v>
      </c>
    </row>
    <row r="46" spans="1:21" ht="12" thickBot="1">
      <c r="A46">
        <v>6</v>
      </c>
      <c r="B46" t="s">
        <v>1268</v>
      </c>
      <c r="D46" s="576" t="b">
        <v>0</v>
      </c>
      <c r="E46" s="1093" t="b">
        <f>tlInputSpecProg6Chosen</f>
        <v>0</v>
      </c>
      <c r="F46" s="34">
        <f>datapageCompdecSpecProg6</f>
        <v>0</v>
      </c>
      <c r="G46" s="34">
        <f>datapageCompdecSpecProg6</f>
        <v>0</v>
      </c>
      <c r="H46" s="123" t="s">
        <v>3203</v>
      </c>
      <c r="I46" s="559" t="b">
        <v>0</v>
      </c>
      <c r="J46" s="560" t="b">
        <f>tlInputSpecProg6Chosen</f>
        <v>0</v>
      </c>
      <c r="K46" s="560" t="e">
        <f>datapageCompdecSpecProg6</f>
        <v>#VALUE!</v>
      </c>
      <c r="R46" s="562">
        <v>0</v>
      </c>
      <c r="S46" s="562">
        <v>0</v>
      </c>
      <c r="T46" s="562">
        <v>0</v>
      </c>
    </row>
    <row r="47" spans="1:21" ht="12" thickBot="1">
      <c r="A47">
        <v>7</v>
      </c>
      <c r="B47" t="s">
        <v>1269</v>
      </c>
      <c r="D47" s="576" t="b">
        <v>0</v>
      </c>
      <c r="E47" s="1093" t="b">
        <f>tlInputSpecProg7Chosen</f>
        <v>0</v>
      </c>
      <c r="F47" s="34">
        <f>datapageCompdecSpecProg7</f>
        <v>0</v>
      </c>
      <c r="G47" s="34">
        <f>datapageCompdecSpecProg7</f>
        <v>0</v>
      </c>
      <c r="H47" s="123" t="s">
        <v>3204</v>
      </c>
      <c r="I47" s="559" t="b">
        <v>0</v>
      </c>
      <c r="J47" s="560" t="b">
        <f>tlInputSpecProg7Chosen</f>
        <v>0</v>
      </c>
      <c r="K47" s="560" t="e">
        <f>datapageCompdecSpecProg7</f>
        <v>#VALUE!</v>
      </c>
      <c r="R47" s="562">
        <v>0</v>
      </c>
      <c r="S47" s="562">
        <v>0</v>
      </c>
      <c r="T47" s="562">
        <v>0</v>
      </c>
    </row>
    <row r="48" spans="1:21" ht="12" thickBot="1">
      <c r="A48">
        <v>8</v>
      </c>
      <c r="B48" t="s">
        <v>1270</v>
      </c>
      <c r="D48" s="576" t="b">
        <v>0</v>
      </c>
      <c r="E48" s="1093" t="b">
        <f>tlInputSpecProg8Chosen</f>
        <v>0</v>
      </c>
      <c r="F48" s="34">
        <f>datapageCompdecSpecProg8</f>
        <v>0</v>
      </c>
      <c r="G48" s="34">
        <f>datapageCompdecSpecProg8</f>
        <v>0</v>
      </c>
      <c r="H48" s="123" t="s">
        <v>3205</v>
      </c>
      <c r="I48" s="559" t="b">
        <v>0</v>
      </c>
      <c r="J48" s="560" t="b">
        <f>tlInputSpecProg8Chosen</f>
        <v>0</v>
      </c>
      <c r="K48" s="560" t="e">
        <f>datapageCompdecSpecProg8</f>
        <v>#VALUE!</v>
      </c>
      <c r="R48" s="562">
        <v>0</v>
      </c>
      <c r="S48" s="562">
        <v>0</v>
      </c>
      <c r="T48" s="562">
        <v>0</v>
      </c>
    </row>
    <row r="49" spans="1:20" ht="12" thickBot="1">
      <c r="A49">
        <v>9</v>
      </c>
      <c r="B49" t="s">
        <v>3222</v>
      </c>
      <c r="D49" s="576" t="b">
        <v>0</v>
      </c>
      <c r="E49" s="1093" t="b">
        <f>tlInputSpecProg9Chosen</f>
        <v>0</v>
      </c>
      <c r="F49" s="34">
        <f>datapageCompdecSpecProg9</f>
        <v>0</v>
      </c>
      <c r="G49" s="34">
        <f>datapageCompdecSpecProg9</f>
        <v>0</v>
      </c>
      <c r="H49" s="123" t="s">
        <v>3206</v>
      </c>
      <c r="I49" s="559" t="b">
        <v>0</v>
      </c>
      <c r="J49" s="560" t="b">
        <f>tlInputSpecProg9Chosen</f>
        <v>0</v>
      </c>
      <c r="K49" s="560" t="e">
        <f>datapageCompdecSpecProg9</f>
        <v>#VALUE!</v>
      </c>
      <c r="R49" s="562">
        <v>0</v>
      </c>
      <c r="S49" s="562">
        <v>0</v>
      </c>
      <c r="T49" s="562">
        <v>0</v>
      </c>
    </row>
    <row r="50" spans="1:20" ht="12" thickBot="1">
      <c r="A50">
        <v>10</v>
      </c>
      <c r="B50" t="s">
        <v>3223</v>
      </c>
      <c r="D50" s="576" t="b">
        <v>0</v>
      </c>
      <c r="E50" s="1093" t="b">
        <f>tlInputSpecProg10Chosen</f>
        <v>0</v>
      </c>
      <c r="F50" s="34">
        <f>datapageCompdecSpecProg10</f>
        <v>0</v>
      </c>
      <c r="G50" s="34">
        <f>datapageCompdecSpecProg10</f>
        <v>0</v>
      </c>
      <c r="H50" s="123" t="s">
        <v>3207</v>
      </c>
      <c r="I50" s="559" t="b">
        <v>0</v>
      </c>
      <c r="J50" s="560" t="b">
        <f>tlInputSpecProg10Chosen</f>
        <v>0</v>
      </c>
      <c r="K50" s="560" t="e">
        <f>datapageCompdecSpecProg10</f>
        <v>#VALUE!</v>
      </c>
      <c r="R50" s="562">
        <v>0</v>
      </c>
      <c r="S50" s="562">
        <v>0</v>
      </c>
      <c r="T50" s="562">
        <v>0</v>
      </c>
    </row>
    <row r="51" spans="1:20" ht="12" thickBot="1">
      <c r="A51">
        <v>11</v>
      </c>
      <c r="B51" t="s">
        <v>3224</v>
      </c>
      <c r="D51" s="576" t="b">
        <v>0</v>
      </c>
      <c r="E51" s="1093" t="b">
        <f>tlInputSpecProg11Chosen</f>
        <v>0</v>
      </c>
      <c r="F51" s="34">
        <f>datapageCompdecSpecProg11</f>
        <v>0</v>
      </c>
      <c r="G51" s="34">
        <f>datapageCompdecSpecProg11</f>
        <v>0</v>
      </c>
      <c r="H51" s="123" t="s">
        <v>3208</v>
      </c>
      <c r="I51" s="559" t="b">
        <v>0</v>
      </c>
      <c r="J51" s="560" t="b">
        <f>tlInputSpecProg11Chosen</f>
        <v>0</v>
      </c>
      <c r="K51" s="560" t="e">
        <f>datapageCompdecSpecProg11</f>
        <v>#VALUE!</v>
      </c>
      <c r="R51" s="562">
        <v>0</v>
      </c>
      <c r="S51" s="562">
        <v>0</v>
      </c>
      <c r="T51" s="562">
        <v>0</v>
      </c>
    </row>
    <row r="52" spans="1:20" ht="12" thickBot="1">
      <c r="A52">
        <v>12</v>
      </c>
      <c r="B52" t="s">
        <v>3225</v>
      </c>
      <c r="D52" s="576" t="b">
        <v>0</v>
      </c>
      <c r="E52" s="1093" t="b">
        <f>tlInputSpecProg12Chosen</f>
        <v>0</v>
      </c>
      <c r="F52" s="34">
        <f>datapageCompdecSpecProg12</f>
        <v>0</v>
      </c>
      <c r="G52" s="34">
        <f>datapageCompdecSpecProg12</f>
        <v>0</v>
      </c>
      <c r="H52" s="123" t="s">
        <v>3209</v>
      </c>
      <c r="I52" s="559" t="b">
        <v>0</v>
      </c>
      <c r="J52" s="560" t="b">
        <f>tlInputSpecProg12Chosen</f>
        <v>0</v>
      </c>
      <c r="K52" s="560" t="e">
        <f>datapageCompdecSpecProg12</f>
        <v>#VALUE!</v>
      </c>
      <c r="R52" s="562">
        <v>0</v>
      </c>
      <c r="S52" s="562">
        <v>0</v>
      </c>
      <c r="T52" s="562">
        <v>0</v>
      </c>
    </row>
    <row r="53" spans="1:20" ht="12" thickBot="1">
      <c r="A53">
        <v>13</v>
      </c>
      <c r="B53" t="s">
        <v>3226</v>
      </c>
      <c r="D53" s="576" t="b">
        <v>0</v>
      </c>
      <c r="E53" s="1093" t="b">
        <f>tlInputSpecProg13Chosen</f>
        <v>0</v>
      </c>
      <c r="F53" s="34">
        <f>datapageCompdecSpecProg13</f>
        <v>0</v>
      </c>
      <c r="G53" s="34">
        <f>datapageCompdecSpecProg13</f>
        <v>0</v>
      </c>
      <c r="H53" s="123" t="s">
        <v>3210</v>
      </c>
      <c r="I53" s="559" t="b">
        <v>0</v>
      </c>
      <c r="J53" s="560" t="b">
        <f>tlInputSpecProg13Chosen</f>
        <v>0</v>
      </c>
      <c r="K53" s="560" t="e">
        <f>datapageCompdecSpecProg13</f>
        <v>#VALUE!</v>
      </c>
      <c r="R53" s="562">
        <v>0</v>
      </c>
      <c r="S53" s="562">
        <v>0</v>
      </c>
      <c r="T53" s="562">
        <v>0</v>
      </c>
    </row>
    <row r="54" spans="1:20" ht="12" thickBot="1">
      <c r="A54">
        <v>14</v>
      </c>
      <c r="B54" t="s">
        <v>3227</v>
      </c>
      <c r="D54" s="576" t="b">
        <v>0</v>
      </c>
      <c r="E54" s="1093" t="b">
        <f>tlInputSpecProg14Chosen</f>
        <v>0</v>
      </c>
      <c r="F54" s="34">
        <f>datapageCompdecSpecProg14</f>
        <v>0</v>
      </c>
      <c r="G54" s="34">
        <f>datapageCompdecSpecProg14</f>
        <v>0</v>
      </c>
      <c r="H54" s="123" t="s">
        <v>3211</v>
      </c>
      <c r="I54" s="559" t="b">
        <v>0</v>
      </c>
      <c r="J54" s="560" t="b">
        <f>tlInputSpecProg14Chosen</f>
        <v>0</v>
      </c>
      <c r="K54" s="560" t="e">
        <f>datapageCompdecSpecProg14</f>
        <v>#VALUE!</v>
      </c>
      <c r="R54" s="562">
        <v>0</v>
      </c>
      <c r="S54" s="562">
        <v>0</v>
      </c>
      <c r="T54" s="562">
        <v>0</v>
      </c>
    </row>
    <row r="55" spans="1:20" ht="12" thickBot="1">
      <c r="A55">
        <v>15</v>
      </c>
      <c r="B55" t="s">
        <v>3228</v>
      </c>
      <c r="D55" s="576" t="b">
        <v>0</v>
      </c>
      <c r="E55" s="1093" t="b">
        <f>tlInputSpecProg15Chosen</f>
        <v>0</v>
      </c>
      <c r="F55" s="34">
        <f>datapageCompdecSpecProg15</f>
        <v>0</v>
      </c>
      <c r="G55" s="34">
        <f>datapageCompdecSpecProg15</f>
        <v>0</v>
      </c>
      <c r="H55" s="123" t="s">
        <v>3212</v>
      </c>
      <c r="I55" s="559" t="b">
        <v>0</v>
      </c>
      <c r="J55" s="560" t="b">
        <f>tlInputSpecProg15Chosen</f>
        <v>0</v>
      </c>
      <c r="K55" s="560" t="e">
        <f>datapageCompdecSpecProg15</f>
        <v>#VALUE!</v>
      </c>
      <c r="R55" s="562">
        <v>0</v>
      </c>
      <c r="S55" s="562">
        <v>0</v>
      </c>
      <c r="T55" s="562">
        <v>0</v>
      </c>
    </row>
    <row r="56" spans="1:20" ht="12" thickBot="1">
      <c r="A56">
        <v>16</v>
      </c>
      <c r="B56" t="s">
        <v>3229</v>
      </c>
      <c r="D56" s="576" t="b">
        <v>0</v>
      </c>
      <c r="E56" s="1093" t="b">
        <f>tlInputSpecProg16Chosen</f>
        <v>0</v>
      </c>
      <c r="F56" s="34">
        <f>datapageCompdecSpecProg16</f>
        <v>0</v>
      </c>
      <c r="G56" s="34">
        <f>datapageCompdecSpecProg16</f>
        <v>0</v>
      </c>
      <c r="H56" s="123" t="s">
        <v>3213</v>
      </c>
      <c r="I56" s="559" t="b">
        <v>0</v>
      </c>
      <c r="J56" s="560" t="b">
        <f>tlInputSpecProg16Chosen</f>
        <v>0</v>
      </c>
      <c r="K56" s="560" t="e">
        <f>datapageCompdecSpecProg16</f>
        <v>#VALUE!</v>
      </c>
      <c r="R56" s="562">
        <v>0</v>
      </c>
      <c r="S56" s="562">
        <v>0</v>
      </c>
      <c r="T56" s="562">
        <v>0</v>
      </c>
    </row>
    <row r="57" spans="1:20" ht="12" thickBot="1">
      <c r="A57">
        <v>17</v>
      </c>
      <c r="B57" t="s">
        <v>3230</v>
      </c>
      <c r="D57" s="576" t="b">
        <v>0</v>
      </c>
      <c r="E57" s="1093" t="b">
        <f>tlInputSpecProg17Chosen</f>
        <v>0</v>
      </c>
      <c r="F57" s="34">
        <f>datapageCompdecSpecProg17</f>
        <v>0</v>
      </c>
      <c r="G57" s="34">
        <f>datapageCompdecSpecProg17</f>
        <v>0</v>
      </c>
      <c r="H57" s="123" t="s">
        <v>3214</v>
      </c>
      <c r="I57" s="559" t="b">
        <v>0</v>
      </c>
      <c r="J57" s="560" t="b">
        <f>tlInputSpecProg17Chosen</f>
        <v>0</v>
      </c>
      <c r="K57" s="560" t="e">
        <f>datapageCompdecSpecProg17</f>
        <v>#VALUE!</v>
      </c>
      <c r="R57" s="562">
        <v>0</v>
      </c>
      <c r="S57" s="562">
        <v>0</v>
      </c>
      <c r="T57" s="562">
        <v>0</v>
      </c>
    </row>
    <row r="58" spans="1:20" ht="12" thickBot="1">
      <c r="A58">
        <v>18</v>
      </c>
      <c r="B58" t="s">
        <v>3231</v>
      </c>
      <c r="D58" s="576" t="b">
        <v>0</v>
      </c>
      <c r="E58" s="1093" t="b">
        <f>tlInputSpecProg18Chosen</f>
        <v>0</v>
      </c>
      <c r="F58" s="34">
        <f>datapageCompdecSpecProg18</f>
        <v>0</v>
      </c>
      <c r="G58" s="34">
        <f>datapageCompdecSpecProg18</f>
        <v>0</v>
      </c>
      <c r="H58" s="123" t="s">
        <v>3215</v>
      </c>
      <c r="I58" s="559" t="b">
        <v>0</v>
      </c>
      <c r="J58" s="560" t="b">
        <f>tlInputSpecProg18Chosen</f>
        <v>0</v>
      </c>
      <c r="K58" s="560" t="e">
        <f>datapageCompdecSpecProg18</f>
        <v>#VALUE!</v>
      </c>
      <c r="R58" s="562">
        <v>0</v>
      </c>
      <c r="S58" s="562">
        <v>0</v>
      </c>
      <c r="T58" s="562">
        <v>0</v>
      </c>
    </row>
    <row r="59" spans="1:20" ht="12" thickBot="1">
      <c r="A59">
        <v>19</v>
      </c>
      <c r="B59" t="s">
        <v>3232</v>
      </c>
      <c r="D59" s="576" t="b">
        <v>0</v>
      </c>
      <c r="E59" s="1093" t="b">
        <f>tlInputSpecProg19Chosen</f>
        <v>0</v>
      </c>
      <c r="F59" s="34">
        <f>datapageCompdecSpecProg19</f>
        <v>0</v>
      </c>
      <c r="G59" s="34">
        <f>datapageCompdecSpecProg19</f>
        <v>0</v>
      </c>
      <c r="H59" s="123" t="s">
        <v>3216</v>
      </c>
      <c r="I59" s="559" t="b">
        <v>0</v>
      </c>
      <c r="J59" s="560" t="b">
        <f>tlInputSpecProg19Chosen</f>
        <v>0</v>
      </c>
      <c r="K59" s="560" t="e">
        <f>datapageCompdecSpecProg19</f>
        <v>#VALUE!</v>
      </c>
      <c r="R59" s="562">
        <v>0</v>
      </c>
      <c r="S59" s="562">
        <v>0</v>
      </c>
      <c r="T59" s="562">
        <v>0</v>
      </c>
    </row>
    <row r="60" spans="1:20" ht="12" thickBot="1">
      <c r="A60">
        <v>20</v>
      </c>
      <c r="B60" t="s">
        <v>3233</v>
      </c>
      <c r="D60" s="576" t="b">
        <v>0</v>
      </c>
      <c r="E60" s="1093" t="b">
        <f>tlInputSpecProg20Chosen</f>
        <v>0</v>
      </c>
      <c r="F60" s="34">
        <f>datapageCompdecSpecProg20</f>
        <v>0</v>
      </c>
      <c r="G60" s="34">
        <f>datapageCompdecSpecProg20</f>
        <v>0</v>
      </c>
      <c r="H60" s="123" t="s">
        <v>3217</v>
      </c>
      <c r="I60" s="559" t="b">
        <v>0</v>
      </c>
      <c r="J60" s="560" t="b">
        <f>tlInputSpecProg20Chosen</f>
        <v>0</v>
      </c>
      <c r="K60" s="560" t="e">
        <f>datapageCompdecSpecProg20</f>
        <v>#VALUE!</v>
      </c>
      <c r="R60" s="562">
        <v>0</v>
      </c>
      <c r="S60" s="562">
        <v>0</v>
      </c>
      <c r="T60" s="562">
        <v>0</v>
      </c>
    </row>
    <row r="61" spans="1:20" ht="12" thickBot="1">
      <c r="A61">
        <v>21</v>
      </c>
      <c r="B61" t="s">
        <v>3234</v>
      </c>
      <c r="D61" s="576" t="b">
        <v>0</v>
      </c>
      <c r="E61" s="1093" t="b">
        <f>tlInputSpecProg21Chosen</f>
        <v>0</v>
      </c>
      <c r="F61" s="34">
        <f>datapageCompdecSpecProg21</f>
        <v>0</v>
      </c>
      <c r="G61" s="34">
        <f>datapageCompdecSpecProg21</f>
        <v>0</v>
      </c>
      <c r="H61" s="123" t="s">
        <v>3218</v>
      </c>
      <c r="I61" s="559" t="b">
        <v>0</v>
      </c>
      <c r="J61" s="560" t="b">
        <f>tlInputSpecProg21Chosen</f>
        <v>0</v>
      </c>
      <c r="K61" s="560" t="e">
        <f>datapageCompdecSpecProg21</f>
        <v>#VALUE!</v>
      </c>
      <c r="R61" s="562">
        <v>0</v>
      </c>
      <c r="S61" s="562">
        <v>0</v>
      </c>
      <c r="T61" s="562">
        <v>0</v>
      </c>
    </row>
    <row r="62" spans="1:20" ht="12" thickBot="1">
      <c r="A62">
        <v>22</v>
      </c>
      <c r="B62" t="s">
        <v>3235</v>
      </c>
      <c r="D62" s="576" t="b">
        <v>0</v>
      </c>
      <c r="E62" s="1093" t="b">
        <f>tlInputSpecProg22Chosen</f>
        <v>0</v>
      </c>
      <c r="F62" s="34">
        <f>datapageCompdecSpecProg22</f>
        <v>0</v>
      </c>
      <c r="G62" s="34">
        <f>datapageCompdecSpecProg22</f>
        <v>0</v>
      </c>
      <c r="H62" s="123" t="s">
        <v>3219</v>
      </c>
      <c r="I62" s="559" t="b">
        <v>0</v>
      </c>
      <c r="J62" s="560" t="b">
        <f>tlInputSpecProg22Chosen</f>
        <v>0</v>
      </c>
      <c r="K62" s="560" t="e">
        <f>datapageCompdecSpecProg22</f>
        <v>#VALUE!</v>
      </c>
      <c r="R62" s="562">
        <v>0</v>
      </c>
      <c r="S62" s="562">
        <v>0</v>
      </c>
      <c r="T62" s="562">
        <v>0</v>
      </c>
    </row>
    <row r="63" spans="1:20" ht="12" thickBot="1">
      <c r="A63">
        <v>23</v>
      </c>
      <c r="B63" t="s">
        <v>3236</v>
      </c>
      <c r="D63" s="576" t="b">
        <v>0</v>
      </c>
      <c r="E63" s="1093" t="b">
        <f>tlInputSpecProg23Chosen</f>
        <v>0</v>
      </c>
      <c r="F63" s="34">
        <f>datapageCompdecSpecProg23</f>
        <v>0</v>
      </c>
      <c r="G63" s="34">
        <f>datapageCompdecSpecProg23</f>
        <v>0</v>
      </c>
      <c r="H63" s="123" t="s">
        <v>3220</v>
      </c>
      <c r="I63" s="559" t="b">
        <v>0</v>
      </c>
      <c r="J63" s="560" t="b">
        <f>tlInputSpecProg23Chosen</f>
        <v>0</v>
      </c>
      <c r="K63" s="560" t="e">
        <f>datapageCompdecSpecProg23</f>
        <v>#VALUE!</v>
      </c>
      <c r="R63" s="562">
        <v>0</v>
      </c>
      <c r="S63" s="562">
        <v>0</v>
      </c>
      <c r="T63" s="562">
        <v>0</v>
      </c>
    </row>
    <row r="64" spans="1:20" ht="12" thickBot="1">
      <c r="A64">
        <v>24</v>
      </c>
      <c r="B64" t="s">
        <v>3237</v>
      </c>
      <c r="D64" s="576" t="b">
        <v>0</v>
      </c>
      <c r="E64" s="1093" t="b">
        <f>tlInputSpecProg24Chosen</f>
        <v>0</v>
      </c>
      <c r="F64" s="34">
        <f>datapageCompdecSpecProg24</f>
        <v>0</v>
      </c>
      <c r="G64" s="34">
        <f>datapageCompdecSpecProg24</f>
        <v>0</v>
      </c>
      <c r="H64" s="123" t="s">
        <v>3221</v>
      </c>
      <c r="I64" s="559" t="b">
        <v>0</v>
      </c>
      <c r="J64" s="560" t="b">
        <f>tlInputSpecProg24Chosen</f>
        <v>0</v>
      </c>
      <c r="K64" s="560" t="e">
        <f>datapageCompdecSpecProg24</f>
        <v>#VALUE!</v>
      </c>
      <c r="R64" s="562">
        <v>0</v>
      </c>
      <c r="S64" s="562">
        <v>0</v>
      </c>
      <c r="T64" s="562">
        <v>0</v>
      </c>
    </row>
    <row r="65" spans="1:20" ht="12" thickBot="1">
      <c r="A65">
        <v>101</v>
      </c>
      <c r="B65" t="s">
        <v>3263</v>
      </c>
      <c r="D65" s="576" t="b">
        <v>0</v>
      </c>
      <c r="E65" s="1093" t="b">
        <f>tlInputEvent101Chosen</f>
        <v>0</v>
      </c>
      <c r="F65" s="34">
        <f>datapageCompdecEvent101</f>
        <v>0</v>
      </c>
      <c r="G65" s="34">
        <f>datapageCompdecEvent101</f>
        <v>0</v>
      </c>
      <c r="H65" s="579" t="s">
        <v>3238</v>
      </c>
      <c r="I65" s="559" t="b">
        <v>0</v>
      </c>
      <c r="J65" s="560" t="b">
        <f>tlInputEvent101Chosen</f>
        <v>0</v>
      </c>
      <c r="K65" s="560" t="e">
        <f>datapageCompdecEvent101</f>
        <v>#VALUE!</v>
      </c>
      <c r="R65" s="562">
        <v>0</v>
      </c>
      <c r="S65" s="562">
        <v>0</v>
      </c>
      <c r="T65" s="562">
        <v>0</v>
      </c>
    </row>
    <row r="66" spans="1:20" ht="12" thickBot="1">
      <c r="A66">
        <v>102</v>
      </c>
      <c r="B66" t="s">
        <v>3264</v>
      </c>
      <c r="D66" s="576" t="b">
        <v>0</v>
      </c>
      <c r="E66" s="1093" t="b">
        <f>tlInputEvent102Chosen</f>
        <v>0</v>
      </c>
      <c r="F66" s="34">
        <f>datapageCompdecEvent102</f>
        <v>0</v>
      </c>
      <c r="G66" s="34">
        <f>datapageCompdecEvent102</f>
        <v>0</v>
      </c>
      <c r="H66" s="579" t="s">
        <v>3239</v>
      </c>
      <c r="I66" s="559" t="b">
        <v>0</v>
      </c>
      <c r="J66" s="560" t="b">
        <f>tlInputEvent102Chosen</f>
        <v>0</v>
      </c>
      <c r="K66" s="560" t="e">
        <f>datapageCompdecEvent102</f>
        <v>#VALUE!</v>
      </c>
      <c r="R66" s="562">
        <v>0</v>
      </c>
      <c r="S66" s="562">
        <v>0</v>
      </c>
      <c r="T66" s="562">
        <v>0</v>
      </c>
    </row>
    <row r="67" spans="1:20" ht="12" thickBot="1">
      <c r="A67">
        <v>103</v>
      </c>
      <c r="B67" t="s">
        <v>3265</v>
      </c>
      <c r="D67" s="576" t="b">
        <v>0</v>
      </c>
      <c r="E67" s="1093" t="b">
        <f>tlInputEvent103Chosen</f>
        <v>0</v>
      </c>
      <c r="F67" s="34">
        <f>datapageCompdecEvent103</f>
        <v>0</v>
      </c>
      <c r="G67" s="34">
        <f>datapageCompdecEvent103</f>
        <v>0</v>
      </c>
      <c r="H67" s="579" t="s">
        <v>3240</v>
      </c>
      <c r="I67" s="559" t="b">
        <v>0</v>
      </c>
      <c r="J67" s="560" t="b">
        <f>tlInputEvent103Chosen</f>
        <v>0</v>
      </c>
      <c r="K67" s="560" t="e">
        <f>datapageCompdecEvent103</f>
        <v>#VALUE!</v>
      </c>
      <c r="R67" s="562">
        <v>0</v>
      </c>
      <c r="S67" s="562">
        <v>0</v>
      </c>
      <c r="T67" s="562">
        <v>0</v>
      </c>
    </row>
    <row r="68" spans="1:20" ht="12" thickBot="1">
      <c r="A68">
        <v>201</v>
      </c>
      <c r="B68" t="s">
        <v>3266</v>
      </c>
      <c r="D68" s="576" t="b">
        <v>0</v>
      </c>
      <c r="E68" s="1093" t="b">
        <f>tlInputEvent201Chosen</f>
        <v>0</v>
      </c>
      <c r="F68" s="34">
        <f>datapageCompdecEvent201</f>
        <v>0</v>
      </c>
      <c r="G68" s="34">
        <f>datapageCompdecEvent201</f>
        <v>0</v>
      </c>
      <c r="H68" s="579" t="s">
        <v>3241</v>
      </c>
      <c r="I68" s="559" t="b">
        <v>0</v>
      </c>
      <c r="J68" s="560" t="b">
        <f>tlInputEvent201Chosen</f>
        <v>0</v>
      </c>
      <c r="K68" s="560" t="e">
        <f>datapageCompdecEvent201</f>
        <v>#VALUE!</v>
      </c>
      <c r="R68" s="562">
        <v>0</v>
      </c>
      <c r="S68" s="562">
        <v>0</v>
      </c>
      <c r="T68" s="562">
        <v>0</v>
      </c>
    </row>
    <row r="69" spans="1:20" ht="12" thickBot="1">
      <c r="A69">
        <v>202</v>
      </c>
      <c r="B69" t="s">
        <v>3267</v>
      </c>
      <c r="D69" s="576" t="b">
        <v>0</v>
      </c>
      <c r="E69" s="1093" t="b">
        <f>tlInputEvent202Chosen</f>
        <v>0</v>
      </c>
      <c r="F69" s="34">
        <f>datapageCompdecEvent202</f>
        <v>0</v>
      </c>
      <c r="G69" s="34">
        <f>datapageCompdecEvent202</f>
        <v>0</v>
      </c>
      <c r="H69" s="579" t="s">
        <v>3242</v>
      </c>
      <c r="I69" s="559" t="b">
        <v>0</v>
      </c>
      <c r="J69" s="560" t="b">
        <f>tlInputEvent202Chosen</f>
        <v>0</v>
      </c>
      <c r="K69" s="560" t="e">
        <f>datapageCompdecEvent202</f>
        <v>#VALUE!</v>
      </c>
      <c r="R69" s="562">
        <v>0</v>
      </c>
      <c r="S69" s="562">
        <v>0</v>
      </c>
      <c r="T69" s="562">
        <v>0</v>
      </c>
    </row>
    <row r="70" spans="1:20" ht="12" thickBot="1">
      <c r="A70">
        <v>203</v>
      </c>
      <c r="B70" t="s">
        <v>3268</v>
      </c>
      <c r="D70" s="576" t="b">
        <v>0</v>
      </c>
      <c r="E70" s="1093" t="b">
        <f>tlInputEvent203Chosen</f>
        <v>0</v>
      </c>
      <c r="F70" s="34">
        <f>datapageCompdecEvent203</f>
        <v>0</v>
      </c>
      <c r="G70" s="34">
        <f>datapageCompdecEvent203</f>
        <v>0</v>
      </c>
      <c r="H70" s="579" t="s">
        <v>3243</v>
      </c>
      <c r="I70" s="559" t="b">
        <v>0</v>
      </c>
      <c r="J70" s="560" t="b">
        <f>tlInputEvent203Chosen</f>
        <v>0</v>
      </c>
      <c r="K70" s="560" t="e">
        <f>datapageCompdecEvent203</f>
        <v>#VALUE!</v>
      </c>
      <c r="R70" s="562">
        <v>0</v>
      </c>
      <c r="S70" s="562">
        <v>0</v>
      </c>
      <c r="T70" s="562">
        <v>0</v>
      </c>
    </row>
    <row r="71" spans="1:20" ht="12" thickBot="1">
      <c r="A71">
        <v>301</v>
      </c>
      <c r="B71" t="s">
        <v>3269</v>
      </c>
      <c r="D71" s="576" t="b">
        <v>0</v>
      </c>
      <c r="E71" s="1093" t="b">
        <f>tlInputEvent301Chosen</f>
        <v>0</v>
      </c>
      <c r="F71" s="34">
        <f>datapageCompdecEvent301</f>
        <v>0</v>
      </c>
      <c r="G71" s="34">
        <f>datapageCompdecEvent301</f>
        <v>0</v>
      </c>
      <c r="H71" s="579" t="s">
        <v>3244</v>
      </c>
      <c r="I71" s="559" t="b">
        <v>0</v>
      </c>
      <c r="J71" s="560" t="b">
        <f>tlInputEvent301Chosen</f>
        <v>0</v>
      </c>
      <c r="K71" s="560" t="e">
        <f>datapageCompdecEvent301</f>
        <v>#VALUE!</v>
      </c>
      <c r="R71" s="562">
        <v>0</v>
      </c>
      <c r="S71" s="562">
        <v>0</v>
      </c>
      <c r="T71" s="562">
        <v>0</v>
      </c>
    </row>
    <row r="72" spans="1:20" ht="12" thickBot="1">
      <c r="A72">
        <v>302</v>
      </c>
      <c r="B72" t="s">
        <v>3270</v>
      </c>
      <c r="D72" s="576" t="b">
        <v>0</v>
      </c>
      <c r="E72" s="1093" t="b">
        <f>tlInputEvent302Chosen</f>
        <v>0</v>
      </c>
      <c r="F72" s="34">
        <f>datapageCompdecEvent302</f>
        <v>0</v>
      </c>
      <c r="G72" s="34">
        <f>datapageCompdecEvent302</f>
        <v>0</v>
      </c>
      <c r="H72" s="579" t="s">
        <v>3245</v>
      </c>
      <c r="I72" s="559" t="b">
        <v>0</v>
      </c>
      <c r="J72" s="560" t="b">
        <f>tlInputEvent302Chosen</f>
        <v>0</v>
      </c>
      <c r="K72" s="560" t="e">
        <f>datapageCompdecEvent302</f>
        <v>#VALUE!</v>
      </c>
      <c r="R72" s="562">
        <v>0</v>
      </c>
      <c r="S72" s="562">
        <v>0</v>
      </c>
      <c r="T72" s="562">
        <v>0</v>
      </c>
    </row>
    <row r="73" spans="1:20" ht="12" thickBot="1">
      <c r="A73">
        <v>401</v>
      </c>
      <c r="B73" t="s">
        <v>3271</v>
      </c>
      <c r="D73" s="576" t="b">
        <v>0</v>
      </c>
      <c r="E73" s="1093" t="b">
        <f>tlInputEvent401Chosen</f>
        <v>0</v>
      </c>
      <c r="F73" s="34">
        <f>datapageCompdecEvent401</f>
        <v>0</v>
      </c>
      <c r="G73" s="34">
        <f>datapageCompdecEvent401</f>
        <v>0</v>
      </c>
      <c r="H73" s="579" t="s">
        <v>3246</v>
      </c>
      <c r="I73" s="559" t="b">
        <v>0</v>
      </c>
      <c r="J73" s="560" t="b">
        <f>tlInputEvent401Chosen</f>
        <v>0</v>
      </c>
      <c r="K73" s="560" t="e">
        <f>datapageCompdecEvent401</f>
        <v>#VALUE!</v>
      </c>
      <c r="R73" s="562">
        <v>0</v>
      </c>
      <c r="S73" s="562">
        <v>0</v>
      </c>
      <c r="T73" s="562">
        <v>0</v>
      </c>
    </row>
    <row r="74" spans="1:20" ht="12" thickBot="1">
      <c r="A74">
        <v>402</v>
      </c>
      <c r="B74" t="s">
        <v>3272</v>
      </c>
      <c r="D74" s="576" t="b">
        <v>0</v>
      </c>
      <c r="E74" s="1093" t="b">
        <f>tlInputEvent402Chosen</f>
        <v>0</v>
      </c>
      <c r="F74" s="34">
        <f>datapageCompdecEvent402</f>
        <v>0</v>
      </c>
      <c r="G74" s="34">
        <f>datapageCompdecEvent402</f>
        <v>0</v>
      </c>
      <c r="H74" s="579" t="s">
        <v>3247</v>
      </c>
      <c r="I74" s="559" t="b">
        <v>0</v>
      </c>
      <c r="J74" s="560" t="b">
        <f>tlInputEvent402Chosen</f>
        <v>0</v>
      </c>
      <c r="K74" s="560" t="e">
        <f>datapageCompdecEvent402</f>
        <v>#VALUE!</v>
      </c>
      <c r="R74" s="562">
        <v>0</v>
      </c>
      <c r="S74" s="562">
        <v>0</v>
      </c>
      <c r="T74" s="562">
        <v>0</v>
      </c>
    </row>
    <row r="75" spans="1:20" ht="12" thickBot="1">
      <c r="A75">
        <v>403</v>
      </c>
      <c r="B75" t="s">
        <v>3273</v>
      </c>
      <c r="D75" s="576" t="b">
        <v>0</v>
      </c>
      <c r="E75" s="1093" t="b">
        <f>tlInputEvent403Chosen</f>
        <v>0</v>
      </c>
      <c r="F75" s="34">
        <f>datapageCompdecEvent403</f>
        <v>0</v>
      </c>
      <c r="G75" s="34">
        <f>datapageCompdecEvent403</f>
        <v>0</v>
      </c>
      <c r="H75" s="579" t="s">
        <v>3248</v>
      </c>
      <c r="I75" s="559" t="b">
        <v>0</v>
      </c>
      <c r="J75" s="560" t="b">
        <f>tlInputEvent403Chosen</f>
        <v>0</v>
      </c>
      <c r="K75" s="560" t="e">
        <f>datapageCompdecEvent403</f>
        <v>#VALUE!</v>
      </c>
      <c r="R75" s="562">
        <v>0</v>
      </c>
      <c r="S75" s="562">
        <v>0</v>
      </c>
      <c r="T75" s="562">
        <v>0</v>
      </c>
    </row>
    <row r="76" spans="1:20" ht="12" thickBot="1">
      <c r="A76">
        <v>501</v>
      </c>
      <c r="B76" t="s">
        <v>3274</v>
      </c>
      <c r="D76" s="576" t="b">
        <v>0</v>
      </c>
      <c r="E76" s="1093" t="b">
        <f>tlInputEvent501Chosen</f>
        <v>0</v>
      </c>
      <c r="F76" s="34">
        <f>datapageCompdecEvent501</f>
        <v>0</v>
      </c>
      <c r="G76" s="34">
        <f>datapageCompdecEvent501</f>
        <v>0</v>
      </c>
      <c r="H76" s="579" t="s">
        <v>3249</v>
      </c>
      <c r="I76" s="559" t="b">
        <v>0</v>
      </c>
      <c r="J76" s="560" t="b">
        <f>tlInputEvent501Chosen</f>
        <v>0</v>
      </c>
      <c r="K76" s="560" t="e">
        <f>datapageCompdecEvent501</f>
        <v>#VALUE!</v>
      </c>
      <c r="R76" s="562">
        <v>0</v>
      </c>
      <c r="S76" s="562">
        <v>0</v>
      </c>
      <c r="T76" s="562">
        <v>0</v>
      </c>
    </row>
    <row r="77" spans="1:20" ht="12" thickBot="1">
      <c r="A77">
        <v>502</v>
      </c>
      <c r="B77" t="s">
        <v>3275</v>
      </c>
      <c r="D77" s="576" t="b">
        <v>0</v>
      </c>
      <c r="E77" s="1093" t="b">
        <f>tlInputEvent502Chosen</f>
        <v>0</v>
      </c>
      <c r="F77" s="34">
        <f>datapageCompdecEvent502</f>
        <v>0</v>
      </c>
      <c r="G77" s="34">
        <f>datapageCompdecEvent502</f>
        <v>0</v>
      </c>
      <c r="H77" s="579" t="s">
        <v>3250</v>
      </c>
      <c r="I77" s="559" t="b">
        <v>0</v>
      </c>
      <c r="J77" s="560" t="b">
        <f>tlInputEvent502Chosen</f>
        <v>0</v>
      </c>
      <c r="K77" s="560" t="e">
        <f>datapageCompdecEvent502</f>
        <v>#VALUE!</v>
      </c>
      <c r="R77" s="562">
        <v>0</v>
      </c>
      <c r="S77" s="562">
        <v>0</v>
      </c>
      <c r="T77" s="562">
        <v>0</v>
      </c>
    </row>
    <row r="78" spans="1:20" ht="12" thickBot="1">
      <c r="A78">
        <v>503</v>
      </c>
      <c r="B78" t="s">
        <v>3276</v>
      </c>
      <c r="D78" s="576" t="b">
        <v>0</v>
      </c>
      <c r="E78" s="1093" t="b">
        <f>tlInputEvent503Chosen</f>
        <v>0</v>
      </c>
      <c r="F78" s="34">
        <f>datapageCompdecEvent503</f>
        <v>0</v>
      </c>
      <c r="G78" s="34">
        <f>datapageCompdecEvent503</f>
        <v>0</v>
      </c>
      <c r="H78" s="579" t="s">
        <v>3251</v>
      </c>
      <c r="I78" s="559" t="b">
        <v>0</v>
      </c>
      <c r="J78" s="560" t="b">
        <f>tlInputEvent503Chosen</f>
        <v>0</v>
      </c>
      <c r="K78" s="560" t="e">
        <f>datapageCompdecEvent503</f>
        <v>#VALUE!</v>
      </c>
      <c r="R78" s="562">
        <v>0</v>
      </c>
      <c r="S78" s="562">
        <v>0</v>
      </c>
      <c r="T78" s="562">
        <v>0</v>
      </c>
    </row>
    <row r="79" spans="1:20" ht="12" thickBot="1">
      <c r="A79">
        <v>601</v>
      </c>
      <c r="B79" t="s">
        <v>3277</v>
      </c>
      <c r="D79" s="576" t="b">
        <v>0</v>
      </c>
      <c r="E79" s="1093" t="b">
        <f>tlInputEvent601Chosen</f>
        <v>0</v>
      </c>
      <c r="F79" s="34">
        <f>datapageCompdecEvent601</f>
        <v>0</v>
      </c>
      <c r="G79" s="34">
        <f>datapageCompdecEvent601</f>
        <v>0</v>
      </c>
      <c r="H79" s="579" t="s">
        <v>3252</v>
      </c>
      <c r="I79" s="559" t="b">
        <v>0</v>
      </c>
      <c r="J79" s="560" t="b">
        <f>tlInputEvent601Chosen</f>
        <v>0</v>
      </c>
      <c r="K79" s="560" t="e">
        <f>datapageCompdecEvent601</f>
        <v>#VALUE!</v>
      </c>
      <c r="R79" s="562">
        <v>0</v>
      </c>
      <c r="S79" s="562">
        <v>0</v>
      </c>
      <c r="T79" s="562">
        <v>0</v>
      </c>
    </row>
    <row r="80" spans="1:20" ht="12" thickBot="1">
      <c r="A80">
        <v>602</v>
      </c>
      <c r="B80" t="s">
        <v>3278</v>
      </c>
      <c r="D80" s="576" t="b">
        <v>0</v>
      </c>
      <c r="E80" s="1093" t="b">
        <f>tlInputEvent602Chosen</f>
        <v>0</v>
      </c>
      <c r="F80" s="34">
        <f>datapageCompdecEvent602</f>
        <v>0</v>
      </c>
      <c r="G80" s="34">
        <f>datapageCompdecEvent602</f>
        <v>0</v>
      </c>
      <c r="H80" s="579" t="s">
        <v>3253</v>
      </c>
      <c r="I80" s="559" t="b">
        <v>0</v>
      </c>
      <c r="J80" s="560" t="b">
        <f>tlInputEvent602Chosen</f>
        <v>0</v>
      </c>
      <c r="K80" s="560" t="e">
        <f>datapageCompdecEvent602</f>
        <v>#VALUE!</v>
      </c>
      <c r="R80" s="562">
        <v>0</v>
      </c>
      <c r="S80" s="562">
        <v>0</v>
      </c>
      <c r="T80" s="562">
        <v>0</v>
      </c>
    </row>
    <row r="81" spans="1:20" ht="12" thickBot="1">
      <c r="A81">
        <v>603</v>
      </c>
      <c r="B81" t="s">
        <v>3279</v>
      </c>
      <c r="D81" s="576" t="b">
        <v>0</v>
      </c>
      <c r="E81" s="1093" t="b">
        <f>tlInputEvent603Chosen</f>
        <v>0</v>
      </c>
      <c r="F81" s="34">
        <f>datapageCompdecEvent603</f>
        <v>0</v>
      </c>
      <c r="G81" s="34">
        <f>datapageCompdecEvent603</f>
        <v>0</v>
      </c>
      <c r="H81" s="579" t="s">
        <v>3254</v>
      </c>
      <c r="I81" s="559" t="b">
        <v>0</v>
      </c>
      <c r="J81" s="560" t="b">
        <f>tlInputEvent603Chosen</f>
        <v>0</v>
      </c>
      <c r="K81" s="560" t="e">
        <f>datapageCompdecEvent603</f>
        <v>#VALUE!</v>
      </c>
      <c r="R81" s="562">
        <v>0</v>
      </c>
      <c r="S81" s="562">
        <v>0</v>
      </c>
      <c r="T81" s="562">
        <v>0</v>
      </c>
    </row>
    <row r="82" spans="1:20" ht="12" thickBot="1">
      <c r="A82">
        <v>701</v>
      </c>
      <c r="B82" t="s">
        <v>3280</v>
      </c>
      <c r="D82" s="576" t="b">
        <v>0</v>
      </c>
      <c r="E82" s="1093" t="b">
        <f>tlInputEvent701Chosen</f>
        <v>0</v>
      </c>
      <c r="F82" s="34">
        <f>datapageCompdecEvent701</f>
        <v>0</v>
      </c>
      <c r="G82" s="34">
        <f>datapageCompdecEvent701</f>
        <v>0</v>
      </c>
      <c r="H82" s="579" t="s">
        <v>3255</v>
      </c>
      <c r="I82" s="559" t="b">
        <v>0</v>
      </c>
      <c r="J82" s="560" t="b">
        <f>tlInputEvent701Chosen</f>
        <v>0</v>
      </c>
      <c r="K82" s="560" t="e">
        <f>datapageCompdecEvent701</f>
        <v>#VALUE!</v>
      </c>
      <c r="R82" s="562">
        <v>0</v>
      </c>
      <c r="S82" s="562">
        <v>0</v>
      </c>
      <c r="T82" s="562">
        <v>0</v>
      </c>
    </row>
    <row r="83" spans="1:20" ht="12" thickBot="1">
      <c r="A83">
        <v>702</v>
      </c>
      <c r="B83" t="s">
        <v>3281</v>
      </c>
      <c r="D83" s="576" t="b">
        <v>0</v>
      </c>
      <c r="E83" s="1093" t="b">
        <f>tlInputEvent702Chosen</f>
        <v>0</v>
      </c>
      <c r="F83" s="34">
        <f>datapageCompdecEvent702</f>
        <v>0</v>
      </c>
      <c r="G83" s="34">
        <f>datapageCompdecEvent702</f>
        <v>0</v>
      </c>
      <c r="H83" s="579" t="s">
        <v>3256</v>
      </c>
      <c r="I83" s="559" t="b">
        <v>0</v>
      </c>
      <c r="J83" s="560" t="b">
        <f>tlInputEvent702Chosen</f>
        <v>0</v>
      </c>
      <c r="K83" s="560" t="e">
        <f>datapageCompdecEvent702</f>
        <v>#VALUE!</v>
      </c>
      <c r="R83" s="562">
        <v>0</v>
      </c>
      <c r="S83" s="562">
        <v>0</v>
      </c>
      <c r="T83" s="562">
        <v>0</v>
      </c>
    </row>
    <row r="84" spans="1:20" ht="12" thickBot="1">
      <c r="A84">
        <v>703</v>
      </c>
      <c r="B84" t="s">
        <v>3282</v>
      </c>
      <c r="D84" s="576" t="b">
        <v>0</v>
      </c>
      <c r="E84" s="1093" t="b">
        <f>tlInputEvent703Chosen</f>
        <v>0</v>
      </c>
      <c r="F84" s="34">
        <f>datapageCompdecEvent703</f>
        <v>0</v>
      </c>
      <c r="G84" s="34">
        <f>datapageCompdecEvent703</f>
        <v>0</v>
      </c>
      <c r="H84" s="579" t="s">
        <v>3257</v>
      </c>
      <c r="I84" s="559" t="b">
        <v>0</v>
      </c>
      <c r="J84" s="560" t="b">
        <f>tlInputEvent703Chosen</f>
        <v>0</v>
      </c>
      <c r="K84" s="560" t="e">
        <f>datapageCompdecEvent703</f>
        <v>#VALUE!</v>
      </c>
      <c r="R84" s="562">
        <v>0</v>
      </c>
      <c r="S84" s="562">
        <v>0</v>
      </c>
      <c r="T84" s="562">
        <v>0</v>
      </c>
    </row>
    <row r="85" spans="1:20" ht="12" thickBot="1">
      <c r="A85">
        <v>801</v>
      </c>
      <c r="B85" t="s">
        <v>3283</v>
      </c>
      <c r="D85" s="576" t="b">
        <v>0</v>
      </c>
      <c r="E85" s="1093" t="b">
        <f>tlInputEvent801Chosen</f>
        <v>0</v>
      </c>
      <c r="F85" s="34">
        <f>datapageCompdecEvent801</f>
        <v>0</v>
      </c>
      <c r="G85" s="34">
        <f>datapageCompdecEvent801</f>
        <v>0</v>
      </c>
      <c r="H85" s="579" t="s">
        <v>3258</v>
      </c>
      <c r="I85" s="559" t="b">
        <v>0</v>
      </c>
      <c r="J85" s="560" t="b">
        <f>tlInputEvent801Chosen</f>
        <v>0</v>
      </c>
      <c r="K85" s="560" t="e">
        <f>datapageCompdecEvent801</f>
        <v>#VALUE!</v>
      </c>
      <c r="R85" s="562">
        <v>0</v>
      </c>
      <c r="S85" s="562">
        <v>0</v>
      </c>
      <c r="T85" s="562">
        <v>0</v>
      </c>
    </row>
    <row r="86" spans="1:20" ht="12" thickBot="1">
      <c r="A86">
        <v>802</v>
      </c>
      <c r="B86" t="s">
        <v>3284</v>
      </c>
      <c r="D86" s="576" t="b">
        <v>0</v>
      </c>
      <c r="E86" s="1093" t="b">
        <f>tlInputEvent802Chosen</f>
        <v>0</v>
      </c>
      <c r="F86" s="34">
        <f>datapageCompdecEvent802</f>
        <v>0</v>
      </c>
      <c r="G86" s="34">
        <f>datapageCompdecEvent802</f>
        <v>0</v>
      </c>
      <c r="H86" s="579" t="s">
        <v>3259</v>
      </c>
      <c r="I86" s="559" t="b">
        <v>0</v>
      </c>
      <c r="J86" s="560" t="b">
        <f>tlInputEvent802Chosen</f>
        <v>0</v>
      </c>
      <c r="K86" s="560" t="e">
        <f>datapageCompdecEvent802</f>
        <v>#VALUE!</v>
      </c>
      <c r="R86" s="562">
        <v>0</v>
      </c>
      <c r="S86" s="562">
        <v>0</v>
      </c>
      <c r="T86" s="562">
        <v>0</v>
      </c>
    </row>
    <row r="87" spans="1:20" ht="12" thickBot="1">
      <c r="A87">
        <v>803</v>
      </c>
      <c r="B87" t="s">
        <v>3285</v>
      </c>
      <c r="D87" s="576" t="b">
        <v>0</v>
      </c>
      <c r="E87" s="1093" t="b">
        <f>tlInputEvent803Chosen</f>
        <v>0</v>
      </c>
      <c r="F87" s="34">
        <f>datapageCompdecEvent803</f>
        <v>0</v>
      </c>
      <c r="G87" s="34">
        <f>datapageCompdecEvent803</f>
        <v>0</v>
      </c>
      <c r="H87" s="579" t="s">
        <v>3260</v>
      </c>
      <c r="I87" s="559" t="b">
        <v>0</v>
      </c>
      <c r="J87" s="560" t="b">
        <f>tlInputEvent803Chosen</f>
        <v>0</v>
      </c>
      <c r="K87" s="560" t="e">
        <f>datapageCompdecEvent803</f>
        <v>#VALUE!</v>
      </c>
      <c r="R87" s="562">
        <v>0</v>
      </c>
      <c r="S87" s="562">
        <v>0</v>
      </c>
      <c r="T87" s="562">
        <v>0</v>
      </c>
    </row>
    <row r="88" spans="1:20" ht="12" thickBot="1">
      <c r="A88">
        <v>901</v>
      </c>
      <c r="B88" t="s">
        <v>3286</v>
      </c>
      <c r="D88" s="576" t="b">
        <v>0</v>
      </c>
      <c r="E88" s="1093" t="b">
        <f>tlInputEvent901Chosen</f>
        <v>0</v>
      </c>
      <c r="F88" s="34">
        <f>datapageCompdecEvent901</f>
        <v>0</v>
      </c>
      <c r="G88" s="34">
        <f>datapageCompdecEvent901</f>
        <v>0</v>
      </c>
      <c r="H88" s="579" t="s">
        <v>3261</v>
      </c>
      <c r="I88" s="559" t="b">
        <v>0</v>
      </c>
      <c r="J88" s="560" t="b">
        <f>tlInputEvent901Chosen</f>
        <v>0</v>
      </c>
      <c r="K88" s="560" t="e">
        <f>datapageCompdecEvent901</f>
        <v>#VALUE!</v>
      </c>
      <c r="R88" s="562">
        <v>0</v>
      </c>
      <c r="S88" s="562">
        <v>0</v>
      </c>
      <c r="T88" s="562">
        <v>0</v>
      </c>
    </row>
    <row r="89" spans="1:20" ht="12" thickBot="1">
      <c r="A89">
        <v>902</v>
      </c>
      <c r="B89" t="s">
        <v>3287</v>
      </c>
      <c r="D89" s="576" t="b">
        <v>0</v>
      </c>
      <c r="E89" s="1093" t="b">
        <f>tlInputEvent902Chosen</f>
        <v>0</v>
      </c>
      <c r="F89" s="34">
        <f>datapageCompdecEvent902</f>
        <v>0</v>
      </c>
      <c r="G89" s="34">
        <f>datapageCompdecEvent902</f>
        <v>0</v>
      </c>
      <c r="H89" s="579" t="s">
        <v>3262</v>
      </c>
      <c r="I89" s="559" t="b">
        <v>0</v>
      </c>
      <c r="J89" s="560" t="b">
        <f>tlInputEvent902Chosen</f>
        <v>0</v>
      </c>
      <c r="K89" s="560" t="e">
        <f>datapageCompdecEvent902</f>
        <v>#VALUE!</v>
      </c>
      <c r="R89" s="562">
        <v>0</v>
      </c>
      <c r="S89" s="562">
        <v>0</v>
      </c>
      <c r="T89" s="562">
        <v>0</v>
      </c>
    </row>
    <row r="90" spans="1:20">
      <c r="E90" s="122"/>
      <c r="F90" s="34"/>
      <c r="G90" s="34"/>
      <c r="I90" s="559"/>
      <c r="J90" s="560"/>
      <c r="K90" s="560"/>
      <c r="R90" s="562"/>
      <c r="S90" s="562"/>
      <c r="T90" s="562"/>
    </row>
    <row r="91" spans="1:20">
      <c r="A91" s="3" t="s">
        <v>626</v>
      </c>
      <c r="E91" s="122"/>
      <c r="F91" s="34"/>
      <c r="G91" s="34"/>
      <c r="I91" s="559"/>
      <c r="J91" s="560"/>
      <c r="K91" s="560"/>
      <c r="R91" s="562"/>
      <c r="S91" s="562"/>
      <c r="T91" s="562"/>
    </row>
    <row r="92" spans="1:20">
      <c r="E92" s="122"/>
      <c r="F92" s="34"/>
      <c r="G92" s="34"/>
      <c r="I92" s="559"/>
      <c r="J92" s="560"/>
      <c r="K92" s="560"/>
      <c r="R92" s="562"/>
      <c r="S92" s="562"/>
      <c r="T92" s="562"/>
    </row>
    <row r="93" spans="1:20">
      <c r="B93" t="s">
        <v>297</v>
      </c>
      <c r="E93" s="122" t="b">
        <f>INDEX(cbalCashValue,1)&gt;0</f>
        <v>1</v>
      </c>
      <c r="F93" s="34" t="b">
        <f>INDEX(cbalCashValue,1)&gt;0</f>
        <v>1</v>
      </c>
      <c r="G93" s="34" t="b">
        <f>INDEX(cbalCashValue,1)&gt;0</f>
        <v>1</v>
      </c>
      <c r="I93" s="559" t="b">
        <v>1</v>
      </c>
      <c r="J93" s="560" t="b">
        <f>INDEX(cbalCashValue,1)&gt;0</f>
        <v>1</v>
      </c>
      <c r="K93" s="560" t="b">
        <f>INDEX(cbalCashValue,1)&gt;0</f>
        <v>1</v>
      </c>
      <c r="R93" s="562" t="b">
        <v>1</v>
      </c>
      <c r="S93" s="562" t="b">
        <v>1</v>
      </c>
      <c r="T93" s="562" t="b">
        <v>1</v>
      </c>
    </row>
    <row r="94" spans="1:20">
      <c r="E94" s="122"/>
      <c r="F94" s="34"/>
      <c r="G94" s="34"/>
      <c r="I94" s="559"/>
      <c r="J94" s="560"/>
      <c r="K94" s="560"/>
      <c r="R94" s="562"/>
      <c r="S94" s="562"/>
      <c r="T94" s="562"/>
    </row>
    <row r="95" spans="1:20">
      <c r="A95" s="32"/>
      <c r="B95" s="32"/>
      <c r="C95" s="32"/>
      <c r="D95" s="32"/>
      <c r="E95" s="32"/>
      <c r="F95" s="32"/>
      <c r="G95" s="32"/>
      <c r="H95" s="510"/>
      <c r="I95" s="32"/>
      <c r="J95" s="32"/>
      <c r="K95" s="32"/>
      <c r="R95" s="562"/>
      <c r="S95" s="562"/>
      <c r="T95" s="562"/>
    </row>
  </sheetData>
  <phoneticPr fontId="0" type="noConversion"/>
  <pageMargins left="0.5" right="0.5" top="0.5" bottom="0.5" header="0.5" footer="0.5"/>
  <pageSetup scale="77"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bal" enableFormatConditionsCalculation="0">
    <tabColor indexed="11"/>
  </sheetPr>
  <dimension ref="A1:S539"/>
  <sheetViews>
    <sheetView workbookViewId="0">
      <pane xSplit="4" ySplit="1" topLeftCell="E446" activePane="bottomRight" state="frozen"/>
      <selection activeCell="L85" sqref="L85"/>
      <selection pane="topRight" activeCell="L85" sqref="L85"/>
      <selection pane="bottomLeft" activeCell="L85" sqref="L85"/>
      <selection pane="bottomRight" activeCell="E4" sqref="E4:G509"/>
    </sheetView>
  </sheetViews>
  <sheetFormatPr defaultRowHeight="11.25"/>
  <cols>
    <col min="1" max="1" width="1.83203125" customWidth="1"/>
    <col min="2" max="2" width="26" customWidth="1"/>
    <col min="3" max="3" width="10.83203125" customWidth="1"/>
    <col min="4" max="4" width="15.83203125" customWidth="1"/>
    <col min="5" max="7" width="25" customWidth="1"/>
    <col min="8" max="8" width="30.1640625" style="123" customWidth="1"/>
    <col min="9" max="9" width="16" customWidth="1"/>
    <col min="16" max="16" width="11.5" bestFit="1" customWidth="1"/>
    <col min="17" max="18" width="11.5" customWidth="1"/>
    <col min="19" max="19" width="14" customWidth="1"/>
  </cols>
  <sheetData>
    <row r="1" spans="1:14" s="139" customFormat="1" ht="15.75">
      <c r="A1" s="138" t="s">
        <v>1230</v>
      </c>
      <c r="B1" s="140"/>
      <c r="C1" s="140"/>
      <c r="D1" s="140"/>
      <c r="E1" s="138" t="s">
        <v>1231</v>
      </c>
      <c r="F1" s="138" t="s">
        <v>1232</v>
      </c>
      <c r="G1" s="138" t="s">
        <v>1233</v>
      </c>
      <c r="H1" s="507"/>
      <c r="I1" s="139" t="s">
        <v>592</v>
      </c>
    </row>
    <row r="2" spans="1:14">
      <c r="A2" s="3" t="s">
        <v>1234</v>
      </c>
      <c r="E2" t="s">
        <v>1057</v>
      </c>
      <c r="L2" s="565" t="s">
        <v>1642</v>
      </c>
      <c r="N2" s="565" t="s">
        <v>1644</v>
      </c>
    </row>
    <row r="3" spans="1:14">
      <c r="A3" s="3" t="s">
        <v>367</v>
      </c>
      <c r="D3" s="5" t="s">
        <v>224</v>
      </c>
      <c r="E3" t="s">
        <v>1301</v>
      </c>
      <c r="I3" s="285" t="s">
        <v>749</v>
      </c>
      <c r="L3" t="s">
        <v>1643</v>
      </c>
      <c r="N3" s="3" t="s">
        <v>3130</v>
      </c>
    </row>
    <row r="4" spans="1:14">
      <c r="B4" t="s">
        <v>1235</v>
      </c>
      <c r="D4" s="14"/>
      <c r="E4" s="533">
        <v>425041932.21870798</v>
      </c>
      <c r="F4" s="549">
        <v>425041932.21870798</v>
      </c>
      <c r="G4" s="549">
        <v>425041932.21870798</v>
      </c>
      <c r="H4" s="123" t="s">
        <v>641</v>
      </c>
      <c r="I4" s="116">
        <v>425041932.21870798</v>
      </c>
      <c r="J4" t="b">
        <f>MAX(E4:G4)=MIN(E4:G4)</f>
        <v>1</v>
      </c>
      <c r="L4" s="594"/>
      <c r="N4" s="601">
        <v>425041932.21870798</v>
      </c>
    </row>
    <row r="5" spans="1:14">
      <c r="D5" s="14"/>
      <c r="E5" s="430"/>
      <c r="F5" s="378"/>
      <c r="G5" s="378"/>
      <c r="I5" s="116"/>
      <c r="J5" t="b">
        <f t="shared" ref="J5:J86" si="0">MAX(E5:G5)=MIN(E5:G5)</f>
        <v>1</v>
      </c>
      <c r="L5" s="594"/>
      <c r="N5" s="601"/>
    </row>
    <row r="6" spans="1:14">
      <c r="B6" t="str">
        <f>"Accounts Receivable "&amp; DataNameProd1</f>
        <v>Accounts Receivable Growth</v>
      </c>
      <c r="D6" s="14">
        <f>cbal!E6</f>
        <v>385245918.45701176</v>
      </c>
      <c r="E6" s="416">
        <f t="shared" ref="E6:G7" si="1">$D6*$L6</f>
        <v>365983622.53416115</v>
      </c>
      <c r="F6" s="412">
        <f t="shared" si="1"/>
        <v>365983622.53416115</v>
      </c>
      <c r="G6" s="412">
        <f t="shared" si="1"/>
        <v>365983622.53416115</v>
      </c>
      <c r="H6" s="123" t="s">
        <v>879</v>
      </c>
      <c r="I6" s="116">
        <v>365985358.60394496</v>
      </c>
      <c r="J6" t="b">
        <f t="shared" si="0"/>
        <v>1</v>
      </c>
      <c r="L6" s="598">
        <v>0.95</v>
      </c>
      <c r="N6" s="601">
        <f t="shared" ref="N6:N7" si="2">$D6*$L6</f>
        <v>365983622.53416115</v>
      </c>
    </row>
    <row r="7" spans="1:14">
      <c r="B7" t="str">
        <f>"Accounts Receivable "&amp; DataNameProd2</f>
        <v>Accounts Receivable Transform</v>
      </c>
      <c r="D7" s="14">
        <f>cbal!E7</f>
        <v>460778104.05029732</v>
      </c>
      <c r="E7" s="416">
        <f t="shared" si="1"/>
        <v>437739198.84778243</v>
      </c>
      <c r="F7" s="412">
        <f t="shared" si="1"/>
        <v>437739198.84778243</v>
      </c>
      <c r="G7" s="412">
        <f t="shared" si="1"/>
        <v>437739198.84778243</v>
      </c>
      <c r="H7" s="123" t="s">
        <v>880</v>
      </c>
      <c r="I7" s="116">
        <v>437726364.33565289</v>
      </c>
      <c r="J7" t="b">
        <f t="shared" si="0"/>
        <v>1</v>
      </c>
      <c r="L7" s="598">
        <v>0.95</v>
      </c>
      <c r="N7" s="601">
        <f t="shared" si="2"/>
        <v>437739198.84778243</v>
      </c>
    </row>
    <row r="8" spans="1:14">
      <c r="B8" t="s">
        <v>474</v>
      </c>
      <c r="D8" s="14">
        <f>cbal!E8</f>
        <v>846024022.50730908</v>
      </c>
      <c r="E8" s="534">
        <f t="shared" ref="E8:G8" si="3">SUM(E6:E7)</f>
        <v>803722821.38194358</v>
      </c>
      <c r="F8" s="535">
        <f t="shared" si="3"/>
        <v>803722821.38194358</v>
      </c>
      <c r="G8" s="535">
        <f t="shared" si="3"/>
        <v>803722821.38194358</v>
      </c>
      <c r="H8" s="123" t="s">
        <v>642</v>
      </c>
      <c r="I8" s="116">
        <v>803711722.93959785</v>
      </c>
      <c r="J8" t="b">
        <f t="shared" si="0"/>
        <v>1</v>
      </c>
      <c r="L8" s="594"/>
      <c r="N8" s="601">
        <f t="shared" ref="N8" si="4">SUM(N6:N7)</f>
        <v>803722821.38194358</v>
      </c>
    </row>
    <row r="9" spans="1:14" ht="5.0999999999999996" customHeight="1">
      <c r="B9" s="185"/>
      <c r="C9" s="185"/>
      <c r="D9" s="215"/>
      <c r="E9" s="536"/>
      <c r="F9" s="536"/>
      <c r="G9" s="536"/>
      <c r="I9" s="116"/>
      <c r="J9" t="b">
        <f t="shared" si="0"/>
        <v>1</v>
      </c>
      <c r="L9" s="594"/>
      <c r="N9" s="601"/>
    </row>
    <row r="10" spans="1:14">
      <c r="B10" s="3" t="s">
        <v>635</v>
      </c>
      <c r="D10" s="14"/>
      <c r="E10" s="416">
        <f t="shared" ref="E10:G10" si="5">E4+E8</f>
        <v>1228764753.6006515</v>
      </c>
      <c r="F10" s="412">
        <f t="shared" si="5"/>
        <v>1228764753.6006515</v>
      </c>
      <c r="G10" s="412">
        <f t="shared" si="5"/>
        <v>1228764753.6006515</v>
      </c>
      <c r="I10" s="116">
        <v>1228753655.1583059</v>
      </c>
      <c r="J10" t="b">
        <f t="shared" si="0"/>
        <v>1</v>
      </c>
      <c r="L10" s="594"/>
      <c r="N10" s="601">
        <f t="shared" ref="N10" si="6">N4+N8</f>
        <v>1228764753.6006515</v>
      </c>
    </row>
    <row r="11" spans="1:14">
      <c r="B11" s="3"/>
      <c r="D11" s="14"/>
      <c r="E11" s="416"/>
      <c r="F11" s="412"/>
      <c r="G11" s="412"/>
      <c r="I11" s="116"/>
      <c r="J11" t="b">
        <f t="shared" si="0"/>
        <v>1</v>
      </c>
      <c r="L11" s="594"/>
      <c r="N11" s="601"/>
    </row>
    <row r="12" spans="1:14">
      <c r="B12" s="565" t="s">
        <v>1568</v>
      </c>
      <c r="D12" s="14">
        <f>cbal!E12</f>
        <v>325283747</v>
      </c>
      <c r="E12" s="416">
        <v>325283747</v>
      </c>
      <c r="F12" s="412">
        <v>325283747</v>
      </c>
      <c r="G12" s="412">
        <v>325283747</v>
      </c>
      <c r="H12" s="579"/>
      <c r="I12" s="116">
        <v>325283747</v>
      </c>
      <c r="J12" t="b">
        <f t="shared" si="0"/>
        <v>1</v>
      </c>
      <c r="L12" s="598"/>
      <c r="N12" s="601">
        <v>325283747</v>
      </c>
    </row>
    <row r="13" spans="1:14" ht="5.0999999999999996" customHeight="1">
      <c r="B13" s="185"/>
      <c r="C13" s="185"/>
      <c r="D13" s="215"/>
      <c r="E13" s="536"/>
      <c r="F13" s="536"/>
      <c r="G13" s="536"/>
      <c r="I13" s="116"/>
      <c r="J13" t="b">
        <f t="shared" si="0"/>
        <v>1</v>
      </c>
      <c r="L13" s="594"/>
      <c r="N13" s="601"/>
    </row>
    <row r="14" spans="1:14">
      <c r="B14" s="3" t="s">
        <v>1569</v>
      </c>
      <c r="D14" s="14">
        <f>cbal!E14</f>
        <v>325283747</v>
      </c>
      <c r="E14" s="534">
        <f t="shared" ref="E14:G14" si="7">SUM(E12:E13)</f>
        <v>325283747</v>
      </c>
      <c r="F14" s="535">
        <f t="shared" si="7"/>
        <v>325283747</v>
      </c>
      <c r="G14" s="535">
        <f t="shared" si="7"/>
        <v>325283747</v>
      </c>
      <c r="H14" s="579" t="s">
        <v>1570</v>
      </c>
      <c r="I14" s="116">
        <v>325283747</v>
      </c>
      <c r="J14" t="b">
        <f t="shared" si="0"/>
        <v>1</v>
      </c>
      <c r="L14" s="594"/>
      <c r="N14" s="601">
        <f t="shared" ref="N14" si="8">SUM(N12:N13)</f>
        <v>325283747</v>
      </c>
    </row>
    <row r="15" spans="1:14">
      <c r="B15" s="3"/>
      <c r="D15" s="14"/>
      <c r="E15" s="416"/>
      <c r="F15" s="412"/>
      <c r="G15" s="412"/>
      <c r="I15" s="116"/>
      <c r="J15" t="b">
        <f t="shared" si="0"/>
        <v>1</v>
      </c>
      <c r="L15" s="594"/>
      <c r="N15" s="601"/>
    </row>
    <row r="16" spans="1:14" ht="5.0999999999999996" customHeight="1">
      <c r="B16" s="119"/>
      <c r="C16" s="119"/>
      <c r="D16" s="185"/>
      <c r="E16" s="536"/>
      <c r="F16" s="536"/>
      <c r="G16" s="536"/>
      <c r="I16" s="116"/>
      <c r="J16" t="b">
        <f t="shared" si="0"/>
        <v>1</v>
      </c>
      <c r="L16" s="594"/>
      <c r="N16" s="601"/>
    </row>
    <row r="17" spans="1:14">
      <c r="A17" s="3" t="s">
        <v>366</v>
      </c>
      <c r="D17" s="30">
        <f>E10+E14</f>
        <v>1554048500.6006515</v>
      </c>
      <c r="E17" s="540">
        <f t="shared" ref="E17:G17" si="9">E10+E14</f>
        <v>1554048500.6006515</v>
      </c>
      <c r="F17" s="541">
        <f t="shared" si="9"/>
        <v>1554048500.6006515</v>
      </c>
      <c r="G17" s="541">
        <f t="shared" si="9"/>
        <v>1554048500.6006515</v>
      </c>
      <c r="I17" s="117">
        <v>1554037402.1583059</v>
      </c>
      <c r="J17" t="b">
        <f t="shared" si="0"/>
        <v>1</v>
      </c>
      <c r="L17" s="594"/>
      <c r="N17" s="601">
        <f t="shared" ref="N17" si="10">N10+N14</f>
        <v>1554048500.6006515</v>
      </c>
    </row>
    <row r="18" spans="1:14">
      <c r="A18" s="3" t="s">
        <v>368</v>
      </c>
      <c r="D18" s="27"/>
      <c r="E18" s="416"/>
      <c r="F18" s="412"/>
      <c r="G18" s="412"/>
      <c r="I18" s="116"/>
      <c r="J18" t="b">
        <f t="shared" si="0"/>
        <v>1</v>
      </c>
      <c r="L18" s="594"/>
      <c r="N18" s="601"/>
    </row>
    <row r="19" spans="1:14">
      <c r="B19" t="str">
        <f>"Plant " &amp; DataNamePlant1</f>
        <v>Plant Data Center</v>
      </c>
      <c r="D19" s="14">
        <f>cbal!E19</f>
        <v>1113750000</v>
      </c>
      <c r="E19" s="416">
        <f>obalPlant1Units*paramPlant1InvCost*$L19</f>
        <v>1237500000</v>
      </c>
      <c r="F19" s="412">
        <f>obalPlant1Units*paramPlant1InvCost*$L19</f>
        <v>742500000</v>
      </c>
      <c r="G19" s="412">
        <f>obalPlant1Units*paramPlant1InvCost*$L19</f>
        <v>618750000</v>
      </c>
      <c r="H19" s="123" t="s">
        <v>669</v>
      </c>
      <c r="I19" s="116">
        <v>1237500000</v>
      </c>
      <c r="J19" t="b">
        <f t="shared" si="0"/>
        <v>0</v>
      </c>
      <c r="L19" s="598">
        <v>0.75</v>
      </c>
      <c r="N19" s="601" t="e">
        <f>obalPlant1Units*paramPlant1InvCost*$L19</f>
        <v>#VALUE!</v>
      </c>
    </row>
    <row r="20" spans="1:14">
      <c r="B20" t="s">
        <v>1641</v>
      </c>
      <c r="D20" s="14">
        <f>cbal!E20</f>
        <v>306000000</v>
      </c>
      <c r="E20" s="416">
        <f>obalPlant2Units*paramPlant2InvCost*$L20</f>
        <v>330000000</v>
      </c>
      <c r="F20" s="412">
        <f>obalPlant2Units*paramPlant2InvCost*$L20</f>
        <v>330000000</v>
      </c>
      <c r="G20" s="412">
        <f>obalPlant2Units*paramPlant2InvCost*$L20</f>
        <v>330000000</v>
      </c>
      <c r="H20" s="123" t="s">
        <v>1680</v>
      </c>
      <c r="I20" s="116">
        <v>330000000</v>
      </c>
      <c r="J20" t="b">
        <f t="shared" si="0"/>
        <v>1</v>
      </c>
      <c r="L20" s="598">
        <v>0.6</v>
      </c>
      <c r="N20" s="601" t="e">
        <f>obalPlant2Units*paramPlant2InvCost*$L20</f>
        <v>#VALUE!</v>
      </c>
    </row>
    <row r="21" spans="1:14">
      <c r="B21" t="str">
        <f>DataNameProd1 &amp; " Software"</f>
        <v>Growth Software</v>
      </c>
      <c r="D21" s="14"/>
      <c r="E21" s="416">
        <f>paramProd1BaseSoftwareValue</f>
        <v>228752000</v>
      </c>
      <c r="F21" s="412">
        <f>paramProd1BaseSoftwareValue</f>
        <v>228752000</v>
      </c>
      <c r="G21" s="412">
        <f>paramProd1BaseSoftwareValue</f>
        <v>228752000</v>
      </c>
      <c r="H21" s="579" t="s">
        <v>1695</v>
      </c>
      <c r="I21" s="116">
        <v>228752000</v>
      </c>
      <c r="J21" t="b">
        <f t="shared" si="0"/>
        <v>1</v>
      </c>
      <c r="L21" s="598"/>
      <c r="N21" s="601" t="e">
        <f>paramProd1BaseSoftwareValue</f>
        <v>#VALUE!</v>
      </c>
    </row>
    <row r="22" spans="1:14">
      <c r="B22" t="str">
        <f>DataNameProd2 &amp; " Software"</f>
        <v>Transform Software</v>
      </c>
      <c r="D22" s="14"/>
      <c r="E22" s="416">
        <f>paramProd2BaseSoftwareValue</f>
        <v>343128000</v>
      </c>
      <c r="F22" s="412">
        <f>paramProd2BaseSoftwareValue</f>
        <v>343128000</v>
      </c>
      <c r="G22" s="412">
        <f>paramProd2BaseSoftwareValue</f>
        <v>343128000</v>
      </c>
      <c r="H22" s="579" t="s">
        <v>1694</v>
      </c>
      <c r="I22" s="116">
        <v>343128000</v>
      </c>
      <c r="J22" t="b">
        <f t="shared" si="0"/>
        <v>1</v>
      </c>
      <c r="L22" s="594"/>
      <c r="N22" s="601" t="e">
        <f>paramProd2BaseSoftwareValue</f>
        <v>#VALUE!</v>
      </c>
    </row>
    <row r="23" spans="1:14" ht="5.0999999999999996" customHeight="1">
      <c r="B23" s="119"/>
      <c r="C23" s="119"/>
      <c r="D23" s="221"/>
      <c r="E23" s="536"/>
      <c r="F23" s="536"/>
      <c r="G23" s="536"/>
      <c r="I23" s="116"/>
      <c r="J23" t="b">
        <f t="shared" si="0"/>
        <v>1</v>
      </c>
      <c r="L23" s="594"/>
      <c r="N23" s="601"/>
    </row>
    <row r="24" spans="1:14">
      <c r="A24" s="3" t="s">
        <v>369</v>
      </c>
      <c r="D24" s="28">
        <f>SUM(E19:E23)</f>
        <v>2139380000</v>
      </c>
      <c r="E24" s="534">
        <f t="shared" ref="E24:G24" si="11">SUM(E19:E23)</f>
        <v>2139380000</v>
      </c>
      <c r="F24" s="535">
        <f t="shared" si="11"/>
        <v>1644380000</v>
      </c>
      <c r="G24" s="535">
        <f t="shared" si="11"/>
        <v>1520630000</v>
      </c>
      <c r="H24" s="123" t="s">
        <v>725</v>
      </c>
      <c r="I24" s="117">
        <v>2139380000</v>
      </c>
      <c r="J24" t="b">
        <f t="shared" si="0"/>
        <v>0</v>
      </c>
      <c r="L24" s="594"/>
      <c r="N24" s="601" t="e">
        <f t="shared" ref="N24" si="12">SUM(N19:N23)</f>
        <v>#VALUE!</v>
      </c>
    </row>
    <row r="25" spans="1:14">
      <c r="A25" s="3"/>
      <c r="E25" s="534"/>
      <c r="F25" s="535"/>
      <c r="G25" s="535"/>
      <c r="I25" s="117"/>
      <c r="J25" t="b">
        <f t="shared" si="0"/>
        <v>1</v>
      </c>
      <c r="L25" s="594"/>
      <c r="N25" s="601"/>
    </row>
    <row r="26" spans="1:14">
      <c r="A26" s="3"/>
      <c r="B26" t="s">
        <v>1639</v>
      </c>
      <c r="E26" s="534">
        <v>3080400000</v>
      </c>
      <c r="F26" s="535">
        <v>3080400000</v>
      </c>
      <c r="G26" s="535">
        <v>3080400000</v>
      </c>
      <c r="H26" s="123" t="s">
        <v>621</v>
      </c>
      <c r="I26" s="117">
        <v>3080400000</v>
      </c>
      <c r="J26" t="b">
        <f t="shared" si="0"/>
        <v>1</v>
      </c>
      <c r="L26" s="594"/>
      <c r="N26" s="601">
        <v>3080400000</v>
      </c>
    </row>
    <row r="27" spans="1:14">
      <c r="A27" s="3"/>
      <c r="B27" t="s">
        <v>1640</v>
      </c>
      <c r="E27" s="534">
        <v>5527040000</v>
      </c>
      <c r="F27" s="535">
        <v>5527040000</v>
      </c>
      <c r="G27" s="535">
        <v>5527040000</v>
      </c>
      <c r="H27" s="588" t="s">
        <v>1708</v>
      </c>
      <c r="I27" s="117">
        <v>5527040000</v>
      </c>
      <c r="J27" t="b">
        <f t="shared" si="0"/>
        <v>1</v>
      </c>
      <c r="L27" s="594"/>
      <c r="N27" s="601">
        <v>5527040000</v>
      </c>
    </row>
    <row r="28" spans="1:14" ht="5.0999999999999996" customHeight="1">
      <c r="B28" s="119"/>
      <c r="C28" s="119"/>
      <c r="D28" s="221"/>
      <c r="E28" s="536"/>
      <c r="F28" s="536"/>
      <c r="G28" s="536"/>
      <c r="I28" s="116"/>
      <c r="J28" t="b">
        <f t="shared" si="0"/>
        <v>1</v>
      </c>
      <c r="L28" s="594"/>
      <c r="N28" s="601"/>
    </row>
    <row r="29" spans="1:14">
      <c r="A29" s="3" t="s">
        <v>712</v>
      </c>
      <c r="D29" s="28">
        <f>E29</f>
        <v>8607440000</v>
      </c>
      <c r="E29" s="534">
        <f t="shared" ref="E29:G29" si="13">SUM(E26:E28)</f>
        <v>8607440000</v>
      </c>
      <c r="F29" s="535">
        <f t="shared" si="13"/>
        <v>8607440000</v>
      </c>
      <c r="G29" s="535">
        <f t="shared" si="13"/>
        <v>8607440000</v>
      </c>
      <c r="H29" s="579" t="s">
        <v>1718</v>
      </c>
      <c r="I29" s="117">
        <v>8607440000</v>
      </c>
      <c r="J29" t="b">
        <f t="shared" si="0"/>
        <v>1</v>
      </c>
      <c r="L29" s="594"/>
      <c r="N29" s="601">
        <f t="shared" ref="N29" si="14">SUM(N26:N28)</f>
        <v>8607440000</v>
      </c>
    </row>
    <row r="30" spans="1:14">
      <c r="A30" s="3"/>
      <c r="E30" s="534"/>
      <c r="F30" s="535"/>
      <c r="G30" s="535"/>
      <c r="I30" s="117"/>
      <c r="J30" t="b">
        <f t="shared" si="0"/>
        <v>1</v>
      </c>
      <c r="L30" s="594"/>
      <c r="N30" s="601"/>
    </row>
    <row r="31" spans="1:14">
      <c r="A31" s="3" t="s">
        <v>370</v>
      </c>
      <c r="D31" s="28">
        <f>D24+D17+D29</f>
        <v>12300868500.600651</v>
      </c>
      <c r="E31" s="534">
        <f t="shared" ref="E31:G31" si="15">E10+E14+E24+E29</f>
        <v>12300868500.600651</v>
      </c>
      <c r="F31" s="535">
        <f t="shared" si="15"/>
        <v>11805868500.600651</v>
      </c>
      <c r="G31" s="535">
        <f t="shared" si="15"/>
        <v>11682118500.600651</v>
      </c>
      <c r="H31" s="123" t="s">
        <v>396</v>
      </c>
      <c r="I31" s="117">
        <v>12300857402.158306</v>
      </c>
      <c r="J31" t="b">
        <f t="shared" si="0"/>
        <v>0</v>
      </c>
      <c r="L31" s="594"/>
      <c r="N31" s="601" t="e">
        <f t="shared" ref="N31" si="16">N10+N14+N24+N29</f>
        <v>#VALUE!</v>
      </c>
    </row>
    <row r="32" spans="1:14">
      <c r="D32" s="27"/>
      <c r="E32" s="169"/>
      <c r="F32" s="135"/>
      <c r="G32" s="135"/>
      <c r="I32" s="116"/>
      <c r="J32" t="b">
        <f t="shared" si="0"/>
        <v>1</v>
      </c>
      <c r="L32" s="594"/>
      <c r="N32" s="601"/>
    </row>
    <row r="33" spans="1:14">
      <c r="A33" s="3" t="s">
        <v>371</v>
      </c>
      <c r="D33" s="27"/>
      <c r="E33" s="169"/>
      <c r="F33" s="135"/>
      <c r="G33" s="135"/>
      <c r="I33" s="116"/>
      <c r="J33" t="b">
        <f t="shared" si="0"/>
        <v>1</v>
      </c>
      <c r="L33" s="594"/>
      <c r="N33" s="601"/>
    </row>
    <row r="34" spans="1:14">
      <c r="A34" s="3" t="s">
        <v>372</v>
      </c>
      <c r="D34" s="27"/>
      <c r="E34" s="169"/>
      <c r="F34" s="135"/>
      <c r="G34" s="135"/>
      <c r="I34" s="116"/>
      <c r="J34" t="b">
        <f t="shared" si="0"/>
        <v>1</v>
      </c>
      <c r="L34" s="594"/>
      <c r="N34" s="601"/>
    </row>
    <row r="35" spans="1:14">
      <c r="B35" s="4" t="s">
        <v>373</v>
      </c>
      <c r="D35" s="14">
        <f>cbal!E35</f>
        <v>893466533.34368575</v>
      </c>
      <c r="E35" s="416">
        <f t="shared" ref="E35:G35" si="17">$D35*$L35</f>
        <v>848793206.67650139</v>
      </c>
      <c r="F35" s="412">
        <f t="shared" si="17"/>
        <v>848793206.67650139</v>
      </c>
      <c r="G35" s="412">
        <f t="shared" si="17"/>
        <v>848793206.67650139</v>
      </c>
      <c r="H35" s="123" t="s">
        <v>670</v>
      </c>
      <c r="I35" s="116">
        <v>855666236.22235632</v>
      </c>
      <c r="J35" t="b">
        <f t="shared" si="0"/>
        <v>1</v>
      </c>
      <c r="L35" s="598">
        <v>0.95</v>
      </c>
      <c r="N35" s="601">
        <f t="shared" ref="N35" si="18">$D35*$L35</f>
        <v>848793206.67650139</v>
      </c>
    </row>
    <row r="36" spans="1:14">
      <c r="B36" s="4" t="s">
        <v>374</v>
      </c>
      <c r="D36" s="14">
        <f>cbal!E36</f>
        <v>164253370.815</v>
      </c>
      <c r="E36" s="169">
        <v>158698909</v>
      </c>
      <c r="F36" s="135">
        <v>158698909</v>
      </c>
      <c r="G36" s="135">
        <v>158698909</v>
      </c>
      <c r="H36" s="123" t="s">
        <v>671</v>
      </c>
      <c r="I36" s="116">
        <v>158698909</v>
      </c>
      <c r="J36" t="b">
        <f t="shared" si="0"/>
        <v>1</v>
      </c>
      <c r="L36" s="594"/>
      <c r="N36" s="601">
        <v>158698909</v>
      </c>
    </row>
    <row r="37" spans="1:14">
      <c r="B37" s="565" t="s">
        <v>1721</v>
      </c>
      <c r="D37" s="14">
        <f>cbal!E37</f>
        <v>90079200</v>
      </c>
      <c r="E37" s="416">
        <f t="shared" ref="E37:G37" si="19">$D37*$L37</f>
        <v>88277616</v>
      </c>
      <c r="F37" s="412">
        <f t="shared" si="19"/>
        <v>88277616</v>
      </c>
      <c r="G37" s="412">
        <f t="shared" si="19"/>
        <v>88277616</v>
      </c>
      <c r="H37" s="579" t="s">
        <v>1722</v>
      </c>
      <c r="I37" s="116">
        <v>88288788</v>
      </c>
      <c r="J37" t="b">
        <f t="shared" si="0"/>
        <v>1</v>
      </c>
      <c r="L37" s="598">
        <v>0.98</v>
      </c>
      <c r="N37" s="601">
        <f t="shared" ref="N37" si="20">$D37*$L37</f>
        <v>88277616</v>
      </c>
    </row>
    <row r="38" spans="1:14">
      <c r="B38" s="4" t="s">
        <v>375</v>
      </c>
      <c r="D38" s="14">
        <f>cbal!E38</f>
        <v>0</v>
      </c>
      <c r="E38" s="169">
        <v>0</v>
      </c>
      <c r="F38" s="135">
        <v>0</v>
      </c>
      <c r="G38" s="135">
        <v>0</v>
      </c>
      <c r="H38" s="123" t="s">
        <v>672</v>
      </c>
      <c r="I38" s="116">
        <v>0</v>
      </c>
      <c r="J38" t="b">
        <f t="shared" si="0"/>
        <v>1</v>
      </c>
      <c r="L38" s="594"/>
      <c r="N38" s="601">
        <v>0</v>
      </c>
    </row>
    <row r="39" spans="1:14" ht="5.0999999999999996" customHeight="1">
      <c r="B39" s="222"/>
      <c r="C39" s="119"/>
      <c r="D39" s="221"/>
      <c r="E39" s="216"/>
      <c r="F39" s="216"/>
      <c r="G39" s="216"/>
      <c r="I39" s="116"/>
      <c r="J39" t="b">
        <f t="shared" si="0"/>
        <v>1</v>
      </c>
      <c r="L39" s="594"/>
      <c r="N39" s="601"/>
    </row>
    <row r="40" spans="1:14">
      <c r="A40" s="3" t="s">
        <v>376</v>
      </c>
      <c r="D40" s="30">
        <f>SUM(E35:E39)</f>
        <v>1095769731.6765013</v>
      </c>
      <c r="E40" s="170">
        <f t="shared" ref="E40:G40" si="21">SUM(E35:E39)</f>
        <v>1095769731.6765013</v>
      </c>
      <c r="F40" s="136">
        <f t="shared" si="21"/>
        <v>1095769731.6765013</v>
      </c>
      <c r="G40" s="136">
        <f t="shared" si="21"/>
        <v>1095769731.6765013</v>
      </c>
      <c r="I40" s="117">
        <v>1102653933.2223563</v>
      </c>
      <c r="J40" t="b">
        <f t="shared" si="0"/>
        <v>1</v>
      </c>
      <c r="L40" s="594"/>
      <c r="N40" s="601">
        <f t="shared" ref="N40" si="22">SUM(N35:N39)</f>
        <v>1095769731.6765013</v>
      </c>
    </row>
    <row r="41" spans="1:14">
      <c r="B41" s="4" t="s">
        <v>377</v>
      </c>
      <c r="D41" s="14">
        <f>cbal!E41</f>
        <v>2033079126.9769499</v>
      </c>
      <c r="E41" s="169">
        <v>2033079126.9769499</v>
      </c>
      <c r="F41" s="135">
        <v>2033079126.9769499</v>
      </c>
      <c r="G41" s="135">
        <v>2033079126.9769499</v>
      </c>
      <c r="H41" s="123" t="s">
        <v>673</v>
      </c>
      <c r="I41" s="116">
        <v>2033079126.9769499</v>
      </c>
      <c r="J41" t="b">
        <f t="shared" si="0"/>
        <v>1</v>
      </c>
      <c r="L41" s="594"/>
      <c r="N41" s="601">
        <v>2033079126.9769499</v>
      </c>
    </row>
    <row r="42" spans="1:14">
      <c r="B42" s="565" t="s">
        <v>1723</v>
      </c>
      <c r="D42" s="14">
        <f>cbal!E43</f>
        <v>0</v>
      </c>
      <c r="E42" s="169">
        <f t="shared" ref="E42:G42" si="23">1259.77070763669*1000000</f>
        <v>1259770707.6366901</v>
      </c>
      <c r="F42" s="135">
        <f t="shared" si="23"/>
        <v>1259770707.6366901</v>
      </c>
      <c r="G42" s="135">
        <f t="shared" si="23"/>
        <v>1259770707.6366901</v>
      </c>
      <c r="H42" s="579" t="s">
        <v>1724</v>
      </c>
      <c r="I42" s="116">
        <v>1259770707.6366901</v>
      </c>
      <c r="J42" t="b">
        <f t="shared" si="0"/>
        <v>1</v>
      </c>
      <c r="L42" s="597"/>
      <c r="N42" s="601">
        <f t="shared" ref="N42" si="24">1259.77070763669*1000000</f>
        <v>1259770707.6366901</v>
      </c>
    </row>
    <row r="43" spans="1:14" ht="5.0999999999999996" customHeight="1">
      <c r="B43" s="222"/>
      <c r="C43" s="119"/>
      <c r="D43" s="223"/>
      <c r="E43" s="216"/>
      <c r="F43" s="216"/>
      <c r="G43" s="216"/>
      <c r="I43" s="116"/>
      <c r="J43" t="b">
        <f t="shared" si="0"/>
        <v>1</v>
      </c>
      <c r="L43" s="594"/>
      <c r="N43" s="601"/>
    </row>
    <row r="44" spans="1:14">
      <c r="A44" s="3" t="s">
        <v>378</v>
      </c>
      <c r="D44" s="29">
        <f>D40+SUM(E41:E43)</f>
        <v>4388619566.2901411</v>
      </c>
      <c r="E44" s="170">
        <f t="shared" ref="E44:G44" si="25">SUM(E40:E43)</f>
        <v>4388619566.2901411</v>
      </c>
      <c r="F44" s="136">
        <f t="shared" si="25"/>
        <v>4388619566.2901411</v>
      </c>
      <c r="G44" s="136">
        <f t="shared" si="25"/>
        <v>4388619566.2901411</v>
      </c>
      <c r="H44" s="579" t="s">
        <v>1912</v>
      </c>
      <c r="I44" s="117">
        <v>4395503767.8359966</v>
      </c>
      <c r="J44" t="b">
        <f t="shared" si="0"/>
        <v>1</v>
      </c>
      <c r="L44" s="594"/>
      <c r="N44" s="601">
        <f t="shared" ref="N44" si="26">SUM(N40:N43)</f>
        <v>4388619566.2901411</v>
      </c>
    </row>
    <row r="45" spans="1:14">
      <c r="E45" s="169"/>
      <c r="F45" s="135"/>
      <c r="G45" s="135"/>
      <c r="I45" s="116"/>
      <c r="J45" t="b">
        <f t="shared" si="0"/>
        <v>1</v>
      </c>
      <c r="L45" s="594"/>
      <c r="N45" s="601"/>
    </row>
    <row r="46" spans="1:14">
      <c r="A46" s="3" t="s">
        <v>379</v>
      </c>
      <c r="E46" s="169"/>
      <c r="F46" s="135"/>
      <c r="G46" s="135"/>
      <c r="I46" s="116"/>
      <c r="J46" t="b">
        <f t="shared" si="0"/>
        <v>1</v>
      </c>
      <c r="L46" s="594"/>
      <c r="N46" s="601"/>
    </row>
    <row r="47" spans="1:14">
      <c r="B47" s="4" t="s">
        <v>380</v>
      </c>
      <c r="D47" s="14">
        <f>cbal!E47</f>
        <v>3652822092.18256</v>
      </c>
      <c r="E47" s="428">
        <v>3652822092.18256</v>
      </c>
      <c r="F47" s="135">
        <v>3652822092.18256</v>
      </c>
      <c r="G47" s="135">
        <v>3652822092.18256</v>
      </c>
      <c r="H47" s="123" t="s">
        <v>674</v>
      </c>
      <c r="I47" s="116">
        <v>3652822092.18256</v>
      </c>
      <c r="J47" t="b">
        <f t="shared" si="0"/>
        <v>1</v>
      </c>
      <c r="L47" s="594"/>
      <c r="N47" s="601">
        <v>3652822092.18256</v>
      </c>
    </row>
    <row r="48" spans="1:14">
      <c r="B48" s="4" t="s">
        <v>381</v>
      </c>
      <c r="D48" s="14">
        <f>cbal!E48</f>
        <v>4259426842.1279497</v>
      </c>
      <c r="E48" s="428">
        <f t="shared" ref="E48:G48" si="27">E31-E44-E47-E49</f>
        <v>4012930543.2082028</v>
      </c>
      <c r="F48" s="429">
        <f t="shared" si="27"/>
        <v>3517930543.2082028</v>
      </c>
      <c r="G48" s="429">
        <f t="shared" si="27"/>
        <v>3394180543.2082028</v>
      </c>
      <c r="H48" s="123" t="s">
        <v>675</v>
      </c>
      <c r="I48" s="116">
        <v>4013280576.5658703</v>
      </c>
      <c r="J48" t="b">
        <f t="shared" si="0"/>
        <v>0</v>
      </c>
      <c r="L48" s="594"/>
      <c r="N48" s="601" t="e">
        <f t="shared" ref="N48" si="28">N31-N44-N47-N49</f>
        <v>#VALUE!</v>
      </c>
    </row>
    <row r="49" spans="1:19">
      <c r="B49" s="4" t="s">
        <v>443</v>
      </c>
      <c r="D49" s="14">
        <f>cbal!E49</f>
        <v>259469788.33657575</v>
      </c>
      <c r="E49" s="416">
        <f t="shared" ref="E49:G49" si="29">$D49*$L49</f>
        <v>246496298.91974694</v>
      </c>
      <c r="F49" s="135">
        <f t="shared" si="29"/>
        <v>246496298.91974694</v>
      </c>
      <c r="G49" s="135">
        <f t="shared" si="29"/>
        <v>246496298.91974694</v>
      </c>
      <c r="H49" s="123" t="s">
        <v>676</v>
      </c>
      <c r="I49" s="116">
        <v>239250965.57387909</v>
      </c>
      <c r="J49" t="b">
        <f t="shared" si="0"/>
        <v>1</v>
      </c>
      <c r="L49" s="598">
        <v>0.95</v>
      </c>
      <c r="N49" s="601">
        <f t="shared" ref="N49" si="30">$D49*$L49</f>
        <v>246496298.91974694</v>
      </c>
    </row>
    <row r="50" spans="1:19" ht="5.0999999999999996" customHeight="1">
      <c r="B50" s="222"/>
      <c r="C50" s="119"/>
      <c r="D50" s="185"/>
      <c r="E50" s="216"/>
      <c r="F50" s="216"/>
      <c r="G50" s="216"/>
      <c r="I50" s="116"/>
      <c r="J50" t="b">
        <f t="shared" si="0"/>
        <v>1</v>
      </c>
      <c r="L50" s="594"/>
      <c r="N50" s="601"/>
    </row>
    <row r="51" spans="1:19">
      <c r="A51" s="3" t="s">
        <v>444</v>
      </c>
      <c r="C51" s="327"/>
      <c r="D51" s="30">
        <f>SUM(E47:E50)</f>
        <v>7912248934.3105097</v>
      </c>
      <c r="E51" s="170">
        <f t="shared" ref="E51:G51" si="31">SUM(E47:E50)</f>
        <v>7912248934.3105097</v>
      </c>
      <c r="F51" s="136">
        <f t="shared" si="31"/>
        <v>7417248934.3105097</v>
      </c>
      <c r="G51" s="136">
        <f t="shared" si="31"/>
        <v>7293498934.3105097</v>
      </c>
      <c r="H51" s="579" t="s">
        <v>1913</v>
      </c>
      <c r="I51" s="117">
        <v>7905353634.3223095</v>
      </c>
      <c r="J51" t="b">
        <f t="shared" si="0"/>
        <v>0</v>
      </c>
      <c r="L51" s="594"/>
      <c r="N51" s="601" t="e">
        <f t="shared" ref="N51" si="32">SUM(N47:N50)</f>
        <v>#VALUE!</v>
      </c>
    </row>
    <row r="52" spans="1:19">
      <c r="A52" s="3" t="s">
        <v>445</v>
      </c>
      <c r="D52" s="30">
        <f>D51+D44</f>
        <v>12300868500.600651</v>
      </c>
      <c r="E52" s="170">
        <f t="shared" ref="E52:G52" si="33">E44+E51</f>
        <v>12300868500.600651</v>
      </c>
      <c r="F52" s="136">
        <f t="shared" si="33"/>
        <v>11805868500.600651</v>
      </c>
      <c r="G52" s="136">
        <f t="shared" si="33"/>
        <v>11682118500.600651</v>
      </c>
      <c r="I52" s="117">
        <v>12300857402.158306</v>
      </c>
      <c r="J52" t="b">
        <f t="shared" si="0"/>
        <v>0</v>
      </c>
      <c r="L52" s="594"/>
      <c r="N52" s="601" t="e">
        <f t="shared" ref="N52" si="34">N44+N51</f>
        <v>#VALUE!</v>
      </c>
    </row>
    <row r="53" spans="1:19">
      <c r="A53" s="31" t="s">
        <v>593</v>
      </c>
      <c r="D53" s="31" t="b">
        <f>D52=D31</f>
        <v>1</v>
      </c>
      <c r="E53" s="172" t="b">
        <f t="shared" ref="E53:G53" si="35">E31=E52</f>
        <v>1</v>
      </c>
      <c r="F53" s="34" t="b">
        <f t="shared" si="35"/>
        <v>1</v>
      </c>
      <c r="G53" s="34" t="b">
        <f t="shared" si="35"/>
        <v>1</v>
      </c>
      <c r="I53" s="33" t="b">
        <v>1</v>
      </c>
      <c r="J53" t="b">
        <f t="shared" si="0"/>
        <v>1</v>
      </c>
      <c r="L53" s="594"/>
      <c r="N53" s="601" t="e">
        <f t="shared" ref="N53" si="36">N31=N52</f>
        <v>#VALUE!</v>
      </c>
    </row>
    <row r="54" spans="1:19">
      <c r="E54" s="172"/>
      <c r="F54" s="34"/>
      <c r="G54" s="34"/>
      <c r="I54" s="33"/>
      <c r="J54" t="b">
        <f t="shared" si="0"/>
        <v>1</v>
      </c>
      <c r="L54" s="594"/>
      <c r="N54" s="601"/>
    </row>
    <row r="55" spans="1:19">
      <c r="B55" t="s">
        <v>1942</v>
      </c>
      <c r="E55" s="416">
        <f t="shared" ref="E55:G55" si="37">263.0657786*1000000</f>
        <v>263065778.59999999</v>
      </c>
      <c r="F55" s="412">
        <f t="shared" si="37"/>
        <v>263065778.59999999</v>
      </c>
      <c r="G55" s="412">
        <f t="shared" si="37"/>
        <v>263065778.59999999</v>
      </c>
      <c r="H55" s="579" t="s">
        <v>1945</v>
      </c>
      <c r="I55" s="33">
        <v>263065778.59999999</v>
      </c>
      <c r="J55" t="b">
        <f t="shared" si="0"/>
        <v>1</v>
      </c>
      <c r="L55" s="597"/>
      <c r="N55" s="601">
        <f t="shared" ref="N55" si="38">263.0657786*1000000</f>
        <v>263065778.59999999</v>
      </c>
    </row>
    <row r="56" spans="1:19">
      <c r="B56" s="143" t="s">
        <v>450</v>
      </c>
      <c r="D56" s="10"/>
      <c r="E56" s="173">
        <v>63</v>
      </c>
      <c r="F56" s="410">
        <v>63</v>
      </c>
      <c r="G56" s="410">
        <v>63</v>
      </c>
      <c r="H56" s="509" t="s">
        <v>323</v>
      </c>
      <c r="I56" s="118">
        <v>63</v>
      </c>
      <c r="J56" t="b">
        <f t="shared" si="0"/>
        <v>1</v>
      </c>
      <c r="L56" s="594"/>
      <c r="N56" s="1265">
        <v>63</v>
      </c>
    </row>
    <row r="57" spans="1:19">
      <c r="B57" s="608" t="s">
        <v>1226</v>
      </c>
      <c r="D57" s="10"/>
      <c r="E57" s="416">
        <f>decMarketing</f>
        <v>195000</v>
      </c>
      <c r="F57" s="412">
        <f>decMarketing</f>
        <v>200000</v>
      </c>
      <c r="G57" s="412">
        <f>decMarketing</f>
        <v>150000</v>
      </c>
      <c r="H57" s="664" t="s">
        <v>2064</v>
      </c>
      <c r="I57" s="511">
        <v>200000</v>
      </c>
      <c r="J57" t="b">
        <f t="shared" si="0"/>
        <v>0</v>
      </c>
      <c r="L57" s="597"/>
      <c r="N57" s="601" t="e">
        <f>decMarketing</f>
        <v>#VALUE!</v>
      </c>
    </row>
    <row r="58" spans="1:19" ht="11.25" customHeight="1">
      <c r="E58" s="172"/>
      <c r="F58" s="34"/>
      <c r="G58" s="34"/>
      <c r="I58" s="33"/>
      <c r="J58" t="b">
        <f t="shared" si="0"/>
        <v>1</v>
      </c>
      <c r="L58" s="597"/>
      <c r="N58" s="601"/>
    </row>
    <row r="59" spans="1:19">
      <c r="A59" s="3" t="str">
        <f>DataNameProd1</f>
        <v>Growth</v>
      </c>
      <c r="E59" s="172"/>
      <c r="F59" s="34"/>
      <c r="G59" s="34"/>
      <c r="I59" s="33"/>
      <c r="J59" t="b">
        <f t="shared" si="0"/>
        <v>1</v>
      </c>
      <c r="L59" s="594"/>
      <c r="N59" s="601"/>
      <c r="P59" s="565" t="s">
        <v>1339</v>
      </c>
      <c r="Q59" s="565" t="s">
        <v>2163</v>
      </c>
      <c r="R59" s="565" t="s">
        <v>1340</v>
      </c>
      <c r="S59" s="565" t="s">
        <v>799</v>
      </c>
    </row>
    <row r="60" spans="1:19">
      <c r="A60" s="3"/>
      <c r="B60" s="567" t="s">
        <v>1743</v>
      </c>
      <c r="D60" s="326">
        <f>cbal!E60</f>
        <v>159262.5</v>
      </c>
      <c r="E60" s="999">
        <f t="shared" ref="E60:G60" si="39">P60</f>
        <v>155000</v>
      </c>
      <c r="F60" s="999">
        <f t="shared" si="39"/>
        <v>131750</v>
      </c>
      <c r="G60" s="999">
        <f t="shared" si="39"/>
        <v>100750</v>
      </c>
      <c r="H60" s="10" t="s">
        <v>1748</v>
      </c>
      <c r="I60" s="33">
        <v>155000</v>
      </c>
      <c r="J60" t="b">
        <f t="shared" si="0"/>
        <v>0</v>
      </c>
      <c r="L60" s="598">
        <v>0.98</v>
      </c>
      <c r="N60" s="601">
        <f>Y60</f>
        <v>0</v>
      </c>
      <c r="P60" s="18">
        <f>S60*P61</f>
        <v>155000</v>
      </c>
      <c r="Q60" s="18">
        <f>$S$60*Q61</f>
        <v>131750</v>
      </c>
      <c r="R60" s="18">
        <f>$S$60*R61</f>
        <v>100750</v>
      </c>
      <c r="S60" s="18">
        <f>DataPage!E103</f>
        <v>387500</v>
      </c>
    </row>
    <row r="61" spans="1:19">
      <c r="A61" s="3"/>
      <c r="B61" s="604" t="s">
        <v>1388</v>
      </c>
      <c r="D61" s="326">
        <f>cbal!E61</f>
        <v>7500.0692812500001</v>
      </c>
      <c r="E61" s="999">
        <f>E60*obalProd1CancellationRate</f>
        <v>7750</v>
      </c>
      <c r="F61" s="999">
        <f>F60*obalProd1CancellationRate</f>
        <v>6587.5</v>
      </c>
      <c r="G61" s="999">
        <f>G60*obalProd1CancellationRate</f>
        <v>5037.5</v>
      </c>
      <c r="H61" s="10" t="s">
        <v>1749</v>
      </c>
      <c r="I61" s="33">
        <v>7750</v>
      </c>
      <c r="J61" t="b">
        <f t="shared" si="0"/>
        <v>0</v>
      </c>
      <c r="L61" s="597"/>
      <c r="N61" s="601" t="e">
        <f>N60*obalProd1CancellationRate</f>
        <v>#VALUE!</v>
      </c>
      <c r="P61" s="12">
        <v>0.4</v>
      </c>
      <c r="Q61" s="12">
        <v>0.34</v>
      </c>
      <c r="R61" s="12">
        <v>0.26</v>
      </c>
    </row>
    <row r="62" spans="1:19">
      <c r="A62" s="3"/>
      <c r="B62" s="604" t="s">
        <v>1747</v>
      </c>
      <c r="D62" s="326">
        <f>cbal!E62</f>
        <v>11508</v>
      </c>
      <c r="E62" s="999">
        <f t="shared" ref="E62:G62" si="40">E61*(1.55)</f>
        <v>12012.5</v>
      </c>
      <c r="F62" s="999">
        <f t="shared" si="40"/>
        <v>10210.625</v>
      </c>
      <c r="G62" s="999">
        <f t="shared" si="40"/>
        <v>7808.125</v>
      </c>
      <c r="H62" s="10" t="s">
        <v>1750</v>
      </c>
      <c r="I62" s="33">
        <v>12012.5</v>
      </c>
      <c r="J62" t="b">
        <f t="shared" si="0"/>
        <v>0</v>
      </c>
      <c r="L62" s="597"/>
      <c r="N62" s="601" t="e">
        <f>N61*(1.55)</f>
        <v>#VALUE!</v>
      </c>
    </row>
    <row r="63" spans="1:19">
      <c r="B63" s="565" t="s">
        <v>1385</v>
      </c>
      <c r="C63" s="327"/>
      <c r="D63" s="326">
        <f>cbal!E63</f>
        <v>163270.43071874999</v>
      </c>
      <c r="E63" s="999">
        <f t="shared" ref="E63:G63" si="41">E60-E61+E62</f>
        <v>159262.5</v>
      </c>
      <c r="F63" s="999">
        <f t="shared" si="41"/>
        <v>135373.125</v>
      </c>
      <c r="G63" s="999">
        <f t="shared" si="41"/>
        <v>103520.625</v>
      </c>
      <c r="H63" s="578" t="s">
        <v>1386</v>
      </c>
      <c r="I63" s="462">
        <v>159262.5</v>
      </c>
      <c r="J63" t="b">
        <f t="shared" si="0"/>
        <v>0</v>
      </c>
      <c r="L63" s="594"/>
      <c r="N63" s="601" t="e">
        <f>N60-N61+N62</f>
        <v>#VALUE!</v>
      </c>
    </row>
    <row r="64" spans="1:19">
      <c r="B64" s="565" t="s">
        <v>1347</v>
      </c>
      <c r="D64" s="326">
        <f>cbal!E64</f>
        <v>10800</v>
      </c>
      <c r="E64" s="416">
        <v>10800</v>
      </c>
      <c r="F64" s="412">
        <v>10800</v>
      </c>
      <c r="G64" s="412">
        <v>10800</v>
      </c>
      <c r="H64" s="578" t="s">
        <v>1412</v>
      </c>
      <c r="I64" s="462">
        <v>10800</v>
      </c>
      <c r="J64" t="b">
        <f t="shared" si="0"/>
        <v>1</v>
      </c>
      <c r="L64" s="594"/>
      <c r="N64" s="601">
        <v>10800</v>
      </c>
    </row>
    <row r="65" spans="2:14">
      <c r="B65" s="565" t="s">
        <v>1276</v>
      </c>
      <c r="C65" s="565" t="s">
        <v>531</v>
      </c>
      <c r="D65" s="326">
        <f>cbal!E65</f>
        <v>2008782289.0972757</v>
      </c>
      <c r="E65" s="586">
        <v>1832033700</v>
      </c>
      <c r="F65" s="412">
        <v>1832033700</v>
      </c>
      <c r="G65" s="412">
        <v>1832033700</v>
      </c>
      <c r="H65" s="578" t="s">
        <v>1410</v>
      </c>
      <c r="I65" s="462">
        <v>1832033700</v>
      </c>
      <c r="J65" t="b">
        <f t="shared" si="0"/>
        <v>1</v>
      </c>
      <c r="L65" s="594"/>
      <c r="N65" s="601">
        <v>1832033700</v>
      </c>
    </row>
    <row r="66" spans="2:14">
      <c r="B66" s="565" t="s">
        <v>1409</v>
      </c>
      <c r="C66" s="565"/>
      <c r="D66" s="326">
        <f>cbal!E66</f>
        <v>209000851.76249999</v>
      </c>
      <c r="E66" s="416">
        <f t="shared" ref="E66:G68" si="42">$D66*$L66</f>
        <v>198550809.17437497</v>
      </c>
      <c r="F66" s="412">
        <f t="shared" si="42"/>
        <v>198550809.17437497</v>
      </c>
      <c r="G66" s="412">
        <f t="shared" si="42"/>
        <v>198550809.17437497</v>
      </c>
      <c r="H66" s="578" t="s">
        <v>1755</v>
      </c>
      <c r="I66" s="462">
        <v>198562493.92499998</v>
      </c>
      <c r="J66" t="b">
        <f t="shared" si="0"/>
        <v>1</v>
      </c>
      <c r="L66" s="598">
        <v>0.95</v>
      </c>
      <c r="N66" s="601">
        <f t="shared" ref="N66:N68" si="43">$D66*$L66</f>
        <v>198550809.17437497</v>
      </c>
    </row>
    <row r="67" spans="2:14">
      <c r="B67" s="565" t="s">
        <v>1757</v>
      </c>
      <c r="C67" s="565"/>
      <c r="D67" s="385">
        <f>cbal!E67</f>
        <v>2.5165564516129058E-2</v>
      </c>
      <c r="E67" s="457">
        <f t="shared" si="42"/>
        <v>2.3907286290322603E-2</v>
      </c>
      <c r="F67" s="505">
        <f t="shared" si="42"/>
        <v>2.3907286290322603E-2</v>
      </c>
      <c r="G67" s="505">
        <f t="shared" si="42"/>
        <v>2.3907286290322603E-2</v>
      </c>
      <c r="H67" s="578" t="s">
        <v>2139</v>
      </c>
      <c r="I67" s="462">
        <v>2.3906126285220874E-2</v>
      </c>
      <c r="J67" t="b">
        <f t="shared" si="0"/>
        <v>1</v>
      </c>
      <c r="L67" s="598">
        <v>0.95</v>
      </c>
      <c r="N67" s="601">
        <f t="shared" si="43"/>
        <v>2.3907286290322603E-2</v>
      </c>
    </row>
    <row r="68" spans="2:14">
      <c r="B68" s="565" t="s">
        <v>3008</v>
      </c>
      <c r="C68" s="565"/>
      <c r="D68" s="385">
        <f>cbal!E68</f>
        <v>7.2258064516129039E-2</v>
      </c>
      <c r="E68" s="457">
        <f t="shared" si="42"/>
        <v>6.8645161290322582E-2</v>
      </c>
      <c r="F68" s="505">
        <f t="shared" si="42"/>
        <v>6.8645161290322582E-2</v>
      </c>
      <c r="G68" s="505">
        <f t="shared" si="42"/>
        <v>6.8645161290322582E-2</v>
      </c>
      <c r="H68" s="578" t="s">
        <v>3012</v>
      </c>
      <c r="I68" s="462">
        <v>6.8651126285220937E-2</v>
      </c>
      <c r="J68" t="b">
        <f t="shared" si="0"/>
        <v>1</v>
      </c>
      <c r="L68" s="598">
        <v>0.95</v>
      </c>
      <c r="N68" s="714">
        <f t="shared" si="43"/>
        <v>6.8645161290322582E-2</v>
      </c>
    </row>
    <row r="69" spans="2:14">
      <c r="B69" s="565" t="s">
        <v>1274</v>
      </c>
      <c r="C69" s="565"/>
      <c r="D69" s="326">
        <f>cbal!E69</f>
        <v>3</v>
      </c>
      <c r="E69" s="416">
        <v>1</v>
      </c>
      <c r="F69" s="412">
        <v>1</v>
      </c>
      <c r="G69" s="412">
        <v>1</v>
      </c>
      <c r="H69" s="578" t="s">
        <v>1764</v>
      </c>
      <c r="I69" s="462">
        <v>1</v>
      </c>
      <c r="J69" t="b">
        <f t="shared" si="0"/>
        <v>1</v>
      </c>
      <c r="L69" s="598"/>
      <c r="N69" s="601">
        <v>1</v>
      </c>
    </row>
    <row r="70" spans="2:14">
      <c r="B70" s="565" t="s">
        <v>1768</v>
      </c>
      <c r="C70" s="565"/>
      <c r="D70" s="326">
        <f>cbal!E70</f>
        <v>3</v>
      </c>
      <c r="E70" s="416">
        <v>1</v>
      </c>
      <c r="F70" s="412">
        <v>1</v>
      </c>
      <c r="G70" s="412">
        <v>1</v>
      </c>
      <c r="H70" s="578" t="s">
        <v>1788</v>
      </c>
      <c r="I70" s="462">
        <v>1</v>
      </c>
      <c r="J70" t="b">
        <f t="shared" si="0"/>
        <v>1</v>
      </c>
      <c r="L70" s="598"/>
      <c r="N70" s="601">
        <v>1</v>
      </c>
    </row>
    <row r="71" spans="2:14">
      <c r="B71" s="565" t="s">
        <v>113</v>
      </c>
      <c r="C71" s="565"/>
      <c r="D71" s="326">
        <f>cbal!E71</f>
        <v>50.821085663092326</v>
      </c>
      <c r="E71" s="416">
        <v>50</v>
      </c>
      <c r="F71" s="412">
        <v>50</v>
      </c>
      <c r="G71" s="412">
        <v>50</v>
      </c>
      <c r="H71" s="578" t="s">
        <v>1789</v>
      </c>
      <c r="I71" s="462">
        <v>50</v>
      </c>
      <c r="J71" t="b">
        <f t="shared" si="0"/>
        <v>1</v>
      </c>
      <c r="L71" s="598"/>
      <c r="N71" s="601">
        <v>50</v>
      </c>
    </row>
    <row r="72" spans="2:14">
      <c r="B72" s="565" t="s">
        <v>1769</v>
      </c>
      <c r="C72" s="565"/>
      <c r="D72" s="326">
        <f>cbal!E72</f>
        <v>53.682538528965786</v>
      </c>
      <c r="E72" s="416">
        <v>50</v>
      </c>
      <c r="F72" s="412">
        <v>50</v>
      </c>
      <c r="G72" s="412">
        <v>50</v>
      </c>
      <c r="H72" s="578" t="s">
        <v>1790</v>
      </c>
      <c r="I72" s="462">
        <v>50</v>
      </c>
      <c r="J72" t="b">
        <f t="shared" si="0"/>
        <v>1</v>
      </c>
      <c r="L72" s="598"/>
      <c r="N72" s="601">
        <v>50</v>
      </c>
    </row>
    <row r="73" spans="2:14">
      <c r="B73" s="565" t="str">
        <f>DataNameEmp1 &amp; " Required for Tech Lvl"</f>
        <v>Engineers Required for Tech Lvl</v>
      </c>
      <c r="C73" s="565"/>
      <c r="D73" s="326">
        <f>cbal!E73</f>
        <v>140</v>
      </c>
      <c r="E73" s="416">
        <f t="shared" ref="E73:G75" si="44">ROUNDUP($D73*$L73,0)</f>
        <v>126</v>
      </c>
      <c r="F73" s="412">
        <f t="shared" si="44"/>
        <v>126</v>
      </c>
      <c r="G73" s="412">
        <f t="shared" si="44"/>
        <v>126</v>
      </c>
      <c r="H73" s="578" t="s">
        <v>1950</v>
      </c>
      <c r="I73" s="462">
        <v>126</v>
      </c>
      <c r="J73" t="b">
        <f t="shared" si="0"/>
        <v>1</v>
      </c>
      <c r="L73" s="598">
        <v>0.9</v>
      </c>
      <c r="N73" s="601">
        <f t="shared" ref="N73:N75" si="45">ROUNDUP($D73*$L73,0)</f>
        <v>126</v>
      </c>
    </row>
    <row r="74" spans="2:14">
      <c r="B74" s="565" t="str">
        <f>"TTM "&amp; DataNameEmp1</f>
        <v>TTM Engineers</v>
      </c>
      <c r="C74" s="565"/>
      <c r="D74" s="326">
        <f>cbal!E74</f>
        <v>130</v>
      </c>
      <c r="E74" s="416">
        <f t="shared" si="44"/>
        <v>117</v>
      </c>
      <c r="F74" s="412">
        <f t="shared" si="44"/>
        <v>117</v>
      </c>
      <c r="G74" s="412">
        <f t="shared" si="44"/>
        <v>117</v>
      </c>
      <c r="H74" s="578" t="s">
        <v>1951</v>
      </c>
      <c r="I74" s="462">
        <v>117</v>
      </c>
      <c r="J74" t="b">
        <f t="shared" si="0"/>
        <v>1</v>
      </c>
      <c r="L74" s="598">
        <v>0.9</v>
      </c>
      <c r="N74" s="601">
        <f t="shared" si="45"/>
        <v>117</v>
      </c>
    </row>
    <row r="75" spans="2:14">
      <c r="B75" s="565" t="s">
        <v>1949</v>
      </c>
      <c r="C75" s="565"/>
      <c r="D75" s="326">
        <f>cbal!E75</f>
        <v>100</v>
      </c>
      <c r="E75" s="416">
        <f t="shared" si="44"/>
        <v>90</v>
      </c>
      <c r="F75" s="412">
        <f t="shared" si="44"/>
        <v>90</v>
      </c>
      <c r="G75" s="412">
        <f t="shared" si="44"/>
        <v>90</v>
      </c>
      <c r="H75" s="578" t="s">
        <v>1952</v>
      </c>
      <c r="I75" s="462">
        <v>90</v>
      </c>
      <c r="J75" t="b">
        <f t="shared" si="0"/>
        <v>1</v>
      </c>
      <c r="L75" s="598">
        <v>0.9</v>
      </c>
      <c r="N75" s="601">
        <f t="shared" si="45"/>
        <v>90</v>
      </c>
    </row>
    <row r="76" spans="2:14">
      <c r="B76" s="565" t="s">
        <v>2142</v>
      </c>
      <c r="C76" s="565"/>
      <c r="D76" s="15">
        <v>0.3</v>
      </c>
      <c r="E76" s="457">
        <v>0.25</v>
      </c>
      <c r="F76" s="505">
        <v>0.25</v>
      </c>
      <c r="G76" s="505">
        <v>0.25</v>
      </c>
      <c r="H76" s="566" t="s">
        <v>2144</v>
      </c>
      <c r="I76" s="667">
        <v>0.25</v>
      </c>
      <c r="J76" t="b">
        <f t="shared" si="0"/>
        <v>1</v>
      </c>
      <c r="L76" s="598"/>
      <c r="N76" s="601">
        <v>0.25</v>
      </c>
    </row>
    <row r="77" spans="2:14">
      <c r="B77" s="565" t="s">
        <v>2151</v>
      </c>
      <c r="C77" s="565"/>
      <c r="D77" s="15">
        <v>0.05</v>
      </c>
      <c r="E77" s="457">
        <v>0.05</v>
      </c>
      <c r="F77" s="505">
        <v>0.05</v>
      </c>
      <c r="G77" s="505">
        <v>0.05</v>
      </c>
      <c r="H77" s="566" t="s">
        <v>2155</v>
      </c>
      <c r="I77" s="667">
        <v>0.05</v>
      </c>
      <c r="J77" t="b">
        <f t="shared" si="0"/>
        <v>1</v>
      </c>
      <c r="L77" s="598"/>
      <c r="N77" s="601">
        <v>0.05</v>
      </c>
    </row>
    <row r="78" spans="2:14">
      <c r="B78" s="565" t="s">
        <v>2771</v>
      </c>
      <c r="C78" s="565"/>
      <c r="D78" s="15">
        <v>0.05</v>
      </c>
      <c r="E78" s="457"/>
      <c r="F78" s="505"/>
      <c r="G78" s="505"/>
      <c r="H78" s="566" t="s">
        <v>2772</v>
      </c>
      <c r="I78" s="667"/>
      <c r="J78" t="b">
        <f t="shared" si="0"/>
        <v>1</v>
      </c>
      <c r="L78" s="598"/>
      <c r="N78" s="714"/>
    </row>
    <row r="79" spans="2:14">
      <c r="B79" s="604" t="s">
        <v>3345</v>
      </c>
      <c r="C79" s="565"/>
      <c r="D79" s="15"/>
      <c r="E79" s="416">
        <v>0</v>
      </c>
      <c r="F79" s="412">
        <v>0</v>
      </c>
      <c r="G79" s="412">
        <v>0</v>
      </c>
      <c r="H79" s="566" t="s">
        <v>3346</v>
      </c>
      <c r="I79" s="462">
        <v>0</v>
      </c>
      <c r="J79" t="b">
        <f t="shared" si="0"/>
        <v>1</v>
      </c>
      <c r="L79" s="1101"/>
      <c r="N79" s="1102">
        <v>0</v>
      </c>
    </row>
    <row r="80" spans="2:14">
      <c r="D80" s="326"/>
      <c r="E80" s="416"/>
      <c r="F80" s="34"/>
      <c r="G80" s="34"/>
      <c r="I80" s="33"/>
      <c r="J80" t="b">
        <f t="shared" si="0"/>
        <v>1</v>
      </c>
      <c r="L80" s="598"/>
      <c r="N80" s="601"/>
    </row>
    <row r="81" spans="1:19">
      <c r="A81" s="3" t="str">
        <f>DataNameProd2</f>
        <v>Transform</v>
      </c>
      <c r="D81" s="326"/>
      <c r="E81" s="416"/>
      <c r="F81" s="566"/>
      <c r="G81" s="34"/>
      <c r="I81" s="33"/>
      <c r="J81" t="b">
        <f t="shared" si="0"/>
        <v>1</v>
      </c>
      <c r="L81" s="594"/>
      <c r="N81" s="601"/>
      <c r="P81" s="565" t="s">
        <v>1339</v>
      </c>
      <c r="Q81" s="565" t="s">
        <v>2163</v>
      </c>
      <c r="R81" s="565" t="s">
        <v>1340</v>
      </c>
      <c r="S81" s="565" t="s">
        <v>799</v>
      </c>
    </row>
    <row r="82" spans="1:19">
      <c r="A82" s="3"/>
      <c r="B82" s="567" t="s">
        <v>1743</v>
      </c>
      <c r="D82" s="326">
        <f>cbal!E82</f>
        <v>200500.00000000003</v>
      </c>
      <c r="E82" s="999">
        <f t="shared" ref="E82:G82" si="46">P82</f>
        <v>200500</v>
      </c>
      <c r="F82" s="999">
        <f t="shared" si="46"/>
        <v>170425</v>
      </c>
      <c r="G82" s="999">
        <f t="shared" si="46"/>
        <v>130325</v>
      </c>
      <c r="H82" s="10" t="s">
        <v>1751</v>
      </c>
      <c r="I82" s="33">
        <v>200500</v>
      </c>
      <c r="J82" t="b">
        <f t="shared" si="0"/>
        <v>0</v>
      </c>
      <c r="L82" s="598">
        <v>0.99</v>
      </c>
      <c r="N82" s="601">
        <f>Y82</f>
        <v>0</v>
      </c>
      <c r="P82" s="18">
        <f>S82*P83</f>
        <v>200500</v>
      </c>
      <c r="Q82" s="18">
        <f>$S$82*Q83</f>
        <v>170425</v>
      </c>
      <c r="R82" s="18">
        <f>$S$82*R83</f>
        <v>130325</v>
      </c>
      <c r="S82" s="18">
        <f>DataPage!E132</f>
        <v>501250</v>
      </c>
    </row>
    <row r="83" spans="1:19">
      <c r="A83" s="3"/>
      <c r="B83" s="604" t="s">
        <v>1388</v>
      </c>
      <c r="D83" s="326">
        <f>cbal!E83</f>
        <v>22946.022000000001</v>
      </c>
      <c r="E83" s="999">
        <f>E82*obalProd2CancellationRate</f>
        <v>24060</v>
      </c>
      <c r="F83" s="999">
        <f>F82*obalProd2CancellationRate</f>
        <v>20451</v>
      </c>
      <c r="G83" s="999">
        <f>G82*obalProd2CancellationRate</f>
        <v>15639</v>
      </c>
      <c r="H83" s="10" t="s">
        <v>1752</v>
      </c>
      <c r="I83" s="33">
        <v>24060</v>
      </c>
      <c r="J83" t="b">
        <f t="shared" si="0"/>
        <v>0</v>
      </c>
      <c r="L83" s="597"/>
      <c r="N83" s="601" t="e">
        <f>N82*obalProd2CancellationRate</f>
        <v>#VALUE!</v>
      </c>
      <c r="P83" s="12">
        <v>0.4</v>
      </c>
      <c r="Q83" s="12">
        <v>0.34</v>
      </c>
      <c r="R83" s="12">
        <v>0.26</v>
      </c>
    </row>
    <row r="84" spans="1:19">
      <c r="A84" s="3"/>
      <c r="B84" s="604" t="s">
        <v>1747</v>
      </c>
      <c r="D84" s="326">
        <f>cbal!E84</f>
        <v>4656</v>
      </c>
      <c r="E84" s="999">
        <f t="shared" ref="E84:G84" si="47">E82*(1+E99)-E82</f>
        <v>24060.000000000029</v>
      </c>
      <c r="F84" s="999">
        <f t="shared" si="47"/>
        <v>20451.000000000029</v>
      </c>
      <c r="G84" s="999">
        <f t="shared" si="47"/>
        <v>15639</v>
      </c>
      <c r="H84" s="10" t="s">
        <v>1753</v>
      </c>
      <c r="I84" s="33">
        <v>24060.000000000029</v>
      </c>
      <c r="J84" t="b">
        <f t="shared" si="0"/>
        <v>0</v>
      </c>
      <c r="L84" s="597"/>
      <c r="N84" s="601">
        <f>N82*(1+N99)-N82</f>
        <v>0</v>
      </c>
    </row>
    <row r="85" spans="1:19">
      <c r="B85" t="s">
        <v>1385</v>
      </c>
      <c r="D85" s="326">
        <f>cbal!E85</f>
        <v>182209.97800000003</v>
      </c>
      <c r="E85" s="999">
        <f t="shared" ref="E85:G85" si="48">E82-E83+E84</f>
        <v>200500.00000000003</v>
      </c>
      <c r="F85" s="999">
        <f t="shared" si="48"/>
        <v>170425.00000000003</v>
      </c>
      <c r="G85" s="999">
        <f t="shared" si="48"/>
        <v>130325</v>
      </c>
      <c r="H85" s="578" t="s">
        <v>1404</v>
      </c>
      <c r="I85" s="462">
        <v>200500.00000000003</v>
      </c>
      <c r="J85" t="b">
        <f t="shared" si="0"/>
        <v>0</v>
      </c>
      <c r="L85" s="594"/>
      <c r="N85" s="601" t="e">
        <f>N82-N83+N84</f>
        <v>#VALUE!</v>
      </c>
    </row>
    <row r="86" spans="1:19">
      <c r="B86" t="s">
        <v>1347</v>
      </c>
      <c r="D86" s="326">
        <f>cbal!E86</f>
        <v>12000</v>
      </c>
      <c r="E86" s="416">
        <v>12000</v>
      </c>
      <c r="F86" s="412">
        <v>12000</v>
      </c>
      <c r="G86" s="412">
        <v>12000</v>
      </c>
      <c r="H86" s="578" t="s">
        <v>1413</v>
      </c>
      <c r="I86" s="462">
        <v>12000</v>
      </c>
      <c r="J86" t="b">
        <f t="shared" si="0"/>
        <v>1</v>
      </c>
      <c r="L86" s="594"/>
      <c r="N86" s="601">
        <v>12000</v>
      </c>
    </row>
    <row r="87" spans="1:19">
      <c r="B87" t="s">
        <v>1276</v>
      </c>
      <c r="D87" s="326">
        <f>cbal!E87</f>
        <v>2402628685.4051218</v>
      </c>
      <c r="E87" s="586">
        <v>2505942300</v>
      </c>
      <c r="F87" s="412">
        <v>2505942300</v>
      </c>
      <c r="G87" s="412">
        <v>2505942300</v>
      </c>
      <c r="H87" s="578" t="s">
        <v>1411</v>
      </c>
      <c r="I87" s="462">
        <v>2505942300</v>
      </c>
      <c r="J87" t="b">
        <f t="shared" ref="J87:J104" si="49">MAX(E87:G87)=MIN(E87:G87)</f>
        <v>1</v>
      </c>
      <c r="L87" s="594"/>
      <c r="N87" s="601">
        <v>2505942300</v>
      </c>
    </row>
    <row r="88" spans="1:19">
      <c r="B88" s="565" t="s">
        <v>1409</v>
      </c>
      <c r="D88" s="326">
        <f>cbal!E88</f>
        <v>-159883464</v>
      </c>
      <c r="E88" s="416">
        <f t="shared" ref="E88:G90" si="50">$D88*$L88</f>
        <v>-151889290.79999998</v>
      </c>
      <c r="F88" s="412">
        <f t="shared" si="50"/>
        <v>-151889290.79999998</v>
      </c>
      <c r="G88" s="412">
        <f t="shared" si="50"/>
        <v>-151889290.79999998</v>
      </c>
      <c r="H88" s="578" t="s">
        <v>1756</v>
      </c>
      <c r="I88" s="462">
        <v>-151948016</v>
      </c>
      <c r="J88" t="b">
        <f t="shared" si="49"/>
        <v>1</v>
      </c>
      <c r="L88" s="598">
        <v>0.95</v>
      </c>
      <c r="N88" s="601">
        <f t="shared" ref="N88:N90" si="51">$D88*$L88</f>
        <v>-151889290.79999998</v>
      </c>
    </row>
    <row r="89" spans="1:19">
      <c r="B89" s="565" t="s">
        <v>1757</v>
      </c>
      <c r="D89" s="385">
        <f>cbal!E89</f>
        <v>-9.122205486284285E-2</v>
      </c>
      <c r="E89" s="457">
        <f t="shared" si="50"/>
        <v>-8.9397613765585984E-2</v>
      </c>
      <c r="F89" s="505">
        <f t="shared" si="50"/>
        <v>-8.9397613765585984E-2</v>
      </c>
      <c r="G89" s="505">
        <f t="shared" si="50"/>
        <v>-8.9397613765585984E-2</v>
      </c>
      <c r="H89" s="578" t="s">
        <v>2140</v>
      </c>
      <c r="I89" s="462">
        <v>-8.9428005985037293E-2</v>
      </c>
      <c r="J89" t="b">
        <f t="shared" si="49"/>
        <v>1</v>
      </c>
      <c r="L89" s="598">
        <v>0.98</v>
      </c>
      <c r="N89" s="601">
        <f t="shared" si="51"/>
        <v>-8.9397613765585984E-2</v>
      </c>
    </row>
    <row r="90" spans="1:19">
      <c r="B90" s="565" t="s">
        <v>3008</v>
      </c>
      <c r="D90" s="385">
        <f>cbal!E90</f>
        <v>2.3221945137157102E-2</v>
      </c>
      <c r="E90" s="1103">
        <f t="shared" si="50"/>
        <v>2.2757506234413961E-2</v>
      </c>
      <c r="F90" s="505">
        <f t="shared" si="50"/>
        <v>2.2757506234413961E-2</v>
      </c>
      <c r="G90" s="505">
        <f t="shared" si="50"/>
        <v>2.2757506234413961E-2</v>
      </c>
      <c r="H90" s="578" t="s">
        <v>3010</v>
      </c>
      <c r="I90" s="462">
        <v>2.2762394014962588E-2</v>
      </c>
      <c r="J90" t="b">
        <f t="shared" si="49"/>
        <v>1</v>
      </c>
      <c r="L90" s="598">
        <v>0.98</v>
      </c>
      <c r="N90" s="714">
        <f t="shared" si="51"/>
        <v>2.2757506234413961E-2</v>
      </c>
    </row>
    <row r="91" spans="1:19">
      <c r="B91" s="565" t="s">
        <v>1274</v>
      </c>
      <c r="C91" s="565"/>
      <c r="D91" s="326">
        <f>cbal!E91</f>
        <v>3</v>
      </c>
      <c r="E91" s="416">
        <v>1</v>
      </c>
      <c r="F91" s="412">
        <v>1</v>
      </c>
      <c r="G91" s="412">
        <v>1</v>
      </c>
      <c r="H91" s="578" t="s">
        <v>1765</v>
      </c>
      <c r="I91" s="462">
        <v>1</v>
      </c>
      <c r="J91" t="b">
        <f t="shared" si="49"/>
        <v>1</v>
      </c>
      <c r="L91" s="598"/>
      <c r="N91" s="601">
        <v>1</v>
      </c>
    </row>
    <row r="92" spans="1:19">
      <c r="B92" s="565" t="s">
        <v>1768</v>
      </c>
      <c r="C92" s="565"/>
      <c r="D92" s="326">
        <f>cbal!E92</f>
        <v>3</v>
      </c>
      <c r="E92" s="416">
        <v>1</v>
      </c>
      <c r="F92" s="412">
        <v>1</v>
      </c>
      <c r="G92" s="412">
        <v>1</v>
      </c>
      <c r="H92" s="578" t="s">
        <v>1785</v>
      </c>
      <c r="I92" s="462">
        <v>1</v>
      </c>
      <c r="J92" t="b">
        <f t="shared" si="49"/>
        <v>1</v>
      </c>
      <c r="L92" s="598"/>
      <c r="N92" s="601">
        <v>1</v>
      </c>
    </row>
    <row r="93" spans="1:19">
      <c r="B93" s="565" t="s">
        <v>113</v>
      </c>
      <c r="C93" s="565"/>
      <c r="D93" s="326">
        <f>cbal!E93</f>
        <v>51.576599609964973</v>
      </c>
      <c r="E93" s="416">
        <v>65</v>
      </c>
      <c r="F93" s="412">
        <v>65</v>
      </c>
      <c r="G93" s="412">
        <v>65</v>
      </c>
      <c r="H93" s="578" t="s">
        <v>1786</v>
      </c>
      <c r="I93" s="462">
        <v>65</v>
      </c>
      <c r="J93" t="b">
        <f t="shared" si="49"/>
        <v>1</v>
      </c>
      <c r="L93" s="598"/>
      <c r="N93" s="601">
        <v>65</v>
      </c>
    </row>
    <row r="94" spans="1:19">
      <c r="B94" s="565" t="s">
        <v>1769</v>
      </c>
      <c r="C94" s="565"/>
      <c r="D94" s="326">
        <f>cbal!E94</f>
        <v>60.044821018591755</v>
      </c>
      <c r="E94" s="416">
        <v>65</v>
      </c>
      <c r="F94" s="412">
        <v>65</v>
      </c>
      <c r="G94" s="412">
        <v>65</v>
      </c>
      <c r="H94" s="578" t="s">
        <v>1787</v>
      </c>
      <c r="I94" s="462">
        <v>65</v>
      </c>
      <c r="J94" t="b">
        <f t="shared" si="49"/>
        <v>1</v>
      </c>
      <c r="L94" s="598"/>
      <c r="N94" s="601">
        <v>65</v>
      </c>
    </row>
    <row r="95" spans="1:19">
      <c r="B95" s="565" t="str">
        <f>DataNameEmp1 &amp; " Required for Tech Lvl"</f>
        <v>Engineers Required for Tech Lvl</v>
      </c>
      <c r="C95" s="565"/>
      <c r="D95" s="326">
        <f>cbal!E95</f>
        <v>140</v>
      </c>
      <c r="E95" s="416">
        <f t="shared" ref="E95:G97" si="52">ROUNDUP($D95*$L95,0)</f>
        <v>126</v>
      </c>
      <c r="F95" s="412">
        <f t="shared" si="52"/>
        <v>126</v>
      </c>
      <c r="G95" s="412">
        <f t="shared" si="52"/>
        <v>126</v>
      </c>
      <c r="H95" s="578" t="s">
        <v>1953</v>
      </c>
      <c r="I95" s="462">
        <v>126</v>
      </c>
      <c r="J95" t="b">
        <f t="shared" si="49"/>
        <v>1</v>
      </c>
      <c r="L95" s="598">
        <v>0.9</v>
      </c>
      <c r="N95" s="601">
        <f t="shared" ref="N95:N97" si="53">ROUNDUP($D95*$L95,0)</f>
        <v>126</v>
      </c>
    </row>
    <row r="96" spans="1:19">
      <c r="B96" s="565" t="str">
        <f>"TTM "&amp; DataNameEmp1</f>
        <v>TTM Engineers</v>
      </c>
      <c r="C96" s="565"/>
      <c r="D96" s="326">
        <f>cbal!E96</f>
        <v>125</v>
      </c>
      <c r="E96" s="416">
        <f t="shared" si="52"/>
        <v>113</v>
      </c>
      <c r="F96" s="412">
        <f t="shared" si="52"/>
        <v>113</v>
      </c>
      <c r="G96" s="412">
        <f t="shared" si="52"/>
        <v>113</v>
      </c>
      <c r="H96" s="578" t="s">
        <v>1954</v>
      </c>
      <c r="I96" s="462">
        <v>113</v>
      </c>
      <c r="J96" t="b">
        <f t="shared" si="49"/>
        <v>1</v>
      </c>
      <c r="L96" s="598">
        <v>0.9</v>
      </c>
      <c r="N96" s="601">
        <f t="shared" si="53"/>
        <v>113</v>
      </c>
    </row>
    <row r="97" spans="1:14">
      <c r="B97" s="565" t="s">
        <v>1949</v>
      </c>
      <c r="C97" s="565"/>
      <c r="D97" s="326">
        <f>cbal!E97</f>
        <v>100</v>
      </c>
      <c r="E97" s="416">
        <f t="shared" si="52"/>
        <v>90</v>
      </c>
      <c r="F97" s="412">
        <f t="shared" si="52"/>
        <v>90</v>
      </c>
      <c r="G97" s="412">
        <f t="shared" si="52"/>
        <v>90</v>
      </c>
      <c r="H97" s="578" t="s">
        <v>1955</v>
      </c>
      <c r="I97" s="462">
        <v>90</v>
      </c>
      <c r="J97" t="b">
        <f t="shared" si="49"/>
        <v>1</v>
      </c>
      <c r="L97" s="598">
        <v>0.9</v>
      </c>
      <c r="N97" s="601">
        <f t="shared" si="53"/>
        <v>90</v>
      </c>
    </row>
    <row r="98" spans="1:14">
      <c r="B98" s="565" t="s">
        <v>2142</v>
      </c>
      <c r="C98" s="565"/>
      <c r="D98" s="15">
        <v>0.3</v>
      </c>
      <c r="E98" s="457">
        <v>0.2</v>
      </c>
      <c r="F98" s="505">
        <v>0.2</v>
      </c>
      <c r="G98" s="505">
        <v>0.2</v>
      </c>
      <c r="H98" s="566" t="s">
        <v>2143</v>
      </c>
      <c r="I98" s="667">
        <v>0.2</v>
      </c>
      <c r="J98" t="b">
        <f t="shared" si="49"/>
        <v>1</v>
      </c>
      <c r="L98" s="598"/>
      <c r="N98" s="601">
        <v>0.2</v>
      </c>
    </row>
    <row r="99" spans="1:14">
      <c r="B99" s="565" t="s">
        <v>2151</v>
      </c>
      <c r="C99" s="565"/>
      <c r="D99" s="15">
        <v>0.12</v>
      </c>
      <c r="E99" s="457">
        <v>0.12</v>
      </c>
      <c r="F99" s="505">
        <v>0.12</v>
      </c>
      <c r="G99" s="505">
        <v>0.12</v>
      </c>
      <c r="H99" s="566" t="s">
        <v>2156</v>
      </c>
      <c r="I99" s="667">
        <v>0.12</v>
      </c>
      <c r="J99" t="b">
        <f t="shared" si="49"/>
        <v>1</v>
      </c>
      <c r="L99" s="598"/>
      <c r="N99" s="601">
        <v>0.12</v>
      </c>
    </row>
    <row r="100" spans="1:14">
      <c r="B100" s="565" t="s">
        <v>2771</v>
      </c>
      <c r="C100" s="565"/>
      <c r="D100" s="15">
        <v>0.12</v>
      </c>
      <c r="E100" s="457"/>
      <c r="F100" s="505"/>
      <c r="G100" s="505"/>
      <c r="H100" s="566" t="s">
        <v>2773</v>
      </c>
      <c r="I100" s="667"/>
      <c r="J100" t="b">
        <f t="shared" si="49"/>
        <v>1</v>
      </c>
      <c r="L100" s="598"/>
      <c r="N100" s="714"/>
    </row>
    <row r="101" spans="1:14">
      <c r="B101" s="604" t="s">
        <v>3345</v>
      </c>
      <c r="C101" s="565"/>
      <c r="D101" s="15"/>
      <c r="E101" s="416">
        <v>0</v>
      </c>
      <c r="F101" s="412">
        <v>0</v>
      </c>
      <c r="G101" s="412">
        <v>0</v>
      </c>
      <c r="H101" s="566" t="s">
        <v>3347</v>
      </c>
      <c r="I101" s="462">
        <v>0</v>
      </c>
      <c r="L101" s="598"/>
      <c r="N101" s="714">
        <v>0</v>
      </c>
    </row>
    <row r="102" spans="1:14">
      <c r="E102" s="172"/>
      <c r="F102" s="34"/>
      <c r="G102" s="34"/>
      <c r="I102" s="33"/>
      <c r="J102" t="b">
        <f t="shared" si="49"/>
        <v>1</v>
      </c>
      <c r="L102" s="594"/>
      <c r="N102" s="601"/>
    </row>
    <row r="103" spans="1:14">
      <c r="A103" s="3" t="s">
        <v>1759</v>
      </c>
      <c r="E103" s="172"/>
      <c r="F103" s="34"/>
      <c r="G103" s="34"/>
      <c r="I103" s="33"/>
      <c r="J103" t="b">
        <f t="shared" si="49"/>
        <v>1</v>
      </c>
      <c r="L103" s="597"/>
      <c r="N103" s="601"/>
    </row>
    <row r="104" spans="1:14">
      <c r="B104" t="s">
        <v>1351</v>
      </c>
      <c r="D104" s="326">
        <f>cbal!E104</f>
        <v>2</v>
      </c>
      <c r="E104" s="172">
        <v>1</v>
      </c>
      <c r="F104" s="412">
        <v>1</v>
      </c>
      <c r="G104" s="412">
        <v>1</v>
      </c>
      <c r="H104" s="578" t="s">
        <v>1780</v>
      </c>
      <c r="I104" s="33">
        <v>1</v>
      </c>
      <c r="J104" t="b">
        <f t="shared" si="49"/>
        <v>1</v>
      </c>
      <c r="L104" s="597"/>
      <c r="N104" s="601">
        <v>1</v>
      </c>
    </row>
    <row r="105" spans="1:14">
      <c r="B105" t="s">
        <v>1778</v>
      </c>
      <c r="D105" s="326">
        <f>cbal!E105</f>
        <v>2.3333333333333335</v>
      </c>
      <c r="E105" s="605">
        <v>1</v>
      </c>
      <c r="F105" s="660">
        <v>1</v>
      </c>
      <c r="G105" s="660">
        <v>1</v>
      </c>
      <c r="H105" s="578" t="s">
        <v>1783</v>
      </c>
      <c r="I105" s="33">
        <v>1</v>
      </c>
      <c r="J105" t="b">
        <f t="shared" ref="J105:J172" si="54">MAX(E105:G105)=MIN(E105:G105)</f>
        <v>1</v>
      </c>
      <c r="L105" s="597"/>
      <c r="N105" s="601">
        <v>1</v>
      </c>
    </row>
    <row r="106" spans="1:14">
      <c r="B106" t="s">
        <v>1779</v>
      </c>
      <c r="D106" s="326">
        <f>cbal!E106</f>
        <v>0</v>
      </c>
      <c r="E106" s="172">
        <v>2</v>
      </c>
      <c r="F106" s="412">
        <v>2</v>
      </c>
      <c r="G106" s="412">
        <v>2</v>
      </c>
      <c r="H106" s="578" t="s">
        <v>1784</v>
      </c>
      <c r="I106" s="33">
        <v>2</v>
      </c>
      <c r="J106" t="b">
        <f t="shared" si="54"/>
        <v>1</v>
      </c>
      <c r="L106" s="597"/>
      <c r="N106" s="601">
        <v>2</v>
      </c>
    </row>
    <row r="107" spans="1:14">
      <c r="B107" t="str">
        <f>"Content "&amp; DataNameEmp1</f>
        <v>Content Engineers</v>
      </c>
      <c r="D107" s="326">
        <f>cbal!E107</f>
        <v>100</v>
      </c>
      <c r="E107" s="172">
        <v>80</v>
      </c>
      <c r="F107" s="412">
        <v>80</v>
      </c>
      <c r="G107" s="412">
        <v>80</v>
      </c>
      <c r="H107" s="578" t="s">
        <v>2760</v>
      </c>
      <c r="I107" s="33">
        <v>80</v>
      </c>
      <c r="J107" t="b">
        <f t="shared" si="54"/>
        <v>1</v>
      </c>
      <c r="L107" s="597"/>
      <c r="N107" s="601">
        <v>80</v>
      </c>
    </row>
    <row r="108" spans="1:14">
      <c r="E108" s="172"/>
      <c r="F108" s="34"/>
      <c r="G108" s="34"/>
      <c r="I108" s="33"/>
      <c r="J108" t="b">
        <f t="shared" si="54"/>
        <v>1</v>
      </c>
      <c r="L108" s="597"/>
      <c r="N108" s="601"/>
    </row>
    <row r="109" spans="1:14">
      <c r="A109" s="3" t="s">
        <v>295</v>
      </c>
      <c r="E109" s="172"/>
      <c r="F109" s="34"/>
      <c r="G109" s="34"/>
      <c r="I109" s="33"/>
      <c r="J109" t="b">
        <f t="shared" si="54"/>
        <v>1</v>
      </c>
      <c r="L109" s="594"/>
      <c r="N109" s="601"/>
    </row>
    <row r="110" spans="1:14">
      <c r="B110" t="s">
        <v>447</v>
      </c>
      <c r="E110" s="173">
        <v>63</v>
      </c>
      <c r="F110" s="137">
        <v>63</v>
      </c>
      <c r="G110" s="137">
        <v>63</v>
      </c>
      <c r="H110" s="123" t="s">
        <v>46</v>
      </c>
      <c r="I110" s="118">
        <v>63</v>
      </c>
      <c r="J110" t="b">
        <f t="shared" si="54"/>
        <v>1</v>
      </c>
      <c r="L110" s="594"/>
      <c r="N110" s="1265">
        <v>63</v>
      </c>
    </row>
    <row r="111" spans="1:14">
      <c r="B111" t="str">
        <f>DataNameEmp1&amp;" Employees"</f>
        <v>Engineers Employees</v>
      </c>
      <c r="D111" s="14"/>
      <c r="E111" s="169">
        <v>1000</v>
      </c>
      <c r="F111" s="135">
        <v>1000</v>
      </c>
      <c r="G111" s="135">
        <v>1000</v>
      </c>
      <c r="H111" s="123" t="s">
        <v>1045</v>
      </c>
      <c r="I111" s="116">
        <v>1000</v>
      </c>
      <c r="J111" t="b">
        <f t="shared" si="54"/>
        <v>1</v>
      </c>
      <c r="L111" s="594"/>
      <c r="N111" s="601">
        <v>1000</v>
      </c>
    </row>
    <row r="112" spans="1:14">
      <c r="B112" t="str">
        <f>DataNameEmp1&amp;" Employees Recruited"</f>
        <v>Engineers Employees Recruited</v>
      </c>
      <c r="D112" s="14"/>
      <c r="E112" s="169">
        <v>100</v>
      </c>
      <c r="F112" s="135">
        <v>100</v>
      </c>
      <c r="G112" s="135">
        <v>100</v>
      </c>
      <c r="H112" s="579" t="s">
        <v>1482</v>
      </c>
      <c r="I112" s="116">
        <v>100</v>
      </c>
      <c r="J112" t="b">
        <f t="shared" si="54"/>
        <v>1</v>
      </c>
      <c r="L112" s="594"/>
      <c r="N112" s="601">
        <v>100</v>
      </c>
    </row>
    <row r="113" spans="1:18">
      <c r="B113" t="str">
        <f>DataNameEmp2&amp;" Employees"</f>
        <v>Staff Employees</v>
      </c>
      <c r="D113" s="14"/>
      <c r="E113" s="169">
        <v>12125</v>
      </c>
      <c r="F113" s="135">
        <v>12125</v>
      </c>
      <c r="G113" s="135">
        <v>12125</v>
      </c>
      <c r="H113" s="123" t="s">
        <v>1046</v>
      </c>
      <c r="I113" s="116">
        <v>12125</v>
      </c>
      <c r="J113" t="b">
        <f t="shared" si="54"/>
        <v>1</v>
      </c>
      <c r="L113" s="594"/>
      <c r="N113" s="601">
        <v>12125</v>
      </c>
    </row>
    <row r="114" spans="1:18">
      <c r="B114" t="str">
        <f>DataNameEmp3</f>
        <v>Services Personnel</v>
      </c>
      <c r="D114" s="14"/>
      <c r="E114" s="169">
        <v>1875</v>
      </c>
      <c r="F114" s="135">
        <v>1875</v>
      </c>
      <c r="G114" s="135">
        <v>1875</v>
      </c>
      <c r="H114" s="123" t="s">
        <v>421</v>
      </c>
      <c r="I114" s="116">
        <v>1875</v>
      </c>
      <c r="J114" t="b">
        <f t="shared" si="54"/>
        <v>1</v>
      </c>
      <c r="L114" s="594"/>
      <c r="N114" s="601">
        <v>1875</v>
      </c>
    </row>
    <row r="115" spans="1:18">
      <c r="B115" s="565" t="s">
        <v>1354</v>
      </c>
      <c r="D115" s="14"/>
      <c r="E115" s="169">
        <v>1</v>
      </c>
      <c r="F115" s="135">
        <v>1</v>
      </c>
      <c r="G115" s="135">
        <v>1</v>
      </c>
      <c r="H115" s="579" t="s">
        <v>1970</v>
      </c>
      <c r="I115" s="116">
        <v>1</v>
      </c>
      <c r="J115" t="b">
        <f t="shared" si="54"/>
        <v>1</v>
      </c>
      <c r="L115" s="597"/>
      <c r="N115" s="601">
        <v>1</v>
      </c>
    </row>
    <row r="116" spans="1:18">
      <c r="B116" s="565" t="s">
        <v>2000</v>
      </c>
      <c r="E116" s="172">
        <v>0.5</v>
      </c>
      <c r="F116" s="34">
        <v>0.5</v>
      </c>
      <c r="G116" s="34">
        <v>0.5</v>
      </c>
      <c r="H116" s="579" t="s">
        <v>2002</v>
      </c>
      <c r="I116" s="33">
        <v>0.5</v>
      </c>
      <c r="J116" t="b">
        <f t="shared" si="54"/>
        <v>1</v>
      </c>
      <c r="L116" s="594"/>
      <c r="N116" s="601">
        <v>0.5</v>
      </c>
    </row>
    <row r="117" spans="1:18">
      <c r="B117" s="565" t="s">
        <v>2001</v>
      </c>
      <c r="E117" s="172">
        <v>0.5</v>
      </c>
      <c r="F117" s="34">
        <v>0.5</v>
      </c>
      <c r="G117" s="34">
        <v>0.5</v>
      </c>
      <c r="H117" s="579" t="s">
        <v>2003</v>
      </c>
      <c r="I117" s="33">
        <v>0.5</v>
      </c>
      <c r="J117" t="b">
        <f t="shared" si="54"/>
        <v>1</v>
      </c>
      <c r="L117" s="597"/>
      <c r="N117" s="601">
        <v>0.5</v>
      </c>
    </row>
    <row r="118" spans="1:18">
      <c r="B118" s="565" t="s">
        <v>2994</v>
      </c>
      <c r="E118" s="172">
        <v>0.49</v>
      </c>
      <c r="F118" s="34">
        <v>0.49</v>
      </c>
      <c r="G118" s="34">
        <v>0.49</v>
      </c>
      <c r="H118" s="579" t="s">
        <v>2996</v>
      </c>
      <c r="I118" s="33">
        <v>0.49</v>
      </c>
      <c r="J118" t="b">
        <f t="shared" si="54"/>
        <v>1</v>
      </c>
      <c r="L118" s="711"/>
      <c r="N118" s="714">
        <v>0.49</v>
      </c>
    </row>
    <row r="119" spans="1:18">
      <c r="B119" s="565" t="s">
        <v>2995</v>
      </c>
      <c r="E119" s="172">
        <v>0.38999999999999996</v>
      </c>
      <c r="F119" s="34">
        <v>0.38999999999999996</v>
      </c>
      <c r="G119" s="34">
        <v>0.38999999999999996</v>
      </c>
      <c r="H119" s="579" t="s">
        <v>2997</v>
      </c>
      <c r="I119" s="33">
        <v>0.38999999999999996</v>
      </c>
      <c r="J119" t="b">
        <f t="shared" si="54"/>
        <v>1</v>
      </c>
      <c r="L119" s="711"/>
      <c r="N119" s="714">
        <v>0.38999999999999996</v>
      </c>
    </row>
    <row r="120" spans="1:18">
      <c r="B120" s="565" t="s">
        <v>2135</v>
      </c>
      <c r="D120" s="1014">
        <f>cbal!E120</f>
        <v>5.04</v>
      </c>
      <c r="E120" s="1015">
        <f t="shared" ref="E120:G120" si="55">$D120*$L120</f>
        <v>5.04</v>
      </c>
      <c r="F120" s="1016">
        <f t="shared" si="55"/>
        <v>5.04</v>
      </c>
      <c r="G120" s="1016">
        <f t="shared" si="55"/>
        <v>5.04</v>
      </c>
      <c r="H120" s="579" t="s">
        <v>3088</v>
      </c>
      <c r="I120" s="33">
        <v>4.8</v>
      </c>
      <c r="J120" t="b">
        <f t="shared" si="54"/>
        <v>1</v>
      </c>
      <c r="L120" s="598">
        <v>1</v>
      </c>
      <c r="N120" s="714">
        <f t="shared" ref="N120" si="56">$D120*$L120</f>
        <v>5.04</v>
      </c>
    </row>
    <row r="121" spans="1:18">
      <c r="E121" s="172"/>
      <c r="F121" s="34"/>
      <c r="G121" s="34"/>
      <c r="I121" s="33"/>
      <c r="J121" t="b">
        <f t="shared" si="54"/>
        <v>1</v>
      </c>
      <c r="L121" s="597"/>
      <c r="N121" s="601"/>
    </row>
    <row r="122" spans="1:18">
      <c r="A122" s="3" t="s">
        <v>368</v>
      </c>
      <c r="E122" s="172"/>
      <c r="F122" s="34"/>
      <c r="G122" s="34"/>
      <c r="I122" s="33"/>
      <c r="J122" t="b">
        <f t="shared" si="54"/>
        <v>1</v>
      </c>
      <c r="L122" s="594"/>
      <c r="N122" s="601"/>
    </row>
    <row r="123" spans="1:18">
      <c r="B123" t="str">
        <f>DataNamePlant1&amp;" Plant Units"</f>
        <v>Data Center Plant Units</v>
      </c>
      <c r="D123" s="14"/>
      <c r="E123" s="1086">
        <f t="shared" ref="E123:G123" si="57">P123</f>
        <v>30</v>
      </c>
      <c r="F123" s="1086">
        <f t="shared" si="57"/>
        <v>18</v>
      </c>
      <c r="G123" s="1086">
        <f t="shared" si="57"/>
        <v>15</v>
      </c>
      <c r="H123" s="123" t="s">
        <v>130</v>
      </c>
      <c r="I123" s="118">
        <v>30</v>
      </c>
      <c r="J123" t="b">
        <f t="shared" si="54"/>
        <v>0</v>
      </c>
      <c r="L123" s="594"/>
      <c r="N123" s="601">
        <f>Y123</f>
        <v>0</v>
      </c>
      <c r="O123" t="s">
        <v>531</v>
      </c>
      <c r="P123">
        <v>30</v>
      </c>
      <c r="Q123">
        <v>18</v>
      </c>
      <c r="R123">
        <v>15</v>
      </c>
    </row>
    <row r="124" spans="1:18">
      <c r="B124" t="str">
        <f>DataNamePlant1&amp;" Units Sold"</f>
        <v>Data Center Units Sold</v>
      </c>
      <c r="D124" s="14"/>
      <c r="E124" s="169">
        <v>0</v>
      </c>
      <c r="F124" s="135">
        <v>0</v>
      </c>
      <c r="G124" s="135">
        <v>0</v>
      </c>
      <c r="H124" s="579" t="s">
        <v>3033</v>
      </c>
      <c r="I124" s="118">
        <v>0</v>
      </c>
      <c r="J124" t="b">
        <f t="shared" si="54"/>
        <v>1</v>
      </c>
      <c r="L124" s="711"/>
      <c r="N124" s="714">
        <v>0</v>
      </c>
    </row>
    <row r="125" spans="1:18">
      <c r="B125" t="str">
        <f>DataNamePlant1&amp;" Units Bought"</f>
        <v>Data Center Units Bought</v>
      </c>
      <c r="D125" s="14"/>
      <c r="E125" s="169"/>
      <c r="F125" s="135"/>
      <c r="G125" s="135"/>
      <c r="H125" s="579"/>
      <c r="I125" s="118"/>
      <c r="J125" t="b">
        <f t="shared" si="54"/>
        <v>1</v>
      </c>
      <c r="L125" s="711"/>
      <c r="N125" s="714"/>
    </row>
    <row r="126" spans="1:18">
      <c r="B126" t="str">
        <f>DataNamePlant1&amp;" Consolidation"</f>
        <v>Data Center Consolidation</v>
      </c>
      <c r="D126" s="14"/>
      <c r="E126" s="169">
        <v>0</v>
      </c>
      <c r="F126" s="135">
        <v>0</v>
      </c>
      <c r="G126" s="135">
        <v>0</v>
      </c>
      <c r="H126" s="579" t="s">
        <v>3104</v>
      </c>
      <c r="I126" s="118">
        <v>0</v>
      </c>
      <c r="J126" t="b">
        <f t="shared" si="54"/>
        <v>1</v>
      </c>
      <c r="L126" s="711"/>
      <c r="N126" s="714">
        <v>0</v>
      </c>
    </row>
    <row r="127" spans="1:18">
      <c r="B127" t="str">
        <f>DataNamePlant1&amp;" Utilization"</f>
        <v>Data Center Utilization</v>
      </c>
      <c r="D127" s="385">
        <f>cbal!E127</f>
        <v>0.56300511050462976</v>
      </c>
      <c r="E127" s="457">
        <f t="shared" ref="E127:G127" si="58">$D127*$L127</f>
        <v>0.56300511050462976</v>
      </c>
      <c r="F127" s="505">
        <f t="shared" si="58"/>
        <v>0.56300511050462976</v>
      </c>
      <c r="G127" s="505">
        <f t="shared" si="58"/>
        <v>0.56300511050462976</v>
      </c>
      <c r="H127" s="579" t="s">
        <v>3047</v>
      </c>
      <c r="I127" s="118">
        <v>0.56299466055555558</v>
      </c>
      <c r="J127" t="b">
        <f t="shared" si="54"/>
        <v>1</v>
      </c>
      <c r="L127" s="598">
        <v>1</v>
      </c>
      <c r="N127" s="714">
        <f t="shared" ref="N127" si="59">$D127*$L127</f>
        <v>0.56300511050462976</v>
      </c>
    </row>
    <row r="128" spans="1:18">
      <c r="B128" t="str">
        <f>DataNamePlant2&amp;" Plant Units"</f>
        <v>Property Plant Units</v>
      </c>
      <c r="D128" s="14"/>
      <c r="E128" s="169">
        <v>22</v>
      </c>
      <c r="F128" s="135">
        <v>22</v>
      </c>
      <c r="G128" s="135">
        <v>22</v>
      </c>
      <c r="H128" s="579" t="s">
        <v>1677</v>
      </c>
      <c r="I128" s="118">
        <v>22</v>
      </c>
      <c r="J128" t="b">
        <f t="shared" si="54"/>
        <v>1</v>
      </c>
      <c r="L128" s="597"/>
      <c r="N128" s="601">
        <v>22</v>
      </c>
    </row>
    <row r="129" spans="1:15">
      <c r="D129" s="14"/>
      <c r="E129" s="169"/>
      <c r="F129" s="135"/>
      <c r="G129" s="135"/>
      <c r="I129" s="118"/>
      <c r="J129" t="b">
        <f t="shared" si="54"/>
        <v>1</v>
      </c>
      <c r="L129" s="594"/>
      <c r="N129" s="601"/>
    </row>
    <row r="130" spans="1:15">
      <c r="A130" s="3" t="s">
        <v>1489</v>
      </c>
      <c r="E130" s="172"/>
      <c r="F130" s="34"/>
      <c r="G130" s="34"/>
      <c r="I130" s="33"/>
      <c r="J130" t="b">
        <f t="shared" si="54"/>
        <v>1</v>
      </c>
      <c r="L130" s="594"/>
      <c r="N130" s="601"/>
    </row>
    <row r="131" spans="1:15">
      <c r="B131" s="565" t="s">
        <v>1490</v>
      </c>
      <c r="D131" s="14"/>
      <c r="E131" s="169">
        <v>2</v>
      </c>
      <c r="F131" s="135">
        <v>2</v>
      </c>
      <c r="G131" s="135">
        <v>2</v>
      </c>
      <c r="H131" s="579" t="s">
        <v>1491</v>
      </c>
      <c r="I131" s="118">
        <v>2</v>
      </c>
      <c r="J131" t="b">
        <f t="shared" si="54"/>
        <v>1</v>
      </c>
      <c r="L131" s="594"/>
      <c r="N131" s="601">
        <v>2</v>
      </c>
      <c r="O131" t="s">
        <v>531</v>
      </c>
    </row>
    <row r="132" spans="1:15">
      <c r="B132" s="565" t="s">
        <v>2016</v>
      </c>
      <c r="D132" s="14"/>
      <c r="E132" s="169">
        <f>obalGlobalSalesCoverage*paramGlobalSalesMktPLvl</f>
        <v>2000000</v>
      </c>
      <c r="F132" s="135">
        <f>obalGlobalSalesCoverage*paramGlobalSalesMktPLvl</f>
        <v>2000000</v>
      </c>
      <c r="G132" s="135">
        <f>obalGlobalSalesCoverage*paramGlobalSalesMktPLvl</f>
        <v>2000000</v>
      </c>
      <c r="H132" s="579" t="s">
        <v>2017</v>
      </c>
      <c r="I132" s="118">
        <v>2000000</v>
      </c>
      <c r="J132" t="b">
        <f t="shared" si="54"/>
        <v>1</v>
      </c>
      <c r="L132" s="597"/>
      <c r="N132" s="601" t="e">
        <f>obalGlobalSalesCoverage*paramGlobalSalesMktPLvl</f>
        <v>#VALUE!</v>
      </c>
    </row>
    <row r="133" spans="1:15">
      <c r="B133" s="565" t="s">
        <v>423</v>
      </c>
      <c r="D133" s="14"/>
      <c r="E133" s="169">
        <v>1</v>
      </c>
      <c r="F133" s="135">
        <v>1</v>
      </c>
      <c r="G133" s="135">
        <v>1</v>
      </c>
      <c r="H133" s="579" t="s">
        <v>2019</v>
      </c>
      <c r="I133" s="118">
        <v>1</v>
      </c>
      <c r="J133" t="b">
        <f t="shared" ref="J133" si="60">MAX(E133:G133)=MIN(E133:G133)</f>
        <v>1</v>
      </c>
      <c r="L133" s="597"/>
      <c r="N133" s="601">
        <v>1</v>
      </c>
    </row>
    <row r="134" spans="1:15">
      <c r="B134" s="565"/>
      <c r="D134" s="14"/>
      <c r="E134" s="169"/>
      <c r="F134" s="135"/>
      <c r="G134" s="135"/>
      <c r="H134" s="579"/>
      <c r="I134" s="118"/>
      <c r="J134" t="b">
        <f t="shared" si="54"/>
        <v>1</v>
      </c>
      <c r="L134" s="597"/>
      <c r="N134" s="601"/>
    </row>
    <row r="135" spans="1:15">
      <c r="A135" s="3" t="str">
        <f>DataNameProd1 &amp;" Income Statement"</f>
        <v>Growth Income Statement</v>
      </c>
      <c r="B135" s="565"/>
      <c r="D135" s="14"/>
      <c r="E135" s="169"/>
      <c r="F135" s="135"/>
      <c r="G135" s="135"/>
      <c r="H135" s="579"/>
      <c r="I135" s="118"/>
      <c r="J135" t="b">
        <f t="shared" si="54"/>
        <v>1</v>
      </c>
      <c r="L135" s="597"/>
      <c r="N135" s="601"/>
    </row>
    <row r="136" spans="1:15">
      <c r="B136" s="565" t="s">
        <v>1423</v>
      </c>
      <c r="D136" s="14">
        <f>cbal!E136</f>
        <v>1639034251.7625</v>
      </c>
      <c r="E136" s="416">
        <f t="shared" ref="E136:G151" si="61">$D136*$L136</f>
        <v>1639034251.7625</v>
      </c>
      <c r="F136" s="135">
        <f t="shared" si="61"/>
        <v>1639034251.7625</v>
      </c>
      <c r="G136" s="135">
        <f t="shared" si="61"/>
        <v>1639034251.7625</v>
      </c>
      <c r="H136" s="579" t="s">
        <v>1794</v>
      </c>
      <c r="I136" s="118">
        <v>1639021351.4999998</v>
      </c>
      <c r="J136" t="b">
        <f t="shared" si="54"/>
        <v>1</v>
      </c>
      <c r="L136" s="598">
        <v>1</v>
      </c>
      <c r="N136" s="601">
        <f t="shared" ref="N136:N165" si="62">$D136*$L136</f>
        <v>1639034251.7625</v>
      </c>
    </row>
    <row r="137" spans="1:15">
      <c r="B137" s="565" t="s">
        <v>1424</v>
      </c>
      <c r="D137" s="14">
        <f>cbal!E137</f>
        <v>62143200</v>
      </c>
      <c r="E137" s="416">
        <f t="shared" si="61"/>
        <v>62143200</v>
      </c>
      <c r="F137" s="135">
        <f t="shared" si="61"/>
        <v>62143200</v>
      </c>
      <c r="G137" s="135">
        <f t="shared" si="61"/>
        <v>62143200</v>
      </c>
      <c r="H137" s="579" t="s">
        <v>1795</v>
      </c>
      <c r="I137" s="118">
        <v>62148600</v>
      </c>
      <c r="J137" t="b">
        <f t="shared" si="54"/>
        <v>1</v>
      </c>
      <c r="L137" s="598">
        <v>1</v>
      </c>
      <c r="N137" s="601">
        <f t="shared" si="62"/>
        <v>62143200</v>
      </c>
    </row>
    <row r="138" spans="1:15">
      <c r="B138" s="565" t="s">
        <v>1425</v>
      </c>
      <c r="D138" s="14">
        <f>cbal!E138</f>
        <v>165715200</v>
      </c>
      <c r="E138" s="416">
        <f t="shared" si="61"/>
        <v>165715200</v>
      </c>
      <c r="F138" s="135">
        <f t="shared" si="61"/>
        <v>165715200</v>
      </c>
      <c r="G138" s="135">
        <f t="shared" si="61"/>
        <v>165715200</v>
      </c>
      <c r="H138" s="579" t="s">
        <v>1796</v>
      </c>
      <c r="I138" s="118">
        <v>165729600</v>
      </c>
      <c r="J138" t="b">
        <f t="shared" si="54"/>
        <v>1</v>
      </c>
      <c r="L138" s="598">
        <v>1</v>
      </c>
      <c r="N138" s="601">
        <f t="shared" si="62"/>
        <v>165715200</v>
      </c>
    </row>
    <row r="139" spans="1:15">
      <c r="B139" s="565" t="s">
        <v>3065</v>
      </c>
      <c r="D139" s="14">
        <f>cbal!E139</f>
        <v>141889637.33477581</v>
      </c>
      <c r="E139" s="416">
        <f t="shared" si="61"/>
        <v>141889637.33477581</v>
      </c>
      <c r="F139" s="135">
        <f t="shared" si="61"/>
        <v>141889637.33477581</v>
      </c>
      <c r="G139" s="135">
        <f t="shared" si="61"/>
        <v>141889637.33477581</v>
      </c>
      <c r="H139" s="579" t="s">
        <v>3089</v>
      </c>
      <c r="I139" s="118">
        <v>141892266.40135211</v>
      </c>
      <c r="J139" t="b">
        <f t="shared" ref="J139" si="63">MAX(E139:G139)=MIN(E139:G139)</f>
        <v>1</v>
      </c>
      <c r="L139" s="598">
        <v>1</v>
      </c>
      <c r="N139" s="714">
        <f>$D139*$L139</f>
        <v>141889637.33477581</v>
      </c>
    </row>
    <row r="140" spans="1:15">
      <c r="B140" s="565" t="str">
        <f>DataNameProd1 &amp; " Revenues"</f>
        <v>Growth Revenues</v>
      </c>
      <c r="D140" s="14">
        <f>cbal!E140</f>
        <v>2008782289.0972757</v>
      </c>
      <c r="E140" s="416">
        <f t="shared" si="61"/>
        <v>2008782289.0972757</v>
      </c>
      <c r="F140" s="135">
        <f t="shared" si="61"/>
        <v>2008782289.0972757</v>
      </c>
      <c r="G140" s="135">
        <f t="shared" si="61"/>
        <v>2008782289.0972757</v>
      </c>
      <c r="H140" s="579" t="s">
        <v>646</v>
      </c>
      <c r="I140" s="118">
        <v>2008791817.9013519</v>
      </c>
      <c r="J140" t="b">
        <f t="shared" si="54"/>
        <v>1</v>
      </c>
      <c r="L140" s="598">
        <v>1</v>
      </c>
      <c r="N140" s="601">
        <f t="shared" si="62"/>
        <v>2008782289.0972757</v>
      </c>
    </row>
    <row r="141" spans="1:15">
      <c r="B141" s="565" t="str">
        <f>DataNameEmp1</f>
        <v>Engineers</v>
      </c>
      <c r="D141" s="14">
        <f>cbal!E141</f>
        <v>16614104.91225257</v>
      </c>
      <c r="E141" s="416">
        <f t="shared" si="61"/>
        <v>16614104.91225257</v>
      </c>
      <c r="F141" s="135">
        <f t="shared" si="61"/>
        <v>16614104.91225257</v>
      </c>
      <c r="G141" s="135">
        <f t="shared" si="61"/>
        <v>16614104.91225257</v>
      </c>
      <c r="H141" s="579" t="s">
        <v>1797</v>
      </c>
      <c r="I141" s="118">
        <v>21561029.548312951</v>
      </c>
      <c r="J141" t="b">
        <f t="shared" si="54"/>
        <v>1</v>
      </c>
      <c r="L141" s="598">
        <v>1</v>
      </c>
      <c r="N141" s="601">
        <f t="shared" si="62"/>
        <v>16614104.91225257</v>
      </c>
    </row>
    <row r="142" spans="1:15">
      <c r="B142" s="565" t="str">
        <f>DataNameEmp2</f>
        <v>Staff</v>
      </c>
      <c r="D142" s="14">
        <f>cbal!E142</f>
        <v>716206756.20443416</v>
      </c>
      <c r="E142" s="416">
        <f t="shared" si="61"/>
        <v>716206756.20443416</v>
      </c>
      <c r="F142" s="135">
        <f t="shared" si="61"/>
        <v>716206756.20443416</v>
      </c>
      <c r="G142" s="135">
        <f t="shared" si="61"/>
        <v>716206756.20443416</v>
      </c>
      <c r="H142" s="579" t="s">
        <v>1798</v>
      </c>
      <c r="I142" s="118">
        <v>669445926.90387475</v>
      </c>
      <c r="J142" t="b">
        <f t="shared" si="54"/>
        <v>1</v>
      </c>
      <c r="L142" s="598">
        <v>1</v>
      </c>
      <c r="N142" s="601">
        <f t="shared" si="62"/>
        <v>716206756.20443416</v>
      </c>
    </row>
    <row r="143" spans="1:15">
      <c r="B143" s="565" t="str">
        <f>DataNameEmp3</f>
        <v>Services Personnel</v>
      </c>
      <c r="D143" s="14">
        <f>cbal!E143</f>
        <v>164842538.60247129</v>
      </c>
      <c r="E143" s="416">
        <f t="shared" si="61"/>
        <v>164842538.60247129</v>
      </c>
      <c r="F143" s="135">
        <f t="shared" si="61"/>
        <v>164842538.60247129</v>
      </c>
      <c r="G143" s="135">
        <f t="shared" si="61"/>
        <v>164842538.60247129</v>
      </c>
      <c r="H143" s="579" t="s">
        <v>1799</v>
      </c>
      <c r="I143" s="118">
        <v>155441001.65439481</v>
      </c>
      <c r="J143" t="b">
        <f t="shared" si="54"/>
        <v>1</v>
      </c>
      <c r="L143" s="598">
        <v>1</v>
      </c>
      <c r="N143" s="601">
        <f t="shared" si="62"/>
        <v>164842538.60247129</v>
      </c>
    </row>
    <row r="144" spans="1:15">
      <c r="B144" s="565" t="s">
        <v>1427</v>
      </c>
      <c r="D144" s="14">
        <f>cbal!E144</f>
        <v>1001854815.114001</v>
      </c>
      <c r="E144" s="416">
        <f t="shared" si="61"/>
        <v>1001854815.114001</v>
      </c>
      <c r="F144" s="135">
        <f t="shared" si="61"/>
        <v>1001854815.114001</v>
      </c>
      <c r="G144" s="135">
        <f t="shared" si="61"/>
        <v>1001854815.114001</v>
      </c>
      <c r="H144" s="579" t="s">
        <v>1800</v>
      </c>
      <c r="I144" s="118">
        <v>846447958.1065824</v>
      </c>
      <c r="J144" t="b">
        <f t="shared" si="54"/>
        <v>1</v>
      </c>
      <c r="L144" s="598">
        <v>1</v>
      </c>
      <c r="N144" s="601">
        <f t="shared" si="62"/>
        <v>1001854815.114001</v>
      </c>
    </row>
    <row r="145" spans="2:14">
      <c r="B145" s="565" t="s">
        <v>1542</v>
      </c>
      <c r="D145" s="14">
        <f>cbal!E145</f>
        <v>114289301.503125</v>
      </c>
      <c r="E145" s="416">
        <f t="shared" si="61"/>
        <v>114289301.503125</v>
      </c>
      <c r="F145" s="135">
        <f t="shared" si="61"/>
        <v>114289301.503125</v>
      </c>
      <c r="G145" s="135">
        <f t="shared" si="61"/>
        <v>114289301.503125</v>
      </c>
      <c r="H145" s="579" t="s">
        <v>1801</v>
      </c>
      <c r="I145" s="118">
        <v>114289165.37499999</v>
      </c>
      <c r="J145" t="b">
        <f t="shared" si="54"/>
        <v>1</v>
      </c>
      <c r="L145" s="598">
        <v>1</v>
      </c>
      <c r="N145" s="601">
        <f t="shared" si="62"/>
        <v>114289301.503125</v>
      </c>
    </row>
    <row r="146" spans="2:14">
      <c r="B146" s="565" t="s">
        <v>1551</v>
      </c>
      <c r="D146" s="14">
        <f>cbal!E146</f>
        <v>62042763.673124991</v>
      </c>
      <c r="E146" s="416">
        <f t="shared" si="61"/>
        <v>62042763.673124991</v>
      </c>
      <c r="F146" s="135">
        <f t="shared" si="61"/>
        <v>62042763.673124991</v>
      </c>
      <c r="G146" s="135">
        <f t="shared" si="61"/>
        <v>62042763.673124991</v>
      </c>
      <c r="H146" s="579" t="s">
        <v>1802</v>
      </c>
      <c r="I146" s="118">
        <v>62042689.774999999</v>
      </c>
      <c r="J146" t="b">
        <f t="shared" si="54"/>
        <v>1</v>
      </c>
      <c r="L146" s="598">
        <v>1</v>
      </c>
      <c r="N146" s="601">
        <f t="shared" si="62"/>
        <v>62042763.673124991</v>
      </c>
    </row>
    <row r="147" spans="2:14">
      <c r="B147" s="565" t="s">
        <v>1226</v>
      </c>
      <c r="D147" s="14">
        <f>cbal!E147</f>
        <v>90616738.689926505</v>
      </c>
      <c r="E147" s="416">
        <f t="shared" si="61"/>
        <v>90616738.689926505</v>
      </c>
      <c r="F147" s="135">
        <f t="shared" si="61"/>
        <v>90616738.689926505</v>
      </c>
      <c r="G147" s="135">
        <f t="shared" si="61"/>
        <v>90616738.689926505</v>
      </c>
      <c r="H147" s="579" t="s">
        <v>1803</v>
      </c>
      <c r="I147" s="118">
        <v>92895264.588315383</v>
      </c>
      <c r="J147" t="b">
        <f t="shared" si="54"/>
        <v>1</v>
      </c>
      <c r="L147" s="598">
        <v>1</v>
      </c>
      <c r="N147" s="601">
        <f t="shared" si="62"/>
        <v>90616738.689926505</v>
      </c>
    </row>
    <row r="148" spans="2:14">
      <c r="B148" s="565" t="s">
        <v>722</v>
      </c>
      <c r="D148" s="14">
        <f>cbal!E148</f>
        <v>57637291.918796688</v>
      </c>
      <c r="E148" s="416">
        <f t="shared" si="61"/>
        <v>57637291.918796688</v>
      </c>
      <c r="F148" s="135">
        <f t="shared" si="61"/>
        <v>57637291.918796688</v>
      </c>
      <c r="G148" s="135">
        <f t="shared" si="61"/>
        <v>57637291.918796688</v>
      </c>
      <c r="H148" s="579" t="s">
        <v>1804</v>
      </c>
      <c r="I148" s="118">
        <v>57638110.165455781</v>
      </c>
      <c r="J148" t="b">
        <f t="shared" si="54"/>
        <v>1</v>
      </c>
      <c r="L148" s="598">
        <v>1</v>
      </c>
      <c r="N148" s="601">
        <f t="shared" si="62"/>
        <v>57637291.918796688</v>
      </c>
    </row>
    <row r="149" spans="2:14">
      <c r="B149" s="565" t="s">
        <v>1533</v>
      </c>
      <c r="D149" s="14">
        <f>cbal!E149</f>
        <v>266948803.86617649</v>
      </c>
      <c r="E149" s="416">
        <f t="shared" si="61"/>
        <v>266948803.86617649</v>
      </c>
      <c r="F149" s="135">
        <f t="shared" si="61"/>
        <v>266948803.86617649</v>
      </c>
      <c r="G149" s="135">
        <f t="shared" si="61"/>
        <v>266948803.86617649</v>
      </c>
      <c r="H149" s="579" t="s">
        <v>1805</v>
      </c>
      <c r="I149" s="118">
        <v>269227119.73831534</v>
      </c>
      <c r="J149" t="b">
        <f t="shared" si="54"/>
        <v>1</v>
      </c>
      <c r="L149" s="598">
        <v>1</v>
      </c>
      <c r="N149" s="601">
        <f t="shared" si="62"/>
        <v>266948803.86617649</v>
      </c>
    </row>
    <row r="150" spans="2:14">
      <c r="B150" s="565" t="s">
        <v>1562</v>
      </c>
      <c r="D150" s="14">
        <f>cbal!E150</f>
        <v>104191415.39484309</v>
      </c>
      <c r="E150" s="416">
        <f t="shared" si="61"/>
        <v>104191415.39484309</v>
      </c>
      <c r="F150" s="135">
        <f t="shared" si="61"/>
        <v>104191415.39484309</v>
      </c>
      <c r="G150" s="135">
        <f t="shared" si="61"/>
        <v>104191415.39484309</v>
      </c>
      <c r="H150" s="579" t="s">
        <v>1806</v>
      </c>
      <c r="I150" s="118">
        <v>98987159.790873617</v>
      </c>
      <c r="J150" t="b">
        <f t="shared" si="54"/>
        <v>1</v>
      </c>
      <c r="L150" s="598">
        <v>1</v>
      </c>
      <c r="N150" s="601">
        <f t="shared" si="62"/>
        <v>104191415.39484309</v>
      </c>
    </row>
    <row r="151" spans="2:14">
      <c r="B151" s="565" t="s">
        <v>1565</v>
      </c>
      <c r="D151" s="14">
        <f>cbal!E151</f>
        <v>9026802.4796463959</v>
      </c>
      <c r="E151" s="416">
        <f t="shared" si="61"/>
        <v>9026802.4796463959</v>
      </c>
      <c r="F151" s="135">
        <f t="shared" si="61"/>
        <v>9026802.4796463959</v>
      </c>
      <c r="G151" s="135">
        <f t="shared" si="61"/>
        <v>9026802.4796463959</v>
      </c>
      <c r="H151" s="579" t="s">
        <v>1807</v>
      </c>
      <c r="I151" s="118">
        <v>6750000.0000000009</v>
      </c>
      <c r="J151" t="b">
        <f t="shared" si="54"/>
        <v>1</v>
      </c>
      <c r="L151" s="598">
        <v>1</v>
      </c>
      <c r="N151" s="601">
        <f t="shared" si="62"/>
        <v>9026802.4796463959</v>
      </c>
    </row>
    <row r="152" spans="2:14">
      <c r="B152" s="565" t="s">
        <v>1556</v>
      </c>
      <c r="D152" s="14">
        <f>cbal!E152</f>
        <v>9026802.4796463959</v>
      </c>
      <c r="E152" s="416">
        <f t="shared" ref="E152:G165" si="64">$D152*$L152</f>
        <v>9026802.4796463959</v>
      </c>
      <c r="F152" s="135">
        <f t="shared" si="64"/>
        <v>9026802.4796463959</v>
      </c>
      <c r="G152" s="135">
        <f t="shared" si="64"/>
        <v>9026802.4796463959</v>
      </c>
      <c r="H152" s="579" t="s">
        <v>1808</v>
      </c>
      <c r="I152" s="118">
        <v>105737159.79087362</v>
      </c>
      <c r="J152" t="b">
        <f t="shared" si="54"/>
        <v>1</v>
      </c>
      <c r="L152" s="598">
        <v>1</v>
      </c>
      <c r="N152" s="601">
        <f t="shared" si="62"/>
        <v>9026802.4796463959</v>
      </c>
    </row>
    <row r="153" spans="2:14">
      <c r="B153" s="565" t="s">
        <v>1428</v>
      </c>
      <c r="D153" s="14">
        <f>cbal!E153</f>
        <v>219754140.51922289</v>
      </c>
      <c r="E153" s="416">
        <f t="shared" si="64"/>
        <v>219754140.51922289</v>
      </c>
      <c r="F153" s="135">
        <f t="shared" si="64"/>
        <v>219754140.51922289</v>
      </c>
      <c r="G153" s="135">
        <f t="shared" si="64"/>
        <v>219754140.51922289</v>
      </c>
      <c r="H153" s="579" t="s">
        <v>1809</v>
      </c>
      <c r="I153" s="118">
        <v>219757957.70547807</v>
      </c>
      <c r="J153" t="b">
        <f t="shared" si="54"/>
        <v>1</v>
      </c>
      <c r="L153" s="598">
        <v>1</v>
      </c>
      <c r="N153" s="601">
        <f t="shared" si="62"/>
        <v>219754140.51922289</v>
      </c>
    </row>
    <row r="154" spans="2:14">
      <c r="B154" s="565" t="s">
        <v>291</v>
      </c>
      <c r="D154" s="14">
        <f>cbal!E154</f>
        <v>6830407.438939184</v>
      </c>
      <c r="E154" s="416">
        <f t="shared" si="64"/>
        <v>6830407.438939184</v>
      </c>
      <c r="F154" s="135">
        <f t="shared" si="64"/>
        <v>6830407.438939184</v>
      </c>
      <c r="G154" s="135">
        <f t="shared" si="64"/>
        <v>6830407.438939184</v>
      </c>
      <c r="H154" s="579" t="s">
        <v>1810</v>
      </c>
      <c r="I154" s="118">
        <v>75382899.104833767</v>
      </c>
      <c r="J154" t="b">
        <f t="shared" si="54"/>
        <v>1</v>
      </c>
      <c r="L154" s="598">
        <v>1</v>
      </c>
      <c r="N154" s="601">
        <f t="shared" si="62"/>
        <v>6830407.438939184</v>
      </c>
    </row>
    <row r="155" spans="2:14">
      <c r="B155" s="565" t="s">
        <v>1557</v>
      </c>
      <c r="D155" s="14">
        <f>cbal!E155</f>
        <v>226584547.95816207</v>
      </c>
      <c r="E155" s="416">
        <f t="shared" si="64"/>
        <v>226584547.95816207</v>
      </c>
      <c r="F155" s="135">
        <f t="shared" si="64"/>
        <v>226584547.95816207</v>
      </c>
      <c r="G155" s="135">
        <f t="shared" si="64"/>
        <v>226584547.95816207</v>
      </c>
      <c r="H155" s="579" t="s">
        <v>1811</v>
      </c>
      <c r="I155" s="118">
        <v>295140856.81031185</v>
      </c>
      <c r="J155" t="b">
        <f t="shared" si="54"/>
        <v>1</v>
      </c>
      <c r="L155" s="598">
        <v>1</v>
      </c>
      <c r="N155" s="601">
        <f t="shared" si="62"/>
        <v>226584547.95816207</v>
      </c>
    </row>
    <row r="156" spans="2:14">
      <c r="B156" s="565" t="s">
        <v>686</v>
      </c>
      <c r="D156" s="14">
        <f>cbal!E156</f>
        <v>57637291.918796688</v>
      </c>
      <c r="E156" s="416">
        <f t="shared" si="64"/>
        <v>57637291.918796688</v>
      </c>
      <c r="F156" s="135">
        <f t="shared" si="64"/>
        <v>57637291.918796688</v>
      </c>
      <c r="G156" s="135">
        <f t="shared" si="64"/>
        <v>57637291.918796688</v>
      </c>
      <c r="H156" s="579" t="s">
        <v>1804</v>
      </c>
      <c r="I156" s="118">
        <v>57638110.165455781</v>
      </c>
      <c r="J156" t="b">
        <f t="shared" si="54"/>
        <v>1</v>
      </c>
      <c r="L156" s="598">
        <v>1</v>
      </c>
      <c r="N156" s="601">
        <f t="shared" si="62"/>
        <v>57637291.918796688</v>
      </c>
    </row>
    <row r="157" spans="2:14">
      <c r="B157" s="565" t="s">
        <v>406</v>
      </c>
      <c r="D157" s="14">
        <f>cbal!E157</f>
        <v>27321629.755756736</v>
      </c>
      <c r="E157" s="416">
        <f t="shared" si="64"/>
        <v>27321629.755756736</v>
      </c>
      <c r="F157" s="135">
        <f t="shared" si="64"/>
        <v>27321629.755756736</v>
      </c>
      <c r="G157" s="135">
        <f t="shared" si="64"/>
        <v>27321629.755756736</v>
      </c>
      <c r="H157" s="579" t="s">
        <v>1812</v>
      </c>
      <c r="I157" s="118">
        <v>27322136.643622171</v>
      </c>
      <c r="J157" t="b">
        <f t="shared" si="54"/>
        <v>1</v>
      </c>
      <c r="L157" s="598">
        <v>1</v>
      </c>
      <c r="N157" s="601">
        <f t="shared" si="62"/>
        <v>27321629.755756736</v>
      </c>
    </row>
    <row r="158" spans="2:14">
      <c r="B158" s="565" t="s">
        <v>686</v>
      </c>
      <c r="D158" s="14">
        <f>cbal!E158</f>
        <v>84958921.674553424</v>
      </c>
      <c r="E158" s="416">
        <f t="shared" si="64"/>
        <v>84958921.674553424</v>
      </c>
      <c r="F158" s="135">
        <f t="shared" si="64"/>
        <v>84958921.674553424</v>
      </c>
      <c r="G158" s="135">
        <f t="shared" si="64"/>
        <v>84958921.674553424</v>
      </c>
      <c r="H158" s="579" t="s">
        <v>1813</v>
      </c>
      <c r="I158" s="118">
        <v>84960246.809077948</v>
      </c>
      <c r="J158" t="b">
        <f t="shared" si="54"/>
        <v>1</v>
      </c>
      <c r="L158" s="598">
        <v>1</v>
      </c>
      <c r="N158" s="601">
        <f t="shared" si="62"/>
        <v>84958921.674553424</v>
      </c>
    </row>
    <row r="159" spans="2:14">
      <c r="B159" s="565" t="s">
        <v>406</v>
      </c>
      <c r="D159" s="14">
        <f>cbal!E159</f>
        <v>1589373891.0925393</v>
      </c>
      <c r="E159" s="416">
        <f t="shared" si="64"/>
        <v>1589373891.0925393</v>
      </c>
      <c r="F159" s="135">
        <f t="shared" si="64"/>
        <v>1589373891.0925393</v>
      </c>
      <c r="G159" s="135">
        <f t="shared" si="64"/>
        <v>1589373891.0925393</v>
      </c>
      <c r="H159" s="579" t="s">
        <v>1814</v>
      </c>
      <c r="I159" s="118">
        <v>1601513341.255161</v>
      </c>
      <c r="J159" t="b">
        <f t="shared" si="54"/>
        <v>1</v>
      </c>
      <c r="L159" s="598">
        <v>1</v>
      </c>
      <c r="N159" s="601">
        <f t="shared" si="62"/>
        <v>1589373891.0925393</v>
      </c>
    </row>
    <row r="160" spans="2:14">
      <c r="B160" s="565" t="s">
        <v>957</v>
      </c>
      <c r="D160" s="14">
        <f>cbal!E160</f>
        <v>419408398.00473642</v>
      </c>
      <c r="E160" s="416">
        <f t="shared" si="64"/>
        <v>419408398.00473642</v>
      </c>
      <c r="F160" s="135">
        <f t="shared" si="64"/>
        <v>419408398.00473642</v>
      </c>
      <c r="G160" s="135">
        <f t="shared" si="64"/>
        <v>419408398.00473642</v>
      </c>
      <c r="H160" s="579" t="s">
        <v>1815</v>
      </c>
      <c r="I160" s="118">
        <v>407278476.64619088</v>
      </c>
      <c r="J160" t="b">
        <f t="shared" si="54"/>
        <v>1</v>
      </c>
      <c r="L160" s="598">
        <v>1</v>
      </c>
      <c r="N160" s="601">
        <f t="shared" si="62"/>
        <v>419408398.00473642</v>
      </c>
    </row>
    <row r="161" spans="1:14">
      <c r="B161" s="565" t="s">
        <v>1622</v>
      </c>
      <c r="D161" s="14">
        <f>cbal!E161</f>
        <v>74443574.253257036</v>
      </c>
      <c r="E161" s="416">
        <f t="shared" si="64"/>
        <v>74443574.253257036</v>
      </c>
      <c r="F161" s="135">
        <f t="shared" si="64"/>
        <v>74443574.253257036</v>
      </c>
      <c r="G161" s="135">
        <f t="shared" si="64"/>
        <v>74443574.253257036</v>
      </c>
      <c r="H161" s="579" t="s">
        <v>1816</v>
      </c>
      <c r="I161" s="118">
        <v>74444843.029944792</v>
      </c>
      <c r="J161" t="b">
        <f t="shared" si="54"/>
        <v>1</v>
      </c>
      <c r="L161" s="598">
        <v>1</v>
      </c>
      <c r="N161" s="601">
        <f t="shared" si="62"/>
        <v>74443574.253257036</v>
      </c>
    </row>
    <row r="162" spans="1:14">
      <c r="B162" s="565" t="s">
        <v>1624</v>
      </c>
      <c r="D162" s="14">
        <f>cbal!E162</f>
        <v>65647825.802543916</v>
      </c>
      <c r="E162" s="416">
        <f t="shared" si="64"/>
        <v>65647825.802543916</v>
      </c>
      <c r="F162" s="135">
        <f t="shared" si="64"/>
        <v>65647825.802543916</v>
      </c>
      <c r="G162" s="135">
        <f t="shared" si="64"/>
        <v>65647825.802543916</v>
      </c>
      <c r="H162" s="579" t="s">
        <v>1817</v>
      </c>
      <c r="I162" s="118">
        <v>63218581.818181828</v>
      </c>
      <c r="J162" t="b">
        <f t="shared" si="54"/>
        <v>1</v>
      </c>
      <c r="L162" s="598">
        <v>1</v>
      </c>
      <c r="N162" s="601">
        <f t="shared" si="62"/>
        <v>65647825.802543916</v>
      </c>
    </row>
    <row r="163" spans="1:14">
      <c r="B163" s="565" t="s">
        <v>1623</v>
      </c>
      <c r="D163" s="14">
        <f>cbal!E163</f>
        <v>140091400.05580094</v>
      </c>
      <c r="E163" s="416">
        <f t="shared" si="64"/>
        <v>140091400.05580094</v>
      </c>
      <c r="F163" s="135">
        <f t="shared" si="64"/>
        <v>140091400.05580094</v>
      </c>
      <c r="G163" s="135">
        <f t="shared" si="64"/>
        <v>140091400.05580094</v>
      </c>
      <c r="H163" s="579" t="s">
        <v>1818</v>
      </c>
      <c r="I163" s="118">
        <v>137663424.84812662</v>
      </c>
      <c r="J163" t="b">
        <f t="shared" si="54"/>
        <v>1</v>
      </c>
      <c r="L163" s="598">
        <v>1</v>
      </c>
      <c r="N163" s="601">
        <f t="shared" si="62"/>
        <v>140091400.05580094</v>
      </c>
    </row>
    <row r="164" spans="1:14">
      <c r="B164" s="565" t="s">
        <v>1625</v>
      </c>
      <c r="D164" s="14">
        <f>cbal!E164</f>
        <v>279316997.94893551</v>
      </c>
      <c r="E164" s="416">
        <f t="shared" si="64"/>
        <v>279316997.94893551</v>
      </c>
      <c r="F164" s="135">
        <f t="shared" si="64"/>
        <v>279316997.94893551</v>
      </c>
      <c r="G164" s="135">
        <f t="shared" si="64"/>
        <v>279316997.94893551</v>
      </c>
      <c r="H164" s="579" t="s">
        <v>1819</v>
      </c>
      <c r="I164" s="118">
        <v>269615051.79806423</v>
      </c>
      <c r="J164" t="b">
        <f t="shared" si="54"/>
        <v>1</v>
      </c>
      <c r="L164" s="598">
        <v>1</v>
      </c>
      <c r="N164" s="601">
        <f t="shared" si="62"/>
        <v>279316997.94893551</v>
      </c>
    </row>
    <row r="165" spans="1:14">
      <c r="B165" s="565" t="s">
        <v>403</v>
      </c>
      <c r="D165" s="385">
        <f>cbal!E165</f>
        <v>0.13904791946092745</v>
      </c>
      <c r="E165" s="457">
        <f t="shared" si="64"/>
        <v>0.13904791946092745</v>
      </c>
      <c r="F165" s="135">
        <f t="shared" si="64"/>
        <v>0.13904791946092745</v>
      </c>
      <c r="G165" s="135">
        <f t="shared" si="64"/>
        <v>0.13904791946092745</v>
      </c>
      <c r="H165" s="579" t="s">
        <v>1820</v>
      </c>
      <c r="I165" s="118">
        <v>0.1342175179107109</v>
      </c>
      <c r="J165" t="b">
        <f t="shared" si="54"/>
        <v>1</v>
      </c>
      <c r="L165" s="598">
        <v>1</v>
      </c>
      <c r="N165" s="601">
        <f t="shared" si="62"/>
        <v>0.13904791946092745</v>
      </c>
    </row>
    <row r="166" spans="1:14">
      <c r="B166" s="565"/>
      <c r="D166" s="14"/>
      <c r="E166" s="169"/>
      <c r="F166" s="135"/>
      <c r="G166" s="135"/>
      <c r="H166" s="579"/>
      <c r="I166" s="118"/>
      <c r="J166" t="b">
        <f t="shared" si="54"/>
        <v>1</v>
      </c>
      <c r="L166" s="597"/>
      <c r="N166" s="601"/>
    </row>
    <row r="167" spans="1:14">
      <c r="A167" s="3" t="str">
        <f>DataNameProd2 &amp;" Income Statement"</f>
        <v>Transform Income Statement</v>
      </c>
      <c r="B167" s="565"/>
      <c r="D167" s="14"/>
      <c r="E167" s="169"/>
      <c r="F167" s="135"/>
      <c r="G167" s="135"/>
      <c r="H167" s="579"/>
      <c r="I167" s="118"/>
      <c r="J167" t="b">
        <f t="shared" si="54"/>
        <v>1</v>
      </c>
      <c r="L167" s="597"/>
      <c r="N167" s="601"/>
    </row>
    <row r="168" spans="1:14">
      <c r="B168" s="565" t="s">
        <v>1423</v>
      </c>
      <c r="D168" s="14">
        <f>cbal!E168</f>
        <v>2130647736.0000005</v>
      </c>
      <c r="E168" s="416">
        <f t="shared" ref="E168:G183" si="65">$D168*$L168</f>
        <v>2130647736.0000005</v>
      </c>
      <c r="F168" s="135">
        <f t="shared" si="65"/>
        <v>2130647736.0000005</v>
      </c>
      <c r="G168" s="135">
        <f t="shared" si="65"/>
        <v>2130647736.0000005</v>
      </c>
      <c r="H168" s="579" t="s">
        <v>1821</v>
      </c>
      <c r="I168" s="118">
        <v>2130561120.0000005</v>
      </c>
      <c r="J168" t="b">
        <f t="shared" si="54"/>
        <v>1</v>
      </c>
      <c r="L168" s="598">
        <v>1</v>
      </c>
      <c r="N168" s="601">
        <f t="shared" ref="N168:N197" si="66">$D168*$L168</f>
        <v>2130647736.0000005</v>
      </c>
    </row>
    <row r="169" spans="1:14">
      <c r="B169" s="565" t="s">
        <v>1424</v>
      </c>
      <c r="D169" s="14">
        <f>cbal!E169</f>
        <v>27936000</v>
      </c>
      <c r="E169" s="416">
        <f t="shared" si="65"/>
        <v>27936000</v>
      </c>
      <c r="F169" s="135">
        <f t="shared" si="65"/>
        <v>27936000</v>
      </c>
      <c r="G169" s="135">
        <f t="shared" si="65"/>
        <v>27936000</v>
      </c>
      <c r="H169" s="579" t="s">
        <v>1822</v>
      </c>
      <c r="I169" s="118">
        <v>27942000</v>
      </c>
      <c r="J169" t="b">
        <f t="shared" si="54"/>
        <v>1</v>
      </c>
      <c r="L169" s="598">
        <v>1</v>
      </c>
      <c r="N169" s="601">
        <f t="shared" si="66"/>
        <v>27936000</v>
      </c>
    </row>
    <row r="170" spans="1:14">
      <c r="B170" s="565" t="s">
        <v>1425</v>
      </c>
      <c r="D170" s="14">
        <f>cbal!E170</f>
        <v>59596800</v>
      </c>
      <c r="E170" s="416">
        <f t="shared" si="65"/>
        <v>59596800</v>
      </c>
      <c r="F170" s="135">
        <f t="shared" si="65"/>
        <v>59596800</v>
      </c>
      <c r="G170" s="135">
        <f t="shared" si="65"/>
        <v>59596800</v>
      </c>
      <c r="H170" s="579" t="s">
        <v>1823</v>
      </c>
      <c r="I170" s="118">
        <v>59609600.000000007</v>
      </c>
      <c r="J170" t="b">
        <f t="shared" si="54"/>
        <v>1</v>
      </c>
      <c r="L170" s="598">
        <v>1</v>
      </c>
      <c r="N170" s="601">
        <f t="shared" si="66"/>
        <v>59596800</v>
      </c>
    </row>
    <row r="171" spans="1:14">
      <c r="B171" s="565" t="s">
        <v>3065</v>
      </c>
      <c r="D171" s="14">
        <f>cbal!E171</f>
        <v>184448149.40512156</v>
      </c>
      <c r="E171" s="416">
        <f t="shared" si="65"/>
        <v>184448149.40512156</v>
      </c>
      <c r="F171" s="135">
        <f t="shared" si="65"/>
        <v>184448149.40512156</v>
      </c>
      <c r="G171" s="135">
        <f t="shared" si="65"/>
        <v>184448149.40512156</v>
      </c>
      <c r="H171" s="579" t="s">
        <v>3090</v>
      </c>
      <c r="I171" s="118">
        <v>184445520.33854526</v>
      </c>
      <c r="J171" t="b">
        <f t="shared" si="54"/>
        <v>1</v>
      </c>
      <c r="L171" s="598">
        <v>1</v>
      </c>
      <c r="N171" s="714">
        <f>$D171*$L171</f>
        <v>184448149.40512156</v>
      </c>
    </row>
    <row r="172" spans="1:14">
      <c r="B172" s="565" t="str">
        <f>DataNameProd2 &amp; " Revenues"</f>
        <v>Transform Revenues</v>
      </c>
      <c r="D172" s="14">
        <f>cbal!E172</f>
        <v>2402628685.4051218</v>
      </c>
      <c r="E172" s="416">
        <f t="shared" si="65"/>
        <v>2402628685.4051218</v>
      </c>
      <c r="F172" s="135">
        <f t="shared" si="65"/>
        <v>2402628685.4051218</v>
      </c>
      <c r="G172" s="135">
        <f t="shared" si="65"/>
        <v>2402628685.4051218</v>
      </c>
      <c r="H172" s="579" t="s">
        <v>647</v>
      </c>
      <c r="I172" s="118">
        <v>2402558240.3385458</v>
      </c>
      <c r="J172" t="b">
        <f t="shared" si="54"/>
        <v>1</v>
      </c>
      <c r="L172" s="598">
        <v>1</v>
      </c>
      <c r="N172" s="601">
        <f t="shared" si="66"/>
        <v>2402628685.4051218</v>
      </c>
    </row>
    <row r="173" spans="1:14">
      <c r="B173" s="565" t="str">
        <f>DataNameEmp1</f>
        <v>Engineers</v>
      </c>
      <c r="D173" s="14">
        <f>cbal!E173</f>
        <v>18001279.703132071</v>
      </c>
      <c r="E173" s="416">
        <f t="shared" si="65"/>
        <v>18001279.703132071</v>
      </c>
      <c r="F173" s="135">
        <f t="shared" si="65"/>
        <v>18001279.703132071</v>
      </c>
      <c r="G173" s="135">
        <f t="shared" si="65"/>
        <v>18001279.703132071</v>
      </c>
      <c r="H173" s="579" t="s">
        <v>1824</v>
      </c>
      <c r="I173" s="118">
        <v>25787455.300171897</v>
      </c>
      <c r="J173" t="b">
        <f t="shared" ref="J173:J237" si="67">MAX(E173:G173)=MIN(E173:G173)</f>
        <v>1</v>
      </c>
      <c r="L173" s="598">
        <v>1</v>
      </c>
      <c r="N173" s="601">
        <f t="shared" si="66"/>
        <v>18001279.703132071</v>
      </c>
    </row>
    <row r="174" spans="1:14">
      <c r="B174" s="565" t="str">
        <f>DataNameEmp2</f>
        <v>Staff</v>
      </c>
      <c r="D174" s="14">
        <f>cbal!E174</f>
        <v>830138043.79556561</v>
      </c>
      <c r="E174" s="416">
        <f t="shared" si="65"/>
        <v>830138043.79556561</v>
      </c>
      <c r="F174" s="135">
        <f t="shared" si="65"/>
        <v>830138043.79556561</v>
      </c>
      <c r="G174" s="135">
        <f t="shared" si="65"/>
        <v>830138043.79556561</v>
      </c>
      <c r="H174" s="579" t="s">
        <v>1825</v>
      </c>
      <c r="I174" s="118">
        <v>775914073.09612525</v>
      </c>
      <c r="J174" t="b">
        <f t="shared" si="67"/>
        <v>1</v>
      </c>
      <c r="L174" s="598">
        <v>1</v>
      </c>
      <c r="N174" s="601">
        <f t="shared" si="66"/>
        <v>830138043.79556561</v>
      </c>
    </row>
    <row r="175" spans="1:14">
      <c r="B175" s="565" t="str">
        <f>DataNameEmp3</f>
        <v>Services Personnel</v>
      </c>
      <c r="D175" s="14">
        <f>cbal!E175</f>
        <v>59282961.39752876</v>
      </c>
      <c r="E175" s="416">
        <f t="shared" si="65"/>
        <v>59282961.39752876</v>
      </c>
      <c r="F175" s="135">
        <f t="shared" si="65"/>
        <v>59282961.39752876</v>
      </c>
      <c r="G175" s="135">
        <f t="shared" si="65"/>
        <v>59282961.39752876</v>
      </c>
      <c r="H175" s="579" t="s">
        <v>1826</v>
      </c>
      <c r="I175" s="118">
        <v>55908998.345605209</v>
      </c>
      <c r="J175" t="b">
        <f t="shared" si="67"/>
        <v>1</v>
      </c>
      <c r="L175" s="598">
        <v>1</v>
      </c>
      <c r="N175" s="601">
        <f t="shared" si="66"/>
        <v>59282961.39752876</v>
      </c>
    </row>
    <row r="176" spans="1:14">
      <c r="B176" s="565" t="s">
        <v>1427</v>
      </c>
      <c r="D176" s="14">
        <f>cbal!E176</f>
        <v>1025346254.1167679</v>
      </c>
      <c r="E176" s="416">
        <f t="shared" si="65"/>
        <v>1025346254.1167679</v>
      </c>
      <c r="F176" s="135">
        <f t="shared" si="65"/>
        <v>1025346254.1167679</v>
      </c>
      <c r="G176" s="135">
        <f t="shared" si="65"/>
        <v>1025346254.1167679</v>
      </c>
      <c r="H176" s="579" t="s">
        <v>1827</v>
      </c>
      <c r="I176" s="118">
        <v>857610526.74190235</v>
      </c>
      <c r="J176" t="b">
        <f t="shared" si="67"/>
        <v>1</v>
      </c>
      <c r="L176" s="598">
        <v>1</v>
      </c>
      <c r="N176" s="601">
        <f t="shared" si="66"/>
        <v>1025346254.1167679</v>
      </c>
    </row>
    <row r="177" spans="2:14">
      <c r="B177" s="565" t="s">
        <v>1542</v>
      </c>
      <c r="D177" s="14">
        <f>cbal!E177</f>
        <v>72883991.200000018</v>
      </c>
      <c r="E177" s="416">
        <f t="shared" si="65"/>
        <v>72883991.200000018</v>
      </c>
      <c r="F177" s="135">
        <f t="shared" si="65"/>
        <v>72883991.200000018</v>
      </c>
      <c r="G177" s="135">
        <f t="shared" si="65"/>
        <v>72883991.200000018</v>
      </c>
      <c r="H177" s="579" t="s">
        <v>1828</v>
      </c>
      <c r="I177" s="118">
        <v>72881504.000000015</v>
      </c>
      <c r="J177" t="b">
        <f t="shared" si="67"/>
        <v>1</v>
      </c>
      <c r="L177" s="598">
        <v>1</v>
      </c>
      <c r="N177" s="601">
        <f t="shared" si="66"/>
        <v>72883991.200000018</v>
      </c>
    </row>
    <row r="178" spans="2:14">
      <c r="B178" s="565" t="s">
        <v>1551</v>
      </c>
      <c r="D178" s="14">
        <f>cbal!E178</f>
        <v>106592837.13000003</v>
      </c>
      <c r="E178" s="416">
        <f t="shared" si="65"/>
        <v>106592837.13000003</v>
      </c>
      <c r="F178" s="135">
        <f t="shared" si="65"/>
        <v>106592837.13000003</v>
      </c>
      <c r="G178" s="135">
        <f t="shared" si="65"/>
        <v>106592837.13000003</v>
      </c>
      <c r="H178" s="579" t="s">
        <v>1829</v>
      </c>
      <c r="I178" s="118">
        <v>106589199.60000002</v>
      </c>
      <c r="J178" t="b">
        <f t="shared" si="67"/>
        <v>1</v>
      </c>
      <c r="L178" s="598">
        <v>1</v>
      </c>
      <c r="N178" s="601">
        <f t="shared" si="66"/>
        <v>106592837.13000003</v>
      </c>
    </row>
    <row r="179" spans="2:14">
      <c r="B179" s="565" t="s">
        <v>1226</v>
      </c>
      <c r="D179" s="14">
        <f>cbal!E179</f>
        <v>108026145.27750769</v>
      </c>
      <c r="E179" s="416">
        <f t="shared" si="65"/>
        <v>108026145.27750769</v>
      </c>
      <c r="F179" s="135">
        <f t="shared" si="65"/>
        <v>108026145.27750769</v>
      </c>
      <c r="G179" s="135">
        <f t="shared" si="65"/>
        <v>108026145.27750769</v>
      </c>
      <c r="H179" s="579" t="s">
        <v>1830</v>
      </c>
      <c r="I179" s="118">
        <v>110747686.96416758</v>
      </c>
      <c r="J179" t="b">
        <f t="shared" si="67"/>
        <v>1</v>
      </c>
      <c r="L179" s="598">
        <v>1</v>
      </c>
      <c r="N179" s="601">
        <f t="shared" si="66"/>
        <v>108026145.27750769</v>
      </c>
    </row>
    <row r="180" spans="2:14">
      <c r="B180" s="565" t="s">
        <v>722</v>
      </c>
      <c r="D180" s="14">
        <f>cbal!E180</f>
        <v>63362708.081203312</v>
      </c>
      <c r="E180" s="416">
        <f t="shared" si="65"/>
        <v>63362708.081203312</v>
      </c>
      <c r="F180" s="135">
        <f t="shared" si="65"/>
        <v>63362708.081203312</v>
      </c>
      <c r="G180" s="135">
        <f t="shared" si="65"/>
        <v>63362708.081203312</v>
      </c>
      <c r="H180" s="579" t="s">
        <v>1831</v>
      </c>
      <c r="I180" s="118">
        <v>63361889.834544219</v>
      </c>
      <c r="J180" t="b">
        <f t="shared" si="67"/>
        <v>1</v>
      </c>
      <c r="L180" s="598">
        <v>1</v>
      </c>
      <c r="N180" s="601">
        <f t="shared" si="66"/>
        <v>63362708.081203312</v>
      </c>
    </row>
    <row r="181" spans="2:14">
      <c r="B181" s="565" t="s">
        <v>1533</v>
      </c>
      <c r="D181" s="14">
        <f>cbal!E181</f>
        <v>287502973.60750771</v>
      </c>
      <c r="E181" s="416">
        <f t="shared" si="65"/>
        <v>287502973.60750771</v>
      </c>
      <c r="F181" s="135">
        <f t="shared" si="65"/>
        <v>287502973.60750771</v>
      </c>
      <c r="G181" s="135">
        <f t="shared" si="65"/>
        <v>287502973.60750771</v>
      </c>
      <c r="H181" s="579" t="s">
        <v>1832</v>
      </c>
      <c r="I181" s="118">
        <v>290218390.56416762</v>
      </c>
      <c r="J181" t="b">
        <f t="shared" si="67"/>
        <v>1</v>
      </c>
      <c r="L181" s="598">
        <v>1</v>
      </c>
      <c r="N181" s="601">
        <f t="shared" si="66"/>
        <v>287502973.60750771</v>
      </c>
    </row>
    <row r="182" spans="2:14">
      <c r="B182" s="565" t="s">
        <v>1562</v>
      </c>
      <c r="D182" s="14">
        <f>cbal!E182</f>
        <v>117923969.22054152</v>
      </c>
      <c r="E182" s="416">
        <f t="shared" si="65"/>
        <v>117923969.22054152</v>
      </c>
      <c r="F182" s="135">
        <f t="shared" si="65"/>
        <v>117923969.22054152</v>
      </c>
      <c r="G182" s="135">
        <f t="shared" si="65"/>
        <v>117923969.22054152</v>
      </c>
      <c r="H182" s="579" t="s">
        <v>1833</v>
      </c>
      <c r="I182" s="118">
        <v>111808294.75458094</v>
      </c>
      <c r="J182" t="b">
        <f t="shared" si="67"/>
        <v>1</v>
      </c>
      <c r="L182" s="598">
        <v>1</v>
      </c>
      <c r="N182" s="601">
        <f t="shared" si="66"/>
        <v>117923969.22054152</v>
      </c>
    </row>
    <row r="183" spans="2:14">
      <c r="B183" s="565" t="s">
        <v>1565</v>
      </c>
      <c r="D183" s="14">
        <f>cbal!E183</f>
        <v>9473197.520353606</v>
      </c>
      <c r="E183" s="416">
        <f t="shared" si="65"/>
        <v>9473197.520353606</v>
      </c>
      <c r="F183" s="135">
        <f t="shared" si="65"/>
        <v>9473197.520353606</v>
      </c>
      <c r="G183" s="135">
        <f t="shared" si="65"/>
        <v>9473197.520353606</v>
      </c>
      <c r="H183" s="579" t="s">
        <v>1834</v>
      </c>
      <c r="I183" s="118">
        <v>6750000.0000000009</v>
      </c>
      <c r="J183" t="b">
        <f t="shared" si="67"/>
        <v>1</v>
      </c>
      <c r="L183" s="598">
        <v>1</v>
      </c>
      <c r="N183" s="601">
        <f t="shared" si="66"/>
        <v>9473197.520353606</v>
      </c>
    </row>
    <row r="184" spans="2:14">
      <c r="B184" s="565" t="s">
        <v>1556</v>
      </c>
      <c r="D184" s="14">
        <f>cbal!E184</f>
        <v>9473197.520353606</v>
      </c>
      <c r="E184" s="416">
        <f t="shared" ref="E184:G197" si="68">$D184*$L184</f>
        <v>9473197.520353606</v>
      </c>
      <c r="F184" s="135">
        <f t="shared" si="68"/>
        <v>9473197.520353606</v>
      </c>
      <c r="G184" s="135">
        <f t="shared" si="68"/>
        <v>9473197.520353606</v>
      </c>
      <c r="H184" s="579" t="s">
        <v>1835</v>
      </c>
      <c r="I184" s="118">
        <v>118558294.75458094</v>
      </c>
      <c r="J184" t="b">
        <f t="shared" si="67"/>
        <v>1</v>
      </c>
      <c r="L184" s="598">
        <v>1</v>
      </c>
      <c r="N184" s="601">
        <f t="shared" si="66"/>
        <v>9473197.520353606</v>
      </c>
    </row>
    <row r="185" spans="2:14">
      <c r="B185" s="565" t="s">
        <v>1428</v>
      </c>
      <c r="D185" s="14">
        <f>cbal!E185</f>
        <v>245245859.48077711</v>
      </c>
      <c r="E185" s="416">
        <f t="shared" si="68"/>
        <v>245245859.48077711</v>
      </c>
      <c r="F185" s="135">
        <f t="shared" si="68"/>
        <v>245245859.48077711</v>
      </c>
      <c r="G185" s="135">
        <f t="shared" si="68"/>
        <v>245245859.48077711</v>
      </c>
      <c r="H185" s="579" t="s">
        <v>1836</v>
      </c>
      <c r="I185" s="118">
        <v>245242042.29452196</v>
      </c>
      <c r="J185" t="b">
        <f t="shared" si="67"/>
        <v>1</v>
      </c>
      <c r="L185" s="598">
        <v>1</v>
      </c>
      <c r="N185" s="601">
        <f t="shared" si="66"/>
        <v>245245859.48077711</v>
      </c>
    </row>
    <row r="186" spans="2:14">
      <c r="B186" s="565" t="s">
        <v>291</v>
      </c>
      <c r="D186" s="14">
        <f>cbal!E186</f>
        <v>8169592.5610608142</v>
      </c>
      <c r="E186" s="416">
        <f t="shared" si="68"/>
        <v>8169592.5610608142</v>
      </c>
      <c r="F186" s="135">
        <f t="shared" si="68"/>
        <v>8169592.5610608142</v>
      </c>
      <c r="G186" s="135">
        <f t="shared" si="68"/>
        <v>8169592.5610608142</v>
      </c>
      <c r="H186" s="579" t="s">
        <v>1837</v>
      </c>
      <c r="I186" s="118">
        <v>78377400.895166233</v>
      </c>
      <c r="J186" t="b">
        <f t="shared" si="67"/>
        <v>1</v>
      </c>
      <c r="L186" s="598">
        <v>1</v>
      </c>
      <c r="N186" s="601">
        <f t="shared" si="66"/>
        <v>8169592.5610608142</v>
      </c>
    </row>
    <row r="187" spans="2:14">
      <c r="B187" s="565" t="s">
        <v>1557</v>
      </c>
      <c r="D187" s="14">
        <f>cbal!E187</f>
        <v>253415452.04183793</v>
      </c>
      <c r="E187" s="416">
        <f t="shared" si="68"/>
        <v>253415452.04183793</v>
      </c>
      <c r="F187" s="135">
        <f t="shared" si="68"/>
        <v>253415452.04183793</v>
      </c>
      <c r="G187" s="135">
        <f t="shared" si="68"/>
        <v>253415452.04183793</v>
      </c>
      <c r="H187" s="579" t="s">
        <v>1838</v>
      </c>
      <c r="I187" s="118">
        <v>323619443.18968821</v>
      </c>
      <c r="J187" t="b">
        <f t="shared" si="67"/>
        <v>1</v>
      </c>
      <c r="L187" s="598">
        <v>1</v>
      </c>
      <c r="N187" s="601">
        <f t="shared" si="66"/>
        <v>253415452.04183793</v>
      </c>
    </row>
    <row r="188" spans="2:14">
      <c r="B188" s="565" t="s">
        <v>686</v>
      </c>
      <c r="D188" s="14">
        <f>cbal!E188</f>
        <v>63362708.081203312</v>
      </c>
      <c r="E188" s="416">
        <f t="shared" si="68"/>
        <v>63362708.081203312</v>
      </c>
      <c r="F188" s="135">
        <f t="shared" si="68"/>
        <v>63362708.081203312</v>
      </c>
      <c r="G188" s="135">
        <f t="shared" si="68"/>
        <v>63362708.081203312</v>
      </c>
      <c r="H188" s="579" t="s">
        <v>1831</v>
      </c>
      <c r="I188" s="118">
        <v>63361889.834544219</v>
      </c>
      <c r="J188" t="b">
        <f t="shared" si="67"/>
        <v>1</v>
      </c>
      <c r="L188" s="598">
        <v>1</v>
      </c>
      <c r="N188" s="601">
        <f t="shared" si="66"/>
        <v>63362708.081203312</v>
      </c>
    </row>
    <row r="189" spans="2:14">
      <c r="B189" s="565" t="s">
        <v>406</v>
      </c>
      <c r="D189" s="14">
        <f>cbal!E189</f>
        <v>32678370.244243257</v>
      </c>
      <c r="E189" s="416">
        <f t="shared" si="68"/>
        <v>32678370.244243257</v>
      </c>
      <c r="F189" s="135">
        <f t="shared" si="68"/>
        <v>32678370.244243257</v>
      </c>
      <c r="G189" s="135">
        <f t="shared" si="68"/>
        <v>32678370.244243257</v>
      </c>
      <c r="H189" s="579" t="s">
        <v>1839</v>
      </c>
      <c r="I189" s="118">
        <v>32677863.356377829</v>
      </c>
      <c r="J189" t="b">
        <f t="shared" si="67"/>
        <v>1</v>
      </c>
      <c r="L189" s="598">
        <v>1</v>
      </c>
      <c r="N189" s="601">
        <f t="shared" si="66"/>
        <v>32678370.244243257</v>
      </c>
    </row>
    <row r="190" spans="2:14">
      <c r="B190" s="565" t="s">
        <v>686</v>
      </c>
      <c r="D190" s="14">
        <f>cbal!E190</f>
        <v>96041078.325446576</v>
      </c>
      <c r="E190" s="416">
        <f t="shared" si="68"/>
        <v>96041078.325446576</v>
      </c>
      <c r="F190" s="135">
        <f t="shared" si="68"/>
        <v>96041078.325446576</v>
      </c>
      <c r="G190" s="135">
        <f t="shared" si="68"/>
        <v>96041078.325446576</v>
      </c>
      <c r="H190" s="579" t="s">
        <v>1840</v>
      </c>
      <c r="I190" s="118">
        <v>96039753.190922052</v>
      </c>
      <c r="J190" t="b">
        <f t="shared" si="67"/>
        <v>1</v>
      </c>
      <c r="L190" s="598">
        <v>1</v>
      </c>
      <c r="N190" s="601">
        <f t="shared" si="66"/>
        <v>96041078.325446576</v>
      </c>
    </row>
    <row r="191" spans="2:14">
      <c r="B191" s="565" t="s">
        <v>406</v>
      </c>
      <c r="D191" s="14">
        <f>cbal!E191</f>
        <v>1671778955.6119137</v>
      </c>
      <c r="E191" s="416">
        <f t="shared" si="68"/>
        <v>1671778955.6119137</v>
      </c>
      <c r="F191" s="135">
        <f t="shared" si="68"/>
        <v>1671778955.6119137</v>
      </c>
      <c r="G191" s="135">
        <f t="shared" si="68"/>
        <v>1671778955.6119137</v>
      </c>
      <c r="H191" s="579" t="s">
        <v>1841</v>
      </c>
      <c r="I191" s="118">
        <v>1686046408.4412611</v>
      </c>
      <c r="J191" t="b">
        <f t="shared" si="67"/>
        <v>1</v>
      </c>
      <c r="L191" s="598">
        <v>1</v>
      </c>
      <c r="N191" s="601">
        <f t="shared" si="66"/>
        <v>1671778955.6119137</v>
      </c>
    </row>
    <row r="192" spans="2:14">
      <c r="B192" s="565" t="s">
        <v>957</v>
      </c>
      <c r="D192" s="14">
        <f>cbal!E192</f>
        <v>730849729.79320812</v>
      </c>
      <c r="E192" s="416">
        <f t="shared" si="68"/>
        <v>730849729.79320812</v>
      </c>
      <c r="F192" s="135">
        <f t="shared" si="68"/>
        <v>730849729.79320812</v>
      </c>
      <c r="G192" s="135">
        <f t="shared" si="68"/>
        <v>730849729.79320812</v>
      </c>
      <c r="H192" s="579" t="s">
        <v>1842</v>
      </c>
      <c r="I192" s="118">
        <v>716511831.89728475</v>
      </c>
      <c r="J192" t="b">
        <f t="shared" si="67"/>
        <v>1</v>
      </c>
      <c r="L192" s="598">
        <v>1</v>
      </c>
      <c r="N192" s="601">
        <f t="shared" si="66"/>
        <v>730849729.79320812</v>
      </c>
    </row>
    <row r="193" spans="1:14">
      <c r="B193" s="565" t="s">
        <v>1622</v>
      </c>
      <c r="D193" s="14">
        <f>cbal!E193</f>
        <v>83306425.746742964</v>
      </c>
      <c r="E193" s="416">
        <f t="shared" si="68"/>
        <v>83306425.746742964</v>
      </c>
      <c r="F193" s="135">
        <f t="shared" si="68"/>
        <v>83306425.746742964</v>
      </c>
      <c r="G193" s="135">
        <f t="shared" si="68"/>
        <v>83306425.746742964</v>
      </c>
      <c r="H193" s="579" t="s">
        <v>1843</v>
      </c>
      <c r="I193" s="118">
        <v>83305156.970055223</v>
      </c>
      <c r="J193" t="b">
        <f t="shared" si="67"/>
        <v>1</v>
      </c>
      <c r="L193" s="598">
        <v>1</v>
      </c>
      <c r="N193" s="601">
        <f t="shared" si="66"/>
        <v>83306425.746742964</v>
      </c>
    </row>
    <row r="194" spans="1:14">
      <c r="B194" s="565" t="s">
        <v>1624</v>
      </c>
      <c r="D194" s="14">
        <f>cbal!E194</f>
        <v>88682020.351302251</v>
      </c>
      <c r="E194" s="416">
        <f t="shared" si="68"/>
        <v>88682020.351302251</v>
      </c>
      <c r="F194" s="135">
        <f t="shared" si="68"/>
        <v>88682020.351302251</v>
      </c>
      <c r="G194" s="135">
        <f t="shared" si="68"/>
        <v>88682020.351302251</v>
      </c>
      <c r="H194" s="579" t="s">
        <v>1844</v>
      </c>
      <c r="I194" s="118">
        <v>85828630.303030312</v>
      </c>
      <c r="J194" t="b">
        <f t="shared" si="67"/>
        <v>1</v>
      </c>
      <c r="L194" s="598">
        <v>1</v>
      </c>
      <c r="N194" s="601">
        <f t="shared" si="66"/>
        <v>88682020.351302251</v>
      </c>
    </row>
    <row r="195" spans="1:14">
      <c r="B195" s="565" t="s">
        <v>1623</v>
      </c>
      <c r="D195" s="14">
        <f>cbal!E195</f>
        <v>171988446.09804523</v>
      </c>
      <c r="E195" s="416">
        <f t="shared" si="68"/>
        <v>171988446.09804523</v>
      </c>
      <c r="F195" s="135">
        <f t="shared" si="68"/>
        <v>171988446.09804523</v>
      </c>
      <c r="G195" s="135">
        <f t="shared" si="68"/>
        <v>171988446.09804523</v>
      </c>
      <c r="H195" s="579" t="s">
        <v>1845</v>
      </c>
      <c r="I195" s="118">
        <v>169133787.27308553</v>
      </c>
      <c r="J195" t="b">
        <f t="shared" si="67"/>
        <v>1</v>
      </c>
      <c r="L195" s="598">
        <v>1</v>
      </c>
      <c r="N195" s="601">
        <f t="shared" si="66"/>
        <v>171988446.09804523</v>
      </c>
    </row>
    <row r="196" spans="1:14">
      <c r="B196" s="565" t="s">
        <v>1625</v>
      </c>
      <c r="D196" s="14">
        <f>cbal!E196</f>
        <v>558861283.69516289</v>
      </c>
      <c r="E196" s="416">
        <f t="shared" si="68"/>
        <v>558861283.69516289</v>
      </c>
      <c r="F196" s="135">
        <f t="shared" si="68"/>
        <v>558861283.69516289</v>
      </c>
      <c r="G196" s="135">
        <f t="shared" si="68"/>
        <v>558861283.69516289</v>
      </c>
      <c r="H196" s="579" t="s">
        <v>1846</v>
      </c>
      <c r="I196" s="118">
        <v>547378044.62419915</v>
      </c>
      <c r="J196" t="b">
        <f t="shared" si="67"/>
        <v>1</v>
      </c>
      <c r="L196" s="598">
        <v>1</v>
      </c>
      <c r="N196" s="601">
        <f t="shared" si="66"/>
        <v>558861283.69516289</v>
      </c>
    </row>
    <row r="197" spans="1:14">
      <c r="B197" s="565" t="s">
        <v>403</v>
      </c>
      <c r="D197" s="385">
        <f>cbal!E197</f>
        <v>0.23260410028815165</v>
      </c>
      <c r="E197" s="457">
        <f t="shared" si="68"/>
        <v>0.23260410028815165</v>
      </c>
      <c r="F197" s="135">
        <f t="shared" si="68"/>
        <v>0.23260410028815165</v>
      </c>
      <c r="G197" s="135">
        <f t="shared" si="68"/>
        <v>0.23260410028815165</v>
      </c>
      <c r="H197" s="579" t="s">
        <v>1847</v>
      </c>
      <c r="I197" s="118">
        <v>0.22783133221655755</v>
      </c>
      <c r="J197" t="b">
        <f t="shared" si="67"/>
        <v>1</v>
      </c>
      <c r="L197" s="598">
        <v>1</v>
      </c>
      <c r="N197" s="601">
        <f t="shared" si="66"/>
        <v>0.23260410028815165</v>
      </c>
    </row>
    <row r="198" spans="1:14">
      <c r="B198" s="565"/>
      <c r="D198" s="14"/>
      <c r="E198" s="169"/>
      <c r="F198" s="135"/>
      <c r="G198" s="135"/>
      <c r="H198" s="579"/>
      <c r="I198" s="118"/>
      <c r="J198" t="b">
        <f t="shared" si="67"/>
        <v>1</v>
      </c>
      <c r="L198" s="597"/>
      <c r="N198" s="601"/>
    </row>
    <row r="199" spans="1:14">
      <c r="A199" s="3" t="s">
        <v>1872</v>
      </c>
      <c r="B199" s="565"/>
      <c r="D199" s="14"/>
      <c r="E199" s="169"/>
      <c r="F199" s="135"/>
      <c r="G199" s="135"/>
      <c r="H199" s="579"/>
      <c r="I199" s="118"/>
      <c r="J199" t="b">
        <f t="shared" si="67"/>
        <v>1</v>
      </c>
      <c r="L199" s="597"/>
      <c r="N199" s="601"/>
    </row>
    <row r="200" spans="1:14">
      <c r="B200" s="565" t="s">
        <v>1423</v>
      </c>
      <c r="D200" s="14">
        <f>cbal!E200</f>
        <v>3769681987.7625008</v>
      </c>
      <c r="E200" s="416">
        <f t="shared" ref="E200:G215" si="69">$D200*$L200</f>
        <v>3769681987.7625008</v>
      </c>
      <c r="F200" s="135">
        <f t="shared" si="69"/>
        <v>3769681987.7625008</v>
      </c>
      <c r="G200" s="135">
        <f t="shared" si="69"/>
        <v>3769681987.7625008</v>
      </c>
      <c r="H200" s="579" t="s">
        <v>1848</v>
      </c>
      <c r="I200" s="118">
        <v>3769582471.5</v>
      </c>
      <c r="J200" t="b">
        <f t="shared" si="67"/>
        <v>1</v>
      </c>
      <c r="L200" s="598">
        <v>1</v>
      </c>
      <c r="N200" s="601">
        <f t="shared" ref="N200:N238" si="70">$D200*$L200</f>
        <v>3769681987.7625008</v>
      </c>
    </row>
    <row r="201" spans="1:14">
      <c r="B201" s="565" t="s">
        <v>1424</v>
      </c>
      <c r="D201" s="14">
        <f>cbal!E201</f>
        <v>90079200</v>
      </c>
      <c r="E201" s="416">
        <f t="shared" si="69"/>
        <v>90079200</v>
      </c>
      <c r="F201" s="135">
        <f t="shared" si="69"/>
        <v>90079200</v>
      </c>
      <c r="G201" s="135">
        <f t="shared" si="69"/>
        <v>90079200</v>
      </c>
      <c r="H201" s="579" t="s">
        <v>1849</v>
      </c>
      <c r="I201" s="118">
        <v>90090600</v>
      </c>
      <c r="J201" t="b">
        <f t="shared" si="67"/>
        <v>1</v>
      </c>
      <c r="L201" s="598">
        <v>1</v>
      </c>
      <c r="N201" s="601">
        <f t="shared" si="70"/>
        <v>90079200</v>
      </c>
    </row>
    <row r="202" spans="1:14">
      <c r="B202" s="565" t="s">
        <v>1425</v>
      </c>
      <c r="D202" s="14">
        <f>cbal!E202</f>
        <v>225312000</v>
      </c>
      <c r="E202" s="416">
        <f t="shared" si="69"/>
        <v>225312000</v>
      </c>
      <c r="F202" s="135">
        <f t="shared" si="69"/>
        <v>225312000</v>
      </c>
      <c r="G202" s="135">
        <f t="shared" si="69"/>
        <v>225312000</v>
      </c>
      <c r="H202" s="579" t="s">
        <v>1850</v>
      </c>
      <c r="I202" s="118">
        <v>225339200</v>
      </c>
      <c r="J202" t="b">
        <f t="shared" si="67"/>
        <v>1</v>
      </c>
      <c r="L202" s="598">
        <v>1</v>
      </c>
      <c r="N202" s="601">
        <f t="shared" si="70"/>
        <v>225312000</v>
      </c>
    </row>
    <row r="203" spans="1:14">
      <c r="B203" s="565" t="s">
        <v>3065</v>
      </c>
      <c r="D203" s="14">
        <f>cbal!E203</f>
        <v>326337786.73989737</v>
      </c>
      <c r="E203" s="416">
        <f t="shared" si="69"/>
        <v>326337786.73989737</v>
      </c>
      <c r="F203" s="135">
        <f t="shared" si="69"/>
        <v>326337786.73989737</v>
      </c>
      <c r="G203" s="135">
        <f t="shared" si="69"/>
        <v>326337786.73989737</v>
      </c>
      <c r="H203" s="579" t="s">
        <v>3091</v>
      </c>
      <c r="I203" s="118">
        <v>326337786.73989737</v>
      </c>
      <c r="J203" t="b">
        <f t="shared" ref="J203" si="71">MAX(E203:G203)=MIN(E203:G203)</f>
        <v>1</v>
      </c>
      <c r="L203" s="598">
        <v>1</v>
      </c>
      <c r="N203" s="714">
        <f t="shared" si="70"/>
        <v>326337786.73989737</v>
      </c>
    </row>
    <row r="204" spans="1:14">
      <c r="B204" s="565" t="s">
        <v>807</v>
      </c>
      <c r="D204" s="14">
        <f>cbal!E204</f>
        <v>4411410974.5023985</v>
      </c>
      <c r="E204" s="416">
        <f t="shared" si="69"/>
        <v>4411410974.5023985</v>
      </c>
      <c r="F204" s="135">
        <f t="shared" si="69"/>
        <v>4411410974.5023985</v>
      </c>
      <c r="G204" s="135">
        <f t="shared" si="69"/>
        <v>4411410974.5023985</v>
      </c>
      <c r="H204" s="579" t="s">
        <v>649</v>
      </c>
      <c r="I204" s="118">
        <v>4411350058.2398977</v>
      </c>
      <c r="J204" t="b">
        <f t="shared" si="67"/>
        <v>1</v>
      </c>
      <c r="L204" s="598">
        <v>1</v>
      </c>
      <c r="N204" s="601">
        <f t="shared" si="70"/>
        <v>4411410974.5023985</v>
      </c>
    </row>
    <row r="205" spans="1:14">
      <c r="B205" s="565" t="str">
        <f>DataNameEmp1</f>
        <v>Engineers</v>
      </c>
      <c r="D205" s="14">
        <f>cbal!E205</f>
        <v>34615384.615384638</v>
      </c>
      <c r="E205" s="416">
        <f t="shared" si="69"/>
        <v>34615384.615384638</v>
      </c>
      <c r="F205" s="135">
        <f t="shared" si="69"/>
        <v>34615384.615384638</v>
      </c>
      <c r="G205" s="135">
        <f t="shared" si="69"/>
        <v>34615384.615384638</v>
      </c>
      <c r="H205" s="579" t="s">
        <v>1851</v>
      </c>
      <c r="I205" s="118">
        <v>47348484.848484844</v>
      </c>
      <c r="J205" t="b">
        <f t="shared" si="67"/>
        <v>1</v>
      </c>
      <c r="L205" s="598">
        <v>1</v>
      </c>
      <c r="N205" s="601">
        <f t="shared" si="70"/>
        <v>34615384.615384638</v>
      </c>
    </row>
    <row r="206" spans="1:14">
      <c r="B206" s="565" t="str">
        <f>DataNameEmp2</f>
        <v>Staff</v>
      </c>
      <c r="D206" s="14">
        <f>cbal!E206</f>
        <v>1546344799.9999998</v>
      </c>
      <c r="E206" s="416">
        <f t="shared" si="69"/>
        <v>1546344799.9999998</v>
      </c>
      <c r="F206" s="135">
        <f t="shared" si="69"/>
        <v>1546344799.9999998</v>
      </c>
      <c r="G206" s="135">
        <f t="shared" si="69"/>
        <v>1546344799.9999998</v>
      </c>
      <c r="H206" s="579" t="s">
        <v>873</v>
      </c>
      <c r="I206" s="118">
        <v>1445360000</v>
      </c>
      <c r="J206" t="b">
        <f t="shared" si="67"/>
        <v>1</v>
      </c>
      <c r="L206" s="598">
        <v>1</v>
      </c>
      <c r="N206" s="601">
        <f t="shared" si="70"/>
        <v>1546344799.9999998</v>
      </c>
    </row>
    <row r="207" spans="1:14">
      <c r="B207" s="565" t="str">
        <f>DataNameEmp3</f>
        <v>Services Personnel</v>
      </c>
      <c r="D207" s="14">
        <f>cbal!E207</f>
        <v>224125500.00000006</v>
      </c>
      <c r="E207" s="416">
        <f t="shared" si="69"/>
        <v>224125500.00000006</v>
      </c>
      <c r="F207" s="135">
        <f t="shared" si="69"/>
        <v>224125500.00000006</v>
      </c>
      <c r="G207" s="135">
        <f t="shared" si="69"/>
        <v>224125500.00000006</v>
      </c>
      <c r="H207" s="579" t="s">
        <v>1852</v>
      </c>
      <c r="I207" s="118">
        <v>211350000</v>
      </c>
      <c r="J207" t="b">
        <f t="shared" si="67"/>
        <v>1</v>
      </c>
      <c r="L207" s="598">
        <v>1</v>
      </c>
      <c r="N207" s="601">
        <f t="shared" si="70"/>
        <v>224125500.00000006</v>
      </c>
    </row>
    <row r="208" spans="1:14">
      <c r="B208" s="565" t="s">
        <v>1427</v>
      </c>
      <c r="D208" s="14">
        <f>cbal!E208</f>
        <v>2027201069.2307689</v>
      </c>
      <c r="E208" s="416">
        <f t="shared" si="69"/>
        <v>2027201069.2307689</v>
      </c>
      <c r="F208" s="135">
        <f t="shared" si="69"/>
        <v>2027201069.2307689</v>
      </c>
      <c r="G208" s="135">
        <f t="shared" si="69"/>
        <v>2027201069.2307689</v>
      </c>
      <c r="H208" s="579" t="s">
        <v>1853</v>
      </c>
      <c r="I208" s="118">
        <v>1704058484.8484848</v>
      </c>
      <c r="J208" t="b">
        <f t="shared" si="67"/>
        <v>1</v>
      </c>
      <c r="L208" s="598">
        <v>1</v>
      </c>
      <c r="N208" s="601">
        <f t="shared" si="70"/>
        <v>2027201069.2307689</v>
      </c>
    </row>
    <row r="209" spans="2:14">
      <c r="B209" s="565" t="s">
        <v>1542</v>
      </c>
      <c r="D209" s="14">
        <f>cbal!E209</f>
        <v>187173292.703125</v>
      </c>
      <c r="E209" s="416">
        <f t="shared" si="69"/>
        <v>187173292.703125</v>
      </c>
      <c r="F209" s="135">
        <f t="shared" si="69"/>
        <v>187173292.703125</v>
      </c>
      <c r="G209" s="135">
        <f t="shared" si="69"/>
        <v>187173292.703125</v>
      </c>
      <c r="H209" s="579" t="s">
        <v>1854</v>
      </c>
      <c r="I209" s="118">
        <v>187170669.375</v>
      </c>
      <c r="J209" t="b">
        <f t="shared" si="67"/>
        <v>1</v>
      </c>
      <c r="L209" s="598">
        <v>1</v>
      </c>
      <c r="N209" s="601">
        <f t="shared" si="70"/>
        <v>187173292.703125</v>
      </c>
    </row>
    <row r="210" spans="2:14">
      <c r="B210" s="565" t="s">
        <v>1551</v>
      </c>
      <c r="D210" s="14">
        <f>cbal!E210</f>
        <v>168635600.80312502</v>
      </c>
      <c r="E210" s="416">
        <f t="shared" si="69"/>
        <v>168635600.80312502</v>
      </c>
      <c r="F210" s="135">
        <f t="shared" si="69"/>
        <v>168635600.80312502</v>
      </c>
      <c r="G210" s="135">
        <f t="shared" si="69"/>
        <v>168635600.80312502</v>
      </c>
      <c r="H210" s="579" t="s">
        <v>1855</v>
      </c>
      <c r="I210" s="118">
        <v>168631889.37500003</v>
      </c>
      <c r="J210" t="b">
        <f t="shared" si="67"/>
        <v>1</v>
      </c>
      <c r="L210" s="598">
        <v>1</v>
      </c>
      <c r="N210" s="601">
        <f t="shared" si="70"/>
        <v>168635600.80312502</v>
      </c>
    </row>
    <row r="211" spans="2:14">
      <c r="B211" s="565" t="s">
        <v>1226</v>
      </c>
      <c r="D211" s="14">
        <f>cbal!E211</f>
        <v>198642883.9674342</v>
      </c>
      <c r="E211" s="416">
        <f t="shared" si="69"/>
        <v>198642883.9674342</v>
      </c>
      <c r="F211" s="135">
        <f t="shared" si="69"/>
        <v>198642883.9674342</v>
      </c>
      <c r="G211" s="135">
        <f t="shared" si="69"/>
        <v>198642883.9674342</v>
      </c>
      <c r="H211" s="579" t="s">
        <v>1856</v>
      </c>
      <c r="I211" s="118">
        <v>203642951.55248296</v>
      </c>
      <c r="J211" t="b">
        <f t="shared" si="67"/>
        <v>1</v>
      </c>
      <c r="L211" s="598">
        <v>1</v>
      </c>
      <c r="N211" s="601">
        <f t="shared" si="70"/>
        <v>198642883.9674342</v>
      </c>
    </row>
    <row r="212" spans="2:14">
      <c r="B212" s="565" t="s">
        <v>722</v>
      </c>
      <c r="D212" s="14">
        <f>cbal!E212</f>
        <v>121000000</v>
      </c>
      <c r="E212" s="416">
        <f t="shared" si="69"/>
        <v>121000000</v>
      </c>
      <c r="F212" s="135">
        <f t="shared" si="69"/>
        <v>121000000</v>
      </c>
      <c r="G212" s="135">
        <f t="shared" si="69"/>
        <v>121000000</v>
      </c>
      <c r="H212" s="579" t="s">
        <v>653</v>
      </c>
      <c r="I212" s="118">
        <v>121000000</v>
      </c>
      <c r="J212" t="b">
        <f t="shared" si="67"/>
        <v>1</v>
      </c>
      <c r="L212" s="598">
        <v>1</v>
      </c>
      <c r="N212" s="601">
        <f t="shared" si="70"/>
        <v>121000000</v>
      </c>
    </row>
    <row r="213" spans="2:14">
      <c r="B213" s="565" t="s">
        <v>1533</v>
      </c>
      <c r="D213" s="14">
        <f>cbal!E213</f>
        <v>554451777.47368419</v>
      </c>
      <c r="E213" s="416">
        <f t="shared" si="69"/>
        <v>554451777.47368419</v>
      </c>
      <c r="F213" s="135">
        <f t="shared" si="69"/>
        <v>554451777.47368419</v>
      </c>
      <c r="G213" s="135">
        <f t="shared" si="69"/>
        <v>554451777.47368419</v>
      </c>
      <c r="H213" s="579" t="s">
        <v>1857</v>
      </c>
      <c r="I213" s="118">
        <v>559445510.30248296</v>
      </c>
      <c r="J213" t="b">
        <f t="shared" si="67"/>
        <v>1</v>
      </c>
      <c r="L213" s="598">
        <v>1</v>
      </c>
      <c r="N213" s="601">
        <f t="shared" si="70"/>
        <v>554451777.47368419</v>
      </c>
    </row>
    <row r="214" spans="2:14">
      <c r="B214" s="565" t="s">
        <v>1562</v>
      </c>
      <c r="D214" s="14">
        <f>cbal!E214</f>
        <v>222115384.61538461</v>
      </c>
      <c r="E214" s="416">
        <f t="shared" si="69"/>
        <v>222115384.61538461</v>
      </c>
      <c r="F214" s="135">
        <f t="shared" si="69"/>
        <v>222115384.61538461</v>
      </c>
      <c r="G214" s="135">
        <f t="shared" si="69"/>
        <v>222115384.61538461</v>
      </c>
      <c r="H214" s="579" t="s">
        <v>1858</v>
      </c>
      <c r="I214" s="118">
        <v>210795454.54545456</v>
      </c>
      <c r="J214" t="b">
        <f t="shared" si="67"/>
        <v>1</v>
      </c>
      <c r="L214" s="598">
        <v>1</v>
      </c>
      <c r="N214" s="601">
        <f t="shared" si="70"/>
        <v>222115384.61538461</v>
      </c>
    </row>
    <row r="215" spans="2:14">
      <c r="B215" s="565" t="s">
        <v>1565</v>
      </c>
      <c r="D215" s="14">
        <f>cbal!E215</f>
        <v>18500000</v>
      </c>
      <c r="E215" s="416">
        <f t="shared" si="69"/>
        <v>18500000</v>
      </c>
      <c r="F215" s="135">
        <f t="shared" si="69"/>
        <v>18500000</v>
      </c>
      <c r="G215" s="135">
        <f t="shared" si="69"/>
        <v>18500000</v>
      </c>
      <c r="H215" s="579" t="s">
        <v>1859</v>
      </c>
      <c r="I215" s="118">
        <v>13500000.000000002</v>
      </c>
      <c r="J215" t="b">
        <f t="shared" si="67"/>
        <v>1</v>
      </c>
      <c r="L215" s="598">
        <v>1</v>
      </c>
      <c r="N215" s="601">
        <f t="shared" si="70"/>
        <v>18500000</v>
      </c>
    </row>
    <row r="216" spans="2:14">
      <c r="B216" s="565" t="s">
        <v>1556</v>
      </c>
      <c r="D216" s="14">
        <f>cbal!E216</f>
        <v>18500000</v>
      </c>
      <c r="E216" s="416">
        <f t="shared" ref="E216:G231" si="72">$D216*$L216</f>
        <v>18500000</v>
      </c>
      <c r="F216" s="135">
        <f t="shared" si="72"/>
        <v>18500000</v>
      </c>
      <c r="G216" s="135">
        <f t="shared" si="72"/>
        <v>18500000</v>
      </c>
      <c r="H216" s="579" t="s">
        <v>1860</v>
      </c>
      <c r="I216" s="118">
        <v>224295454.54545456</v>
      </c>
      <c r="J216" t="b">
        <f t="shared" si="67"/>
        <v>1</v>
      </c>
      <c r="L216" s="598">
        <v>1</v>
      </c>
      <c r="N216" s="601">
        <f t="shared" si="70"/>
        <v>18500000</v>
      </c>
    </row>
    <row r="217" spans="2:14">
      <c r="B217" s="565" t="s">
        <v>1428</v>
      </c>
      <c r="D217" s="14">
        <f>cbal!E217</f>
        <v>465000000</v>
      </c>
      <c r="E217" s="416">
        <f t="shared" si="72"/>
        <v>465000000</v>
      </c>
      <c r="F217" s="135">
        <f t="shared" si="72"/>
        <v>465000000</v>
      </c>
      <c r="G217" s="135">
        <f t="shared" si="72"/>
        <v>465000000</v>
      </c>
      <c r="H217" s="579" t="s">
        <v>874</v>
      </c>
      <c r="I217" s="118">
        <v>465000000</v>
      </c>
      <c r="J217" t="b">
        <f t="shared" si="67"/>
        <v>1</v>
      </c>
      <c r="L217" s="598">
        <v>1</v>
      </c>
      <c r="N217" s="601">
        <f t="shared" si="70"/>
        <v>465000000</v>
      </c>
    </row>
    <row r="218" spans="2:14">
      <c r="B218" s="565" t="s">
        <v>291</v>
      </c>
      <c r="D218" s="14">
        <f>cbal!E218</f>
        <v>14999999.999999998</v>
      </c>
      <c r="E218" s="416">
        <f t="shared" si="72"/>
        <v>14999999.999999998</v>
      </c>
      <c r="F218" s="135">
        <f t="shared" si="72"/>
        <v>14999999.999999998</v>
      </c>
      <c r="G218" s="135">
        <f t="shared" si="72"/>
        <v>14999999.999999998</v>
      </c>
      <c r="H218" s="579" t="s">
        <v>1861</v>
      </c>
      <c r="I218" s="118">
        <v>153760300</v>
      </c>
      <c r="J218" t="b">
        <f t="shared" si="67"/>
        <v>1</v>
      </c>
      <c r="L218" s="598">
        <v>1</v>
      </c>
      <c r="N218" s="601">
        <f t="shared" si="70"/>
        <v>14999999.999999998</v>
      </c>
    </row>
    <row r="219" spans="2:14">
      <c r="B219" s="565" t="s">
        <v>1557</v>
      </c>
      <c r="D219" s="14">
        <f>cbal!E219</f>
        <v>480000000</v>
      </c>
      <c r="E219" s="416">
        <f t="shared" si="72"/>
        <v>480000000</v>
      </c>
      <c r="F219" s="135">
        <f t="shared" si="72"/>
        <v>480000000</v>
      </c>
      <c r="G219" s="135">
        <f t="shared" si="72"/>
        <v>480000000</v>
      </c>
      <c r="H219" s="579" t="s">
        <v>1862</v>
      </c>
      <c r="I219" s="118">
        <v>618760300</v>
      </c>
      <c r="J219" t="b">
        <f t="shared" si="67"/>
        <v>1</v>
      </c>
      <c r="L219" s="598">
        <v>1</v>
      </c>
      <c r="N219" s="601">
        <f t="shared" si="70"/>
        <v>480000000</v>
      </c>
    </row>
    <row r="220" spans="2:14">
      <c r="B220" s="565" t="s">
        <v>686</v>
      </c>
      <c r="D220" s="14">
        <f>cbal!E220</f>
        <v>121000000</v>
      </c>
      <c r="E220" s="416">
        <f t="shared" si="72"/>
        <v>121000000</v>
      </c>
      <c r="F220" s="135">
        <f t="shared" si="72"/>
        <v>121000000</v>
      </c>
      <c r="G220" s="135">
        <f t="shared" si="72"/>
        <v>121000000</v>
      </c>
      <c r="H220" s="579" t="s">
        <v>653</v>
      </c>
      <c r="I220" s="118">
        <v>121000000</v>
      </c>
      <c r="J220" t="b">
        <f t="shared" si="67"/>
        <v>1</v>
      </c>
      <c r="L220" s="598">
        <v>1</v>
      </c>
      <c r="N220" s="601">
        <f t="shared" si="70"/>
        <v>121000000</v>
      </c>
    </row>
    <row r="221" spans="2:14">
      <c r="B221" s="565" t="s">
        <v>406</v>
      </c>
      <c r="D221" s="14">
        <f>cbal!E221</f>
        <v>59999999.999999993</v>
      </c>
      <c r="E221" s="416">
        <f t="shared" si="72"/>
        <v>59999999.999999993</v>
      </c>
      <c r="F221" s="135">
        <f t="shared" si="72"/>
        <v>59999999.999999993</v>
      </c>
      <c r="G221" s="135">
        <f t="shared" si="72"/>
        <v>59999999.999999993</v>
      </c>
      <c r="H221" s="579" t="s">
        <v>1863</v>
      </c>
      <c r="I221" s="118">
        <v>60000000</v>
      </c>
      <c r="J221" t="b">
        <f t="shared" si="67"/>
        <v>1</v>
      </c>
      <c r="L221" s="598">
        <v>1</v>
      </c>
      <c r="N221" s="601">
        <f t="shared" si="70"/>
        <v>59999999.999999993</v>
      </c>
    </row>
    <row r="222" spans="2:14">
      <c r="B222" s="565" t="s">
        <v>686</v>
      </c>
      <c r="D222" s="14">
        <f>cbal!E222</f>
        <v>181000000</v>
      </c>
      <c r="E222" s="416">
        <f t="shared" si="72"/>
        <v>181000000</v>
      </c>
      <c r="F222" s="135">
        <f t="shared" si="72"/>
        <v>181000000</v>
      </c>
      <c r="G222" s="135">
        <f t="shared" si="72"/>
        <v>181000000</v>
      </c>
      <c r="H222" s="579" t="s">
        <v>1864</v>
      </c>
      <c r="I222" s="118">
        <v>181000000</v>
      </c>
      <c r="J222" t="b">
        <f t="shared" si="67"/>
        <v>1</v>
      </c>
      <c r="L222" s="598">
        <v>1</v>
      </c>
      <c r="N222" s="601">
        <f t="shared" si="70"/>
        <v>181000000</v>
      </c>
    </row>
    <row r="223" spans="2:14">
      <c r="B223" s="565" t="s">
        <v>406</v>
      </c>
      <c r="D223" s="14">
        <f>cbal!E223</f>
        <v>3261152846.704453</v>
      </c>
      <c r="E223" s="416">
        <f t="shared" si="72"/>
        <v>3261152846.704453</v>
      </c>
      <c r="F223" s="135">
        <f t="shared" si="72"/>
        <v>3261152846.704453</v>
      </c>
      <c r="G223" s="135">
        <f t="shared" si="72"/>
        <v>3261152846.704453</v>
      </c>
      <c r="H223" s="579" t="s">
        <v>1865</v>
      </c>
      <c r="I223" s="118">
        <v>3287559749.6964221</v>
      </c>
      <c r="J223" t="b">
        <f t="shared" si="67"/>
        <v>1</v>
      </c>
      <c r="L223" s="598">
        <v>1</v>
      </c>
      <c r="N223" s="601">
        <f t="shared" si="70"/>
        <v>3261152846.704453</v>
      </c>
    </row>
    <row r="224" spans="2:14">
      <c r="B224" s="565" t="s">
        <v>957</v>
      </c>
      <c r="D224" s="14">
        <f>cbal!E224</f>
        <v>1150258127.7979455</v>
      </c>
      <c r="E224" s="416">
        <f t="shared" si="72"/>
        <v>1150258127.7979455</v>
      </c>
      <c r="F224" s="135">
        <f t="shared" si="72"/>
        <v>1150258127.7979455</v>
      </c>
      <c r="G224" s="135">
        <f t="shared" si="72"/>
        <v>1150258127.7979455</v>
      </c>
      <c r="H224" s="579" t="s">
        <v>1866</v>
      </c>
      <c r="I224" s="118">
        <v>1123790308.5434756</v>
      </c>
      <c r="J224" t="b">
        <f t="shared" si="67"/>
        <v>1</v>
      </c>
      <c r="L224" s="598">
        <v>1</v>
      </c>
      <c r="N224" s="601">
        <f t="shared" si="70"/>
        <v>1150258127.7979455</v>
      </c>
    </row>
    <row r="225" spans="1:14">
      <c r="B225" s="565" t="s">
        <v>1622</v>
      </c>
      <c r="D225" s="14">
        <f>cbal!E225</f>
        <v>157750000</v>
      </c>
      <c r="E225" s="416">
        <f t="shared" si="72"/>
        <v>157750000</v>
      </c>
      <c r="F225" s="135">
        <f t="shared" si="72"/>
        <v>157750000</v>
      </c>
      <c r="G225" s="135">
        <f t="shared" si="72"/>
        <v>157750000</v>
      </c>
      <c r="H225" s="579" t="s">
        <v>1867</v>
      </c>
      <c r="I225" s="118">
        <v>157750000</v>
      </c>
      <c r="J225" t="b">
        <f t="shared" si="67"/>
        <v>1</v>
      </c>
      <c r="L225" s="598">
        <v>1</v>
      </c>
      <c r="N225" s="601">
        <f t="shared" si="70"/>
        <v>157750000</v>
      </c>
    </row>
    <row r="226" spans="1:14">
      <c r="B226" s="565" t="s">
        <v>1624</v>
      </c>
      <c r="D226" s="14">
        <f>cbal!E226</f>
        <v>154329846.15384617</v>
      </c>
      <c r="E226" s="416">
        <f t="shared" si="72"/>
        <v>154329846.15384617</v>
      </c>
      <c r="F226" s="135">
        <f t="shared" si="72"/>
        <v>154329846.15384617</v>
      </c>
      <c r="G226" s="135">
        <f t="shared" si="72"/>
        <v>154329846.15384617</v>
      </c>
      <c r="H226" s="579" t="s">
        <v>1868</v>
      </c>
      <c r="I226" s="118">
        <v>149047212.12121212</v>
      </c>
      <c r="J226" t="b">
        <f t="shared" si="67"/>
        <v>1</v>
      </c>
      <c r="L226" s="598">
        <v>1</v>
      </c>
      <c r="N226" s="601">
        <f t="shared" si="70"/>
        <v>154329846.15384617</v>
      </c>
    </row>
    <row r="227" spans="1:14">
      <c r="B227" s="565" t="s">
        <v>1623</v>
      </c>
      <c r="D227" s="14">
        <f>cbal!E227</f>
        <v>312079846.15384614</v>
      </c>
      <c r="E227" s="416">
        <f t="shared" si="72"/>
        <v>312079846.15384614</v>
      </c>
      <c r="F227" s="135">
        <f t="shared" si="72"/>
        <v>312079846.15384614</v>
      </c>
      <c r="G227" s="135">
        <f t="shared" si="72"/>
        <v>312079846.15384614</v>
      </c>
      <c r="H227" s="579" t="s">
        <v>1869</v>
      </c>
      <c r="I227" s="118">
        <v>306797212.12121212</v>
      </c>
      <c r="J227" t="b">
        <f t="shared" si="67"/>
        <v>1</v>
      </c>
      <c r="L227" s="598">
        <v>1</v>
      </c>
      <c r="N227" s="601">
        <f t="shared" si="70"/>
        <v>312079846.15384614</v>
      </c>
    </row>
    <row r="228" spans="1:14">
      <c r="B228" s="565" t="s">
        <v>1625</v>
      </c>
      <c r="D228" s="14">
        <f>cbal!E228</f>
        <v>838178281.64409935</v>
      </c>
      <c r="E228" s="416">
        <f t="shared" si="72"/>
        <v>838178281.64409935</v>
      </c>
      <c r="F228" s="135">
        <f t="shared" si="72"/>
        <v>838178281.64409935</v>
      </c>
      <c r="G228" s="135">
        <f t="shared" si="72"/>
        <v>838178281.64409935</v>
      </c>
      <c r="H228" s="579" t="s">
        <v>1870</v>
      </c>
      <c r="I228" s="118">
        <v>816993096.4222635</v>
      </c>
      <c r="J228" t="b">
        <f t="shared" si="67"/>
        <v>1</v>
      </c>
      <c r="L228" s="598">
        <v>1</v>
      </c>
      <c r="N228" s="601">
        <f t="shared" si="70"/>
        <v>838178281.64409935</v>
      </c>
    </row>
    <row r="229" spans="1:14">
      <c r="B229" s="565" t="s">
        <v>403</v>
      </c>
      <c r="D229" s="385">
        <f>cbal!E229</f>
        <v>0.1900023113894177</v>
      </c>
      <c r="E229" s="457">
        <f t="shared" si="72"/>
        <v>0.1900023113894177</v>
      </c>
      <c r="F229" s="505">
        <f t="shared" si="72"/>
        <v>0.1900023113894177</v>
      </c>
      <c r="G229" s="505">
        <f t="shared" si="72"/>
        <v>0.1900023113894177</v>
      </c>
      <c r="H229" s="579" t="s">
        <v>1871</v>
      </c>
      <c r="I229" s="118">
        <v>0.18520250844664068</v>
      </c>
      <c r="J229" t="b">
        <f t="shared" si="67"/>
        <v>1</v>
      </c>
      <c r="L229" s="598">
        <v>1</v>
      </c>
      <c r="N229" s="601">
        <f t="shared" si="70"/>
        <v>0.1900023113894177</v>
      </c>
    </row>
    <row r="230" spans="1:14">
      <c r="B230" s="565" t="s">
        <v>574</v>
      </c>
      <c r="D230" s="14">
        <f>cbal!E230</f>
        <v>0</v>
      </c>
      <c r="E230" s="416">
        <f t="shared" si="72"/>
        <v>0</v>
      </c>
      <c r="F230" s="412">
        <f t="shared" si="72"/>
        <v>0</v>
      </c>
      <c r="G230" s="412">
        <f t="shared" si="72"/>
        <v>0</v>
      </c>
      <c r="H230" s="579" t="s">
        <v>1873</v>
      </c>
      <c r="I230" s="118">
        <v>0</v>
      </c>
      <c r="J230" t="b">
        <f t="shared" si="67"/>
        <v>1</v>
      </c>
      <c r="L230" s="598">
        <v>1</v>
      </c>
      <c r="N230" s="601">
        <f t="shared" si="70"/>
        <v>0</v>
      </c>
    </row>
    <row r="231" spans="1:14">
      <c r="B231" s="565" t="s">
        <v>1127</v>
      </c>
      <c r="D231" s="14">
        <f>cbal!E231</f>
        <v>0</v>
      </c>
      <c r="E231" s="416">
        <f t="shared" si="72"/>
        <v>0</v>
      </c>
      <c r="F231" s="412">
        <f t="shared" si="72"/>
        <v>0</v>
      </c>
      <c r="G231" s="412">
        <f t="shared" si="72"/>
        <v>0</v>
      </c>
      <c r="H231" s="579" t="s">
        <v>1874</v>
      </c>
      <c r="I231" s="118">
        <v>0</v>
      </c>
      <c r="J231" t="b">
        <f t="shared" si="67"/>
        <v>1</v>
      </c>
      <c r="L231" s="598">
        <v>1</v>
      </c>
      <c r="N231" s="601">
        <f t="shared" si="70"/>
        <v>0</v>
      </c>
    </row>
    <row r="232" spans="1:14">
      <c r="B232" s="565" t="s">
        <v>885</v>
      </c>
      <c r="D232" s="14">
        <f>cbal!E232</f>
        <v>0</v>
      </c>
      <c r="E232" s="416">
        <f t="shared" ref="E232:G238" si="73">$D232*$L232</f>
        <v>0</v>
      </c>
      <c r="F232" s="412">
        <f t="shared" si="73"/>
        <v>0</v>
      </c>
      <c r="G232" s="412">
        <f t="shared" si="73"/>
        <v>0</v>
      </c>
      <c r="H232" s="579" t="s">
        <v>1875</v>
      </c>
      <c r="I232" s="118">
        <v>0</v>
      </c>
      <c r="J232" t="b">
        <f t="shared" si="67"/>
        <v>1</v>
      </c>
      <c r="L232" s="598">
        <v>1</v>
      </c>
      <c r="N232" s="601">
        <f t="shared" si="70"/>
        <v>0</v>
      </c>
    </row>
    <row r="233" spans="1:14">
      <c r="B233" s="565" t="s">
        <v>886</v>
      </c>
      <c r="D233" s="14">
        <f>cbal!E233</f>
        <v>8500838.6443741601</v>
      </c>
      <c r="E233" s="416">
        <f t="shared" si="73"/>
        <v>8500838.6443741601</v>
      </c>
      <c r="F233" s="412">
        <f t="shared" si="73"/>
        <v>8500838.6443741601</v>
      </c>
      <c r="G233" s="412">
        <f t="shared" si="73"/>
        <v>8500838.6443741601</v>
      </c>
      <c r="H233" s="579" t="s">
        <v>1876</v>
      </c>
      <c r="I233" s="118">
        <v>8500838.6443741601</v>
      </c>
      <c r="J233" t="b">
        <f t="shared" si="67"/>
        <v>1</v>
      </c>
      <c r="L233" s="598">
        <v>1</v>
      </c>
      <c r="N233" s="601">
        <f t="shared" si="70"/>
        <v>8500838.6443741601</v>
      </c>
    </row>
    <row r="234" spans="1:14">
      <c r="B234" s="565" t="s">
        <v>887</v>
      </c>
      <c r="D234" s="14">
        <f>cbal!E234</f>
        <v>125929708.2424297</v>
      </c>
      <c r="E234" s="416">
        <f t="shared" si="73"/>
        <v>125929708.2424297</v>
      </c>
      <c r="F234" s="412">
        <f t="shared" si="73"/>
        <v>125929708.2424297</v>
      </c>
      <c r="G234" s="412">
        <f t="shared" si="73"/>
        <v>125929708.2424297</v>
      </c>
      <c r="H234" s="579" t="s">
        <v>1877</v>
      </c>
      <c r="I234" s="118">
        <v>125929708.2424297</v>
      </c>
      <c r="J234" t="b">
        <f t="shared" si="67"/>
        <v>1</v>
      </c>
      <c r="L234" s="598">
        <v>1</v>
      </c>
      <c r="N234" s="601">
        <f t="shared" si="70"/>
        <v>125929708.2424297</v>
      </c>
    </row>
    <row r="235" spans="1:14">
      <c r="B235" s="565" t="s">
        <v>721</v>
      </c>
      <c r="D235" s="14">
        <f>cbal!E235</f>
        <v>117428869.59805554</v>
      </c>
      <c r="E235" s="416">
        <f t="shared" si="73"/>
        <v>117428869.59805554</v>
      </c>
      <c r="F235" s="412">
        <f t="shared" si="73"/>
        <v>117428869.59805554</v>
      </c>
      <c r="G235" s="412">
        <f t="shared" si="73"/>
        <v>117428869.59805554</v>
      </c>
      <c r="H235" s="579" t="s">
        <v>1878</v>
      </c>
      <c r="I235" s="118">
        <v>117428869.59805554</v>
      </c>
      <c r="J235" t="b">
        <f t="shared" si="67"/>
        <v>1</v>
      </c>
      <c r="L235" s="598">
        <v>1</v>
      </c>
      <c r="N235" s="601">
        <f t="shared" si="70"/>
        <v>117428869.59805554</v>
      </c>
    </row>
    <row r="236" spans="1:14">
      <c r="B236" s="565" t="s">
        <v>10</v>
      </c>
      <c r="D236" s="14">
        <f>cbal!E236</f>
        <v>720749412.04604387</v>
      </c>
      <c r="E236" s="416">
        <f t="shared" si="73"/>
        <v>720749412.04604387</v>
      </c>
      <c r="F236" s="412">
        <f t="shared" si="73"/>
        <v>720749412.04604387</v>
      </c>
      <c r="G236" s="412">
        <f t="shared" si="73"/>
        <v>720749412.04604387</v>
      </c>
      <c r="H236" s="579" t="s">
        <v>1879</v>
      </c>
      <c r="I236" s="118">
        <v>699564226.82420802</v>
      </c>
      <c r="J236" t="b">
        <f t="shared" si="67"/>
        <v>1</v>
      </c>
      <c r="L236" s="598">
        <v>1</v>
      </c>
      <c r="N236" s="601">
        <f t="shared" si="70"/>
        <v>720749412.04604387</v>
      </c>
    </row>
    <row r="237" spans="1:14">
      <c r="B237" s="565" t="s">
        <v>1136</v>
      </c>
      <c r="D237" s="14">
        <f>cbal!E237</f>
        <v>144149882.40920877</v>
      </c>
      <c r="E237" s="416">
        <f t="shared" si="73"/>
        <v>144149882.40920877</v>
      </c>
      <c r="F237" s="412">
        <f t="shared" si="73"/>
        <v>144149882.40920877</v>
      </c>
      <c r="G237" s="412">
        <f t="shared" si="73"/>
        <v>144149882.40920877</v>
      </c>
      <c r="H237" s="579" t="s">
        <v>1880</v>
      </c>
      <c r="I237" s="118">
        <v>139912845.36484161</v>
      </c>
      <c r="J237" t="b">
        <f t="shared" si="67"/>
        <v>1</v>
      </c>
      <c r="L237" s="598">
        <v>1</v>
      </c>
      <c r="N237" s="601">
        <f t="shared" si="70"/>
        <v>144149882.40920877</v>
      </c>
    </row>
    <row r="238" spans="1:14">
      <c r="B238" s="565" t="s">
        <v>443</v>
      </c>
      <c r="D238" s="14">
        <f>cbal!E238</f>
        <v>576599529.6368351</v>
      </c>
      <c r="E238" s="416">
        <f t="shared" si="73"/>
        <v>576599529.6368351</v>
      </c>
      <c r="F238" s="412">
        <f t="shared" si="73"/>
        <v>576599529.6368351</v>
      </c>
      <c r="G238" s="412">
        <f t="shared" si="73"/>
        <v>576599529.6368351</v>
      </c>
      <c r="H238" s="579" t="s">
        <v>1881</v>
      </c>
      <c r="I238" s="118">
        <v>559651381.45936644</v>
      </c>
      <c r="J238" t="b">
        <f t="shared" ref="J238:J245" si="74">MAX(E238:G238)=MIN(E238:G238)</f>
        <v>1</v>
      </c>
      <c r="L238" s="598">
        <v>1</v>
      </c>
      <c r="N238" s="601">
        <f t="shared" si="70"/>
        <v>576599529.6368351</v>
      </c>
    </row>
    <row r="239" spans="1:14">
      <c r="B239" s="565"/>
      <c r="D239" s="14"/>
      <c r="E239" s="169"/>
      <c r="F239" s="135"/>
      <c r="G239" s="135"/>
      <c r="H239" s="579"/>
      <c r="I239" s="118"/>
      <c r="J239" t="b">
        <f t="shared" si="74"/>
        <v>1</v>
      </c>
      <c r="L239" s="597"/>
      <c r="N239" s="601"/>
    </row>
    <row r="240" spans="1:14">
      <c r="A240" s="3" t="s">
        <v>448</v>
      </c>
      <c r="E240" s="172"/>
      <c r="F240" s="34"/>
      <c r="G240" s="34"/>
      <c r="I240" s="33"/>
      <c r="J240" t="b">
        <f t="shared" si="74"/>
        <v>1</v>
      </c>
      <c r="L240" s="594"/>
      <c r="N240" s="601"/>
    </row>
    <row r="241" spans="1:14">
      <c r="A241" s="3"/>
      <c r="B241" t="s">
        <v>404</v>
      </c>
      <c r="D241" s="14"/>
      <c r="E241" s="173">
        <v>5</v>
      </c>
      <c r="F241" s="137">
        <v>5</v>
      </c>
      <c r="G241" s="137">
        <v>5</v>
      </c>
      <c r="H241" s="123" t="s">
        <v>405</v>
      </c>
      <c r="I241" s="118">
        <v>5</v>
      </c>
      <c r="J241" t="b">
        <f t="shared" si="74"/>
        <v>1</v>
      </c>
      <c r="L241" s="594"/>
      <c r="N241" s="601">
        <v>5</v>
      </c>
    </row>
    <row r="242" spans="1:14">
      <c r="B242" t="s">
        <v>966</v>
      </c>
      <c r="D242" s="14"/>
      <c r="E242" s="169">
        <v>10000000</v>
      </c>
      <c r="F242" s="135">
        <v>10000000</v>
      </c>
      <c r="G242" s="135">
        <v>10000000</v>
      </c>
      <c r="H242" s="123" t="s">
        <v>967</v>
      </c>
      <c r="I242" s="116">
        <v>10000000</v>
      </c>
      <c r="J242" t="b">
        <f t="shared" si="74"/>
        <v>1</v>
      </c>
      <c r="L242" s="594"/>
      <c r="N242" s="601">
        <v>10000000</v>
      </c>
    </row>
    <row r="243" spans="1:14">
      <c r="B243" t="s">
        <v>1251</v>
      </c>
      <c r="D243" s="14"/>
      <c r="E243" s="458">
        <v>1694017753.2856865</v>
      </c>
      <c r="F243" s="459">
        <v>1694017753.2856865</v>
      </c>
      <c r="G243" s="459">
        <v>1694017753.2856865</v>
      </c>
      <c r="H243" s="123" t="s">
        <v>456</v>
      </c>
      <c r="I243" s="33">
        <v>1694017753.2856865</v>
      </c>
      <c r="J243" t="b">
        <f t="shared" si="74"/>
        <v>1</v>
      </c>
      <c r="L243" s="594"/>
      <c r="N243" s="601">
        <v>1694017753.2856865</v>
      </c>
    </row>
    <row r="244" spans="1:14">
      <c r="B244" t="s">
        <v>382</v>
      </c>
      <c r="D244" s="326"/>
      <c r="E244" s="416">
        <v>0</v>
      </c>
      <c r="F244" s="459">
        <v>0</v>
      </c>
      <c r="G244" s="459">
        <v>0</v>
      </c>
      <c r="H244" s="123" t="s">
        <v>389</v>
      </c>
      <c r="I244" s="462">
        <v>0</v>
      </c>
      <c r="J244" t="b">
        <f t="shared" si="74"/>
        <v>1</v>
      </c>
      <c r="L244" s="594"/>
      <c r="N244" s="601">
        <v>0</v>
      </c>
    </row>
    <row r="245" spans="1:14">
      <c r="E245" s="172"/>
      <c r="F245" s="34"/>
      <c r="G245" s="34"/>
      <c r="I245" s="33"/>
      <c r="J245" t="b">
        <f t="shared" si="74"/>
        <v>1</v>
      </c>
      <c r="L245" s="594"/>
      <c r="N245" s="601"/>
    </row>
    <row r="246" spans="1:14">
      <c r="A246" s="3" t="s">
        <v>451</v>
      </c>
      <c r="E246" s="172"/>
      <c r="F246" s="34"/>
      <c r="G246" s="34"/>
      <c r="I246" s="33"/>
      <c r="J246" t="b">
        <f t="shared" ref="J246:J271" si="75">MAX(E246:G246)=MIN(E246:G246)</f>
        <v>1</v>
      </c>
      <c r="L246" s="594"/>
      <c r="N246" s="601"/>
    </row>
    <row r="247" spans="1:14">
      <c r="B247" s="5" t="s">
        <v>452</v>
      </c>
      <c r="C247" t="s">
        <v>453</v>
      </c>
      <c r="D247" t="s">
        <v>1271</v>
      </c>
      <c r="E247" s="172"/>
      <c r="F247" s="34"/>
      <c r="G247" s="34"/>
      <c r="I247" s="33"/>
      <c r="J247" t="b">
        <f t="shared" si="75"/>
        <v>1</v>
      </c>
      <c r="L247" s="594"/>
      <c r="N247" s="601"/>
    </row>
    <row r="248" spans="1:14">
      <c r="B248" s="5">
        <v>1</v>
      </c>
      <c r="C248" s="5" t="s">
        <v>498</v>
      </c>
      <c r="D248">
        <f t="shared" ref="D248:D271" si="76">MAX(xxYear-B248+1,0)</f>
        <v>0</v>
      </c>
      <c r="E248" s="172">
        <v>0</v>
      </c>
      <c r="F248" s="34">
        <v>0</v>
      </c>
      <c r="G248" s="34">
        <v>0</v>
      </c>
      <c r="I248" s="33">
        <v>0</v>
      </c>
      <c r="J248" t="b">
        <f t="shared" si="75"/>
        <v>1</v>
      </c>
      <c r="L248" s="594"/>
      <c r="N248" s="601">
        <v>0</v>
      </c>
    </row>
    <row r="249" spans="1:14">
      <c r="B249" s="5">
        <v>1</v>
      </c>
      <c r="C249" s="5" t="s">
        <v>499</v>
      </c>
      <c r="D249">
        <f t="shared" si="76"/>
        <v>0</v>
      </c>
      <c r="E249" s="172">
        <v>0</v>
      </c>
      <c r="F249" s="34">
        <v>0</v>
      </c>
      <c r="G249" s="34">
        <v>0</v>
      </c>
      <c r="I249" s="33">
        <v>0</v>
      </c>
      <c r="J249" t="b">
        <f t="shared" si="75"/>
        <v>1</v>
      </c>
      <c r="L249" s="594"/>
      <c r="N249" s="601">
        <v>0</v>
      </c>
    </row>
    <row r="250" spans="1:14">
      <c r="B250" s="5">
        <v>1</v>
      </c>
      <c r="C250" s="5" t="s">
        <v>500</v>
      </c>
      <c r="D250">
        <f t="shared" si="76"/>
        <v>0</v>
      </c>
      <c r="E250" s="172">
        <v>0</v>
      </c>
      <c r="F250" s="34">
        <v>0</v>
      </c>
      <c r="G250" s="34">
        <v>0</v>
      </c>
      <c r="I250" s="33">
        <v>0</v>
      </c>
      <c r="J250" t="b">
        <f t="shared" si="75"/>
        <v>1</v>
      </c>
      <c r="L250" s="594"/>
      <c r="N250" s="601">
        <v>0</v>
      </c>
    </row>
    <row r="251" spans="1:14">
      <c r="B251" s="5">
        <v>1</v>
      </c>
      <c r="C251" s="5" t="s">
        <v>501</v>
      </c>
      <c r="D251">
        <f t="shared" si="76"/>
        <v>0</v>
      </c>
      <c r="E251" s="172">
        <v>0</v>
      </c>
      <c r="F251" s="34">
        <v>0</v>
      </c>
      <c r="G251" s="34">
        <v>0</v>
      </c>
      <c r="I251" s="33">
        <v>0</v>
      </c>
      <c r="J251" t="b">
        <f t="shared" si="75"/>
        <v>1</v>
      </c>
      <c r="L251" s="594"/>
      <c r="N251" s="601">
        <v>0</v>
      </c>
    </row>
    <row r="252" spans="1:14">
      <c r="B252" s="5">
        <v>1</v>
      </c>
      <c r="C252" s="5" t="s">
        <v>502</v>
      </c>
      <c r="D252">
        <f t="shared" si="76"/>
        <v>0</v>
      </c>
      <c r="E252" s="172">
        <v>0</v>
      </c>
      <c r="F252" s="34">
        <v>0</v>
      </c>
      <c r="G252" s="34">
        <v>0</v>
      </c>
      <c r="I252" s="33">
        <v>0</v>
      </c>
      <c r="J252" t="b">
        <f t="shared" si="75"/>
        <v>1</v>
      </c>
      <c r="L252" s="594"/>
      <c r="N252" s="601">
        <v>0</v>
      </c>
    </row>
    <row r="253" spans="1:14">
      <c r="B253" s="5">
        <v>1</v>
      </c>
      <c r="C253" s="5" t="s">
        <v>916</v>
      </c>
      <c r="D253">
        <f>MAX(xxYear-B253+1,0)</f>
        <v>0</v>
      </c>
      <c r="E253" s="172">
        <v>0</v>
      </c>
      <c r="F253" s="34">
        <v>0</v>
      </c>
      <c r="G253" s="34">
        <v>0</v>
      </c>
      <c r="I253" s="33">
        <v>0</v>
      </c>
      <c r="J253" t="b">
        <f t="shared" si="75"/>
        <v>1</v>
      </c>
      <c r="L253" s="594"/>
      <c r="N253" s="601">
        <v>0</v>
      </c>
    </row>
    <row r="254" spans="1:14">
      <c r="B254" s="5">
        <v>1</v>
      </c>
      <c r="C254" s="5" t="s">
        <v>917</v>
      </c>
      <c r="D254">
        <f>MAX(xxYear-B254+1,0)</f>
        <v>0</v>
      </c>
      <c r="E254" s="172">
        <v>0</v>
      </c>
      <c r="F254" s="34">
        <v>0</v>
      </c>
      <c r="G254" s="34">
        <v>0</v>
      </c>
      <c r="I254" s="33">
        <v>0</v>
      </c>
      <c r="J254" t="b">
        <f t="shared" si="75"/>
        <v>1</v>
      </c>
      <c r="L254" s="594"/>
      <c r="N254" s="601">
        <v>0</v>
      </c>
    </row>
    <row r="255" spans="1:14">
      <c r="B255" s="5">
        <v>1</v>
      </c>
      <c r="C255" s="5" t="s">
        <v>918</v>
      </c>
      <c r="D255">
        <f>MAX(xxYear-B255+1,0)</f>
        <v>0</v>
      </c>
      <c r="E255" s="172">
        <v>0</v>
      </c>
      <c r="F255" s="34">
        <v>0</v>
      </c>
      <c r="G255" s="34">
        <v>0</v>
      </c>
      <c r="I255" s="33">
        <v>0</v>
      </c>
      <c r="J255" t="b">
        <f t="shared" si="75"/>
        <v>1</v>
      </c>
      <c r="L255" s="594"/>
      <c r="N255" s="601">
        <v>0</v>
      </c>
    </row>
    <row r="256" spans="1:14">
      <c r="B256">
        <v>2</v>
      </c>
      <c r="C256" s="5" t="s">
        <v>498</v>
      </c>
      <c r="D256">
        <f t="shared" si="76"/>
        <v>0</v>
      </c>
      <c r="E256" s="172">
        <v>0</v>
      </c>
      <c r="F256" s="34">
        <v>0</v>
      </c>
      <c r="G256" s="34">
        <v>0</v>
      </c>
      <c r="I256" s="33">
        <v>0</v>
      </c>
      <c r="J256" t="b">
        <f t="shared" si="75"/>
        <v>1</v>
      </c>
      <c r="L256" s="594"/>
      <c r="N256" s="601">
        <v>0</v>
      </c>
    </row>
    <row r="257" spans="1:14">
      <c r="B257">
        <v>2</v>
      </c>
      <c r="C257" s="5" t="s">
        <v>499</v>
      </c>
      <c r="D257">
        <f t="shared" si="76"/>
        <v>0</v>
      </c>
      <c r="E257" s="172">
        <v>0</v>
      </c>
      <c r="F257" s="34">
        <v>0</v>
      </c>
      <c r="G257" s="34">
        <v>0</v>
      </c>
      <c r="I257" s="33">
        <v>0</v>
      </c>
      <c r="J257" t="b">
        <f t="shared" si="75"/>
        <v>1</v>
      </c>
      <c r="L257" s="594"/>
      <c r="N257" s="601">
        <v>0</v>
      </c>
    </row>
    <row r="258" spans="1:14">
      <c r="B258">
        <v>2</v>
      </c>
      <c r="C258" s="5" t="s">
        <v>500</v>
      </c>
      <c r="D258">
        <f t="shared" si="76"/>
        <v>0</v>
      </c>
      <c r="E258" s="172">
        <v>0</v>
      </c>
      <c r="F258" s="34">
        <v>0</v>
      </c>
      <c r="G258" s="34">
        <v>0</v>
      </c>
      <c r="I258" s="33">
        <v>0</v>
      </c>
      <c r="J258" t="b">
        <f t="shared" si="75"/>
        <v>1</v>
      </c>
      <c r="L258" s="594"/>
      <c r="N258" s="601">
        <v>0</v>
      </c>
    </row>
    <row r="259" spans="1:14">
      <c r="B259">
        <v>2</v>
      </c>
      <c r="C259" s="5" t="s">
        <v>501</v>
      </c>
      <c r="D259">
        <f t="shared" si="76"/>
        <v>0</v>
      </c>
      <c r="E259" s="172">
        <v>0</v>
      </c>
      <c r="F259" s="34">
        <v>0</v>
      </c>
      <c r="G259" s="34">
        <v>0</v>
      </c>
      <c r="I259" s="33">
        <v>0</v>
      </c>
      <c r="J259" t="b">
        <f t="shared" si="75"/>
        <v>1</v>
      </c>
      <c r="L259" s="594"/>
      <c r="N259" s="601">
        <v>0</v>
      </c>
    </row>
    <row r="260" spans="1:14">
      <c r="B260">
        <v>2</v>
      </c>
      <c r="C260" s="5" t="s">
        <v>502</v>
      </c>
      <c r="D260">
        <f t="shared" si="76"/>
        <v>0</v>
      </c>
      <c r="E260" s="172">
        <v>0</v>
      </c>
      <c r="F260" s="34">
        <v>0</v>
      </c>
      <c r="G260" s="34">
        <v>0</v>
      </c>
      <c r="I260" s="33">
        <v>0</v>
      </c>
      <c r="J260" t="b">
        <f t="shared" si="75"/>
        <v>1</v>
      </c>
      <c r="L260" s="594"/>
      <c r="N260" s="601">
        <v>0</v>
      </c>
    </row>
    <row r="261" spans="1:14">
      <c r="B261">
        <v>2</v>
      </c>
      <c r="C261" s="5" t="s">
        <v>916</v>
      </c>
      <c r="D261">
        <f t="shared" si="76"/>
        <v>0</v>
      </c>
      <c r="E261" s="172">
        <v>0</v>
      </c>
      <c r="F261" s="34">
        <v>0</v>
      </c>
      <c r="G261" s="34">
        <v>0</v>
      </c>
      <c r="I261" s="33">
        <v>0</v>
      </c>
      <c r="J261" t="b">
        <f t="shared" si="75"/>
        <v>1</v>
      </c>
      <c r="L261" s="594"/>
      <c r="N261" s="601">
        <v>0</v>
      </c>
    </row>
    <row r="262" spans="1:14">
      <c r="B262">
        <v>2</v>
      </c>
      <c r="C262" s="5" t="s">
        <v>917</v>
      </c>
      <c r="D262">
        <f t="shared" si="76"/>
        <v>0</v>
      </c>
      <c r="E262" s="172">
        <v>0</v>
      </c>
      <c r="F262" s="34">
        <v>0</v>
      </c>
      <c r="G262" s="34">
        <v>0</v>
      </c>
      <c r="I262" s="33">
        <v>0</v>
      </c>
      <c r="J262" t="b">
        <f t="shared" si="75"/>
        <v>1</v>
      </c>
      <c r="L262" s="594"/>
      <c r="N262" s="601">
        <v>0</v>
      </c>
    </row>
    <row r="263" spans="1:14">
      <c r="B263">
        <v>2</v>
      </c>
      <c r="C263" s="5" t="s">
        <v>918</v>
      </c>
      <c r="D263">
        <f t="shared" si="76"/>
        <v>0</v>
      </c>
      <c r="E263" s="172">
        <v>0</v>
      </c>
      <c r="F263" s="34">
        <v>0</v>
      </c>
      <c r="G263" s="34">
        <v>0</v>
      </c>
      <c r="I263" s="33">
        <v>0</v>
      </c>
      <c r="J263" t="b">
        <f t="shared" si="75"/>
        <v>1</v>
      </c>
      <c r="L263" s="594"/>
      <c r="N263" s="601">
        <v>0</v>
      </c>
    </row>
    <row r="264" spans="1:14">
      <c r="B264">
        <v>3</v>
      </c>
      <c r="C264" s="5" t="s">
        <v>498</v>
      </c>
      <c r="D264">
        <f t="shared" si="76"/>
        <v>0</v>
      </c>
      <c r="E264" s="172">
        <v>0</v>
      </c>
      <c r="F264" s="34">
        <v>0</v>
      </c>
      <c r="G264" s="34">
        <v>0</v>
      </c>
      <c r="I264" s="33">
        <v>0</v>
      </c>
      <c r="J264" t="b">
        <f t="shared" si="75"/>
        <v>1</v>
      </c>
      <c r="L264" s="594"/>
      <c r="N264" s="601">
        <v>0</v>
      </c>
    </row>
    <row r="265" spans="1:14">
      <c r="B265">
        <v>3</v>
      </c>
      <c r="C265" s="5" t="s">
        <v>499</v>
      </c>
      <c r="D265">
        <f t="shared" si="76"/>
        <v>0</v>
      </c>
      <c r="E265" s="172">
        <v>0</v>
      </c>
      <c r="F265" s="34">
        <v>0</v>
      </c>
      <c r="G265" s="34">
        <v>0</v>
      </c>
      <c r="I265" s="33">
        <v>0</v>
      </c>
      <c r="J265" t="b">
        <f t="shared" si="75"/>
        <v>1</v>
      </c>
      <c r="L265" s="594"/>
      <c r="N265" s="601">
        <v>0</v>
      </c>
    </row>
    <row r="266" spans="1:14">
      <c r="B266">
        <v>3</v>
      </c>
      <c r="C266" s="5" t="s">
        <v>500</v>
      </c>
      <c r="D266">
        <f t="shared" si="76"/>
        <v>0</v>
      </c>
      <c r="E266" s="172">
        <v>0</v>
      </c>
      <c r="F266" s="34">
        <v>0</v>
      </c>
      <c r="G266" s="34">
        <v>0</v>
      </c>
      <c r="I266" s="33">
        <v>0</v>
      </c>
      <c r="J266" t="b">
        <f t="shared" si="75"/>
        <v>1</v>
      </c>
      <c r="L266" s="594"/>
      <c r="N266" s="601">
        <v>0</v>
      </c>
    </row>
    <row r="267" spans="1:14">
      <c r="B267">
        <v>3</v>
      </c>
      <c r="C267" s="5" t="s">
        <v>501</v>
      </c>
      <c r="D267">
        <f t="shared" si="76"/>
        <v>0</v>
      </c>
      <c r="E267" s="172">
        <v>0</v>
      </c>
      <c r="F267" s="34">
        <v>0</v>
      </c>
      <c r="G267" s="34">
        <v>0</v>
      </c>
      <c r="I267" s="33">
        <v>0</v>
      </c>
      <c r="J267" t="b">
        <f t="shared" si="75"/>
        <v>1</v>
      </c>
      <c r="L267" s="594"/>
      <c r="N267" s="601">
        <v>0</v>
      </c>
    </row>
    <row r="268" spans="1:14">
      <c r="B268">
        <v>3</v>
      </c>
      <c r="C268" s="5" t="s">
        <v>502</v>
      </c>
      <c r="D268">
        <f t="shared" si="76"/>
        <v>0</v>
      </c>
      <c r="E268" s="172">
        <v>0</v>
      </c>
      <c r="F268" s="34">
        <v>0</v>
      </c>
      <c r="G268" s="34">
        <v>0</v>
      </c>
      <c r="I268" s="33">
        <v>0</v>
      </c>
      <c r="J268" t="b">
        <f t="shared" si="75"/>
        <v>1</v>
      </c>
      <c r="L268" s="594"/>
      <c r="N268" s="601">
        <v>0</v>
      </c>
    </row>
    <row r="269" spans="1:14">
      <c r="B269">
        <v>3</v>
      </c>
      <c r="C269" s="5" t="s">
        <v>916</v>
      </c>
      <c r="D269">
        <f t="shared" si="76"/>
        <v>0</v>
      </c>
      <c r="E269" s="172">
        <v>0</v>
      </c>
      <c r="F269" s="34">
        <v>0</v>
      </c>
      <c r="G269" s="34">
        <v>0</v>
      </c>
      <c r="I269" s="33">
        <v>0</v>
      </c>
      <c r="J269" t="b">
        <f t="shared" si="75"/>
        <v>1</v>
      </c>
      <c r="L269" s="594"/>
      <c r="N269" s="601">
        <v>0</v>
      </c>
    </row>
    <row r="270" spans="1:14">
      <c r="B270">
        <v>3</v>
      </c>
      <c r="C270" s="5" t="s">
        <v>917</v>
      </c>
      <c r="D270">
        <f t="shared" si="76"/>
        <v>0</v>
      </c>
      <c r="E270" s="172">
        <v>0</v>
      </c>
      <c r="F270" s="34">
        <v>0</v>
      </c>
      <c r="G270" s="34">
        <v>0</v>
      </c>
      <c r="I270" s="33">
        <v>0</v>
      </c>
      <c r="J270" t="b">
        <f t="shared" si="75"/>
        <v>1</v>
      </c>
      <c r="L270" s="594"/>
      <c r="N270" s="601">
        <v>0</v>
      </c>
    </row>
    <row r="271" spans="1:14">
      <c r="B271">
        <v>3</v>
      </c>
      <c r="C271" s="5" t="s">
        <v>918</v>
      </c>
      <c r="D271">
        <f t="shared" si="76"/>
        <v>0</v>
      </c>
      <c r="E271" s="172">
        <v>0</v>
      </c>
      <c r="F271" s="34">
        <v>0</v>
      </c>
      <c r="G271" s="34">
        <v>0</v>
      </c>
      <c r="I271" s="33">
        <v>0</v>
      </c>
      <c r="J271" t="b">
        <f t="shared" si="75"/>
        <v>1</v>
      </c>
      <c r="L271" s="594"/>
      <c r="N271" s="601">
        <v>0</v>
      </c>
    </row>
    <row r="272" spans="1:14">
      <c r="A272" s="3" t="s">
        <v>1474</v>
      </c>
      <c r="E272" s="172"/>
      <c r="F272" s="34"/>
      <c r="G272" s="34"/>
      <c r="I272" s="33"/>
      <c r="J272" t="b">
        <f t="shared" ref="J272:J470" si="77">MAX(E272:G272)=MIN(E272:G272)</f>
        <v>1</v>
      </c>
      <c r="L272" s="711"/>
      <c r="N272" s="714"/>
    </row>
    <row r="273" spans="2:14">
      <c r="B273" s="5">
        <v>1</v>
      </c>
      <c r="C273" s="5" t="s">
        <v>2247</v>
      </c>
      <c r="D273">
        <f t="shared" ref="D273:D276" si="78">MAX(xxYear-B273+1,0)</f>
        <v>0</v>
      </c>
      <c r="E273" s="172">
        <v>0</v>
      </c>
      <c r="F273" s="34">
        <v>0</v>
      </c>
      <c r="G273" s="34">
        <v>0</v>
      </c>
      <c r="I273" s="33">
        <v>0</v>
      </c>
      <c r="J273" t="b">
        <f t="shared" si="77"/>
        <v>1</v>
      </c>
      <c r="L273" s="711"/>
      <c r="N273" s="714">
        <v>0</v>
      </c>
    </row>
    <row r="274" spans="2:14">
      <c r="B274" s="5">
        <v>1</v>
      </c>
      <c r="C274" s="5" t="s">
        <v>2248</v>
      </c>
      <c r="D274">
        <f t="shared" si="78"/>
        <v>0</v>
      </c>
      <c r="E274" s="172">
        <v>0</v>
      </c>
      <c r="F274" s="34">
        <v>0</v>
      </c>
      <c r="G274" s="34">
        <v>0</v>
      </c>
      <c r="I274" s="33">
        <v>0</v>
      </c>
      <c r="J274" t="b">
        <f t="shared" si="77"/>
        <v>1</v>
      </c>
      <c r="L274" s="711"/>
      <c r="N274" s="714">
        <v>0</v>
      </c>
    </row>
    <row r="275" spans="2:14">
      <c r="B275" s="5">
        <v>1</v>
      </c>
      <c r="C275" s="5" t="s">
        <v>2249</v>
      </c>
      <c r="D275">
        <f t="shared" si="78"/>
        <v>0</v>
      </c>
      <c r="E275" s="172">
        <v>0</v>
      </c>
      <c r="F275" s="34">
        <v>0</v>
      </c>
      <c r="G275" s="34">
        <v>0</v>
      </c>
      <c r="I275" s="33">
        <v>0</v>
      </c>
      <c r="J275" t="b">
        <f t="shared" si="77"/>
        <v>1</v>
      </c>
      <c r="L275" s="711"/>
      <c r="N275" s="714">
        <v>0</v>
      </c>
    </row>
    <row r="276" spans="2:14">
      <c r="B276" s="5">
        <v>1</v>
      </c>
      <c r="C276" s="5" t="s">
        <v>2250</v>
      </c>
      <c r="D276">
        <f t="shared" si="78"/>
        <v>0</v>
      </c>
      <c r="E276" s="172">
        <v>0</v>
      </c>
      <c r="F276" s="34">
        <v>0</v>
      </c>
      <c r="G276" s="34">
        <v>0</v>
      </c>
      <c r="I276" s="33">
        <v>0</v>
      </c>
      <c r="J276" t="b">
        <f t="shared" si="77"/>
        <v>1</v>
      </c>
      <c r="L276" s="711"/>
      <c r="N276" s="714">
        <v>0</v>
      </c>
    </row>
    <row r="277" spans="2:14">
      <c r="B277">
        <v>2</v>
      </c>
      <c r="C277" s="5" t="s">
        <v>2247</v>
      </c>
      <c r="D277">
        <f t="shared" ref="D277:D284" si="79">MAX(xxYear-B277+1,0)</f>
        <v>0</v>
      </c>
      <c r="E277" s="172">
        <v>0</v>
      </c>
      <c r="F277" s="34">
        <v>0</v>
      </c>
      <c r="G277" s="34">
        <v>0</v>
      </c>
      <c r="I277" s="33">
        <v>0</v>
      </c>
      <c r="J277" t="b">
        <f t="shared" si="77"/>
        <v>1</v>
      </c>
      <c r="L277" s="711"/>
      <c r="N277" s="714">
        <v>0</v>
      </c>
    </row>
    <row r="278" spans="2:14">
      <c r="B278">
        <v>2</v>
      </c>
      <c r="C278" s="5" t="s">
        <v>2248</v>
      </c>
      <c r="D278">
        <f t="shared" si="79"/>
        <v>0</v>
      </c>
      <c r="E278" s="172">
        <v>0</v>
      </c>
      <c r="F278" s="34">
        <v>0</v>
      </c>
      <c r="G278" s="34">
        <v>0</v>
      </c>
      <c r="I278" s="33">
        <v>0</v>
      </c>
      <c r="J278" t="b">
        <f t="shared" si="77"/>
        <v>1</v>
      </c>
      <c r="L278" s="711"/>
      <c r="N278" s="714">
        <v>0</v>
      </c>
    </row>
    <row r="279" spans="2:14">
      <c r="B279">
        <v>2</v>
      </c>
      <c r="C279" s="5" t="s">
        <v>2249</v>
      </c>
      <c r="D279">
        <f t="shared" si="79"/>
        <v>0</v>
      </c>
      <c r="E279" s="172">
        <v>0</v>
      </c>
      <c r="F279" s="34">
        <v>0</v>
      </c>
      <c r="G279" s="34">
        <v>0</v>
      </c>
      <c r="I279" s="33">
        <v>0</v>
      </c>
      <c r="J279" t="b">
        <f t="shared" si="77"/>
        <v>1</v>
      </c>
      <c r="L279" s="711"/>
      <c r="N279" s="714">
        <v>0</v>
      </c>
    </row>
    <row r="280" spans="2:14">
      <c r="B280">
        <v>2</v>
      </c>
      <c r="C280" s="5" t="s">
        <v>2250</v>
      </c>
      <c r="D280">
        <f t="shared" si="79"/>
        <v>0</v>
      </c>
      <c r="E280" s="172">
        <v>0</v>
      </c>
      <c r="F280" s="34">
        <v>0</v>
      </c>
      <c r="G280" s="34">
        <v>0</v>
      </c>
      <c r="I280" s="33">
        <v>0</v>
      </c>
      <c r="J280" t="b">
        <f t="shared" si="77"/>
        <v>1</v>
      </c>
      <c r="L280" s="711"/>
      <c r="N280" s="714">
        <v>0</v>
      </c>
    </row>
    <row r="281" spans="2:14">
      <c r="B281">
        <v>3</v>
      </c>
      <c r="C281" s="5" t="s">
        <v>2247</v>
      </c>
      <c r="D281">
        <f t="shared" si="79"/>
        <v>0</v>
      </c>
      <c r="E281" s="172">
        <v>0</v>
      </c>
      <c r="F281" s="34">
        <v>0</v>
      </c>
      <c r="G281" s="34">
        <v>0</v>
      </c>
      <c r="I281" s="33">
        <v>0</v>
      </c>
      <c r="J281" t="b">
        <f t="shared" si="77"/>
        <v>1</v>
      </c>
      <c r="L281" s="711"/>
      <c r="N281" s="714">
        <v>0</v>
      </c>
    </row>
    <row r="282" spans="2:14">
      <c r="B282">
        <v>3</v>
      </c>
      <c r="C282" s="5" t="s">
        <v>2248</v>
      </c>
      <c r="D282">
        <f t="shared" si="79"/>
        <v>0</v>
      </c>
      <c r="E282" s="172">
        <v>0</v>
      </c>
      <c r="F282" s="34">
        <v>0</v>
      </c>
      <c r="G282" s="34">
        <v>0</v>
      </c>
      <c r="I282" s="33">
        <v>0</v>
      </c>
      <c r="J282" t="b">
        <f t="shared" si="77"/>
        <v>1</v>
      </c>
      <c r="L282" s="711"/>
      <c r="N282" s="714">
        <v>0</v>
      </c>
    </row>
    <row r="283" spans="2:14">
      <c r="B283">
        <v>3</v>
      </c>
      <c r="C283" s="5" t="s">
        <v>2249</v>
      </c>
      <c r="D283">
        <f t="shared" si="79"/>
        <v>0</v>
      </c>
      <c r="E283" s="172">
        <v>0</v>
      </c>
      <c r="F283" s="34">
        <v>0</v>
      </c>
      <c r="G283" s="34">
        <v>0</v>
      </c>
      <c r="I283" s="33">
        <v>0</v>
      </c>
      <c r="J283" t="b">
        <f t="shared" si="77"/>
        <v>1</v>
      </c>
      <c r="L283" s="711"/>
      <c r="N283" s="714">
        <v>0</v>
      </c>
    </row>
    <row r="284" spans="2:14">
      <c r="B284">
        <v>3</v>
      </c>
      <c r="C284" s="5" t="s">
        <v>2250</v>
      </c>
      <c r="D284">
        <f t="shared" si="79"/>
        <v>0</v>
      </c>
      <c r="E284" s="172">
        <v>0</v>
      </c>
      <c r="F284" s="34">
        <v>0</v>
      </c>
      <c r="G284" s="34">
        <v>0</v>
      </c>
      <c r="I284" s="33">
        <v>0</v>
      </c>
      <c r="J284" t="b">
        <f t="shared" si="77"/>
        <v>1</v>
      </c>
      <c r="L284" s="711"/>
      <c r="N284" s="714">
        <v>0</v>
      </c>
    </row>
    <row r="285" spans="2:14">
      <c r="E285" s="172"/>
      <c r="F285" s="34"/>
      <c r="G285" s="34"/>
      <c r="I285" s="33"/>
      <c r="J285" t="b">
        <f t="shared" si="77"/>
        <v>1</v>
      </c>
      <c r="L285" s="594"/>
      <c r="N285" s="601"/>
    </row>
    <row r="286" spans="2:14">
      <c r="B286" t="s">
        <v>3160</v>
      </c>
      <c r="E286" s="172"/>
      <c r="F286" s="34"/>
      <c r="G286" s="34"/>
      <c r="I286" s="33"/>
      <c r="L286" s="711"/>
      <c r="N286" s="714"/>
    </row>
    <row r="287" spans="2:14">
      <c r="B287">
        <v>283</v>
      </c>
      <c r="C287">
        <v>1</v>
      </c>
      <c r="E287" s="172"/>
      <c r="F287" s="34"/>
      <c r="G287" s="34"/>
      <c r="H287" s="123" t="str">
        <f t="shared" ref="H287:H308" si="80">"obalSpecProg"&amp;C287&amp;"Year"</f>
        <v>obalSpecProg1Year</v>
      </c>
      <c r="I287" s="33"/>
      <c r="L287" s="711"/>
      <c r="N287" s="714"/>
    </row>
    <row r="288" spans="2:14">
      <c r="B288">
        <v>284</v>
      </c>
      <c r="C288">
        <v>2</v>
      </c>
      <c r="E288" s="172"/>
      <c r="F288" s="34"/>
      <c r="G288" s="34"/>
      <c r="H288" s="123" t="str">
        <f t="shared" si="80"/>
        <v>obalSpecProg2Year</v>
      </c>
      <c r="I288" s="33"/>
      <c r="L288" s="711"/>
      <c r="N288" s="714"/>
    </row>
    <row r="289" spans="2:14">
      <c r="B289">
        <v>285</v>
      </c>
      <c r="C289">
        <v>3</v>
      </c>
      <c r="E289" s="172"/>
      <c r="F289" s="34"/>
      <c r="G289" s="34"/>
      <c r="H289" s="123" t="str">
        <f t="shared" si="80"/>
        <v>obalSpecProg3Year</v>
      </c>
      <c r="I289" s="33"/>
      <c r="L289" s="711"/>
      <c r="N289" s="714"/>
    </row>
    <row r="290" spans="2:14">
      <c r="B290">
        <v>286</v>
      </c>
      <c r="C290">
        <v>4</v>
      </c>
      <c r="E290" s="172"/>
      <c r="F290" s="34"/>
      <c r="G290" s="34"/>
      <c r="H290" s="123" t="str">
        <f t="shared" si="80"/>
        <v>obalSpecProg4Year</v>
      </c>
      <c r="I290" s="33"/>
      <c r="L290" s="711"/>
      <c r="N290" s="714"/>
    </row>
    <row r="291" spans="2:14">
      <c r="B291">
        <v>287</v>
      </c>
      <c r="C291">
        <v>5</v>
      </c>
      <c r="E291" s="172"/>
      <c r="F291" s="34"/>
      <c r="G291" s="34"/>
      <c r="H291" s="123" t="str">
        <f t="shared" si="80"/>
        <v>obalSpecProg5Year</v>
      </c>
      <c r="I291" s="33"/>
      <c r="L291" s="711"/>
      <c r="N291" s="714"/>
    </row>
    <row r="292" spans="2:14">
      <c r="B292">
        <v>288</v>
      </c>
      <c r="C292">
        <v>6</v>
      </c>
      <c r="E292" s="172"/>
      <c r="F292" s="34"/>
      <c r="G292" s="34"/>
      <c r="H292" s="123" t="str">
        <f t="shared" si="80"/>
        <v>obalSpecProg6Year</v>
      </c>
      <c r="I292" s="33"/>
      <c r="L292" s="711"/>
      <c r="N292" s="714"/>
    </row>
    <row r="293" spans="2:14">
      <c r="B293">
        <v>289</v>
      </c>
      <c r="C293">
        <v>7</v>
      </c>
      <c r="E293" s="172"/>
      <c r="F293" s="34"/>
      <c r="G293" s="34"/>
      <c r="H293" s="123" t="str">
        <f t="shared" si="80"/>
        <v>obalSpecProg7Year</v>
      </c>
      <c r="I293" s="33"/>
      <c r="L293" s="711"/>
      <c r="N293" s="714"/>
    </row>
    <row r="294" spans="2:14">
      <c r="B294">
        <v>290</v>
      </c>
      <c r="C294">
        <v>8</v>
      </c>
      <c r="E294" s="172"/>
      <c r="F294" s="34"/>
      <c r="G294" s="34"/>
      <c r="H294" s="123" t="str">
        <f t="shared" si="80"/>
        <v>obalSpecProg8Year</v>
      </c>
      <c r="I294" s="33"/>
      <c r="L294" s="711"/>
      <c r="N294" s="714"/>
    </row>
    <row r="295" spans="2:14">
      <c r="B295">
        <v>291</v>
      </c>
      <c r="C295">
        <v>9</v>
      </c>
      <c r="E295" s="172"/>
      <c r="F295" s="34"/>
      <c r="G295" s="34"/>
      <c r="H295" s="123" t="str">
        <f t="shared" si="80"/>
        <v>obalSpecProg9Year</v>
      </c>
      <c r="I295" s="33"/>
      <c r="L295" s="711"/>
      <c r="N295" s="714"/>
    </row>
    <row r="296" spans="2:14">
      <c r="B296">
        <v>292</v>
      </c>
      <c r="C296">
        <v>10</v>
      </c>
      <c r="E296" s="172"/>
      <c r="F296" s="34"/>
      <c r="G296" s="34"/>
      <c r="H296" s="123" t="str">
        <f t="shared" si="80"/>
        <v>obalSpecProg10Year</v>
      </c>
      <c r="I296" s="33"/>
      <c r="L296" s="711"/>
      <c r="N296" s="714"/>
    </row>
    <row r="297" spans="2:14">
      <c r="B297">
        <v>293</v>
      </c>
      <c r="C297">
        <v>11</v>
      </c>
      <c r="E297" s="172"/>
      <c r="F297" s="34"/>
      <c r="G297" s="34"/>
      <c r="H297" s="123" t="str">
        <f t="shared" si="80"/>
        <v>obalSpecProg11Year</v>
      </c>
      <c r="I297" s="33"/>
      <c r="L297" s="711"/>
      <c r="N297" s="714"/>
    </row>
    <row r="298" spans="2:14">
      <c r="B298">
        <v>294</v>
      </c>
      <c r="C298">
        <v>12</v>
      </c>
      <c r="E298" s="172"/>
      <c r="F298" s="34"/>
      <c r="G298" s="34"/>
      <c r="H298" s="123" t="str">
        <f t="shared" si="80"/>
        <v>obalSpecProg12Year</v>
      </c>
      <c r="I298" s="33"/>
      <c r="L298" s="711"/>
      <c r="N298" s="714"/>
    </row>
    <row r="299" spans="2:14">
      <c r="B299">
        <v>295</v>
      </c>
      <c r="C299">
        <v>13</v>
      </c>
      <c r="E299" s="172"/>
      <c r="F299" s="34"/>
      <c r="G299" s="34"/>
      <c r="H299" s="123" t="str">
        <f t="shared" si="80"/>
        <v>obalSpecProg13Year</v>
      </c>
      <c r="I299" s="33"/>
      <c r="L299" s="711"/>
      <c r="N299" s="714"/>
    </row>
    <row r="300" spans="2:14">
      <c r="B300">
        <v>296</v>
      </c>
      <c r="C300">
        <v>14</v>
      </c>
      <c r="E300" s="172"/>
      <c r="F300" s="34"/>
      <c r="G300" s="34"/>
      <c r="H300" s="123" t="str">
        <f t="shared" si="80"/>
        <v>obalSpecProg14Year</v>
      </c>
      <c r="I300" s="33"/>
      <c r="L300" s="711"/>
      <c r="N300" s="714"/>
    </row>
    <row r="301" spans="2:14">
      <c r="B301">
        <v>297</v>
      </c>
      <c r="C301">
        <v>15</v>
      </c>
      <c r="E301" s="172"/>
      <c r="F301" s="34"/>
      <c r="G301" s="34"/>
      <c r="H301" s="123" t="str">
        <f t="shared" si="80"/>
        <v>obalSpecProg15Year</v>
      </c>
      <c r="I301" s="33"/>
      <c r="L301" s="711"/>
      <c r="N301" s="714"/>
    </row>
    <row r="302" spans="2:14">
      <c r="B302">
        <v>298</v>
      </c>
      <c r="C302">
        <v>16</v>
      </c>
      <c r="E302" s="172"/>
      <c r="F302" s="34"/>
      <c r="G302" s="34"/>
      <c r="H302" s="123" t="str">
        <f t="shared" si="80"/>
        <v>obalSpecProg16Year</v>
      </c>
      <c r="I302" s="33"/>
      <c r="L302" s="711"/>
      <c r="N302" s="714"/>
    </row>
    <row r="303" spans="2:14">
      <c r="B303">
        <v>299</v>
      </c>
      <c r="C303">
        <v>17</v>
      </c>
      <c r="E303" s="172"/>
      <c r="F303" s="34"/>
      <c r="G303" s="34"/>
      <c r="H303" s="123" t="str">
        <f t="shared" si="80"/>
        <v>obalSpecProg17Year</v>
      </c>
      <c r="I303" s="33"/>
      <c r="L303" s="711"/>
      <c r="N303" s="714"/>
    </row>
    <row r="304" spans="2:14">
      <c r="B304">
        <v>300</v>
      </c>
      <c r="C304">
        <v>18</v>
      </c>
      <c r="E304" s="172"/>
      <c r="F304" s="34"/>
      <c r="G304" s="34"/>
      <c r="H304" s="123" t="str">
        <f t="shared" si="80"/>
        <v>obalSpecProg18Year</v>
      </c>
      <c r="I304" s="33"/>
      <c r="L304" s="711"/>
      <c r="N304" s="714"/>
    </row>
    <row r="305" spans="2:14">
      <c r="B305">
        <v>301</v>
      </c>
      <c r="C305">
        <v>19</v>
      </c>
      <c r="E305" s="172"/>
      <c r="F305" s="34"/>
      <c r="G305" s="34"/>
      <c r="H305" s="123" t="str">
        <f t="shared" si="80"/>
        <v>obalSpecProg19Year</v>
      </c>
      <c r="I305" s="33"/>
      <c r="L305" s="711"/>
      <c r="N305" s="714"/>
    </row>
    <row r="306" spans="2:14">
      <c r="B306">
        <v>302</v>
      </c>
      <c r="C306">
        <v>20</v>
      </c>
      <c r="E306" s="172"/>
      <c r="F306" s="34"/>
      <c r="G306" s="34"/>
      <c r="H306" s="123" t="str">
        <f t="shared" si="80"/>
        <v>obalSpecProg20Year</v>
      </c>
      <c r="I306" s="33"/>
      <c r="L306" s="711"/>
      <c r="N306" s="714"/>
    </row>
    <row r="307" spans="2:14">
      <c r="B307">
        <v>303</v>
      </c>
      <c r="C307">
        <v>21</v>
      </c>
      <c r="E307" s="172"/>
      <c r="F307" s="34"/>
      <c r="G307" s="34"/>
      <c r="H307" s="123" t="str">
        <f t="shared" si="80"/>
        <v>obalSpecProg21Year</v>
      </c>
      <c r="I307" s="33"/>
      <c r="L307" s="711"/>
      <c r="N307" s="714"/>
    </row>
    <row r="308" spans="2:14">
      <c r="B308">
        <v>304</v>
      </c>
      <c r="C308">
        <v>22</v>
      </c>
      <c r="E308" s="172"/>
      <c r="F308" s="34"/>
      <c r="G308" s="34"/>
      <c r="H308" s="123" t="str">
        <f t="shared" si="80"/>
        <v>obalSpecProg22Year</v>
      </c>
      <c r="I308" s="33"/>
      <c r="L308" s="711"/>
      <c r="N308" s="714"/>
    </row>
    <row r="309" spans="2:14">
      <c r="E309" s="172"/>
      <c r="F309" s="34"/>
      <c r="G309" s="34"/>
      <c r="I309" s="33"/>
      <c r="L309" s="711"/>
      <c r="N309" s="714"/>
    </row>
    <row r="310" spans="2:14">
      <c r="B310" t="s">
        <v>3160</v>
      </c>
      <c r="E310" s="172"/>
      <c r="F310" s="34"/>
      <c r="G310" s="34"/>
      <c r="I310" s="33"/>
      <c r="L310" s="711"/>
      <c r="N310" s="714"/>
    </row>
    <row r="311" spans="2:14">
      <c r="B311">
        <v>283</v>
      </c>
      <c r="C311">
        <v>1</v>
      </c>
      <c r="E311" s="172"/>
      <c r="F311" s="172"/>
      <c r="G311" s="172"/>
      <c r="H311" s="123" t="str">
        <f t="shared" ref="H311:H332" si="81">"obalSpecProg"&amp;C311&amp;"Duration"</f>
        <v>obalSpecProg1Duration</v>
      </c>
      <c r="I311" s="33"/>
      <c r="L311" s="711"/>
      <c r="N311" s="714"/>
    </row>
    <row r="312" spans="2:14">
      <c r="B312">
        <v>284</v>
      </c>
      <c r="C312">
        <v>2</v>
      </c>
      <c r="E312" s="172"/>
      <c r="F312" s="172"/>
      <c r="G312" s="172"/>
      <c r="H312" s="123" t="str">
        <f t="shared" si="81"/>
        <v>obalSpecProg2Duration</v>
      </c>
      <c r="I312" s="33"/>
      <c r="L312" s="711"/>
      <c r="N312" s="714"/>
    </row>
    <row r="313" spans="2:14">
      <c r="B313">
        <v>285</v>
      </c>
      <c r="C313">
        <v>3</v>
      </c>
      <c r="E313" s="172"/>
      <c r="F313" s="172"/>
      <c r="G313" s="172"/>
      <c r="H313" s="123" t="str">
        <f t="shared" si="81"/>
        <v>obalSpecProg3Duration</v>
      </c>
      <c r="I313" s="33"/>
      <c r="L313" s="711"/>
      <c r="N313" s="714"/>
    </row>
    <row r="314" spans="2:14">
      <c r="B314">
        <v>286</v>
      </c>
      <c r="C314">
        <v>4</v>
      </c>
      <c r="E314" s="172"/>
      <c r="F314" s="172"/>
      <c r="G314" s="172"/>
      <c r="H314" s="123" t="str">
        <f t="shared" si="81"/>
        <v>obalSpecProg4Duration</v>
      </c>
      <c r="I314" s="33"/>
      <c r="L314" s="711"/>
      <c r="N314" s="714"/>
    </row>
    <row r="315" spans="2:14">
      <c r="B315">
        <v>287</v>
      </c>
      <c r="C315">
        <v>5</v>
      </c>
      <c r="E315" s="172"/>
      <c r="F315" s="172"/>
      <c r="G315" s="172"/>
      <c r="H315" s="123" t="str">
        <f t="shared" si="81"/>
        <v>obalSpecProg5Duration</v>
      </c>
      <c r="I315" s="33"/>
      <c r="L315" s="711"/>
      <c r="N315" s="714"/>
    </row>
    <row r="316" spans="2:14">
      <c r="B316">
        <v>288</v>
      </c>
      <c r="C316">
        <v>6</v>
      </c>
      <c r="E316" s="172"/>
      <c r="F316" s="172"/>
      <c r="G316" s="172"/>
      <c r="H316" s="123" t="str">
        <f t="shared" si="81"/>
        <v>obalSpecProg6Duration</v>
      </c>
      <c r="I316" s="33"/>
      <c r="L316" s="711"/>
      <c r="N316" s="714"/>
    </row>
    <row r="317" spans="2:14">
      <c r="B317">
        <v>289</v>
      </c>
      <c r="C317">
        <v>7</v>
      </c>
      <c r="E317" s="172"/>
      <c r="F317" s="172"/>
      <c r="G317" s="172"/>
      <c r="H317" s="123" t="str">
        <f t="shared" si="81"/>
        <v>obalSpecProg7Duration</v>
      </c>
      <c r="I317" s="33"/>
      <c r="L317" s="711"/>
      <c r="N317" s="714"/>
    </row>
    <row r="318" spans="2:14">
      <c r="B318">
        <v>290</v>
      </c>
      <c r="C318">
        <v>8</v>
      </c>
      <c r="E318" s="172"/>
      <c r="F318" s="172"/>
      <c r="G318" s="172"/>
      <c r="H318" s="123" t="str">
        <f t="shared" si="81"/>
        <v>obalSpecProg8Duration</v>
      </c>
      <c r="I318" s="33"/>
      <c r="L318" s="711"/>
      <c r="N318" s="714"/>
    </row>
    <row r="319" spans="2:14">
      <c r="B319">
        <v>291</v>
      </c>
      <c r="C319">
        <v>9</v>
      </c>
      <c r="E319" s="172"/>
      <c r="F319" s="172"/>
      <c r="G319" s="172"/>
      <c r="H319" s="123" t="str">
        <f t="shared" si="81"/>
        <v>obalSpecProg9Duration</v>
      </c>
      <c r="I319" s="33"/>
      <c r="L319" s="711"/>
      <c r="N319" s="714"/>
    </row>
    <row r="320" spans="2:14">
      <c r="B320">
        <v>292</v>
      </c>
      <c r="C320">
        <v>10</v>
      </c>
      <c r="E320" s="172"/>
      <c r="F320" s="172"/>
      <c r="G320" s="172"/>
      <c r="H320" s="123" t="str">
        <f t="shared" si="81"/>
        <v>obalSpecProg10Duration</v>
      </c>
      <c r="I320" s="33"/>
      <c r="L320" s="711"/>
      <c r="N320" s="714"/>
    </row>
    <row r="321" spans="2:14">
      <c r="B321">
        <v>293</v>
      </c>
      <c r="C321">
        <v>11</v>
      </c>
      <c r="E321" s="172"/>
      <c r="F321" s="172"/>
      <c r="G321" s="172"/>
      <c r="H321" s="123" t="str">
        <f t="shared" si="81"/>
        <v>obalSpecProg11Duration</v>
      </c>
      <c r="I321" s="33"/>
      <c r="L321" s="711"/>
      <c r="N321" s="714"/>
    </row>
    <row r="322" spans="2:14">
      <c r="B322">
        <v>294</v>
      </c>
      <c r="C322">
        <v>12</v>
      </c>
      <c r="E322" s="172"/>
      <c r="F322" s="172"/>
      <c r="G322" s="172"/>
      <c r="H322" s="123" t="str">
        <f t="shared" si="81"/>
        <v>obalSpecProg12Duration</v>
      </c>
      <c r="I322" s="33"/>
      <c r="L322" s="711"/>
      <c r="N322" s="714"/>
    </row>
    <row r="323" spans="2:14">
      <c r="B323">
        <v>295</v>
      </c>
      <c r="C323">
        <v>13</v>
      </c>
      <c r="E323" s="172"/>
      <c r="F323" s="172"/>
      <c r="G323" s="172"/>
      <c r="H323" s="123" t="str">
        <f t="shared" si="81"/>
        <v>obalSpecProg13Duration</v>
      </c>
      <c r="I323" s="33"/>
      <c r="L323" s="711"/>
      <c r="N323" s="714"/>
    </row>
    <row r="324" spans="2:14">
      <c r="B324">
        <v>296</v>
      </c>
      <c r="C324">
        <v>14</v>
      </c>
      <c r="E324" s="172"/>
      <c r="F324" s="172"/>
      <c r="G324" s="172"/>
      <c r="H324" s="123" t="str">
        <f t="shared" si="81"/>
        <v>obalSpecProg14Duration</v>
      </c>
      <c r="I324" s="33"/>
      <c r="L324" s="711"/>
      <c r="N324" s="714"/>
    </row>
    <row r="325" spans="2:14">
      <c r="B325">
        <v>297</v>
      </c>
      <c r="C325">
        <v>15</v>
      </c>
      <c r="E325" s="172"/>
      <c r="F325" s="172"/>
      <c r="G325" s="172"/>
      <c r="H325" s="123" t="str">
        <f t="shared" si="81"/>
        <v>obalSpecProg15Duration</v>
      </c>
      <c r="I325" s="33"/>
      <c r="L325" s="711"/>
      <c r="N325" s="714"/>
    </row>
    <row r="326" spans="2:14">
      <c r="B326">
        <v>298</v>
      </c>
      <c r="C326">
        <v>16</v>
      </c>
      <c r="E326" s="172"/>
      <c r="F326" s="172"/>
      <c r="G326" s="172"/>
      <c r="H326" s="123" t="str">
        <f t="shared" si="81"/>
        <v>obalSpecProg16Duration</v>
      </c>
      <c r="I326" s="33"/>
      <c r="L326" s="711"/>
      <c r="N326" s="714"/>
    </row>
    <row r="327" spans="2:14">
      <c r="B327">
        <v>299</v>
      </c>
      <c r="C327">
        <v>17</v>
      </c>
      <c r="E327" s="172"/>
      <c r="F327" s="172"/>
      <c r="G327" s="172"/>
      <c r="H327" s="123" t="str">
        <f t="shared" si="81"/>
        <v>obalSpecProg17Duration</v>
      </c>
      <c r="I327" s="33"/>
      <c r="L327" s="711"/>
      <c r="N327" s="714"/>
    </row>
    <row r="328" spans="2:14">
      <c r="B328">
        <v>300</v>
      </c>
      <c r="C328">
        <v>18</v>
      </c>
      <c r="E328" s="172"/>
      <c r="F328" s="172"/>
      <c r="G328" s="172"/>
      <c r="H328" s="123" t="str">
        <f t="shared" si="81"/>
        <v>obalSpecProg18Duration</v>
      </c>
      <c r="I328" s="33"/>
      <c r="L328" s="711"/>
      <c r="N328" s="714"/>
    </row>
    <row r="329" spans="2:14">
      <c r="B329">
        <v>301</v>
      </c>
      <c r="C329">
        <v>19</v>
      </c>
      <c r="E329" s="172"/>
      <c r="F329" s="172"/>
      <c r="G329" s="172"/>
      <c r="H329" s="123" t="str">
        <f t="shared" si="81"/>
        <v>obalSpecProg19Duration</v>
      </c>
      <c r="I329" s="33"/>
      <c r="L329" s="711"/>
      <c r="N329" s="714"/>
    </row>
    <row r="330" spans="2:14">
      <c r="B330">
        <v>302</v>
      </c>
      <c r="C330">
        <v>20</v>
      </c>
      <c r="E330" s="172"/>
      <c r="F330" s="172"/>
      <c r="G330" s="172"/>
      <c r="H330" s="123" t="str">
        <f t="shared" si="81"/>
        <v>obalSpecProg20Duration</v>
      </c>
      <c r="I330" s="33"/>
      <c r="L330" s="711"/>
      <c r="N330" s="714"/>
    </row>
    <row r="331" spans="2:14">
      <c r="B331">
        <v>303</v>
      </c>
      <c r="C331">
        <v>21</v>
      </c>
      <c r="E331" s="172"/>
      <c r="F331" s="172"/>
      <c r="G331" s="172"/>
      <c r="H331" s="123" t="str">
        <f t="shared" si="81"/>
        <v>obalSpecProg21Duration</v>
      </c>
      <c r="I331" s="33"/>
      <c r="L331" s="711"/>
      <c r="N331" s="714"/>
    </row>
    <row r="332" spans="2:14">
      <c r="B332">
        <v>304</v>
      </c>
      <c r="C332">
        <v>22</v>
      </c>
      <c r="E332" s="172"/>
      <c r="F332" s="172"/>
      <c r="G332" s="172"/>
      <c r="H332" s="123" t="str">
        <f t="shared" si="81"/>
        <v>obalSpecProg22Duration</v>
      </c>
      <c r="I332" s="33"/>
      <c r="L332" s="711"/>
      <c r="N332" s="714"/>
    </row>
    <row r="333" spans="2:14">
      <c r="E333" s="172"/>
      <c r="F333" s="34"/>
      <c r="G333" s="34"/>
      <c r="I333" s="33"/>
      <c r="L333" s="711"/>
      <c r="N333" s="714"/>
    </row>
    <row r="334" spans="2:14">
      <c r="B334" t="s">
        <v>1474</v>
      </c>
      <c r="E334" s="172"/>
      <c r="F334" s="34"/>
      <c r="G334" s="34"/>
      <c r="I334" s="33"/>
      <c r="L334" s="711"/>
      <c r="N334" s="714"/>
    </row>
    <row r="335" spans="2:14">
      <c r="B335">
        <v>307</v>
      </c>
      <c r="C335">
        <v>101</v>
      </c>
      <c r="E335" s="172"/>
      <c r="F335" s="34"/>
      <c r="G335" s="34"/>
      <c r="H335" s="123" t="str">
        <f t="shared" ref="H335:H359" si="82">"obalEvent"&amp;C335&amp;"Year"</f>
        <v>obalEvent101Year</v>
      </c>
      <c r="I335" s="33"/>
      <c r="L335" s="711"/>
      <c r="N335" s="714"/>
    </row>
    <row r="336" spans="2:14">
      <c r="B336">
        <v>308</v>
      </c>
      <c r="C336">
        <v>102</v>
      </c>
      <c r="E336" s="172"/>
      <c r="F336" s="34"/>
      <c r="G336" s="34"/>
      <c r="H336" s="123" t="str">
        <f t="shared" si="82"/>
        <v>obalEvent102Year</v>
      </c>
      <c r="I336" s="33"/>
      <c r="L336" s="711"/>
      <c r="N336" s="714"/>
    </row>
    <row r="337" spans="2:14">
      <c r="B337">
        <v>309</v>
      </c>
      <c r="C337">
        <v>103</v>
      </c>
      <c r="E337" s="172"/>
      <c r="F337" s="34"/>
      <c r="G337" s="34"/>
      <c r="H337" s="123" t="str">
        <f t="shared" si="82"/>
        <v>obalEvent103Year</v>
      </c>
      <c r="I337" s="33"/>
      <c r="L337" s="711"/>
      <c r="N337" s="714"/>
    </row>
    <row r="338" spans="2:14">
      <c r="B338">
        <v>310</v>
      </c>
      <c r="C338">
        <v>201</v>
      </c>
      <c r="E338" s="172"/>
      <c r="F338" s="34"/>
      <c r="G338" s="34"/>
      <c r="H338" s="123" t="str">
        <f t="shared" si="82"/>
        <v>obalEvent201Year</v>
      </c>
      <c r="I338" s="33"/>
      <c r="L338" s="711"/>
      <c r="N338" s="714"/>
    </row>
    <row r="339" spans="2:14">
      <c r="B339">
        <v>311</v>
      </c>
      <c r="C339">
        <v>202</v>
      </c>
      <c r="E339" s="172"/>
      <c r="F339" s="34"/>
      <c r="G339" s="34"/>
      <c r="H339" s="123" t="str">
        <f t="shared" si="82"/>
        <v>obalEvent202Year</v>
      </c>
      <c r="I339" s="33"/>
      <c r="L339" s="711"/>
      <c r="N339" s="714"/>
    </row>
    <row r="340" spans="2:14">
      <c r="B340">
        <v>312</v>
      </c>
      <c r="C340">
        <v>203</v>
      </c>
      <c r="E340" s="172"/>
      <c r="F340" s="34"/>
      <c r="G340" s="34"/>
      <c r="H340" s="123" t="str">
        <f t="shared" si="82"/>
        <v>obalEvent203Year</v>
      </c>
      <c r="I340" s="33"/>
      <c r="L340" s="711"/>
      <c r="N340" s="714"/>
    </row>
    <row r="341" spans="2:14">
      <c r="B341">
        <v>313</v>
      </c>
      <c r="C341">
        <v>301</v>
      </c>
      <c r="E341" s="172"/>
      <c r="F341" s="34"/>
      <c r="G341" s="34"/>
      <c r="H341" s="123" t="str">
        <f t="shared" si="82"/>
        <v>obalEvent301Year</v>
      </c>
      <c r="I341" s="33"/>
      <c r="L341" s="711"/>
      <c r="N341" s="714"/>
    </row>
    <row r="342" spans="2:14">
      <c r="B342">
        <v>314</v>
      </c>
      <c r="C342">
        <v>302</v>
      </c>
      <c r="E342" s="172"/>
      <c r="F342" s="34"/>
      <c r="G342" s="34"/>
      <c r="H342" s="123" t="str">
        <f t="shared" si="82"/>
        <v>obalEvent302Year</v>
      </c>
      <c r="I342" s="33"/>
      <c r="L342" s="711"/>
      <c r="N342" s="714"/>
    </row>
    <row r="343" spans="2:14">
      <c r="B343">
        <v>315</v>
      </c>
      <c r="C343">
        <v>401</v>
      </c>
      <c r="E343" s="172"/>
      <c r="F343" s="34"/>
      <c r="G343" s="34"/>
      <c r="H343" s="123" t="str">
        <f t="shared" si="82"/>
        <v>obalEvent401Year</v>
      </c>
      <c r="I343" s="33"/>
      <c r="L343" s="711"/>
      <c r="N343" s="714"/>
    </row>
    <row r="344" spans="2:14">
      <c r="B344">
        <v>316</v>
      </c>
      <c r="C344">
        <v>402</v>
      </c>
      <c r="E344" s="172"/>
      <c r="F344" s="34"/>
      <c r="G344" s="34"/>
      <c r="H344" s="123" t="str">
        <f t="shared" si="82"/>
        <v>obalEvent402Year</v>
      </c>
      <c r="I344" s="33"/>
      <c r="L344" s="711"/>
      <c r="N344" s="714"/>
    </row>
    <row r="345" spans="2:14">
      <c r="B345">
        <v>317</v>
      </c>
      <c r="C345">
        <v>403</v>
      </c>
      <c r="E345" s="172"/>
      <c r="F345" s="34"/>
      <c r="G345" s="34"/>
      <c r="H345" s="123" t="str">
        <f t="shared" si="82"/>
        <v>obalEvent403Year</v>
      </c>
      <c r="I345" s="33"/>
      <c r="L345" s="711"/>
      <c r="N345" s="714"/>
    </row>
    <row r="346" spans="2:14">
      <c r="B346">
        <v>318</v>
      </c>
      <c r="C346">
        <v>501</v>
      </c>
      <c r="E346" s="172"/>
      <c r="F346" s="34"/>
      <c r="G346" s="34"/>
      <c r="H346" s="123" t="str">
        <f t="shared" si="82"/>
        <v>obalEvent501Year</v>
      </c>
      <c r="I346" s="33"/>
      <c r="L346" s="711"/>
      <c r="N346" s="714"/>
    </row>
    <row r="347" spans="2:14">
      <c r="B347">
        <v>319</v>
      </c>
      <c r="C347">
        <v>502</v>
      </c>
      <c r="E347" s="172"/>
      <c r="F347" s="34"/>
      <c r="G347" s="34"/>
      <c r="H347" s="123" t="str">
        <f t="shared" si="82"/>
        <v>obalEvent502Year</v>
      </c>
      <c r="I347" s="33"/>
      <c r="L347" s="711"/>
      <c r="N347" s="714"/>
    </row>
    <row r="348" spans="2:14">
      <c r="B348">
        <v>320</v>
      </c>
      <c r="C348">
        <v>503</v>
      </c>
      <c r="E348" s="172"/>
      <c r="F348" s="34"/>
      <c r="G348" s="34"/>
      <c r="H348" s="123" t="str">
        <f t="shared" si="82"/>
        <v>obalEvent503Year</v>
      </c>
      <c r="I348" s="33"/>
      <c r="L348" s="711"/>
      <c r="N348" s="714"/>
    </row>
    <row r="349" spans="2:14">
      <c r="B349">
        <v>318</v>
      </c>
      <c r="C349">
        <v>601</v>
      </c>
      <c r="E349" s="172"/>
      <c r="F349" s="34"/>
      <c r="G349" s="34"/>
      <c r="H349" s="123" t="str">
        <f t="shared" si="82"/>
        <v>obalEvent601Year</v>
      </c>
      <c r="I349" s="33"/>
      <c r="L349" s="711"/>
      <c r="N349" s="714"/>
    </row>
    <row r="350" spans="2:14">
      <c r="B350">
        <v>319</v>
      </c>
      <c r="C350">
        <v>602</v>
      </c>
      <c r="E350" s="172"/>
      <c r="F350" s="34"/>
      <c r="G350" s="34"/>
      <c r="H350" s="123" t="str">
        <f t="shared" si="82"/>
        <v>obalEvent602Year</v>
      </c>
      <c r="I350" s="33"/>
      <c r="L350" s="711"/>
      <c r="N350" s="714"/>
    </row>
    <row r="351" spans="2:14">
      <c r="B351">
        <v>320</v>
      </c>
      <c r="C351">
        <v>603</v>
      </c>
      <c r="E351" s="172"/>
      <c r="F351" s="34"/>
      <c r="G351" s="34"/>
      <c r="H351" s="123" t="str">
        <f t="shared" si="82"/>
        <v>obalEvent603Year</v>
      </c>
      <c r="I351" s="33"/>
      <c r="L351" s="711"/>
      <c r="N351" s="714"/>
    </row>
    <row r="352" spans="2:14">
      <c r="B352">
        <v>321</v>
      </c>
      <c r="C352">
        <v>701</v>
      </c>
      <c r="E352" s="172"/>
      <c r="F352" s="34"/>
      <c r="G352" s="34"/>
      <c r="H352" s="123" t="str">
        <f t="shared" si="82"/>
        <v>obalEvent701Year</v>
      </c>
      <c r="I352" s="33"/>
      <c r="L352" s="711"/>
      <c r="N352" s="714"/>
    </row>
    <row r="353" spans="2:14">
      <c r="B353">
        <v>322</v>
      </c>
      <c r="C353">
        <v>702</v>
      </c>
      <c r="E353" s="172"/>
      <c r="F353" s="34"/>
      <c r="G353" s="34"/>
      <c r="H353" s="123" t="str">
        <f t="shared" si="82"/>
        <v>obalEvent702Year</v>
      </c>
      <c r="I353" s="33"/>
      <c r="L353" s="711"/>
      <c r="N353" s="714"/>
    </row>
    <row r="354" spans="2:14">
      <c r="B354">
        <v>323</v>
      </c>
      <c r="C354">
        <v>703</v>
      </c>
      <c r="E354" s="172"/>
      <c r="F354" s="34"/>
      <c r="G354" s="34"/>
      <c r="H354" s="123" t="str">
        <f t="shared" si="82"/>
        <v>obalEvent703Year</v>
      </c>
      <c r="I354" s="33"/>
      <c r="L354" s="711"/>
      <c r="N354" s="714"/>
    </row>
    <row r="355" spans="2:14">
      <c r="B355">
        <v>324</v>
      </c>
      <c r="C355">
        <v>801</v>
      </c>
      <c r="E355" s="172"/>
      <c r="F355" s="34"/>
      <c r="G355" s="34"/>
      <c r="H355" s="123" t="str">
        <f t="shared" si="82"/>
        <v>obalEvent801Year</v>
      </c>
      <c r="I355" s="33"/>
      <c r="L355" s="711"/>
      <c r="N355" s="714"/>
    </row>
    <row r="356" spans="2:14">
      <c r="B356">
        <v>325</v>
      </c>
      <c r="C356">
        <v>802</v>
      </c>
      <c r="E356" s="172"/>
      <c r="F356" s="34"/>
      <c r="G356" s="34"/>
      <c r="H356" s="123" t="str">
        <f t="shared" si="82"/>
        <v>obalEvent802Year</v>
      </c>
      <c r="I356" s="33"/>
      <c r="L356" s="711"/>
      <c r="N356" s="714"/>
    </row>
    <row r="357" spans="2:14">
      <c r="B357">
        <v>326</v>
      </c>
      <c r="C357">
        <v>803</v>
      </c>
      <c r="E357" s="172"/>
      <c r="F357" s="34"/>
      <c r="G357" s="34"/>
      <c r="H357" s="123" t="str">
        <f t="shared" si="82"/>
        <v>obalEvent803Year</v>
      </c>
      <c r="I357" s="33"/>
      <c r="L357" s="711"/>
      <c r="N357" s="714"/>
    </row>
    <row r="358" spans="2:14">
      <c r="B358">
        <v>327</v>
      </c>
      <c r="C358">
        <v>901</v>
      </c>
      <c r="E358" s="172"/>
      <c r="F358" s="34"/>
      <c r="G358" s="34"/>
      <c r="H358" s="123" t="str">
        <f t="shared" si="82"/>
        <v>obalEvent901Year</v>
      </c>
      <c r="I358" s="33"/>
      <c r="L358" s="711"/>
      <c r="N358" s="714"/>
    </row>
    <row r="359" spans="2:14">
      <c r="B359">
        <v>328</v>
      </c>
      <c r="C359">
        <v>902</v>
      </c>
      <c r="E359" s="172"/>
      <c r="F359" s="34"/>
      <c r="G359" s="34"/>
      <c r="H359" s="123" t="str">
        <f t="shared" si="82"/>
        <v>obalEvent902Year</v>
      </c>
      <c r="I359" s="33"/>
      <c r="L359" s="711"/>
      <c r="N359" s="714"/>
    </row>
    <row r="360" spans="2:14">
      <c r="E360" s="172"/>
      <c r="F360" s="34"/>
      <c r="G360" s="34"/>
      <c r="I360" s="33"/>
      <c r="L360" s="711"/>
      <c r="N360" s="714"/>
    </row>
    <row r="361" spans="2:14">
      <c r="B361" t="s">
        <v>1474</v>
      </c>
      <c r="E361" s="172"/>
      <c r="F361" s="34"/>
      <c r="G361" s="34"/>
      <c r="I361" s="33"/>
      <c r="L361" s="711"/>
      <c r="N361" s="714"/>
    </row>
    <row r="362" spans="2:14">
      <c r="B362">
        <v>307</v>
      </c>
      <c r="C362">
        <v>101</v>
      </c>
      <c r="E362" s="172"/>
      <c r="F362" s="34"/>
      <c r="G362" s="34"/>
      <c r="H362" s="123" t="str">
        <f t="shared" ref="H362:H386" si="83">"obalEvent"&amp;C362&amp;"Duration"</f>
        <v>obalEvent101Duration</v>
      </c>
      <c r="I362" s="33"/>
      <c r="L362" s="711"/>
      <c r="N362" s="714"/>
    </row>
    <row r="363" spans="2:14">
      <c r="B363">
        <v>308</v>
      </c>
      <c r="C363">
        <v>102</v>
      </c>
      <c r="E363" s="172"/>
      <c r="F363" s="34"/>
      <c r="G363" s="34"/>
      <c r="H363" s="123" t="str">
        <f t="shared" si="83"/>
        <v>obalEvent102Duration</v>
      </c>
      <c r="I363" s="33"/>
      <c r="L363" s="711"/>
      <c r="N363" s="714"/>
    </row>
    <row r="364" spans="2:14">
      <c r="B364">
        <v>309</v>
      </c>
      <c r="C364">
        <v>103</v>
      </c>
      <c r="E364" s="172"/>
      <c r="F364" s="34"/>
      <c r="G364" s="34"/>
      <c r="H364" s="123" t="str">
        <f t="shared" si="83"/>
        <v>obalEvent103Duration</v>
      </c>
      <c r="I364" s="33"/>
      <c r="L364" s="711"/>
      <c r="N364" s="714"/>
    </row>
    <row r="365" spans="2:14">
      <c r="B365">
        <v>310</v>
      </c>
      <c r="C365">
        <v>201</v>
      </c>
      <c r="E365" s="172"/>
      <c r="F365" s="34"/>
      <c r="G365" s="34"/>
      <c r="H365" s="123" t="str">
        <f t="shared" si="83"/>
        <v>obalEvent201Duration</v>
      </c>
      <c r="I365" s="33"/>
      <c r="L365" s="711"/>
      <c r="N365" s="714"/>
    </row>
    <row r="366" spans="2:14">
      <c r="B366">
        <v>311</v>
      </c>
      <c r="C366">
        <v>202</v>
      </c>
      <c r="E366" s="172"/>
      <c r="F366" s="34"/>
      <c r="G366" s="34"/>
      <c r="H366" s="123" t="str">
        <f t="shared" si="83"/>
        <v>obalEvent202Duration</v>
      </c>
      <c r="I366" s="33"/>
      <c r="L366" s="711"/>
      <c r="N366" s="714"/>
    </row>
    <row r="367" spans="2:14">
      <c r="B367">
        <v>312</v>
      </c>
      <c r="C367">
        <v>203</v>
      </c>
      <c r="E367" s="172"/>
      <c r="F367" s="34"/>
      <c r="G367" s="34"/>
      <c r="H367" s="123" t="str">
        <f t="shared" si="83"/>
        <v>obalEvent203Duration</v>
      </c>
      <c r="I367" s="33"/>
      <c r="L367" s="711"/>
      <c r="N367" s="714"/>
    </row>
    <row r="368" spans="2:14">
      <c r="B368">
        <v>313</v>
      </c>
      <c r="C368">
        <v>301</v>
      </c>
      <c r="E368" s="172"/>
      <c r="F368" s="34"/>
      <c r="G368" s="34"/>
      <c r="H368" s="123" t="str">
        <f t="shared" si="83"/>
        <v>obalEvent301Duration</v>
      </c>
      <c r="I368" s="33"/>
      <c r="L368" s="711"/>
      <c r="N368" s="714"/>
    </row>
    <row r="369" spans="2:14">
      <c r="B369">
        <v>314</v>
      </c>
      <c r="C369">
        <v>302</v>
      </c>
      <c r="E369" s="172"/>
      <c r="F369" s="34"/>
      <c r="G369" s="34"/>
      <c r="H369" s="123" t="str">
        <f t="shared" si="83"/>
        <v>obalEvent302Duration</v>
      </c>
      <c r="I369" s="33"/>
      <c r="L369" s="711"/>
      <c r="N369" s="714"/>
    </row>
    <row r="370" spans="2:14">
      <c r="B370">
        <v>315</v>
      </c>
      <c r="C370">
        <v>401</v>
      </c>
      <c r="E370" s="172"/>
      <c r="F370" s="34"/>
      <c r="G370" s="34"/>
      <c r="H370" s="123" t="str">
        <f t="shared" si="83"/>
        <v>obalEvent401Duration</v>
      </c>
      <c r="I370" s="33"/>
      <c r="L370" s="711"/>
      <c r="N370" s="714"/>
    </row>
    <row r="371" spans="2:14">
      <c r="B371">
        <v>316</v>
      </c>
      <c r="C371">
        <v>402</v>
      </c>
      <c r="E371" s="172"/>
      <c r="F371" s="34"/>
      <c r="G371" s="34"/>
      <c r="H371" s="123" t="str">
        <f t="shared" si="83"/>
        <v>obalEvent402Duration</v>
      </c>
      <c r="I371" s="33"/>
      <c r="L371" s="711"/>
      <c r="N371" s="714"/>
    </row>
    <row r="372" spans="2:14">
      <c r="B372">
        <v>317</v>
      </c>
      <c r="C372">
        <v>403</v>
      </c>
      <c r="E372" s="172"/>
      <c r="F372" s="34"/>
      <c r="G372" s="34"/>
      <c r="H372" s="123" t="str">
        <f t="shared" si="83"/>
        <v>obalEvent403Duration</v>
      </c>
      <c r="I372" s="33"/>
      <c r="L372" s="711"/>
      <c r="N372" s="714"/>
    </row>
    <row r="373" spans="2:14">
      <c r="B373">
        <v>318</v>
      </c>
      <c r="C373">
        <v>501</v>
      </c>
      <c r="E373" s="172"/>
      <c r="F373" s="34"/>
      <c r="G373" s="34"/>
      <c r="H373" s="123" t="str">
        <f t="shared" si="83"/>
        <v>obalEvent501Duration</v>
      </c>
      <c r="I373" s="33"/>
      <c r="L373" s="711"/>
      <c r="N373" s="714"/>
    </row>
    <row r="374" spans="2:14">
      <c r="B374">
        <v>319</v>
      </c>
      <c r="C374">
        <v>502</v>
      </c>
      <c r="E374" s="172"/>
      <c r="F374" s="34"/>
      <c r="G374" s="34"/>
      <c r="H374" s="123" t="str">
        <f t="shared" si="83"/>
        <v>obalEvent502Duration</v>
      </c>
      <c r="I374" s="33"/>
      <c r="L374" s="711"/>
      <c r="N374" s="714"/>
    </row>
    <row r="375" spans="2:14">
      <c r="B375">
        <v>320</v>
      </c>
      <c r="C375">
        <v>503</v>
      </c>
      <c r="E375" s="172"/>
      <c r="F375" s="34"/>
      <c r="G375" s="34"/>
      <c r="H375" s="123" t="str">
        <f t="shared" si="83"/>
        <v>obalEvent503Duration</v>
      </c>
      <c r="I375" s="33"/>
      <c r="L375" s="711"/>
      <c r="N375" s="714"/>
    </row>
    <row r="376" spans="2:14">
      <c r="B376">
        <v>318</v>
      </c>
      <c r="C376">
        <v>601</v>
      </c>
      <c r="E376" s="172"/>
      <c r="F376" s="34"/>
      <c r="G376" s="34"/>
      <c r="H376" s="123" t="str">
        <f t="shared" si="83"/>
        <v>obalEvent601Duration</v>
      </c>
      <c r="I376" s="33"/>
      <c r="L376" s="711"/>
      <c r="N376" s="714"/>
    </row>
    <row r="377" spans="2:14">
      <c r="B377">
        <v>319</v>
      </c>
      <c r="C377">
        <v>602</v>
      </c>
      <c r="E377" s="172"/>
      <c r="F377" s="34"/>
      <c r="G377" s="34"/>
      <c r="H377" s="123" t="str">
        <f t="shared" si="83"/>
        <v>obalEvent602Duration</v>
      </c>
      <c r="I377" s="33"/>
      <c r="L377" s="711"/>
      <c r="N377" s="714"/>
    </row>
    <row r="378" spans="2:14">
      <c r="B378">
        <v>320</v>
      </c>
      <c r="C378">
        <v>603</v>
      </c>
      <c r="E378" s="172"/>
      <c r="F378" s="34"/>
      <c r="G378" s="34"/>
      <c r="H378" s="123" t="str">
        <f t="shared" si="83"/>
        <v>obalEvent603Duration</v>
      </c>
      <c r="I378" s="33"/>
      <c r="L378" s="711"/>
      <c r="N378" s="714"/>
    </row>
    <row r="379" spans="2:14">
      <c r="B379">
        <v>321</v>
      </c>
      <c r="C379">
        <v>701</v>
      </c>
      <c r="E379" s="172"/>
      <c r="F379" s="34"/>
      <c r="G379" s="34"/>
      <c r="H379" s="123" t="str">
        <f t="shared" si="83"/>
        <v>obalEvent701Duration</v>
      </c>
      <c r="I379" s="33"/>
      <c r="L379" s="711"/>
      <c r="N379" s="714"/>
    </row>
    <row r="380" spans="2:14">
      <c r="B380">
        <v>322</v>
      </c>
      <c r="C380">
        <v>702</v>
      </c>
      <c r="E380" s="172"/>
      <c r="F380" s="34"/>
      <c r="G380" s="34"/>
      <c r="H380" s="123" t="str">
        <f t="shared" si="83"/>
        <v>obalEvent702Duration</v>
      </c>
      <c r="I380" s="33"/>
      <c r="L380" s="711"/>
      <c r="N380" s="714"/>
    </row>
    <row r="381" spans="2:14">
      <c r="B381">
        <v>323</v>
      </c>
      <c r="C381">
        <v>703</v>
      </c>
      <c r="E381" s="172"/>
      <c r="F381" s="34"/>
      <c r="G381" s="34"/>
      <c r="H381" s="123" t="str">
        <f t="shared" si="83"/>
        <v>obalEvent703Duration</v>
      </c>
      <c r="I381" s="33"/>
      <c r="L381" s="711"/>
      <c r="N381" s="714"/>
    </row>
    <row r="382" spans="2:14">
      <c r="B382">
        <v>324</v>
      </c>
      <c r="C382">
        <v>801</v>
      </c>
      <c r="E382" s="172"/>
      <c r="F382" s="34"/>
      <c r="G382" s="34"/>
      <c r="H382" s="123" t="str">
        <f t="shared" si="83"/>
        <v>obalEvent801Duration</v>
      </c>
      <c r="I382" s="33"/>
      <c r="L382" s="711"/>
      <c r="N382" s="714"/>
    </row>
    <row r="383" spans="2:14">
      <c r="B383">
        <v>325</v>
      </c>
      <c r="C383">
        <v>802</v>
      </c>
      <c r="E383" s="172"/>
      <c r="F383" s="34"/>
      <c r="G383" s="34"/>
      <c r="H383" s="123" t="str">
        <f t="shared" si="83"/>
        <v>obalEvent802Duration</v>
      </c>
      <c r="I383" s="33"/>
      <c r="L383" s="711"/>
      <c r="N383" s="714"/>
    </row>
    <row r="384" spans="2:14">
      <c r="B384">
        <v>326</v>
      </c>
      <c r="C384">
        <v>803</v>
      </c>
      <c r="E384" s="172"/>
      <c r="F384" s="34"/>
      <c r="G384" s="34"/>
      <c r="H384" s="123" t="str">
        <f t="shared" si="83"/>
        <v>obalEvent803Duration</v>
      </c>
      <c r="I384" s="33"/>
      <c r="L384" s="711"/>
      <c r="N384" s="714"/>
    </row>
    <row r="385" spans="2:14">
      <c r="B385">
        <v>327</v>
      </c>
      <c r="C385">
        <v>901</v>
      </c>
      <c r="E385" s="172"/>
      <c r="F385" s="34"/>
      <c r="G385" s="34"/>
      <c r="H385" s="123" t="str">
        <f t="shared" si="83"/>
        <v>obalEvent901Duration</v>
      </c>
      <c r="I385" s="33"/>
      <c r="L385" s="711"/>
      <c r="N385" s="714"/>
    </row>
    <row r="386" spans="2:14">
      <c r="B386">
        <v>328</v>
      </c>
      <c r="C386">
        <v>902</v>
      </c>
      <c r="E386" s="172"/>
      <c r="F386" s="34"/>
      <c r="G386" s="34"/>
      <c r="H386" s="123" t="str">
        <f t="shared" si="83"/>
        <v>obalEvent902Duration</v>
      </c>
      <c r="I386" s="33"/>
      <c r="L386" s="711"/>
      <c r="N386" s="714"/>
    </row>
    <row r="387" spans="2:14">
      <c r="E387" s="172"/>
      <c r="F387" s="34"/>
      <c r="G387" s="34"/>
      <c r="I387" s="33"/>
      <c r="L387" s="711"/>
      <c r="N387" s="714"/>
    </row>
    <row r="388" spans="2:14">
      <c r="B388" t="s">
        <v>3160</v>
      </c>
      <c r="E388" s="172"/>
      <c r="F388" s="34"/>
      <c r="G388" s="34"/>
      <c r="I388" s="33"/>
      <c r="L388" s="711"/>
      <c r="N388" s="714"/>
    </row>
    <row r="389" spans="2:14">
      <c r="B389">
        <v>283</v>
      </c>
      <c r="C389">
        <v>1</v>
      </c>
      <c r="E389" s="172"/>
      <c r="F389" s="34"/>
      <c r="G389" s="34"/>
      <c r="H389" s="123" t="str">
        <f t="shared" ref="H389:H410" si="84">"obalSpecProg"&amp;C389&amp;"Chosen"</f>
        <v>obalSpecProg1Chosen</v>
      </c>
      <c r="I389" s="33"/>
      <c r="L389" s="711"/>
      <c r="N389" s="714"/>
    </row>
    <row r="390" spans="2:14">
      <c r="B390">
        <v>284</v>
      </c>
      <c r="C390">
        <v>2</v>
      </c>
      <c r="E390" s="172"/>
      <c r="F390" s="34"/>
      <c r="G390" s="34"/>
      <c r="H390" s="123" t="str">
        <f t="shared" si="84"/>
        <v>obalSpecProg2Chosen</v>
      </c>
      <c r="I390" s="33"/>
      <c r="L390" s="711"/>
      <c r="N390" s="714"/>
    </row>
    <row r="391" spans="2:14">
      <c r="B391">
        <v>285</v>
      </c>
      <c r="C391">
        <v>3</v>
      </c>
      <c r="E391" s="172"/>
      <c r="F391" s="34"/>
      <c r="G391" s="34"/>
      <c r="H391" s="123" t="str">
        <f t="shared" si="84"/>
        <v>obalSpecProg3Chosen</v>
      </c>
      <c r="I391" s="33"/>
      <c r="L391" s="711"/>
      <c r="N391" s="714"/>
    </row>
    <row r="392" spans="2:14">
      <c r="B392">
        <v>286</v>
      </c>
      <c r="C392">
        <v>4</v>
      </c>
      <c r="E392" s="172"/>
      <c r="F392" s="34"/>
      <c r="G392" s="34"/>
      <c r="H392" s="123" t="str">
        <f t="shared" si="84"/>
        <v>obalSpecProg4Chosen</v>
      </c>
      <c r="I392" s="33"/>
      <c r="L392" s="711"/>
      <c r="N392" s="714"/>
    </row>
    <row r="393" spans="2:14">
      <c r="B393">
        <v>287</v>
      </c>
      <c r="C393">
        <v>5</v>
      </c>
      <c r="E393" s="172"/>
      <c r="F393" s="34"/>
      <c r="G393" s="34"/>
      <c r="H393" s="123" t="str">
        <f t="shared" si="84"/>
        <v>obalSpecProg5Chosen</v>
      </c>
      <c r="I393" s="33"/>
      <c r="L393" s="711"/>
      <c r="N393" s="714"/>
    </row>
    <row r="394" spans="2:14">
      <c r="B394">
        <v>288</v>
      </c>
      <c r="C394">
        <v>6</v>
      </c>
      <c r="E394" s="172"/>
      <c r="F394" s="34"/>
      <c r="G394" s="34"/>
      <c r="H394" s="123" t="str">
        <f t="shared" si="84"/>
        <v>obalSpecProg6Chosen</v>
      </c>
      <c r="I394" s="33"/>
      <c r="L394" s="711"/>
      <c r="N394" s="714"/>
    </row>
    <row r="395" spans="2:14">
      <c r="B395">
        <v>289</v>
      </c>
      <c r="C395">
        <v>7</v>
      </c>
      <c r="E395" s="172"/>
      <c r="F395" s="34"/>
      <c r="G395" s="34"/>
      <c r="H395" s="123" t="str">
        <f t="shared" si="84"/>
        <v>obalSpecProg7Chosen</v>
      </c>
      <c r="I395" s="33"/>
      <c r="L395" s="711"/>
      <c r="N395" s="714"/>
    </row>
    <row r="396" spans="2:14">
      <c r="B396">
        <v>290</v>
      </c>
      <c r="C396">
        <v>8</v>
      </c>
      <c r="E396" s="172"/>
      <c r="F396" s="34"/>
      <c r="G396" s="34"/>
      <c r="H396" s="123" t="str">
        <f t="shared" si="84"/>
        <v>obalSpecProg8Chosen</v>
      </c>
      <c r="I396" s="33"/>
      <c r="L396" s="711"/>
      <c r="N396" s="714"/>
    </row>
    <row r="397" spans="2:14">
      <c r="B397">
        <v>291</v>
      </c>
      <c r="C397">
        <v>9</v>
      </c>
      <c r="E397" s="172"/>
      <c r="F397" s="34"/>
      <c r="G397" s="34"/>
      <c r="H397" s="123" t="str">
        <f t="shared" si="84"/>
        <v>obalSpecProg9Chosen</v>
      </c>
      <c r="I397" s="33"/>
      <c r="L397" s="711"/>
      <c r="N397" s="714"/>
    </row>
    <row r="398" spans="2:14">
      <c r="B398">
        <v>292</v>
      </c>
      <c r="C398">
        <v>10</v>
      </c>
      <c r="E398" s="172"/>
      <c r="F398" s="34"/>
      <c r="G398" s="34"/>
      <c r="H398" s="123" t="str">
        <f t="shared" si="84"/>
        <v>obalSpecProg10Chosen</v>
      </c>
      <c r="I398" s="33"/>
      <c r="L398" s="711"/>
      <c r="N398" s="714"/>
    </row>
    <row r="399" spans="2:14">
      <c r="B399">
        <v>293</v>
      </c>
      <c r="C399">
        <v>11</v>
      </c>
      <c r="E399" s="172"/>
      <c r="F399" s="34"/>
      <c r="G399" s="34"/>
      <c r="H399" s="123" t="str">
        <f t="shared" si="84"/>
        <v>obalSpecProg11Chosen</v>
      </c>
      <c r="I399" s="33"/>
      <c r="L399" s="711"/>
      <c r="N399" s="714"/>
    </row>
    <row r="400" spans="2:14">
      <c r="B400">
        <v>294</v>
      </c>
      <c r="C400">
        <v>12</v>
      </c>
      <c r="E400" s="172"/>
      <c r="F400" s="34"/>
      <c r="G400" s="34"/>
      <c r="H400" s="123" t="str">
        <f t="shared" si="84"/>
        <v>obalSpecProg12Chosen</v>
      </c>
      <c r="I400" s="33"/>
      <c r="L400" s="711"/>
      <c r="N400" s="714"/>
    </row>
    <row r="401" spans="2:14">
      <c r="B401">
        <v>295</v>
      </c>
      <c r="C401">
        <v>13</v>
      </c>
      <c r="E401" s="172"/>
      <c r="F401" s="34"/>
      <c r="G401" s="34"/>
      <c r="H401" s="123" t="str">
        <f t="shared" si="84"/>
        <v>obalSpecProg13Chosen</v>
      </c>
      <c r="I401" s="33"/>
      <c r="L401" s="711"/>
      <c r="N401" s="714"/>
    </row>
    <row r="402" spans="2:14">
      <c r="B402">
        <v>296</v>
      </c>
      <c r="C402">
        <v>14</v>
      </c>
      <c r="E402" s="172"/>
      <c r="F402" s="34"/>
      <c r="G402" s="34"/>
      <c r="H402" s="123" t="str">
        <f t="shared" si="84"/>
        <v>obalSpecProg14Chosen</v>
      </c>
      <c r="I402" s="33"/>
      <c r="L402" s="711"/>
      <c r="N402" s="714"/>
    </row>
    <row r="403" spans="2:14">
      <c r="B403">
        <v>297</v>
      </c>
      <c r="C403">
        <v>15</v>
      </c>
      <c r="E403" s="172"/>
      <c r="F403" s="34"/>
      <c r="G403" s="34"/>
      <c r="H403" s="123" t="str">
        <f t="shared" si="84"/>
        <v>obalSpecProg15Chosen</v>
      </c>
      <c r="I403" s="33"/>
      <c r="L403" s="711"/>
      <c r="N403" s="714"/>
    </row>
    <row r="404" spans="2:14">
      <c r="B404">
        <v>298</v>
      </c>
      <c r="C404">
        <v>16</v>
      </c>
      <c r="E404" s="172"/>
      <c r="F404" s="34"/>
      <c r="G404" s="34"/>
      <c r="H404" s="123" t="str">
        <f t="shared" si="84"/>
        <v>obalSpecProg16Chosen</v>
      </c>
      <c r="I404" s="33"/>
      <c r="L404" s="711"/>
      <c r="N404" s="714"/>
    </row>
    <row r="405" spans="2:14">
      <c r="B405">
        <v>299</v>
      </c>
      <c r="C405">
        <v>17</v>
      </c>
      <c r="E405" s="172"/>
      <c r="F405" s="34"/>
      <c r="G405" s="34"/>
      <c r="H405" s="123" t="str">
        <f t="shared" si="84"/>
        <v>obalSpecProg17Chosen</v>
      </c>
      <c r="I405" s="33"/>
      <c r="L405" s="711"/>
      <c r="N405" s="714"/>
    </row>
    <row r="406" spans="2:14">
      <c r="B406">
        <v>300</v>
      </c>
      <c r="C406">
        <v>18</v>
      </c>
      <c r="E406" s="172"/>
      <c r="F406" s="34"/>
      <c r="G406" s="34"/>
      <c r="H406" s="123" t="str">
        <f t="shared" si="84"/>
        <v>obalSpecProg18Chosen</v>
      </c>
      <c r="I406" s="33"/>
      <c r="L406" s="711"/>
      <c r="N406" s="714"/>
    </row>
    <row r="407" spans="2:14">
      <c r="B407">
        <v>301</v>
      </c>
      <c r="C407">
        <v>19</v>
      </c>
      <c r="E407" s="172"/>
      <c r="F407" s="34"/>
      <c r="G407" s="34"/>
      <c r="H407" s="123" t="str">
        <f t="shared" si="84"/>
        <v>obalSpecProg19Chosen</v>
      </c>
      <c r="I407" s="33"/>
      <c r="L407" s="711"/>
      <c r="N407" s="714"/>
    </row>
    <row r="408" spans="2:14">
      <c r="B408">
        <v>302</v>
      </c>
      <c r="C408">
        <v>20</v>
      </c>
      <c r="E408" s="172"/>
      <c r="F408" s="34"/>
      <c r="G408" s="34"/>
      <c r="H408" s="123" t="str">
        <f t="shared" si="84"/>
        <v>obalSpecProg20Chosen</v>
      </c>
      <c r="I408" s="33"/>
      <c r="L408" s="711"/>
      <c r="N408" s="714"/>
    </row>
    <row r="409" spans="2:14">
      <c r="B409">
        <v>303</v>
      </c>
      <c r="C409">
        <v>21</v>
      </c>
      <c r="E409" s="172"/>
      <c r="F409" s="34"/>
      <c r="G409" s="34"/>
      <c r="H409" s="123" t="str">
        <f t="shared" si="84"/>
        <v>obalSpecProg21Chosen</v>
      </c>
      <c r="I409" s="33"/>
      <c r="L409" s="711"/>
      <c r="N409" s="714"/>
    </row>
    <row r="410" spans="2:14">
      <c r="B410">
        <v>304</v>
      </c>
      <c r="C410">
        <v>22</v>
      </c>
      <c r="E410" s="172"/>
      <c r="F410" s="34"/>
      <c r="G410" s="34"/>
      <c r="H410" s="123" t="str">
        <f t="shared" si="84"/>
        <v>obalSpecProg22Chosen</v>
      </c>
      <c r="I410" s="33"/>
      <c r="L410" s="711"/>
      <c r="N410" s="714"/>
    </row>
    <row r="411" spans="2:14">
      <c r="E411" s="172"/>
      <c r="F411" s="34"/>
      <c r="G411" s="34"/>
      <c r="I411" s="33"/>
      <c r="L411" s="711"/>
      <c r="N411" s="714"/>
    </row>
    <row r="412" spans="2:14">
      <c r="B412" t="s">
        <v>1474</v>
      </c>
      <c r="E412" s="172"/>
      <c r="F412" s="34"/>
      <c r="G412" s="34"/>
      <c r="I412" s="33"/>
      <c r="L412" s="711"/>
      <c r="N412" s="714"/>
    </row>
    <row r="413" spans="2:14">
      <c r="B413">
        <v>307</v>
      </c>
      <c r="C413">
        <v>101</v>
      </c>
      <c r="E413" s="172"/>
      <c r="F413" s="34"/>
      <c r="G413" s="34"/>
      <c r="H413" s="123" t="str">
        <f t="shared" ref="H413:H437" si="85">"obalEvent"&amp;C413&amp;"Chosen"</f>
        <v>obalEvent101Chosen</v>
      </c>
      <c r="I413" s="33"/>
      <c r="L413" s="711"/>
      <c r="N413" s="714"/>
    </row>
    <row r="414" spans="2:14">
      <c r="B414">
        <v>308</v>
      </c>
      <c r="C414">
        <v>102</v>
      </c>
      <c r="E414" s="172"/>
      <c r="F414" s="34"/>
      <c r="G414" s="34"/>
      <c r="H414" s="123" t="str">
        <f t="shared" si="85"/>
        <v>obalEvent102Chosen</v>
      </c>
      <c r="I414" s="33"/>
      <c r="L414" s="711"/>
      <c r="N414" s="714"/>
    </row>
    <row r="415" spans="2:14">
      <c r="B415">
        <v>309</v>
      </c>
      <c r="C415">
        <v>103</v>
      </c>
      <c r="E415" s="172"/>
      <c r="F415" s="34"/>
      <c r="G415" s="34"/>
      <c r="H415" s="123" t="str">
        <f t="shared" si="85"/>
        <v>obalEvent103Chosen</v>
      </c>
      <c r="I415" s="33"/>
      <c r="L415" s="711"/>
      <c r="N415" s="714"/>
    </row>
    <row r="416" spans="2:14">
      <c r="B416">
        <v>310</v>
      </c>
      <c r="C416">
        <v>201</v>
      </c>
      <c r="E416" s="172"/>
      <c r="F416" s="34"/>
      <c r="G416" s="34"/>
      <c r="H416" s="123" t="str">
        <f t="shared" si="85"/>
        <v>obalEvent201Chosen</v>
      </c>
      <c r="I416" s="33"/>
      <c r="L416" s="711"/>
      <c r="N416" s="714"/>
    </row>
    <row r="417" spans="2:14">
      <c r="B417">
        <v>311</v>
      </c>
      <c r="C417">
        <v>202</v>
      </c>
      <c r="E417" s="172"/>
      <c r="F417" s="34"/>
      <c r="G417" s="34"/>
      <c r="H417" s="123" t="str">
        <f t="shared" si="85"/>
        <v>obalEvent202Chosen</v>
      </c>
      <c r="I417" s="33"/>
      <c r="L417" s="711"/>
      <c r="N417" s="714"/>
    </row>
    <row r="418" spans="2:14">
      <c r="B418">
        <v>312</v>
      </c>
      <c r="C418">
        <v>203</v>
      </c>
      <c r="E418" s="172"/>
      <c r="F418" s="34"/>
      <c r="G418" s="34"/>
      <c r="H418" s="123" t="str">
        <f t="shared" si="85"/>
        <v>obalEvent203Chosen</v>
      </c>
      <c r="I418" s="33"/>
      <c r="L418" s="711"/>
      <c r="N418" s="714"/>
    </row>
    <row r="419" spans="2:14">
      <c r="B419">
        <v>313</v>
      </c>
      <c r="C419">
        <v>301</v>
      </c>
      <c r="E419" s="172"/>
      <c r="F419" s="34"/>
      <c r="G419" s="34"/>
      <c r="H419" s="123" t="str">
        <f t="shared" si="85"/>
        <v>obalEvent301Chosen</v>
      </c>
      <c r="I419" s="33"/>
      <c r="L419" s="711"/>
      <c r="N419" s="714"/>
    </row>
    <row r="420" spans="2:14">
      <c r="B420">
        <v>314</v>
      </c>
      <c r="C420">
        <v>302</v>
      </c>
      <c r="E420" s="172"/>
      <c r="F420" s="34"/>
      <c r="G420" s="34"/>
      <c r="H420" s="123" t="str">
        <f t="shared" si="85"/>
        <v>obalEvent302Chosen</v>
      </c>
      <c r="I420" s="33"/>
      <c r="L420" s="711"/>
      <c r="N420" s="714"/>
    </row>
    <row r="421" spans="2:14">
      <c r="B421">
        <v>315</v>
      </c>
      <c r="C421">
        <v>401</v>
      </c>
      <c r="E421" s="172"/>
      <c r="F421" s="34"/>
      <c r="G421" s="34"/>
      <c r="H421" s="123" t="str">
        <f t="shared" si="85"/>
        <v>obalEvent401Chosen</v>
      </c>
      <c r="I421" s="33"/>
      <c r="L421" s="711"/>
      <c r="N421" s="714"/>
    </row>
    <row r="422" spans="2:14">
      <c r="B422">
        <v>316</v>
      </c>
      <c r="C422">
        <v>402</v>
      </c>
      <c r="E422" s="172"/>
      <c r="F422" s="34"/>
      <c r="G422" s="34"/>
      <c r="H422" s="123" t="str">
        <f t="shared" si="85"/>
        <v>obalEvent402Chosen</v>
      </c>
      <c r="I422" s="33"/>
      <c r="L422" s="711"/>
      <c r="N422" s="714"/>
    </row>
    <row r="423" spans="2:14">
      <c r="B423">
        <v>317</v>
      </c>
      <c r="C423">
        <v>403</v>
      </c>
      <c r="E423" s="172"/>
      <c r="F423" s="34"/>
      <c r="G423" s="34"/>
      <c r="H423" s="123" t="str">
        <f t="shared" si="85"/>
        <v>obalEvent403Chosen</v>
      </c>
      <c r="I423" s="33"/>
      <c r="L423" s="711"/>
      <c r="N423" s="714"/>
    </row>
    <row r="424" spans="2:14">
      <c r="B424">
        <v>318</v>
      </c>
      <c r="C424">
        <v>501</v>
      </c>
      <c r="E424" s="172"/>
      <c r="F424" s="34"/>
      <c r="G424" s="34"/>
      <c r="H424" s="123" t="str">
        <f t="shared" si="85"/>
        <v>obalEvent501Chosen</v>
      </c>
      <c r="I424" s="33"/>
      <c r="L424" s="711"/>
      <c r="N424" s="714"/>
    </row>
    <row r="425" spans="2:14">
      <c r="B425">
        <v>319</v>
      </c>
      <c r="C425">
        <v>502</v>
      </c>
      <c r="E425" s="172"/>
      <c r="F425" s="34"/>
      <c r="G425" s="34"/>
      <c r="H425" s="123" t="str">
        <f t="shared" si="85"/>
        <v>obalEvent502Chosen</v>
      </c>
      <c r="I425" s="33"/>
      <c r="L425" s="711"/>
      <c r="N425" s="714"/>
    </row>
    <row r="426" spans="2:14">
      <c r="B426">
        <v>320</v>
      </c>
      <c r="C426">
        <v>503</v>
      </c>
      <c r="E426" s="172"/>
      <c r="F426" s="34"/>
      <c r="G426" s="34"/>
      <c r="H426" s="123" t="str">
        <f t="shared" si="85"/>
        <v>obalEvent503Chosen</v>
      </c>
      <c r="I426" s="33"/>
      <c r="L426" s="711"/>
      <c r="N426" s="714"/>
    </row>
    <row r="427" spans="2:14">
      <c r="B427">
        <v>318</v>
      </c>
      <c r="C427">
        <v>601</v>
      </c>
      <c r="E427" s="172"/>
      <c r="F427" s="34"/>
      <c r="G427" s="34"/>
      <c r="H427" s="123" t="str">
        <f t="shared" si="85"/>
        <v>obalEvent601Chosen</v>
      </c>
      <c r="I427" s="33"/>
      <c r="L427" s="711"/>
      <c r="N427" s="714"/>
    </row>
    <row r="428" spans="2:14">
      <c r="B428">
        <v>319</v>
      </c>
      <c r="C428">
        <v>602</v>
      </c>
      <c r="E428" s="172"/>
      <c r="F428" s="34"/>
      <c r="G428" s="34"/>
      <c r="H428" s="123" t="str">
        <f t="shared" si="85"/>
        <v>obalEvent602Chosen</v>
      </c>
      <c r="I428" s="33"/>
      <c r="L428" s="711"/>
      <c r="N428" s="714"/>
    </row>
    <row r="429" spans="2:14">
      <c r="B429">
        <v>320</v>
      </c>
      <c r="C429">
        <v>603</v>
      </c>
      <c r="E429" s="172"/>
      <c r="F429" s="34"/>
      <c r="G429" s="34"/>
      <c r="H429" s="123" t="str">
        <f t="shared" si="85"/>
        <v>obalEvent603Chosen</v>
      </c>
      <c r="I429" s="33"/>
      <c r="L429" s="711"/>
      <c r="N429" s="714"/>
    </row>
    <row r="430" spans="2:14">
      <c r="B430">
        <v>321</v>
      </c>
      <c r="C430">
        <v>701</v>
      </c>
      <c r="E430" s="172"/>
      <c r="F430" s="34"/>
      <c r="G430" s="34"/>
      <c r="H430" s="123" t="str">
        <f t="shared" si="85"/>
        <v>obalEvent701Chosen</v>
      </c>
      <c r="I430" s="33"/>
      <c r="L430" s="711"/>
      <c r="N430" s="714"/>
    </row>
    <row r="431" spans="2:14">
      <c r="B431">
        <v>322</v>
      </c>
      <c r="C431">
        <v>702</v>
      </c>
      <c r="E431" s="172"/>
      <c r="F431" s="34"/>
      <c r="G431" s="34"/>
      <c r="H431" s="123" t="str">
        <f t="shared" si="85"/>
        <v>obalEvent702Chosen</v>
      </c>
      <c r="I431" s="33"/>
      <c r="L431" s="711"/>
      <c r="N431" s="714"/>
    </row>
    <row r="432" spans="2:14">
      <c r="B432">
        <v>323</v>
      </c>
      <c r="C432">
        <v>703</v>
      </c>
      <c r="E432" s="172"/>
      <c r="F432" s="34"/>
      <c r="G432" s="34"/>
      <c r="H432" s="123" t="str">
        <f t="shared" si="85"/>
        <v>obalEvent703Chosen</v>
      </c>
      <c r="I432" s="33"/>
      <c r="L432" s="711"/>
      <c r="N432" s="714"/>
    </row>
    <row r="433" spans="2:14">
      <c r="B433">
        <v>324</v>
      </c>
      <c r="C433">
        <v>801</v>
      </c>
      <c r="E433" s="172"/>
      <c r="F433" s="34"/>
      <c r="G433" s="34"/>
      <c r="H433" s="123" t="str">
        <f t="shared" si="85"/>
        <v>obalEvent801Chosen</v>
      </c>
      <c r="I433" s="33"/>
      <c r="L433" s="711"/>
      <c r="N433" s="714"/>
    </row>
    <row r="434" spans="2:14">
      <c r="B434">
        <v>325</v>
      </c>
      <c r="C434">
        <v>802</v>
      </c>
      <c r="E434" s="172"/>
      <c r="F434" s="34"/>
      <c r="G434" s="34"/>
      <c r="H434" s="123" t="str">
        <f t="shared" si="85"/>
        <v>obalEvent802Chosen</v>
      </c>
      <c r="I434" s="33"/>
      <c r="L434" s="711"/>
      <c r="N434" s="714"/>
    </row>
    <row r="435" spans="2:14">
      <c r="B435">
        <v>326</v>
      </c>
      <c r="C435">
        <v>803</v>
      </c>
      <c r="E435" s="172"/>
      <c r="F435" s="34"/>
      <c r="G435" s="34"/>
      <c r="H435" s="123" t="str">
        <f t="shared" si="85"/>
        <v>obalEvent803Chosen</v>
      </c>
      <c r="I435" s="33"/>
      <c r="L435" s="711"/>
      <c r="N435" s="714"/>
    </row>
    <row r="436" spans="2:14">
      <c r="B436">
        <v>327</v>
      </c>
      <c r="C436">
        <v>901</v>
      </c>
      <c r="E436" s="172"/>
      <c r="F436" s="34"/>
      <c r="G436" s="34"/>
      <c r="H436" s="123" t="str">
        <f t="shared" si="85"/>
        <v>obalEvent901Chosen</v>
      </c>
      <c r="I436" s="33"/>
      <c r="L436" s="711"/>
      <c r="N436" s="714"/>
    </row>
    <row r="437" spans="2:14">
      <c r="B437">
        <v>328</v>
      </c>
      <c r="C437">
        <v>902</v>
      </c>
      <c r="E437" s="172"/>
      <c r="F437" s="34"/>
      <c r="G437" s="34"/>
      <c r="H437" s="123" t="str">
        <f t="shared" si="85"/>
        <v>obalEvent902Chosen</v>
      </c>
      <c r="I437" s="33"/>
      <c r="L437" s="711"/>
      <c r="N437" s="714"/>
    </row>
    <row r="438" spans="2:14">
      <c r="E438" s="172"/>
      <c r="F438" s="34"/>
      <c r="G438" s="34"/>
      <c r="I438" s="33"/>
      <c r="L438" s="711"/>
      <c r="N438" s="714"/>
    </row>
    <row r="439" spans="2:14">
      <c r="B439" t="s">
        <v>3160</v>
      </c>
      <c r="E439" s="172"/>
      <c r="F439" s="34"/>
      <c r="G439" s="34"/>
      <c r="I439" s="33"/>
      <c r="L439" s="711"/>
      <c r="N439" s="714"/>
    </row>
    <row r="440" spans="2:14">
      <c r="C440">
        <v>1</v>
      </c>
      <c r="E440" s="172"/>
      <c r="F440" s="34"/>
      <c r="G440" s="34"/>
      <c r="I440" s="33"/>
      <c r="L440" s="711"/>
      <c r="N440" s="714"/>
    </row>
    <row r="441" spans="2:14">
      <c r="C441">
        <v>2</v>
      </c>
      <c r="E441" s="172"/>
      <c r="F441" s="34"/>
      <c r="G441" s="34"/>
      <c r="I441" s="33"/>
      <c r="L441" s="711"/>
      <c r="N441" s="714"/>
    </row>
    <row r="442" spans="2:14">
      <c r="C442">
        <v>3</v>
      </c>
      <c r="E442" s="172"/>
      <c r="F442" s="34"/>
      <c r="G442" s="34"/>
      <c r="I442" s="33"/>
      <c r="L442" s="711"/>
      <c r="N442" s="714"/>
    </row>
    <row r="443" spans="2:14">
      <c r="C443">
        <v>4</v>
      </c>
      <c r="E443" s="172"/>
      <c r="F443" s="34"/>
      <c r="G443" s="34"/>
      <c r="I443" s="33"/>
      <c r="L443" s="711"/>
      <c r="N443" s="714"/>
    </row>
    <row r="444" spans="2:14">
      <c r="C444">
        <v>5</v>
      </c>
      <c r="E444" s="172"/>
      <c r="F444" s="34"/>
      <c r="G444" s="34"/>
      <c r="I444" s="33"/>
      <c r="L444" s="711"/>
      <c r="N444" s="714"/>
    </row>
    <row r="445" spans="2:14">
      <c r="C445">
        <v>6</v>
      </c>
      <c r="E445" s="172"/>
      <c r="F445" s="34"/>
      <c r="G445" s="34"/>
      <c r="I445" s="33"/>
      <c r="L445" s="711"/>
      <c r="N445" s="714"/>
    </row>
    <row r="446" spans="2:14">
      <c r="C446">
        <v>7</v>
      </c>
      <c r="E446" s="172"/>
      <c r="F446" s="34"/>
      <c r="G446" s="34"/>
      <c r="I446" s="33"/>
      <c r="L446" s="711"/>
      <c r="N446" s="714"/>
    </row>
    <row r="447" spans="2:14">
      <c r="C447">
        <v>8</v>
      </c>
      <c r="E447" s="172"/>
      <c r="F447" s="34"/>
      <c r="G447" s="34"/>
      <c r="I447" s="33"/>
      <c r="L447" s="711"/>
      <c r="N447" s="714"/>
    </row>
    <row r="448" spans="2:14">
      <c r="C448">
        <v>9</v>
      </c>
      <c r="E448" s="172"/>
      <c r="F448" s="34"/>
      <c r="G448" s="34"/>
      <c r="I448" s="33"/>
      <c r="L448" s="711"/>
      <c r="N448" s="714"/>
    </row>
    <row r="449" spans="3:14">
      <c r="C449">
        <v>10</v>
      </c>
      <c r="E449" s="172"/>
      <c r="F449" s="34"/>
      <c r="G449" s="34"/>
      <c r="I449" s="33"/>
      <c r="L449" s="711"/>
      <c r="N449" s="714"/>
    </row>
    <row r="450" spans="3:14">
      <c r="C450">
        <v>11</v>
      </c>
      <c r="E450" s="172"/>
      <c r="F450" s="34"/>
      <c r="G450" s="34"/>
      <c r="I450" s="33"/>
      <c r="L450" s="711"/>
      <c r="N450" s="714"/>
    </row>
    <row r="451" spans="3:14">
      <c r="C451">
        <v>12</v>
      </c>
      <c r="E451" s="172"/>
      <c r="F451" s="34"/>
      <c r="G451" s="34"/>
      <c r="I451" s="33"/>
      <c r="L451" s="711"/>
      <c r="N451" s="714"/>
    </row>
    <row r="452" spans="3:14">
      <c r="C452">
        <v>13</v>
      </c>
      <c r="E452" s="172"/>
      <c r="F452" s="34"/>
      <c r="G452" s="34"/>
      <c r="I452" s="33"/>
      <c r="L452" s="711"/>
      <c r="N452" s="714"/>
    </row>
    <row r="453" spans="3:14">
      <c r="C453">
        <v>14</v>
      </c>
      <c r="E453" s="172"/>
      <c r="F453" s="34"/>
      <c r="G453" s="34"/>
      <c r="I453" s="33"/>
      <c r="L453" s="711"/>
      <c r="N453" s="714"/>
    </row>
    <row r="454" spans="3:14">
      <c r="C454">
        <v>15</v>
      </c>
      <c r="E454" s="172"/>
      <c r="F454" s="34"/>
      <c r="G454" s="34"/>
      <c r="I454" s="33"/>
      <c r="L454" s="711"/>
      <c r="N454" s="714"/>
    </row>
    <row r="455" spans="3:14">
      <c r="C455">
        <v>16</v>
      </c>
      <c r="E455" s="172"/>
      <c r="F455" s="34"/>
      <c r="G455" s="34"/>
      <c r="I455" s="33"/>
      <c r="L455" s="711"/>
      <c r="N455" s="714"/>
    </row>
    <row r="456" spans="3:14">
      <c r="C456">
        <v>17</v>
      </c>
      <c r="E456" s="172"/>
      <c r="F456" s="34"/>
      <c r="G456" s="34"/>
      <c r="I456" s="33"/>
      <c r="L456" s="711"/>
      <c r="N456" s="714"/>
    </row>
    <row r="457" spans="3:14">
      <c r="C457">
        <v>18</v>
      </c>
      <c r="E457" s="172"/>
      <c r="F457" s="34"/>
      <c r="G457" s="34"/>
      <c r="I457" s="33"/>
      <c r="L457" s="711"/>
      <c r="N457" s="714"/>
    </row>
    <row r="458" spans="3:14">
      <c r="C458">
        <v>19</v>
      </c>
      <c r="E458" s="172"/>
      <c r="F458" s="34"/>
      <c r="G458" s="34"/>
      <c r="I458" s="33"/>
      <c r="L458" s="711"/>
      <c r="N458" s="714"/>
    </row>
    <row r="459" spans="3:14">
      <c r="C459">
        <v>20</v>
      </c>
      <c r="E459" s="172"/>
      <c r="F459" s="34"/>
      <c r="G459" s="34"/>
      <c r="I459" s="33"/>
      <c r="L459" s="711"/>
      <c r="N459" s="714"/>
    </row>
    <row r="460" spans="3:14">
      <c r="C460">
        <v>21</v>
      </c>
      <c r="E460" s="172"/>
      <c r="F460" s="34"/>
      <c r="G460" s="34"/>
      <c r="I460" s="33"/>
      <c r="L460" s="711"/>
      <c r="N460" s="714"/>
    </row>
    <row r="461" spans="3:14">
      <c r="C461">
        <v>22</v>
      </c>
      <c r="E461" s="172"/>
      <c r="F461" s="34"/>
      <c r="G461" s="34"/>
      <c r="I461" s="33"/>
      <c r="L461" s="711"/>
      <c r="N461" s="714"/>
    </row>
    <row r="462" spans="3:14">
      <c r="E462" s="172"/>
      <c r="F462" s="34"/>
      <c r="G462" s="34"/>
      <c r="I462" s="33"/>
      <c r="L462" s="711"/>
      <c r="N462" s="714"/>
    </row>
    <row r="463" spans="3:14">
      <c r="E463" s="172"/>
      <c r="F463" s="34"/>
      <c r="G463" s="34"/>
      <c r="I463" s="33"/>
      <c r="L463" s="711"/>
      <c r="N463" s="714"/>
    </row>
    <row r="464" spans="3:14">
      <c r="E464" s="172"/>
      <c r="F464" s="34"/>
      <c r="G464" s="34"/>
      <c r="I464" s="33"/>
      <c r="L464" s="711"/>
      <c r="N464" s="714"/>
    </row>
    <row r="465" spans="2:14">
      <c r="E465" s="172"/>
      <c r="F465" s="34"/>
      <c r="G465" s="34"/>
      <c r="I465" s="33"/>
      <c r="L465" s="711"/>
      <c r="N465" s="714"/>
    </row>
    <row r="466" spans="2:14">
      <c r="B466" s="4" t="s">
        <v>648</v>
      </c>
      <c r="E466" s="539">
        <v>13437300000</v>
      </c>
      <c r="F466" s="517">
        <v>13437300000</v>
      </c>
      <c r="G466" s="517">
        <v>13437300000</v>
      </c>
      <c r="H466" s="123" t="s">
        <v>649</v>
      </c>
      <c r="I466" s="33">
        <v>13437300000</v>
      </c>
      <c r="J466" t="b">
        <f t="shared" si="77"/>
        <v>1</v>
      </c>
      <c r="L466" s="594"/>
      <c r="N466" s="601">
        <v>13437300000</v>
      </c>
    </row>
    <row r="467" spans="2:14">
      <c r="B467" s="4" t="s">
        <v>936</v>
      </c>
      <c r="E467" s="457">
        <v>4.4999999999999998E-2</v>
      </c>
      <c r="F467" s="405">
        <v>4.4999999999999998E-2</v>
      </c>
      <c r="G467" s="405">
        <v>4.4999999999999998E-2</v>
      </c>
      <c r="H467" s="579" t="s">
        <v>937</v>
      </c>
      <c r="I467" s="33">
        <v>4.4999999999999998E-2</v>
      </c>
      <c r="J467" t="b">
        <f t="shared" si="77"/>
        <v>1</v>
      </c>
      <c r="L467" s="594"/>
      <c r="N467" s="601">
        <v>4.4999999999999998E-2</v>
      </c>
    </row>
    <row r="468" spans="2:14">
      <c r="B468" s="4" t="s">
        <v>473</v>
      </c>
      <c r="E468" s="457">
        <v>0.12606831381941958</v>
      </c>
      <c r="F468" s="405">
        <v>0.12606831381941958</v>
      </c>
      <c r="G468" s="405">
        <v>0.12606831381941958</v>
      </c>
      <c r="H468" s="579" t="s">
        <v>292</v>
      </c>
      <c r="I468" s="33">
        <v>0.12606831381941958</v>
      </c>
      <c r="J468" t="b">
        <f t="shared" si="77"/>
        <v>1</v>
      </c>
      <c r="L468" s="594"/>
      <c r="N468" s="601">
        <v>0.12606831381941958</v>
      </c>
    </row>
    <row r="469" spans="2:14">
      <c r="B469" s="4" t="s">
        <v>1737</v>
      </c>
      <c r="E469" s="416">
        <v>923659287.46109343</v>
      </c>
      <c r="F469" s="412">
        <v>923659287.46109343</v>
      </c>
      <c r="G469" s="412">
        <v>923659287.46109343</v>
      </c>
      <c r="H469" s="579" t="s">
        <v>2301</v>
      </c>
      <c r="I469" s="33">
        <v>923659287.46109343</v>
      </c>
      <c r="J469" t="b">
        <f t="shared" ref="J469" si="86">MAX(E469:G469)=MIN(E469:G469)</f>
        <v>1</v>
      </c>
      <c r="L469" s="711"/>
      <c r="N469" s="714">
        <v>923659287.46109343</v>
      </c>
    </row>
    <row r="470" spans="2:14">
      <c r="E470" s="539"/>
      <c r="F470" s="517"/>
      <c r="G470" s="517"/>
      <c r="I470" s="33"/>
      <c r="J470" t="b">
        <f t="shared" si="77"/>
        <v>1</v>
      </c>
      <c r="L470" s="594"/>
      <c r="N470" s="601"/>
    </row>
    <row r="471" spans="2:14">
      <c r="B471" t="s">
        <v>824</v>
      </c>
      <c r="D471" s="326"/>
      <c r="E471" s="416">
        <f>cbal!E471</f>
        <v>4411410974.5023985</v>
      </c>
      <c r="F471" s="412">
        <f>cbal!F471</f>
        <v>3912627978.3075352</v>
      </c>
      <c r="G471" s="412">
        <f>cbal!G471</f>
        <v>2939604569.6039629</v>
      </c>
      <c r="H471" s="509" t="s">
        <v>541</v>
      </c>
      <c r="I471" s="33">
        <v>4411350058.2398977</v>
      </c>
      <c r="J471" t="b">
        <f t="shared" ref="J471:J508" si="87">MAX(E471:G471)=MIN(E471:G471)</f>
        <v>0</v>
      </c>
      <c r="L471" s="594"/>
      <c r="N471" s="601">
        <f>cbal!N471</f>
        <v>0</v>
      </c>
    </row>
    <row r="472" spans="2:14">
      <c r="B472" t="str">
        <f>DataNameProd1&amp;" Y0 Revenues"</f>
        <v>Growth Y0 Revenues</v>
      </c>
      <c r="D472" s="326"/>
      <c r="E472" s="416">
        <f>cbal!E472</f>
        <v>2008782289.0972757</v>
      </c>
      <c r="F472" s="412">
        <f>cbal!F472</f>
        <v>1802349097.9843411</v>
      </c>
      <c r="G472" s="412">
        <f>cbal!G472</f>
        <v>1339255376.5497975</v>
      </c>
      <c r="H472" s="509" t="s">
        <v>934</v>
      </c>
      <c r="I472" s="33">
        <v>2008791817.9013519</v>
      </c>
      <c r="J472" t="b">
        <f t="shared" si="87"/>
        <v>0</v>
      </c>
      <c r="L472" s="594"/>
      <c r="N472" s="601">
        <f>cbal!N472</f>
        <v>0</v>
      </c>
    </row>
    <row r="473" spans="2:14">
      <c r="B473" t="str">
        <f>DataNameProd2&amp;" Y0 Revenues"</f>
        <v>Transform Y0 Revenues</v>
      </c>
      <c r="D473" s="326"/>
      <c r="E473" s="416">
        <f>cbal!E473</f>
        <v>2402628685.4051218</v>
      </c>
      <c r="F473" s="412">
        <f>cbal!F473</f>
        <v>2110278880.323194</v>
      </c>
      <c r="G473" s="412">
        <f>cbal!G473</f>
        <v>1600349193.0541656</v>
      </c>
      <c r="H473" s="509" t="s">
        <v>935</v>
      </c>
      <c r="I473" s="33">
        <v>2402558240.3385458</v>
      </c>
      <c r="J473" t="b">
        <f t="shared" si="87"/>
        <v>0</v>
      </c>
      <c r="L473" s="594"/>
      <c r="N473" s="601">
        <f>cbal!N473</f>
        <v>0</v>
      </c>
    </row>
    <row r="474" spans="2:14">
      <c r="B474" t="s">
        <v>83</v>
      </c>
      <c r="D474" s="326"/>
      <c r="E474" s="457">
        <v>0</v>
      </c>
      <c r="F474" s="505">
        <v>0</v>
      </c>
      <c r="G474" s="505">
        <v>0</v>
      </c>
      <c r="H474" s="509" t="s">
        <v>87</v>
      </c>
      <c r="I474" s="506">
        <v>0</v>
      </c>
      <c r="J474" t="b">
        <f t="shared" si="87"/>
        <v>1</v>
      </c>
      <c r="L474" s="594"/>
      <c r="N474" s="601">
        <v>0</v>
      </c>
    </row>
    <row r="475" spans="2:14">
      <c r="B475" t="s">
        <v>84</v>
      </c>
      <c r="D475" s="326"/>
      <c r="E475" s="457">
        <f>cbal!E475</f>
        <v>0.1900023113894177</v>
      </c>
      <c r="F475" s="505">
        <f>cbal!F475</f>
        <v>0.23508445534709546</v>
      </c>
      <c r="G475" s="505">
        <f>cbal!G475</f>
        <v>0.11622717100445366</v>
      </c>
      <c r="H475" s="509" t="s">
        <v>88</v>
      </c>
      <c r="I475" s="506">
        <v>0.18520250844664068</v>
      </c>
      <c r="J475" t="b">
        <f t="shared" si="87"/>
        <v>0</v>
      </c>
      <c r="L475" s="594"/>
      <c r="N475" s="601">
        <f>cbal!N475</f>
        <v>0</v>
      </c>
    </row>
    <row r="476" spans="2:14">
      <c r="E476" s="172"/>
      <c r="F476" s="34"/>
      <c r="G476" s="34"/>
      <c r="I476" s="33"/>
      <c r="J476" t="b">
        <f t="shared" ref="J476:J507" si="88">MAX(E476:G476)=MIN(E476:G476)</f>
        <v>1</v>
      </c>
      <c r="L476" s="594"/>
      <c r="N476" s="601"/>
    </row>
    <row r="477" spans="2:14">
      <c r="B477" s="3" t="s">
        <v>454</v>
      </c>
      <c r="E477" s="172"/>
      <c r="F477" s="34"/>
      <c r="G477" s="34"/>
      <c r="I477" s="33"/>
      <c r="J477" t="b">
        <f t="shared" si="88"/>
        <v>1</v>
      </c>
      <c r="L477" s="594"/>
      <c r="N477" s="601"/>
    </row>
    <row r="478" spans="2:14">
      <c r="B478" s="4" t="s">
        <v>784</v>
      </c>
      <c r="E478" s="416">
        <v>0</v>
      </c>
      <c r="F478" s="412">
        <v>0</v>
      </c>
      <c r="G478" s="412">
        <v>0</v>
      </c>
      <c r="H478" s="123" t="s">
        <v>781</v>
      </c>
      <c r="I478" s="33">
        <v>0</v>
      </c>
      <c r="J478" t="b">
        <f t="shared" si="88"/>
        <v>1</v>
      </c>
      <c r="L478" s="594"/>
      <c r="N478" s="601">
        <v>0</v>
      </c>
    </row>
    <row r="479" spans="2:14">
      <c r="B479" s="4" t="s">
        <v>785</v>
      </c>
      <c r="E479" s="416">
        <v>0</v>
      </c>
      <c r="F479" s="412">
        <v>0</v>
      </c>
      <c r="G479" s="412">
        <v>0</v>
      </c>
      <c r="H479" s="123" t="s">
        <v>782</v>
      </c>
      <c r="I479" s="33">
        <v>0</v>
      </c>
      <c r="J479" t="b">
        <f t="shared" si="88"/>
        <v>1</v>
      </c>
      <c r="L479" s="594"/>
      <c r="N479" s="601">
        <v>0</v>
      </c>
    </row>
    <row r="480" spans="2:14">
      <c r="B480" s="4" t="s">
        <v>786</v>
      </c>
      <c r="E480" s="416">
        <v>0</v>
      </c>
      <c r="F480" s="412">
        <v>0</v>
      </c>
      <c r="G480" s="412">
        <v>0</v>
      </c>
      <c r="H480" s="123" t="s">
        <v>783</v>
      </c>
      <c r="I480" s="33">
        <v>0</v>
      </c>
      <c r="J480" t="b">
        <f t="shared" si="88"/>
        <v>1</v>
      </c>
      <c r="L480" s="594"/>
      <c r="N480" s="601">
        <v>0</v>
      </c>
    </row>
    <row r="481" spans="2:14">
      <c r="B481" s="4"/>
      <c r="E481" s="416"/>
      <c r="F481" s="412"/>
      <c r="G481" s="412"/>
      <c r="I481" s="33"/>
      <c r="J481" t="b">
        <f t="shared" si="88"/>
        <v>1</v>
      </c>
      <c r="L481" s="594"/>
      <c r="N481" s="601"/>
    </row>
    <row r="482" spans="2:14">
      <c r="B482" s="3" t="s">
        <v>2182</v>
      </c>
      <c r="E482" s="416"/>
      <c r="F482" s="412"/>
      <c r="G482" s="412"/>
      <c r="I482" s="33"/>
      <c r="J482" t="b">
        <f t="shared" si="88"/>
        <v>1</v>
      </c>
      <c r="L482" s="711"/>
      <c r="N482" s="714"/>
    </row>
    <row r="483" spans="2:14">
      <c r="B483" s="4" t="s">
        <v>2183</v>
      </c>
      <c r="E483" s="416">
        <v>0</v>
      </c>
      <c r="F483" s="412">
        <v>0</v>
      </c>
      <c r="G483" s="412">
        <v>0</v>
      </c>
      <c r="H483" s="579" t="s">
        <v>2186</v>
      </c>
      <c r="I483" s="33">
        <v>0</v>
      </c>
      <c r="J483" t="b">
        <f t="shared" si="88"/>
        <v>1</v>
      </c>
      <c r="L483" s="711"/>
      <c r="N483" s="714">
        <v>0</v>
      </c>
    </row>
    <row r="484" spans="2:14">
      <c r="B484" s="4" t="s">
        <v>2184</v>
      </c>
      <c r="E484" s="416">
        <v>0</v>
      </c>
      <c r="F484" s="412">
        <v>0</v>
      </c>
      <c r="G484" s="412">
        <v>0</v>
      </c>
      <c r="H484" s="579" t="s">
        <v>2187</v>
      </c>
      <c r="I484" s="33">
        <v>0</v>
      </c>
      <c r="J484" t="b">
        <f t="shared" si="88"/>
        <v>1</v>
      </c>
      <c r="L484" s="711"/>
      <c r="N484" s="714">
        <v>0</v>
      </c>
    </row>
    <row r="485" spans="2:14">
      <c r="B485" s="4" t="s">
        <v>2185</v>
      </c>
      <c r="E485" s="416">
        <v>0</v>
      </c>
      <c r="F485" s="412">
        <v>0</v>
      </c>
      <c r="G485" s="412">
        <v>0</v>
      </c>
      <c r="H485" s="579" t="s">
        <v>2188</v>
      </c>
      <c r="I485" s="33">
        <v>0</v>
      </c>
      <c r="J485" t="b">
        <f t="shared" si="88"/>
        <v>1</v>
      </c>
      <c r="L485" s="711"/>
      <c r="N485" s="714">
        <v>0</v>
      </c>
    </row>
    <row r="486" spans="2:14">
      <c r="B486" s="4" t="s">
        <v>2185</v>
      </c>
      <c r="E486" s="416">
        <v>0</v>
      </c>
      <c r="F486" s="412">
        <v>0</v>
      </c>
      <c r="G486" s="412">
        <v>0</v>
      </c>
      <c r="H486" s="579" t="s">
        <v>2189</v>
      </c>
      <c r="I486" s="33">
        <v>0</v>
      </c>
      <c r="J486" t="b">
        <f t="shared" si="88"/>
        <v>1</v>
      </c>
      <c r="L486" s="711"/>
      <c r="N486" s="714">
        <v>0</v>
      </c>
    </row>
    <row r="487" spans="2:14">
      <c r="B487" s="4"/>
      <c r="E487" s="539"/>
      <c r="F487" s="517"/>
      <c r="G487" s="517"/>
      <c r="I487" s="33"/>
      <c r="J487" t="b">
        <f t="shared" si="88"/>
        <v>1</v>
      </c>
      <c r="L487" s="711"/>
      <c r="N487" s="714"/>
    </row>
    <row r="488" spans="2:14">
      <c r="B488" s="4" t="s">
        <v>2194</v>
      </c>
      <c r="E488" s="457">
        <v>0</v>
      </c>
      <c r="F488" s="505">
        <v>0</v>
      </c>
      <c r="G488" s="505">
        <v>0</v>
      </c>
      <c r="H488" s="713" t="s">
        <v>2201</v>
      </c>
      <c r="I488" s="33">
        <v>0</v>
      </c>
      <c r="J488" t="b">
        <f t="shared" si="88"/>
        <v>1</v>
      </c>
      <c r="L488" s="711"/>
      <c r="N488" s="714">
        <v>0</v>
      </c>
    </row>
    <row r="489" spans="2:14">
      <c r="B489" s="4" t="s">
        <v>2195</v>
      </c>
      <c r="E489" s="457">
        <v>0</v>
      </c>
      <c r="F489" s="505">
        <v>0</v>
      </c>
      <c r="G489" s="505">
        <v>0</v>
      </c>
      <c r="H489" s="713" t="s">
        <v>2202</v>
      </c>
      <c r="I489" s="33">
        <v>0</v>
      </c>
      <c r="J489" t="b">
        <f t="shared" si="88"/>
        <v>1</v>
      </c>
      <c r="L489" s="711"/>
      <c r="N489" s="714">
        <v>0</v>
      </c>
    </row>
    <row r="490" spans="2:14">
      <c r="B490" s="4" t="s">
        <v>2196</v>
      </c>
      <c r="E490" s="457">
        <v>0</v>
      </c>
      <c r="F490" s="505">
        <v>0</v>
      </c>
      <c r="G490" s="505">
        <v>0</v>
      </c>
      <c r="H490" s="713" t="s">
        <v>2203</v>
      </c>
      <c r="I490" s="33">
        <v>0</v>
      </c>
      <c r="J490" t="b">
        <f t="shared" si="88"/>
        <v>1</v>
      </c>
      <c r="L490" s="711"/>
      <c r="N490" s="714">
        <v>0</v>
      </c>
    </row>
    <row r="491" spans="2:14">
      <c r="B491" s="4" t="s">
        <v>2196</v>
      </c>
      <c r="E491" s="457">
        <v>0</v>
      </c>
      <c r="F491" s="505">
        <v>0</v>
      </c>
      <c r="G491" s="505">
        <v>0</v>
      </c>
      <c r="H491" s="713" t="s">
        <v>2204</v>
      </c>
      <c r="I491" s="33">
        <v>0</v>
      </c>
      <c r="J491" t="b">
        <f t="shared" si="88"/>
        <v>1</v>
      </c>
      <c r="L491" s="711"/>
      <c r="N491" s="714">
        <v>0</v>
      </c>
    </row>
    <row r="492" spans="2:14">
      <c r="B492" s="4"/>
      <c r="E492" s="539"/>
      <c r="F492" s="517"/>
      <c r="G492" s="517"/>
      <c r="I492" s="33"/>
      <c r="J492" t="b">
        <f t="shared" si="88"/>
        <v>1</v>
      </c>
      <c r="L492" s="711"/>
      <c r="N492" s="714"/>
    </row>
    <row r="493" spans="2:14">
      <c r="B493" s="4" t="s">
        <v>2213</v>
      </c>
      <c r="E493" s="416">
        <v>897990999.93957949</v>
      </c>
      <c r="F493" s="412">
        <v>897990999.93957949</v>
      </c>
      <c r="G493" s="412">
        <v>897990999.93957949</v>
      </c>
      <c r="H493" s="713" t="s">
        <v>2197</v>
      </c>
      <c r="I493" s="33">
        <v>897990999.93957949</v>
      </c>
      <c r="J493" t="b">
        <f t="shared" si="88"/>
        <v>1</v>
      </c>
      <c r="L493" s="711"/>
      <c r="N493" s="714">
        <v>897990999.93957949</v>
      </c>
    </row>
    <row r="494" spans="2:14">
      <c r="B494" s="4" t="s">
        <v>2214</v>
      </c>
      <c r="E494" s="457">
        <v>0</v>
      </c>
      <c r="F494" s="505">
        <v>0</v>
      </c>
      <c r="G494" s="505">
        <v>0</v>
      </c>
      <c r="H494" s="713" t="s">
        <v>2198</v>
      </c>
      <c r="I494" s="33">
        <v>0</v>
      </c>
      <c r="J494" t="b">
        <f t="shared" si="88"/>
        <v>1</v>
      </c>
      <c r="L494" s="711"/>
      <c r="N494" s="714">
        <v>0</v>
      </c>
    </row>
    <row r="495" spans="2:14">
      <c r="B495" s="4" t="s">
        <v>2215</v>
      </c>
      <c r="E495" s="457">
        <v>0</v>
      </c>
      <c r="F495" s="505">
        <v>0</v>
      </c>
      <c r="G495" s="505">
        <v>0</v>
      </c>
      <c r="H495" s="713" t="s">
        <v>2199</v>
      </c>
      <c r="I495" s="33">
        <v>0</v>
      </c>
      <c r="J495" t="b">
        <f t="shared" si="88"/>
        <v>1</v>
      </c>
      <c r="L495" s="711"/>
      <c r="N495" s="714">
        <v>0</v>
      </c>
    </row>
    <row r="496" spans="2:14">
      <c r="B496" s="4" t="s">
        <v>2215</v>
      </c>
      <c r="E496" s="457">
        <v>0</v>
      </c>
      <c r="F496" s="505">
        <v>0</v>
      </c>
      <c r="G496" s="505">
        <v>0</v>
      </c>
      <c r="H496" s="713" t="s">
        <v>2200</v>
      </c>
      <c r="I496" s="33">
        <v>0</v>
      </c>
      <c r="J496" t="b">
        <f t="shared" si="88"/>
        <v>1</v>
      </c>
      <c r="L496" s="711"/>
      <c r="N496" s="714">
        <v>0</v>
      </c>
    </row>
    <row r="497" spans="1:15">
      <c r="B497" s="4"/>
      <c r="E497" s="539"/>
      <c r="F497" s="517"/>
      <c r="G497" s="517"/>
      <c r="I497" s="33"/>
      <c r="J497" t="b">
        <f t="shared" ref="J497:J501" si="89">MAX(E497:G497)=MIN(E497:G497)</f>
        <v>1</v>
      </c>
      <c r="L497" s="711"/>
      <c r="N497" s="714"/>
    </row>
    <row r="498" spans="1:15">
      <c r="B498" s="4" t="s">
        <v>2216</v>
      </c>
      <c r="E498" s="457">
        <v>0</v>
      </c>
      <c r="F498" s="505">
        <v>0</v>
      </c>
      <c r="G498" s="505">
        <v>0</v>
      </c>
      <c r="H498" s="713" t="s">
        <v>2219</v>
      </c>
      <c r="I498" s="33">
        <v>0</v>
      </c>
      <c r="J498" t="b">
        <f t="shared" si="89"/>
        <v>1</v>
      </c>
      <c r="L498" s="711"/>
      <c r="N498" s="714">
        <v>0</v>
      </c>
    </row>
    <row r="499" spans="1:15">
      <c r="B499" s="4" t="s">
        <v>2217</v>
      </c>
      <c r="E499" s="457">
        <v>0</v>
      </c>
      <c r="F499" s="505">
        <v>0</v>
      </c>
      <c r="G499" s="505">
        <v>0</v>
      </c>
      <c r="H499" s="713" t="s">
        <v>2220</v>
      </c>
      <c r="I499" s="33">
        <v>0</v>
      </c>
      <c r="J499" t="b">
        <f t="shared" si="89"/>
        <v>1</v>
      </c>
      <c r="L499" s="711"/>
      <c r="N499" s="714">
        <v>0</v>
      </c>
    </row>
    <row r="500" spans="1:15">
      <c r="B500" s="4" t="s">
        <v>2218</v>
      </c>
      <c r="E500" s="457">
        <v>0</v>
      </c>
      <c r="F500" s="505">
        <v>0</v>
      </c>
      <c r="G500" s="505">
        <v>0</v>
      </c>
      <c r="H500" s="713" t="s">
        <v>2221</v>
      </c>
      <c r="I500" s="33">
        <v>0</v>
      </c>
      <c r="J500" t="b">
        <f t="shared" si="89"/>
        <v>1</v>
      </c>
      <c r="L500" s="711"/>
      <c r="N500" s="714">
        <v>0</v>
      </c>
    </row>
    <row r="501" spans="1:15">
      <c r="B501" s="4" t="s">
        <v>2218</v>
      </c>
      <c r="E501" s="457">
        <v>0</v>
      </c>
      <c r="F501" s="505">
        <v>0</v>
      </c>
      <c r="G501" s="505">
        <v>0</v>
      </c>
      <c r="H501" s="713" t="s">
        <v>2222</v>
      </c>
      <c r="I501" s="33">
        <v>0</v>
      </c>
      <c r="J501" t="b">
        <f t="shared" si="89"/>
        <v>1</v>
      </c>
      <c r="L501" s="711"/>
      <c r="N501" s="714">
        <v>0</v>
      </c>
    </row>
    <row r="502" spans="1:15">
      <c r="B502" s="4"/>
      <c r="E502" s="539"/>
      <c r="F502" s="517"/>
      <c r="G502" s="517"/>
      <c r="I502" s="33"/>
      <c r="J502" t="b">
        <f t="shared" ref="J502:J506" si="90">MAX(E502:G502)=MIN(E502:G502)</f>
        <v>1</v>
      </c>
      <c r="L502" s="711"/>
      <c r="N502" s="714"/>
    </row>
    <row r="503" spans="1:15">
      <c r="B503" s="4" t="s">
        <v>2227</v>
      </c>
      <c r="E503" s="457">
        <v>0</v>
      </c>
      <c r="F503" s="505">
        <v>0</v>
      </c>
      <c r="G503" s="505">
        <v>0</v>
      </c>
      <c r="H503" s="713" t="s">
        <v>2234</v>
      </c>
      <c r="I503" s="33">
        <v>0</v>
      </c>
      <c r="J503" t="b">
        <f t="shared" si="90"/>
        <v>1</v>
      </c>
      <c r="L503" s="711"/>
      <c r="N503" s="714">
        <v>0</v>
      </c>
    </row>
    <row r="504" spans="1:15">
      <c r="B504" s="4" t="s">
        <v>2229</v>
      </c>
      <c r="E504" s="457">
        <v>0</v>
      </c>
      <c r="F504" s="505">
        <v>0</v>
      </c>
      <c r="G504" s="505">
        <v>0</v>
      </c>
      <c r="H504" s="713" t="s">
        <v>2235</v>
      </c>
      <c r="I504" s="33">
        <v>0</v>
      </c>
      <c r="J504" t="b">
        <f t="shared" si="90"/>
        <v>1</v>
      </c>
      <c r="L504" s="711"/>
      <c r="N504" s="714">
        <v>0</v>
      </c>
    </row>
    <row r="505" spans="1:15">
      <c r="B505" s="4" t="s">
        <v>2231</v>
      </c>
      <c r="E505" s="457">
        <v>0</v>
      </c>
      <c r="F505" s="505">
        <v>0</v>
      </c>
      <c r="G505" s="505">
        <v>0</v>
      </c>
      <c r="H505" s="713" t="s">
        <v>2236</v>
      </c>
      <c r="I505" s="33">
        <v>0</v>
      </c>
      <c r="J505" t="b">
        <f t="shared" si="90"/>
        <v>1</v>
      </c>
      <c r="L505" s="711"/>
      <c r="N505" s="714">
        <v>0</v>
      </c>
    </row>
    <row r="506" spans="1:15">
      <c r="B506" s="4" t="s">
        <v>2231</v>
      </c>
      <c r="E506" s="457">
        <v>0</v>
      </c>
      <c r="F506" s="505">
        <v>0</v>
      </c>
      <c r="G506" s="505">
        <v>0</v>
      </c>
      <c r="H506" s="713" t="s">
        <v>2237</v>
      </c>
      <c r="I506" s="33">
        <v>0</v>
      </c>
      <c r="J506" t="b">
        <f t="shared" si="90"/>
        <v>1</v>
      </c>
      <c r="L506" s="711"/>
      <c r="N506" s="714">
        <v>0</v>
      </c>
    </row>
    <row r="507" spans="1:15" ht="11.45" customHeight="1">
      <c r="B507" s="4"/>
      <c r="E507" s="539"/>
      <c r="F507" s="517"/>
      <c r="G507" s="517"/>
      <c r="I507" s="33"/>
      <c r="J507" t="b">
        <f t="shared" si="88"/>
        <v>1</v>
      </c>
      <c r="L507" s="711"/>
      <c r="N507" s="714"/>
    </row>
    <row r="508" spans="1:15" ht="11.45" customHeight="1">
      <c r="E508" s="172"/>
      <c r="F508" s="34"/>
      <c r="G508" s="34"/>
      <c r="J508" t="b">
        <f t="shared" si="87"/>
        <v>1</v>
      </c>
      <c r="L508" s="594"/>
      <c r="N508" s="601"/>
    </row>
    <row r="509" spans="1:15" ht="11.45" customHeight="1">
      <c r="A509" s="32"/>
      <c r="B509" s="32"/>
      <c r="C509" s="32"/>
      <c r="D509" s="32"/>
      <c r="E509" s="32"/>
      <c r="F509" s="32"/>
      <c r="G509" s="32"/>
      <c r="H509" s="510"/>
      <c r="I509" s="32"/>
      <c r="J509" s="32"/>
      <c r="K509" s="32"/>
      <c r="L509" s="32"/>
      <c r="M509" s="32"/>
      <c r="N509" s="32"/>
      <c r="O509" s="32"/>
    </row>
    <row r="513" spans="8:8" ht="11.25" customHeight="1"/>
    <row r="514" spans="8:8" ht="11.25" customHeight="1"/>
    <row r="515" spans="8:8" ht="11.25" customHeight="1">
      <c r="H515"/>
    </row>
    <row r="516" spans="8:8" ht="11.25" customHeight="1">
      <c r="H516"/>
    </row>
    <row r="517" spans="8:8" ht="11.25" customHeight="1">
      <c r="H517"/>
    </row>
    <row r="518" spans="8:8" ht="11.25" customHeight="1">
      <c r="H518"/>
    </row>
    <row r="519" spans="8:8" ht="11.25" customHeight="1">
      <c r="H519"/>
    </row>
    <row r="520" spans="8:8" ht="11.25" customHeight="1"/>
    <row r="521" spans="8:8" ht="11.25" customHeight="1"/>
    <row r="522" spans="8:8" ht="11.25" customHeight="1"/>
    <row r="523" spans="8:8" ht="11.25" customHeight="1"/>
    <row r="524" spans="8:8" ht="11.25" customHeight="1"/>
    <row r="525" spans="8:8" ht="11.25" customHeight="1"/>
    <row r="526" spans="8:8" ht="11.25" customHeight="1"/>
    <row r="527" spans="8:8" ht="11.25" customHeight="1"/>
    <row r="528" spans="8:8" ht="11.25" customHeight="1"/>
    <row r="529" spans="6:7" ht="11.25" customHeight="1"/>
    <row r="530" spans="6:7" ht="11.25" customHeight="1"/>
    <row r="531" spans="6:7" ht="11.25" customHeight="1"/>
    <row r="532" spans="6:7" ht="11.25" customHeight="1"/>
    <row r="533" spans="6:7" ht="11.25" customHeight="1"/>
    <row r="534" spans="6:7" ht="11.25" customHeight="1"/>
    <row r="535" spans="6:7" ht="11.25" customHeight="1"/>
    <row r="536" spans="6:7" ht="11.25" customHeight="1"/>
    <row r="537" spans="6:7" ht="11.25" customHeight="1"/>
    <row r="538" spans="6:7" ht="11.25" customHeight="1"/>
    <row r="539" spans="6:7">
      <c r="F539" s="326"/>
      <c r="G539" s="326"/>
    </row>
  </sheetData>
  <phoneticPr fontId="0" type="noConversion"/>
  <conditionalFormatting sqref="D24">
    <cfRule type="cellIs" dxfId="56" priority="32" stopIfTrue="1" operator="notEqual">
      <formula>$E$24</formula>
    </cfRule>
  </conditionalFormatting>
  <conditionalFormatting sqref="D31">
    <cfRule type="cellIs" dxfId="55" priority="33" stopIfTrue="1" operator="notEqual">
      <formula>$E$31</formula>
    </cfRule>
  </conditionalFormatting>
  <conditionalFormatting sqref="D40">
    <cfRule type="cellIs" dxfId="54" priority="34" stopIfTrue="1" operator="notEqual">
      <formula>$E$40</formula>
    </cfRule>
  </conditionalFormatting>
  <conditionalFormatting sqref="D44">
    <cfRule type="cellIs" dxfId="53" priority="35" stopIfTrue="1" operator="notEqual">
      <formula>$E$44</formula>
    </cfRule>
  </conditionalFormatting>
  <conditionalFormatting sqref="D51">
    <cfRule type="cellIs" dxfId="52" priority="36" stopIfTrue="1" operator="notEqual">
      <formula>$E$51</formula>
    </cfRule>
  </conditionalFormatting>
  <conditionalFormatting sqref="D52">
    <cfRule type="cellIs" dxfId="51" priority="37" stopIfTrue="1" operator="notEqual">
      <formula>$E$52</formula>
    </cfRule>
  </conditionalFormatting>
  <conditionalFormatting sqref="D17">
    <cfRule type="cellIs" dxfId="50" priority="38" stopIfTrue="1" operator="notEqual">
      <formula>$E$17</formula>
    </cfRule>
  </conditionalFormatting>
  <conditionalFormatting sqref="D29">
    <cfRule type="cellIs" dxfId="49" priority="39" stopIfTrue="1" operator="notEqual">
      <formula>$E$29</formula>
    </cfRule>
  </conditionalFormatting>
  <conditionalFormatting sqref="J508 J134:J138 J470:J485 J140:J170 J172:J202 J204:J309 J4:J132 J361:J438 J463:J468">
    <cfRule type="cellIs" dxfId="48" priority="31" operator="notEqual">
      <formula>TRUE</formula>
    </cfRule>
  </conditionalFormatting>
  <conditionalFormatting sqref="J133">
    <cfRule type="cellIs" dxfId="47" priority="24" operator="notEqual">
      <formula>TRUE</formula>
    </cfRule>
  </conditionalFormatting>
  <conditionalFormatting sqref="J487">
    <cfRule type="cellIs" dxfId="46" priority="23" operator="notEqual">
      <formula>TRUE</formula>
    </cfRule>
  </conditionalFormatting>
  <conditionalFormatting sqref="J486">
    <cfRule type="cellIs" dxfId="45" priority="22" operator="notEqual">
      <formula>TRUE</formula>
    </cfRule>
  </conditionalFormatting>
  <conditionalFormatting sqref="J488:J490">
    <cfRule type="cellIs" dxfId="44" priority="21" operator="notEqual">
      <formula>TRUE</formula>
    </cfRule>
  </conditionalFormatting>
  <conditionalFormatting sqref="J507">
    <cfRule type="cellIs" dxfId="43" priority="20" operator="notEqual">
      <formula>TRUE</formula>
    </cfRule>
  </conditionalFormatting>
  <conditionalFormatting sqref="J491">
    <cfRule type="cellIs" dxfId="42" priority="19" operator="notEqual">
      <formula>TRUE</formula>
    </cfRule>
  </conditionalFormatting>
  <conditionalFormatting sqref="J492">
    <cfRule type="cellIs" dxfId="41" priority="18" operator="notEqual">
      <formula>TRUE</formula>
    </cfRule>
  </conditionalFormatting>
  <conditionalFormatting sqref="J493:J495">
    <cfRule type="cellIs" dxfId="40" priority="17" operator="notEqual">
      <formula>TRUE</formula>
    </cfRule>
  </conditionalFormatting>
  <conditionalFormatting sqref="J496">
    <cfRule type="cellIs" dxfId="39" priority="16" operator="notEqual">
      <formula>TRUE</formula>
    </cfRule>
  </conditionalFormatting>
  <conditionalFormatting sqref="J497">
    <cfRule type="cellIs" dxfId="38" priority="15" operator="notEqual">
      <formula>TRUE</formula>
    </cfRule>
  </conditionalFormatting>
  <conditionalFormatting sqref="J498:J500">
    <cfRule type="cellIs" dxfId="37" priority="14" operator="notEqual">
      <formula>TRUE</formula>
    </cfRule>
  </conditionalFormatting>
  <conditionalFormatting sqref="J501">
    <cfRule type="cellIs" dxfId="36" priority="13" operator="notEqual">
      <formula>TRUE</formula>
    </cfRule>
  </conditionalFormatting>
  <conditionalFormatting sqref="J502">
    <cfRule type="cellIs" dxfId="35" priority="12" operator="notEqual">
      <formula>TRUE</formula>
    </cfRule>
  </conditionalFormatting>
  <conditionalFormatting sqref="J503:J505">
    <cfRule type="cellIs" dxfId="34" priority="11" operator="notEqual">
      <formula>TRUE</formula>
    </cfRule>
  </conditionalFormatting>
  <conditionalFormatting sqref="J506">
    <cfRule type="cellIs" dxfId="33" priority="10" operator="notEqual">
      <formula>TRUE</formula>
    </cfRule>
  </conditionalFormatting>
  <conditionalFormatting sqref="J469">
    <cfRule type="cellIs" dxfId="32" priority="8" operator="notEqual">
      <formula>TRUE</formula>
    </cfRule>
  </conditionalFormatting>
  <conditionalFormatting sqref="J139">
    <cfRule type="cellIs" dxfId="31" priority="7" operator="notEqual">
      <formula>TRUE</formula>
    </cfRule>
  </conditionalFormatting>
  <conditionalFormatting sqref="J171">
    <cfRule type="cellIs" dxfId="30" priority="6" operator="notEqual">
      <formula>TRUE</formula>
    </cfRule>
  </conditionalFormatting>
  <conditionalFormatting sqref="J203">
    <cfRule type="cellIs" dxfId="29" priority="5" operator="notEqual">
      <formula>TRUE</formula>
    </cfRule>
  </conditionalFormatting>
  <conditionalFormatting sqref="J310:J333">
    <cfRule type="cellIs" dxfId="28" priority="3" operator="notEqual">
      <formula>TRUE</formula>
    </cfRule>
  </conditionalFormatting>
  <conditionalFormatting sqref="J334:J360">
    <cfRule type="cellIs" dxfId="27" priority="2" operator="notEqual">
      <formula>TRUE</formula>
    </cfRule>
  </conditionalFormatting>
  <conditionalFormatting sqref="J439:J462">
    <cfRule type="cellIs" dxfId="26" priority="1" operator="notEqual">
      <formula>TRUE</formula>
    </cfRule>
  </conditionalFormatting>
  <pageMargins left="0.5" right="0.5" top="0.5" bottom="0.5" header="0.5" footer="0.5"/>
  <pageSetup orientation="portrait" r:id="rId1"/>
  <headerFooter alignWithMargins="0"/>
  <ignoredErrors>
    <ignoredError sqref="D40" formulaRange="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bal" enableFormatConditionsCalculation="0">
    <tabColor indexed="11"/>
  </sheetPr>
  <dimension ref="A1:Q509"/>
  <sheetViews>
    <sheetView workbookViewId="0">
      <pane xSplit="4" ySplit="1" topLeftCell="E66" activePane="bottomRight" state="frozen"/>
      <selection activeCell="H360" sqref="H360:H384"/>
      <selection pane="topRight" activeCell="H360" sqref="H360:H384"/>
      <selection pane="bottomLeft" activeCell="H360" sqref="H360:H384"/>
      <selection pane="bottomRight" activeCell="E21" sqref="E21:G21"/>
    </sheetView>
  </sheetViews>
  <sheetFormatPr defaultRowHeight="11.25"/>
  <cols>
    <col min="1" max="1" width="1.83203125" customWidth="1"/>
    <col min="2" max="2" width="26" customWidth="1"/>
    <col min="3" max="3" width="10.83203125" customWidth="1"/>
    <col min="4" max="4" width="15.83203125" customWidth="1"/>
    <col min="5" max="5" width="22.5" customWidth="1"/>
    <col min="6" max="7" width="25" customWidth="1"/>
    <col min="8" max="8" width="21.6640625" style="123" customWidth="1"/>
    <col min="9" max="9" width="1.33203125" customWidth="1"/>
  </cols>
  <sheetData>
    <row r="1" spans="1:8" s="140" customFormat="1" ht="15.75">
      <c r="A1" s="138" t="s">
        <v>625</v>
      </c>
      <c r="E1" s="138" t="s">
        <v>1231</v>
      </c>
      <c r="F1" s="138" t="s">
        <v>1232</v>
      </c>
      <c r="G1" s="138" t="s">
        <v>1233</v>
      </c>
      <c r="H1" s="512"/>
    </row>
    <row r="2" spans="1:8">
      <c r="A2" s="3" t="s">
        <v>1234</v>
      </c>
      <c r="E2">
        <v>1</v>
      </c>
      <c r="F2">
        <v>2</v>
      </c>
      <c r="G2">
        <v>3</v>
      </c>
    </row>
    <row r="3" spans="1:8">
      <c r="A3" s="3" t="s">
        <v>367</v>
      </c>
      <c r="E3" t="s">
        <v>1003</v>
      </c>
    </row>
    <row r="4" spans="1:8">
      <c r="B4" t="s">
        <v>1235</v>
      </c>
      <c r="E4" s="169">
        <f>finCashClosingValue</f>
        <v>840642482.06400204</v>
      </c>
      <c r="F4" s="169">
        <f>finCashClosingValue</f>
        <v>786999650.95779192</v>
      </c>
      <c r="G4" s="169">
        <f>finCashClosingValue</f>
        <v>399301585.36062551</v>
      </c>
      <c r="H4" s="123" t="s">
        <v>503</v>
      </c>
    </row>
    <row r="5" spans="1:8">
      <c r="E5" s="169"/>
      <c r="F5" s="169"/>
      <c r="G5" s="169"/>
    </row>
    <row r="6" spans="1:8">
      <c r="B6" t="str">
        <f>"Accounts Receivable "&amp; DataNameProd1</f>
        <v>Accounts Receivable Growth</v>
      </c>
      <c r="E6" s="169">
        <f>finPNLProd1Rev*(paramCreditDays+paramInternalCreditDays)/paramDaysPerYear</f>
        <v>385245918.45701176</v>
      </c>
      <c r="F6" s="169">
        <f>finPNLProd1Rev*(paramCreditDays+paramInternalCreditDays)/paramDaysPerYear</f>
        <v>345655991.39425725</v>
      </c>
      <c r="G6" s="169">
        <f>finPNLProd1Rev*(paramCreditDays+paramInternalCreditDays)/paramDaysPerYear</f>
        <v>256843496.8725639</v>
      </c>
      <c r="H6" s="123" t="s">
        <v>1097</v>
      </c>
    </row>
    <row r="7" spans="1:8">
      <c r="B7" t="str">
        <f>"Accounts Receivable "&amp; DataNameProd2</f>
        <v>Accounts Receivable Transform</v>
      </c>
      <c r="E7" s="169">
        <f>finPNLProd2Rev*(paramCreditDays+paramInternalCreditDays)/paramDaysPerYear</f>
        <v>460778104.05029732</v>
      </c>
      <c r="F7" s="169">
        <f>finPNLProd2Rev*(paramCreditDays+paramInternalCreditDays)/paramDaysPerYear</f>
        <v>404711018.14417422</v>
      </c>
      <c r="G7" s="169">
        <f>finPNLProd2Rev*(paramCreditDays+paramInternalCreditDays)/paramDaysPerYear</f>
        <v>306916283.59942901</v>
      </c>
      <c r="H7" s="123" t="s">
        <v>1098</v>
      </c>
    </row>
    <row r="8" spans="1:8">
      <c r="B8" t="s">
        <v>474</v>
      </c>
      <c r="E8" s="170">
        <f>SUM(E6:E7)</f>
        <v>846024022.50730908</v>
      </c>
      <c r="F8" s="170">
        <f t="shared" ref="F8:G8" si="0">SUM(F6:F7)</f>
        <v>750367009.53843141</v>
      </c>
      <c r="G8" s="170">
        <f t="shared" si="0"/>
        <v>563759780.47199297</v>
      </c>
      <c r="H8" s="123" t="s">
        <v>260</v>
      </c>
    </row>
    <row r="9" spans="1:8" ht="5.0999999999999996" customHeight="1">
      <c r="B9" s="185"/>
      <c r="C9" s="185"/>
      <c r="D9" s="185"/>
      <c r="E9" s="216"/>
      <c r="F9" s="216"/>
      <c r="G9" s="216"/>
    </row>
    <row r="10" spans="1:8">
      <c r="B10" s="3" t="s">
        <v>635</v>
      </c>
      <c r="E10" s="169">
        <f>SUM(E4,E8:E9)</f>
        <v>1686666504.571311</v>
      </c>
      <c r="F10" s="169">
        <f t="shared" ref="F10:G10" si="1">SUM(F4,F8:F9)</f>
        <v>1537366660.4962234</v>
      </c>
      <c r="G10" s="169">
        <f t="shared" si="1"/>
        <v>963061365.83261847</v>
      </c>
    </row>
    <row r="11" spans="1:8">
      <c r="B11" s="3"/>
      <c r="E11" s="169"/>
      <c r="F11" s="169"/>
      <c r="G11" s="169"/>
    </row>
    <row r="12" spans="1:8">
      <c r="B12" t="s">
        <v>1568</v>
      </c>
      <c r="E12" s="169">
        <f>obalOtherCurrentAssets</f>
        <v>325283747</v>
      </c>
      <c r="F12" s="169">
        <f>obalOtherCurrentAssets</f>
        <v>325283747</v>
      </c>
      <c r="G12" s="169">
        <f>obalOtherCurrentAssets</f>
        <v>325283747</v>
      </c>
      <c r="H12" s="579"/>
    </row>
    <row r="13" spans="1:8" ht="5.0999999999999996" customHeight="1">
      <c r="B13" s="185"/>
      <c r="C13" s="185"/>
      <c r="D13" s="185"/>
      <c r="E13" s="216"/>
      <c r="F13" s="216"/>
      <c r="G13" s="216"/>
    </row>
    <row r="14" spans="1:8">
      <c r="B14" s="3" t="s">
        <v>1569</v>
      </c>
      <c r="E14" s="170">
        <f>SUM(E12:E13)</f>
        <v>325283747</v>
      </c>
      <c r="F14" s="170">
        <f t="shared" ref="F14:G14" si="2">SUM(F12:F13)</f>
        <v>325283747</v>
      </c>
      <c r="G14" s="170">
        <f t="shared" si="2"/>
        <v>325283747</v>
      </c>
      <c r="H14" s="579" t="s">
        <v>1730</v>
      </c>
    </row>
    <row r="15" spans="1:8">
      <c r="B15" s="3"/>
      <c r="E15" s="169"/>
      <c r="F15" s="169"/>
      <c r="G15" s="169"/>
    </row>
    <row r="16" spans="1:8" ht="5.0999999999999996" customHeight="1">
      <c r="B16" s="119"/>
      <c r="C16" s="119"/>
      <c r="D16" s="185"/>
      <c r="E16" s="216"/>
      <c r="F16" s="216"/>
      <c r="G16" s="216"/>
    </row>
    <row r="17" spans="1:8">
      <c r="A17" s="3" t="s">
        <v>366</v>
      </c>
      <c r="E17" s="170">
        <f>SUM(E10,E14)</f>
        <v>2011950251.571311</v>
      </c>
      <c r="F17" s="170">
        <f t="shared" ref="F17:G17" si="3">SUM(F10,F14)</f>
        <v>1862650407.4962234</v>
      </c>
      <c r="G17" s="170">
        <f t="shared" si="3"/>
        <v>1288345112.8326185</v>
      </c>
    </row>
    <row r="18" spans="1:8">
      <c r="A18" s="3" t="s">
        <v>368</v>
      </c>
      <c r="E18" s="169"/>
      <c r="F18" s="169"/>
      <c r="G18" s="169"/>
    </row>
    <row r="19" spans="1:8">
      <c r="B19" t="str">
        <f>"Plant " &amp; DataNamePlant1</f>
        <v>Plant Data Center</v>
      </c>
      <c r="E19" s="169">
        <f>obalPlant1Value-capPlant1Depreciation-capPlant1DivestmentValue+capPlant1Investment</f>
        <v>1113750000</v>
      </c>
      <c r="F19" s="169">
        <f>obalPlant1Value-capPlant1Depreciation-capPlant1DivestmentValue+capPlant1Investment</f>
        <v>668250000</v>
      </c>
      <c r="G19" s="169">
        <f>obalPlant1Value-capPlant1Depreciation-capPlant1DivestmentValue+capPlant1Investment</f>
        <v>556875000</v>
      </c>
      <c r="H19" s="123" t="s">
        <v>261</v>
      </c>
    </row>
    <row r="20" spans="1:8">
      <c r="B20" s="565" t="s">
        <v>1641</v>
      </c>
      <c r="E20" s="169">
        <f>obalPlant2Value-capPlant2Depreciation-capPlant2DivestmentValue+capPlant2Investment+capGlobalExpansionCapEx+capAcquistionCapEx</f>
        <v>306000000</v>
      </c>
      <c r="F20" s="169">
        <f>obalPlant2Value-capPlant2Depreciation-capPlant2DivestmentValue+capPlant2Investment+capGlobalExpansionCapEx+capAcquistionCapEx</f>
        <v>315000000</v>
      </c>
      <c r="G20" s="169">
        <f>obalPlant2Value-capPlant2Depreciation-capPlant2DivestmentValue+capPlant2Investment+capGlobalExpansionCapEx+capAcquistionCapEx</f>
        <v>306000000</v>
      </c>
      <c r="H20" s="123" t="s">
        <v>1683</v>
      </c>
    </row>
    <row r="21" spans="1:8">
      <c r="B21" s="565" t="str">
        <f>DataNameProd1 &amp; " Software"</f>
        <v>Growth Software</v>
      </c>
      <c r="E21" s="169">
        <f>obalProd1SoftwareValue-capProd1SoftwareAmortization+capProd1SoftwareInvestment</f>
        <v>262591303.21017563</v>
      </c>
      <c r="F21" s="169">
        <f>obalProd1SoftwareValue-capProd1SoftwareAmortization+capProd1SoftwareInvestment</f>
        <v>228792030.04239854</v>
      </c>
      <c r="G21" s="169">
        <f>obalProd1SoftwareValue-capProd1SoftwareAmortization+capProd1SoftwareInvestment</f>
        <v>289629754.45424139</v>
      </c>
      <c r="H21" s="579" t="s">
        <v>1706</v>
      </c>
    </row>
    <row r="22" spans="1:8">
      <c r="B22" s="565" t="str">
        <f>DataNameProd2 &amp; " Software"</f>
        <v>Transform Software</v>
      </c>
      <c r="E22" s="169">
        <f>obalProd2SoftwareValue-capProd2SoftwareAmortization+capProd2SoftwareInvestment</f>
        <v>354728081.40520895</v>
      </c>
      <c r="F22" s="169">
        <f>obalProd2SoftwareValue-capProd2SoftwareAmortization+capProd2SoftwareInvestment</f>
        <v>358027536.28104174</v>
      </c>
      <c r="G22" s="169">
        <f>obalProd2SoftwareValue-capProd2SoftwareAmortization+capProd2SoftwareInvestment</f>
        <v>360485981.63575554</v>
      </c>
      <c r="H22" s="579" t="s">
        <v>1707</v>
      </c>
    </row>
    <row r="23" spans="1:8" ht="5.0999999999999996" customHeight="1">
      <c r="B23" s="119"/>
      <c r="C23" s="119"/>
      <c r="D23" s="185"/>
      <c r="E23" s="216"/>
      <c r="F23" s="216"/>
      <c r="G23" s="216"/>
    </row>
    <row r="24" spans="1:8">
      <c r="A24" s="3" t="s">
        <v>369</v>
      </c>
      <c r="E24" s="170">
        <f>SUM(E19:E23)</f>
        <v>2037069384.6153846</v>
      </c>
      <c r="F24" s="170">
        <f t="shared" ref="F24:G24" si="4">SUM(F19:F23)</f>
        <v>1570069566.3234401</v>
      </c>
      <c r="G24" s="170">
        <f t="shared" si="4"/>
        <v>1512990736.0899968</v>
      </c>
      <c r="H24" s="123" t="s">
        <v>726</v>
      </c>
    </row>
    <row r="25" spans="1:8">
      <c r="A25" s="3"/>
      <c r="E25" s="170"/>
      <c r="F25" s="170"/>
      <c r="G25" s="170"/>
    </row>
    <row r="26" spans="1:8">
      <c r="A26" s="3"/>
      <c r="B26" s="565" t="s">
        <v>1639</v>
      </c>
      <c r="E26" s="602">
        <f>obalOtherValue</f>
        <v>3080400000</v>
      </c>
      <c r="F26" s="602">
        <f>obalOtherValue</f>
        <v>3080400000</v>
      </c>
      <c r="G26" s="602">
        <f>obalOtherValue</f>
        <v>3080400000</v>
      </c>
      <c r="H26" s="123" t="s">
        <v>620</v>
      </c>
    </row>
    <row r="27" spans="1:8">
      <c r="A27" s="3"/>
      <c r="B27" s="565" t="s">
        <v>1640</v>
      </c>
      <c r="E27" s="602">
        <f>obalGoodwillValue+(paramSpecProgProd1AcqCapEx+paramSpecProgProd2AcqCapEx)*paramGoodwillPerc</f>
        <v>5527040000</v>
      </c>
      <c r="F27" s="602">
        <f>obalGoodwillValue+(paramSpecProgProd1AcqCapEx+paramSpecProgProd2AcqCapEx)*paramGoodwillPerc</f>
        <v>5527040000</v>
      </c>
      <c r="G27" s="602">
        <f>obalGoodwillValue+(paramSpecProgProd1AcqCapEx+paramSpecProgProd2AcqCapEx)*paramGoodwillPerc</f>
        <v>5527040000</v>
      </c>
      <c r="H27" s="588" t="s">
        <v>1719</v>
      </c>
    </row>
    <row r="28" spans="1:8" ht="5.0999999999999996" customHeight="1">
      <c r="B28" s="119"/>
      <c r="C28" s="119"/>
      <c r="D28" s="185"/>
      <c r="E28" s="216"/>
      <c r="F28" s="216"/>
      <c r="G28" s="216"/>
    </row>
    <row r="29" spans="1:8">
      <c r="A29" s="3" t="s">
        <v>712</v>
      </c>
      <c r="E29" s="170">
        <f>SUM(E26:E28)</f>
        <v>8607440000</v>
      </c>
      <c r="F29" s="170">
        <f t="shared" ref="F29:G29" si="5">SUM(F26:F28)</f>
        <v>8607440000</v>
      </c>
      <c r="G29" s="170">
        <f t="shared" si="5"/>
        <v>8607440000</v>
      </c>
      <c r="H29" s="579" t="s">
        <v>1720</v>
      </c>
    </row>
    <row r="30" spans="1:8">
      <c r="A30" s="3"/>
      <c r="E30" s="170"/>
      <c r="F30" s="170"/>
      <c r="G30" s="170"/>
    </row>
    <row r="31" spans="1:8">
      <c r="A31" s="3" t="s">
        <v>370</v>
      </c>
      <c r="D31" s="14"/>
      <c r="E31" s="170">
        <f>E24+E17+E29</f>
        <v>12656459636.186695</v>
      </c>
      <c r="F31" s="170">
        <f t="shared" ref="F31:G31" si="6">F24+F17+F29</f>
        <v>12040159973.819664</v>
      </c>
      <c r="G31" s="170">
        <f t="shared" si="6"/>
        <v>11408775848.922615</v>
      </c>
      <c r="H31" s="123" t="s">
        <v>397</v>
      </c>
    </row>
    <row r="32" spans="1:8">
      <c r="E32" s="169"/>
      <c r="F32" s="169"/>
      <c r="G32" s="169"/>
    </row>
    <row r="33" spans="1:8">
      <c r="A33" s="3" t="s">
        <v>371</v>
      </c>
      <c r="E33" s="169"/>
      <c r="F33" s="169"/>
      <c r="G33" s="169"/>
    </row>
    <row r="34" spans="1:8">
      <c r="A34" s="3" t="s">
        <v>372</v>
      </c>
      <c r="E34" s="169"/>
      <c r="F34" s="169"/>
      <c r="G34" s="169"/>
    </row>
    <row r="35" spans="1:8">
      <c r="B35" s="4" t="s">
        <v>373</v>
      </c>
      <c r="E35" s="169">
        <f>finCashExpense*(paramAPDays/paramDaysPerYear)</f>
        <v>893466533.34368575</v>
      </c>
      <c r="F35" s="169">
        <f>finCashExpense*(paramAPDays/paramDaysPerYear)</f>
        <v>749828786.15628517</v>
      </c>
      <c r="G35" s="169">
        <f>finCashExpense*(paramAPDays/paramDaysPerYear)</f>
        <v>640969510.29715896</v>
      </c>
      <c r="H35" s="123" t="s">
        <v>262</v>
      </c>
    </row>
    <row r="36" spans="1:8">
      <c r="B36" s="4" t="s">
        <v>374</v>
      </c>
      <c r="E36" s="169">
        <f>obalOtherCurrLiabValue*(1+paramOtherCurrLiabGrowth)</f>
        <v>164253370.815</v>
      </c>
      <c r="F36" s="169">
        <f>obalOtherCurrLiabValue*(1+paramOtherCurrLiabGrowth)</f>
        <v>164253370.815</v>
      </c>
      <c r="G36" s="169">
        <f>obalOtherCurrLiabValue*(1+paramOtherCurrLiabGrowth)</f>
        <v>164253370.815</v>
      </c>
      <c r="H36" s="123" t="s">
        <v>263</v>
      </c>
    </row>
    <row r="37" spans="1:8">
      <c r="B37" s="4" t="s">
        <v>1721</v>
      </c>
      <c r="E37" s="169">
        <f>(capProd1NewSales+capProd2NewSales)/2</f>
        <v>90079200</v>
      </c>
      <c r="F37" s="169">
        <f>(capProd1NewSales+capProd2NewSales)/2</f>
        <v>83034180</v>
      </c>
      <c r="G37" s="169">
        <f>(capProd1NewSales+capProd2NewSales)/2</f>
        <v>56791560</v>
      </c>
      <c r="H37" s="579" t="s">
        <v>1734</v>
      </c>
    </row>
    <row r="38" spans="1:8">
      <c r="B38" s="4" t="s">
        <v>375</v>
      </c>
      <c r="E38" s="169">
        <f>finCashFlowSpecLoansChange+obalSpecLoansValue</f>
        <v>0</v>
      </c>
      <c r="F38" s="169">
        <f>finCashFlowSpecLoansChange+obalSpecLoansValue</f>
        <v>0</v>
      </c>
      <c r="G38" s="169">
        <f>finCashFlowSpecLoansChange+obalSpecLoansValue</f>
        <v>0</v>
      </c>
      <c r="H38" s="123" t="s">
        <v>264</v>
      </c>
    </row>
    <row r="39" spans="1:8" ht="5.0999999999999996" customHeight="1">
      <c r="B39" s="222"/>
      <c r="C39" s="119"/>
      <c r="D39" s="185"/>
      <c r="E39" s="216"/>
      <c r="F39" s="216"/>
      <c r="G39" s="216"/>
    </row>
    <row r="40" spans="1:8">
      <c r="A40" s="3" t="s">
        <v>376</v>
      </c>
      <c r="D40" s="14"/>
      <c r="E40" s="170">
        <f>SUM(E35:E39)</f>
        <v>1147799104.1586857</v>
      </c>
      <c r="F40" s="170">
        <f t="shared" ref="F40:G40" si="7">SUM(F35:F39)</f>
        <v>997116336.9712851</v>
      </c>
      <c r="G40" s="170">
        <f t="shared" si="7"/>
        <v>862014441.11215901</v>
      </c>
    </row>
    <row r="41" spans="1:8">
      <c r="B41" s="4" t="s">
        <v>377</v>
      </c>
      <c r="E41" s="169">
        <f>obalLTDebtValue+decLTDebtChange</f>
        <v>2033079126.9769499</v>
      </c>
      <c r="F41" s="169">
        <f>obalLTDebtValue+decLTDebtChange</f>
        <v>2033079126.9769499</v>
      </c>
      <c r="G41" s="169">
        <f>obalLTDebtValue+decLTDebtChange</f>
        <v>2033079126.9769499</v>
      </c>
      <c r="H41" s="123" t="s">
        <v>893</v>
      </c>
    </row>
    <row r="42" spans="1:8">
      <c r="B42" s="4" t="s">
        <v>1723</v>
      </c>
      <c r="E42" s="169">
        <f>obalOtherLTLiabValue*(1+paramOtherTLLiabGrowth)</f>
        <v>1303862682.4039743</v>
      </c>
      <c r="F42" s="169">
        <f>obalOtherLTLiabValue*(1+paramOtherTLLiabGrowth)</f>
        <v>1303862682.4039743</v>
      </c>
      <c r="G42" s="169">
        <f>obalOtherLTLiabValue*(1+paramOtherTLLiabGrowth)</f>
        <v>1303862682.4039743</v>
      </c>
      <c r="H42" s="579" t="s">
        <v>1736</v>
      </c>
    </row>
    <row r="43" spans="1:8" ht="5.0999999999999996" customHeight="1">
      <c r="B43" s="222"/>
      <c r="C43" s="119"/>
      <c r="D43" s="185"/>
      <c r="E43" s="216"/>
      <c r="F43" s="216"/>
      <c r="G43" s="216"/>
    </row>
    <row r="44" spans="1:8">
      <c r="A44" s="3" t="s">
        <v>378</v>
      </c>
      <c r="D44" s="14"/>
      <c r="E44" s="170">
        <f>SUM(E40:E43)</f>
        <v>4484740913.5396099</v>
      </c>
      <c r="F44" s="170">
        <f t="shared" ref="F44:G44" si="8">SUM(F40:F43)</f>
        <v>4334058146.3522091</v>
      </c>
      <c r="G44" s="170">
        <f t="shared" si="8"/>
        <v>4198956250.493083</v>
      </c>
      <c r="H44" s="579" t="s">
        <v>1911</v>
      </c>
    </row>
    <row r="45" spans="1:8">
      <c r="E45" s="169"/>
      <c r="F45" s="169"/>
      <c r="G45" s="169"/>
    </row>
    <row r="46" spans="1:8">
      <c r="A46" s="3" t="s">
        <v>379</v>
      </c>
      <c r="E46" s="169"/>
      <c r="F46" s="169"/>
      <c r="G46" s="169"/>
    </row>
    <row r="47" spans="1:8">
      <c r="B47" s="4" t="s">
        <v>380</v>
      </c>
      <c r="E47" s="169">
        <f>obalCStockValue+finCommonStockChange</f>
        <v>3652822092.18256</v>
      </c>
      <c r="F47" s="169">
        <f>obalCStockValue+finCommonStockChange</f>
        <v>3652822092.18256</v>
      </c>
      <c r="G47" s="169">
        <f>obalCStockValue+finCommonStockChange</f>
        <v>3652822092.18256</v>
      </c>
      <c r="H47" s="123" t="s">
        <v>506</v>
      </c>
    </row>
    <row r="48" spans="1:8">
      <c r="B48" s="4" t="s">
        <v>381</v>
      </c>
      <c r="E48" s="169">
        <f>obalRetEarnValue+obalNetEarnValue</f>
        <v>4259426842.1279497</v>
      </c>
      <c r="F48" s="169">
        <f>obalRetEarnValue+obalNetEarnValue</f>
        <v>3764426842.1279497</v>
      </c>
      <c r="G48" s="169">
        <f>obalRetEarnValue+obalNetEarnValue</f>
        <v>3640676842.1279497</v>
      </c>
      <c r="H48" s="123" t="s">
        <v>504</v>
      </c>
    </row>
    <row r="49" spans="1:8">
      <c r="B49" s="4" t="s">
        <v>443</v>
      </c>
      <c r="E49" s="169">
        <f>finPNLNetEarn-cbalDividend</f>
        <v>259469788.33657575</v>
      </c>
      <c r="F49" s="169">
        <f>finPNLNetEarn-cbalDividend</f>
        <v>288852893.15694422</v>
      </c>
      <c r="G49" s="169">
        <f>finPNLNetEarn-cbalDividend</f>
        <v>-83679335.880977869</v>
      </c>
      <c r="H49" s="123" t="s">
        <v>505</v>
      </c>
    </row>
    <row r="50" spans="1:8" ht="5.0999999999999996" customHeight="1">
      <c r="B50" s="222"/>
      <c r="C50" s="119"/>
      <c r="D50" s="185"/>
      <c r="E50" s="216"/>
      <c r="F50" s="216"/>
      <c r="G50" s="216"/>
    </row>
    <row r="51" spans="1:8">
      <c r="A51" s="3" t="s">
        <v>444</v>
      </c>
      <c r="D51" s="14"/>
      <c r="E51" s="170">
        <f>SUM(E47:E50)</f>
        <v>8171718722.6470852</v>
      </c>
      <c r="F51" s="170">
        <f t="shared" ref="F51:G51" si="9">SUM(F47:F50)</f>
        <v>7706101827.467454</v>
      </c>
      <c r="G51" s="170">
        <f t="shared" si="9"/>
        <v>7209819598.4295321</v>
      </c>
      <c r="H51" s="123" t="s">
        <v>963</v>
      </c>
    </row>
    <row r="52" spans="1:8">
      <c r="A52" s="3" t="s">
        <v>445</v>
      </c>
      <c r="D52" s="14"/>
      <c r="E52" s="170">
        <f>SUM(E51,E44)</f>
        <v>12656459636.186695</v>
      </c>
      <c r="F52" s="170">
        <f t="shared" ref="F52:G52" si="10">SUM(F51,F44)</f>
        <v>12040159973.819664</v>
      </c>
      <c r="G52" s="170">
        <f t="shared" si="10"/>
        <v>11408775848.922615</v>
      </c>
    </row>
    <row r="53" spans="1:8">
      <c r="A53" s="31" t="s">
        <v>593</v>
      </c>
      <c r="E53" s="171" t="b">
        <f>E52=E31</f>
        <v>1</v>
      </c>
      <c r="F53" s="171" t="b">
        <f t="shared" ref="F53:G53" si="11">F52=F31</f>
        <v>1</v>
      </c>
      <c r="G53" s="171" t="b">
        <f t="shared" si="11"/>
        <v>1</v>
      </c>
    </row>
    <row r="54" spans="1:8">
      <c r="E54" s="552">
        <f>E31-E52</f>
        <v>0</v>
      </c>
      <c r="F54" s="552">
        <f t="shared" ref="F54:G54" si="12">F31-F52</f>
        <v>0</v>
      </c>
      <c r="G54" s="552">
        <f t="shared" si="12"/>
        <v>0</v>
      </c>
    </row>
    <row r="55" spans="1:8">
      <c r="B55" s="565" t="s">
        <v>1942</v>
      </c>
      <c r="E55" s="552">
        <f>MAX(obalDividend,finPNLNetEarn*paramDividendRatio)</f>
        <v>317129741.30025935</v>
      </c>
      <c r="F55" s="552">
        <f>MAX(obalDividend,finPNLNetEarn*paramDividendRatio)</f>
        <v>353042424.96959859</v>
      </c>
      <c r="G55" s="552">
        <f>MAX(obalDividend,finPNLNetEarn*paramDividendRatio)</f>
        <v>263065778.59999999</v>
      </c>
      <c r="H55" s="579" t="s">
        <v>1946</v>
      </c>
    </row>
    <row r="56" spans="1:8">
      <c r="B56" s="143" t="s">
        <v>450</v>
      </c>
      <c r="E56" s="457">
        <f>capCSAT</f>
        <v>63</v>
      </c>
      <c r="F56" s="457">
        <f>capCSAT</f>
        <v>63</v>
      </c>
      <c r="G56" s="457">
        <f>capCSAT</f>
        <v>63</v>
      </c>
      <c r="H56" s="664" t="s">
        <v>324</v>
      </c>
    </row>
    <row r="57" spans="1:8">
      <c r="B57" s="143" t="s">
        <v>1226</v>
      </c>
      <c r="E57" s="416">
        <f>decMarketing</f>
        <v>195000</v>
      </c>
      <c r="F57" s="416">
        <f>decMarketing</f>
        <v>200000</v>
      </c>
      <c r="G57" s="416">
        <f>decMarketing</f>
        <v>150000</v>
      </c>
      <c r="H57" s="509"/>
    </row>
    <row r="58" spans="1:8">
      <c r="E58" s="552"/>
      <c r="F58" s="552"/>
      <c r="G58" s="552"/>
    </row>
    <row r="59" spans="1:8">
      <c r="A59" s="3" t="str">
        <f>DataNameProd1</f>
        <v>Growth</v>
      </c>
      <c r="E59" s="172"/>
      <c r="F59" s="172"/>
      <c r="G59" s="172"/>
    </row>
    <row r="60" spans="1:8">
      <c r="A60" s="3"/>
      <c r="B60" s="567" t="s">
        <v>1743</v>
      </c>
      <c r="E60" s="416">
        <f>capProd1OpenSubs</f>
        <v>159262.5</v>
      </c>
      <c r="F60" s="416">
        <f>capProd1OpenSubs</f>
        <v>135373.125</v>
      </c>
      <c r="G60" s="416">
        <f>capProd1OpenSubs</f>
        <v>103520.625</v>
      </c>
    </row>
    <row r="61" spans="1:8">
      <c r="A61" s="3"/>
      <c r="B61" s="604" t="s">
        <v>1388</v>
      </c>
      <c r="E61" s="416">
        <f>capProd1Cancellations</f>
        <v>7500.0692812500001</v>
      </c>
      <c r="F61" s="416">
        <f>capProd1Cancellations</f>
        <v>6781.1782640625015</v>
      </c>
      <c r="G61" s="416">
        <f>capProd1Cancellations</f>
        <v>4802.5805953125</v>
      </c>
    </row>
    <row r="62" spans="1:8">
      <c r="A62" s="3"/>
      <c r="B62" s="604" t="s">
        <v>1747</v>
      </c>
      <c r="E62" s="416">
        <f>capProd1NewSubs</f>
        <v>11508</v>
      </c>
      <c r="F62" s="416">
        <f>capProd1NewSubs</f>
        <v>9782</v>
      </c>
      <c r="G62" s="416">
        <f>capProd1NewSubs</f>
        <v>7480</v>
      </c>
    </row>
    <row r="63" spans="1:8">
      <c r="B63" t="s">
        <v>1385</v>
      </c>
      <c r="E63" s="416">
        <f>capProd1EndSubs</f>
        <v>163270.43071874999</v>
      </c>
      <c r="F63" s="416">
        <f>capProd1EndSubs</f>
        <v>138373.9467359375</v>
      </c>
      <c r="G63" s="416">
        <f>capProd1EndSubs</f>
        <v>106198.04440468751</v>
      </c>
    </row>
    <row r="64" spans="1:8">
      <c r="B64" s="565" t="s">
        <v>1347</v>
      </c>
      <c r="E64" s="416">
        <f>decProd1Price</f>
        <v>10800</v>
      </c>
      <c r="F64" s="416">
        <f>decProd1Price</f>
        <v>11880.000000000002</v>
      </c>
      <c r="G64" s="416">
        <f>decProd1Price</f>
        <v>10476</v>
      </c>
    </row>
    <row r="65" spans="2:8">
      <c r="B65" s="563" t="s">
        <v>1276</v>
      </c>
      <c r="C65" t="s">
        <v>531</v>
      </c>
      <c r="E65" s="416">
        <f>finPNLProd1Rev</f>
        <v>2008782289.0972757</v>
      </c>
      <c r="F65" s="416">
        <f>finPNLProd1Rev</f>
        <v>1802349097.9843411</v>
      </c>
      <c r="G65" s="416">
        <f>finPNLProd1Rev</f>
        <v>1339255376.5497975</v>
      </c>
    </row>
    <row r="66" spans="2:8">
      <c r="B66" s="565" t="s">
        <v>1409</v>
      </c>
      <c r="E66" s="416">
        <f>capProd1NetNewSales</f>
        <v>209000851.76249999</v>
      </c>
      <c r="F66" s="416">
        <f>capProd1NetNewSales</f>
        <v>183834234.74812502</v>
      </c>
      <c r="G66" s="416">
        <f>capProd1NetNewSales</f>
        <v>134204609.57062501</v>
      </c>
    </row>
    <row r="67" spans="2:8">
      <c r="B67" s="565" t="s">
        <v>1757</v>
      </c>
      <c r="E67" s="457">
        <f>capProd1EndSubs/obalProd1Subscribers-1</f>
        <v>2.5165564516129058E-2</v>
      </c>
      <c r="F67" s="457">
        <f>capProd1EndSubs/obalProd1Subscribers-1</f>
        <v>2.2167041914246344E-2</v>
      </c>
      <c r="G67" s="457">
        <f>capProd1EndSubs/obalProd1Subscribers-1</f>
        <v>2.5863632533975833E-2</v>
      </c>
      <c r="H67" s="578" t="s">
        <v>2137</v>
      </c>
    </row>
    <row r="68" spans="2:8">
      <c r="B68" s="565" t="s">
        <v>3008</v>
      </c>
      <c r="E68" s="457">
        <f>capProd1NewSubs/capProd1OpenSubs</f>
        <v>7.2258064516129039E-2</v>
      </c>
      <c r="F68" s="457">
        <f>capProd1NewSubs/capProd1OpenSubs</f>
        <v>7.2259541914246272E-2</v>
      </c>
      <c r="G68" s="457">
        <f>capProd1NewSubs/capProd1OpenSubs</f>
        <v>7.2256132533975712E-2</v>
      </c>
      <c r="H68" s="578" t="s">
        <v>3009</v>
      </c>
    </row>
    <row r="69" spans="2:8">
      <c r="B69" s="565" t="s">
        <v>1274</v>
      </c>
      <c r="E69" s="416">
        <f>obalProd1ProdTechLvl+decProd1ProdTechLvl+paramProd1AddProdTechLvl</f>
        <v>3</v>
      </c>
      <c r="F69" s="416">
        <f>obalProd1ProdTechLvl+decProd1ProdTechLvl+paramProd1AddProdTechLvl</f>
        <v>2</v>
      </c>
      <c r="G69" s="416">
        <f>obalProd1ProdTechLvl+decProd1ProdTechLvl+paramProd1AddProdTechLvl</f>
        <v>4</v>
      </c>
      <c r="H69" s="578" t="s">
        <v>1766</v>
      </c>
    </row>
    <row r="70" spans="2:8">
      <c r="B70" s="565" t="s">
        <v>1768</v>
      </c>
      <c r="E70" s="416">
        <f>AVERAGE(cbalProd1ProdTechLvl)</f>
        <v>3</v>
      </c>
      <c r="F70" s="416">
        <f>AVERAGE(cbalProd1ProdTechLvl)</f>
        <v>3</v>
      </c>
      <c r="G70" s="416">
        <f>AVERAGE(cbalProd1ProdTechLvl)</f>
        <v>3</v>
      </c>
      <c r="H70" s="578" t="s">
        <v>1770</v>
      </c>
    </row>
    <row r="71" spans="2:8">
      <c r="B71" s="565" t="s">
        <v>113</v>
      </c>
      <c r="E71" s="605">
        <f>capProd1TTM</f>
        <v>50.821085663092326</v>
      </c>
      <c r="F71" s="605">
        <f>capProd1TTM</f>
        <v>43.946009890820847</v>
      </c>
      <c r="G71" s="605">
        <f>capProd1TTM</f>
        <v>66.280520032984185</v>
      </c>
      <c r="H71" s="578" t="s">
        <v>1774</v>
      </c>
    </row>
    <row r="72" spans="2:8">
      <c r="B72" s="565" t="s">
        <v>1769</v>
      </c>
      <c r="E72" s="605">
        <f>AVERAGE(cbalProd1TTM)</f>
        <v>53.682538528965786</v>
      </c>
      <c r="F72" s="605">
        <f>AVERAGE(cbalProd1TTM)</f>
        <v>53.682538528965786</v>
      </c>
      <c r="G72" s="605">
        <f>AVERAGE(cbalProd1TTM)</f>
        <v>53.682538528965786</v>
      </c>
      <c r="H72" s="578" t="s">
        <v>1776</v>
      </c>
    </row>
    <row r="73" spans="2:8">
      <c r="B73" s="565" t="str">
        <f>DataNameEmp1 &amp; " Required for Tech Lvl"</f>
        <v>Engineers Required for Tech Lvl</v>
      </c>
      <c r="E73" s="416">
        <f>capProd1Ftr1Emp1Req</f>
        <v>140</v>
      </c>
      <c r="F73" s="416">
        <f>capProd1Ftr1Emp1Req</f>
        <v>70</v>
      </c>
      <c r="G73" s="416">
        <f>capProd1Ftr1Emp1Req</f>
        <v>210</v>
      </c>
      <c r="H73" s="578"/>
    </row>
    <row r="74" spans="2:8">
      <c r="B74" s="565" t="str">
        <f>"TTM "&amp; DataNameEmp1</f>
        <v>TTM Engineers</v>
      </c>
      <c r="E74" s="416">
        <f>capProd1Ftr1TTMEmp1Req</f>
        <v>130</v>
      </c>
      <c r="F74" s="416">
        <f>capProd1Ftr1TTMEmp1Req</f>
        <v>100</v>
      </c>
      <c r="G74" s="416">
        <f>capProd1Ftr1TTMEmp1Req</f>
        <v>200</v>
      </c>
      <c r="H74" s="578"/>
    </row>
    <row r="75" spans="2:8">
      <c r="B75" s="565" t="s">
        <v>1949</v>
      </c>
      <c r="E75" s="416">
        <f>decProd1TTMConFTEs</f>
        <v>100</v>
      </c>
      <c r="F75" s="416">
        <f>decProd1TTMConFTEs</f>
        <v>0</v>
      </c>
      <c r="G75" s="416">
        <f>decProd1TTMConFTEs</f>
        <v>0</v>
      </c>
      <c r="H75" s="578"/>
    </row>
    <row r="76" spans="2:8">
      <c r="B76" s="565" t="s">
        <v>2142</v>
      </c>
      <c r="E76" s="457">
        <f>capProd1ThirdPartyPerc</f>
        <v>0.25</v>
      </c>
      <c r="F76" s="457">
        <f>capProd1ThirdPartyPerc</f>
        <v>0.25</v>
      </c>
      <c r="G76" s="457">
        <f>capProd1ThirdPartyPerc</f>
        <v>0.25</v>
      </c>
      <c r="H76" s="578"/>
    </row>
    <row r="77" spans="2:8">
      <c r="B77" s="565" t="s">
        <v>2151</v>
      </c>
      <c r="E77" s="457">
        <f>capProd1CancellationRate</f>
        <v>4.7092500000000002E-2</v>
      </c>
      <c r="F77" s="457">
        <f>capProd1CancellationRate</f>
        <v>5.0092500000000012E-2</v>
      </c>
      <c r="G77" s="457">
        <f>capProd1CancellationRate</f>
        <v>4.6392500000000003E-2</v>
      </c>
      <c r="H77" s="578"/>
    </row>
    <row r="78" spans="2:8">
      <c r="B78" s="565" t="s">
        <v>2771</v>
      </c>
      <c r="E78" s="457">
        <f>capProd1SubCancellationRate</f>
        <v>4.7092500000000002E-2</v>
      </c>
      <c r="F78" s="457">
        <f>capProd1SubCancellationRate</f>
        <v>5.0092500000000012E-2</v>
      </c>
      <c r="G78" s="457">
        <f>capProd1SubCancellationRate</f>
        <v>4.6392500000000003E-2</v>
      </c>
      <c r="H78" s="578"/>
    </row>
    <row r="79" spans="2:8">
      <c r="B79" s="604" t="s">
        <v>3345</v>
      </c>
      <c r="E79" s="416">
        <f>paramProd1AddSubs</f>
        <v>0</v>
      </c>
      <c r="F79" s="416">
        <f>paramProd1AddSubs</f>
        <v>0</v>
      </c>
      <c r="G79" s="416">
        <f>paramProd1AddSubs</f>
        <v>0</v>
      </c>
      <c r="H79" s="578"/>
    </row>
    <row r="80" spans="2:8">
      <c r="B80" s="563"/>
      <c r="E80" s="416"/>
      <c r="F80" s="416"/>
      <c r="G80" s="416"/>
    </row>
    <row r="81" spans="1:10">
      <c r="A81" s="3" t="str">
        <f>DataNameProd2</f>
        <v>Transform</v>
      </c>
      <c r="E81" s="416"/>
      <c r="F81" s="416"/>
      <c r="G81" s="416"/>
    </row>
    <row r="82" spans="1:10">
      <c r="B82" s="567" t="s">
        <v>1743</v>
      </c>
      <c r="E82" s="416">
        <f>capProd2OpenSubs</f>
        <v>200500.00000000003</v>
      </c>
      <c r="F82" s="416">
        <f>capProd2OpenSubs</f>
        <v>170425.00000000003</v>
      </c>
      <c r="G82" s="416">
        <f>capProd2OpenSubs</f>
        <v>130325</v>
      </c>
      <c r="J82" s="567"/>
    </row>
    <row r="83" spans="1:10">
      <c r="A83" s="3"/>
      <c r="B83" s="604" t="s">
        <v>1388</v>
      </c>
      <c r="E83" s="416">
        <f>capProd2Cancellations</f>
        <v>22946.022000000001</v>
      </c>
      <c r="F83" s="416">
        <f>capProd2Cancellations</f>
        <v>19977.559350000003</v>
      </c>
      <c r="G83" s="416">
        <f>capProd2Cancellations</f>
        <v>15276.957149999998</v>
      </c>
      <c r="J83" s="604"/>
    </row>
    <row r="84" spans="1:10">
      <c r="A84" s="3"/>
      <c r="B84" s="604" t="s">
        <v>1747</v>
      </c>
      <c r="E84" s="416">
        <f>capProd2NewSubs</f>
        <v>4656</v>
      </c>
      <c r="F84" s="416">
        <f>capProd2NewSubs</f>
        <v>3957</v>
      </c>
      <c r="G84" s="416">
        <f>capProd2NewSubs</f>
        <v>3026</v>
      </c>
      <c r="J84" s="604"/>
    </row>
    <row r="85" spans="1:10">
      <c r="A85" s="3"/>
      <c r="B85" t="s">
        <v>1385</v>
      </c>
      <c r="E85" s="416">
        <f>capProd2EndSubs</f>
        <v>182209.97800000003</v>
      </c>
      <c r="F85" s="416">
        <f>capProd2EndSubs</f>
        <v>154404.44065000003</v>
      </c>
      <c r="G85" s="416">
        <f>capProd2EndSubs</f>
        <v>118074.04285</v>
      </c>
    </row>
    <row r="86" spans="1:10">
      <c r="B86" t="s">
        <v>1347</v>
      </c>
      <c r="E86" s="416">
        <f>decProd2Price</f>
        <v>12000</v>
      </c>
      <c r="F86" s="416">
        <f>decProd2Price</f>
        <v>12600</v>
      </c>
      <c r="G86" s="416">
        <f>decProd2Price</f>
        <v>11640</v>
      </c>
    </row>
    <row r="87" spans="1:10">
      <c r="B87" t="s">
        <v>1276</v>
      </c>
      <c r="E87" s="416">
        <f>finPNLProd2Rev</f>
        <v>2402628685.4051218</v>
      </c>
      <c r="F87" s="416">
        <f>finPNLProd2Rev</f>
        <v>2110278880.323194</v>
      </c>
      <c r="G87" s="416">
        <f>finPNLProd2Rev</f>
        <v>1600349193.0541656</v>
      </c>
    </row>
    <row r="88" spans="1:10">
      <c r="B88" t="s">
        <v>1409</v>
      </c>
      <c r="E88" s="416">
        <f>capProd2NetNewSales</f>
        <v>-159883464</v>
      </c>
      <c r="F88" s="416">
        <f>capProd2NetNewSales</f>
        <v>-139222912.20000005</v>
      </c>
      <c r="G88" s="416">
        <f>capProd2NetNewSales</f>
        <v>-109368045.79999998</v>
      </c>
    </row>
    <row r="89" spans="1:10">
      <c r="B89" s="565" t="s">
        <v>1757</v>
      </c>
      <c r="E89" s="457">
        <f>capProd2EndSubs/obalProd2Subscribers-1</f>
        <v>-9.122205486284285E-2</v>
      </c>
      <c r="F89" s="457">
        <f>capProd2EndSubs/obalProd2Subscribers-1</f>
        <v>-9.4003575473081913E-2</v>
      </c>
      <c r="G89" s="457">
        <f>capProd2EndSubs/obalProd2Subscribers-1</f>
        <v>-9.4003124112794989E-2</v>
      </c>
      <c r="H89" s="578" t="s">
        <v>2138</v>
      </c>
    </row>
    <row r="90" spans="1:10">
      <c r="B90" s="565" t="s">
        <v>3008</v>
      </c>
      <c r="E90" s="457">
        <f>capProd2NewSubs/capProd2OpenSubs</f>
        <v>2.3221945137157102E-2</v>
      </c>
      <c r="F90" s="457">
        <f>capProd2NewSubs/capProd2OpenSubs</f>
        <v>2.3218424526917997E-2</v>
      </c>
      <c r="G90" s="457">
        <f>capProd2NewSubs/capProd2OpenSubs</f>
        <v>2.3218875887205063E-2</v>
      </c>
      <c r="H90" s="578" t="s">
        <v>3011</v>
      </c>
    </row>
    <row r="91" spans="1:10">
      <c r="B91" s="565" t="s">
        <v>1274</v>
      </c>
      <c r="E91" s="416">
        <f>obalProd2ProdTechLvl+decProd2ProdTechLvl+paramProd1AddProdTechLvl</f>
        <v>3</v>
      </c>
      <c r="F91" s="416">
        <f>obalProd2ProdTechLvl+decProd2ProdTechLvl+paramProd1AddProdTechLvl</f>
        <v>3</v>
      </c>
      <c r="G91" s="416">
        <f>obalProd2ProdTechLvl+decProd2ProdTechLvl+paramProd1AddProdTechLvl</f>
        <v>3</v>
      </c>
      <c r="H91" s="578" t="s">
        <v>1767</v>
      </c>
    </row>
    <row r="92" spans="1:10">
      <c r="B92" s="565" t="s">
        <v>1768</v>
      </c>
      <c r="E92" s="416">
        <f>AVERAGE(cbalProd2ProdTechLvl)</f>
        <v>3</v>
      </c>
      <c r="F92" s="416">
        <f>AVERAGE(cbalProd2ProdTechLvl)</f>
        <v>3</v>
      </c>
      <c r="G92" s="416">
        <f>AVERAGE(cbalProd2ProdTechLvl)</f>
        <v>3</v>
      </c>
      <c r="H92" s="578" t="s">
        <v>1771</v>
      </c>
    </row>
    <row r="93" spans="1:10">
      <c r="B93" s="565" t="s">
        <v>113</v>
      </c>
      <c r="E93" s="605">
        <f>capProd2TTM</f>
        <v>51.576599609964973</v>
      </c>
      <c r="F93" s="605">
        <f>capProd2TTM</f>
        <v>59.865219772125258</v>
      </c>
      <c r="G93" s="605">
        <f>capProd2TTM</f>
        <v>68.692643673685041</v>
      </c>
      <c r="H93" s="578" t="s">
        <v>1775</v>
      </c>
    </row>
    <row r="94" spans="1:10">
      <c r="B94" s="565" t="s">
        <v>1769</v>
      </c>
      <c r="E94" s="605">
        <f>AVERAGE(cbalProd2TTM)</f>
        <v>60.044821018591755</v>
      </c>
      <c r="F94" s="605">
        <f>AVERAGE(cbalProd2TTM)</f>
        <v>60.044821018591755</v>
      </c>
      <c r="G94" s="605">
        <f>AVERAGE(cbalProd2TTM)</f>
        <v>60.044821018591755</v>
      </c>
      <c r="H94" s="578" t="s">
        <v>1777</v>
      </c>
    </row>
    <row r="95" spans="1:10">
      <c r="B95" s="565" t="str">
        <f>DataNameEmp1 &amp; " Required for Tech Lvl"</f>
        <v>Engineers Required for Tech Lvl</v>
      </c>
      <c r="E95" s="416">
        <f>capProd2Ftr1Emp1Req</f>
        <v>140</v>
      </c>
      <c r="F95" s="416">
        <f>capProd2Ftr1Emp1Req</f>
        <v>140</v>
      </c>
      <c r="G95" s="416">
        <f>capProd2Ftr1Emp1Req</f>
        <v>140</v>
      </c>
      <c r="H95" s="578"/>
    </row>
    <row r="96" spans="1:10">
      <c r="B96" s="565" t="str">
        <f>"TTM "&amp; DataNameEmp1</f>
        <v>TTM Engineers</v>
      </c>
      <c r="E96" s="416">
        <f>capProd2Ftr1TTMEmp1Req</f>
        <v>125</v>
      </c>
      <c r="F96" s="416">
        <f>capProd2Ftr1TTMEmp1Req</f>
        <v>200</v>
      </c>
      <c r="G96" s="416">
        <f>capProd2Ftr1TTMEmp1Req</f>
        <v>155</v>
      </c>
      <c r="H96" s="578"/>
    </row>
    <row r="97" spans="1:8">
      <c r="B97" s="565" t="s">
        <v>1949</v>
      </c>
      <c r="E97" s="416">
        <f>decProd2TTMConFTEs</f>
        <v>100</v>
      </c>
      <c r="F97" s="416">
        <f>decProd2TTMConFTEs</f>
        <v>0</v>
      </c>
      <c r="G97" s="416">
        <f>decProd2TTMConFTEs</f>
        <v>0</v>
      </c>
      <c r="H97" s="578"/>
    </row>
    <row r="98" spans="1:8">
      <c r="B98" s="565" t="s">
        <v>2142</v>
      </c>
      <c r="E98" s="457">
        <f>capProd2ThirdPartyPerc</f>
        <v>0.2</v>
      </c>
      <c r="F98" s="457">
        <f>capProd2ThirdPartyPerc</f>
        <v>0.2</v>
      </c>
      <c r="G98" s="457">
        <f>capProd2ThirdPartyPerc</f>
        <v>0.2</v>
      </c>
      <c r="H98" s="578"/>
    </row>
    <row r="99" spans="1:8">
      <c r="B99" s="565" t="s">
        <v>2151</v>
      </c>
      <c r="E99" s="457">
        <f>capProd2CancellationRate</f>
        <v>0.11444399999999999</v>
      </c>
      <c r="F99" s="457">
        <f>capProd2CancellationRate</f>
        <v>0.11722199999999999</v>
      </c>
      <c r="G99" s="457">
        <f>capProd2CancellationRate</f>
        <v>0.11722199999999999</v>
      </c>
      <c r="H99" s="578"/>
    </row>
    <row r="100" spans="1:8">
      <c r="B100" s="565" t="s">
        <v>2771</v>
      </c>
      <c r="E100" s="457">
        <f>capProd2SubCancellationRate</f>
        <v>0.11444399999999999</v>
      </c>
      <c r="F100" s="457">
        <f>capProd2SubCancellationRate</f>
        <v>0.11722199999999999</v>
      </c>
      <c r="G100" s="457">
        <f>capProd2SubCancellationRate</f>
        <v>0.11722199999999999</v>
      </c>
      <c r="H100" s="578"/>
    </row>
    <row r="101" spans="1:8">
      <c r="B101" s="604" t="s">
        <v>3345</v>
      </c>
      <c r="E101" s="416">
        <f>paramProd2AddSubs</f>
        <v>0</v>
      </c>
      <c r="F101" s="416">
        <f>paramProd2AddSubs</f>
        <v>0</v>
      </c>
      <c r="G101" s="416">
        <f>paramProd2AddSubs</f>
        <v>0</v>
      </c>
      <c r="H101" s="578"/>
    </row>
    <row r="102" spans="1:8">
      <c r="E102" s="172"/>
      <c r="F102" s="172"/>
      <c r="G102" s="172"/>
    </row>
    <row r="103" spans="1:8">
      <c r="A103" s="3" t="s">
        <v>1759</v>
      </c>
      <c r="E103" s="172"/>
      <c r="F103" s="172"/>
      <c r="G103" s="172"/>
    </row>
    <row r="104" spans="1:8">
      <c r="B104" s="565" t="s">
        <v>1351</v>
      </c>
      <c r="E104" s="172">
        <f>obalContentLvl+decContentLvl+paramContentAddLvl</f>
        <v>2</v>
      </c>
      <c r="F104" s="172">
        <f>obalContentLvl+decContentLvl+paramContentAddLvl</f>
        <v>2</v>
      </c>
      <c r="G104" s="172">
        <f>obalContentLvl+decContentLvl+paramContentAddLvl</f>
        <v>3</v>
      </c>
      <c r="H104" s="578" t="s">
        <v>1781</v>
      </c>
    </row>
    <row r="105" spans="1:8">
      <c r="B105" s="565" t="s">
        <v>1778</v>
      </c>
      <c r="E105" s="605">
        <f>AVERAGE(E104:G104)</f>
        <v>2.3333333333333335</v>
      </c>
      <c r="F105" s="605">
        <f t="shared" ref="F105:G105" si="13">AVERAGE(F104:H104)</f>
        <v>2.5</v>
      </c>
      <c r="G105" s="605">
        <f t="shared" si="13"/>
        <v>3</v>
      </c>
      <c r="H105" s="578" t="s">
        <v>1782</v>
      </c>
    </row>
    <row r="106" spans="1:8">
      <c r="B106" s="565" t="s">
        <v>1779</v>
      </c>
      <c r="E106" s="172">
        <f>decContentMethod</f>
        <v>0</v>
      </c>
      <c r="F106" s="172">
        <f>decContentMethod</f>
        <v>0</v>
      </c>
      <c r="G106" s="172">
        <f>decContentMethod</f>
        <v>0</v>
      </c>
    </row>
    <row r="107" spans="1:8">
      <c r="B107" s="565" t="str">
        <f>"Content "&amp; DataNameEmp1</f>
        <v>Content Engineers</v>
      </c>
      <c r="E107" s="172">
        <f>capContentEmp1Req</f>
        <v>100</v>
      </c>
      <c r="F107" s="172">
        <f>capContentEmp1Req</f>
        <v>100</v>
      </c>
      <c r="G107" s="172">
        <f>capContentEmp1Req</f>
        <v>200</v>
      </c>
    </row>
    <row r="108" spans="1:8">
      <c r="E108" s="172"/>
      <c r="F108" s="172"/>
      <c r="G108" s="172"/>
    </row>
    <row r="109" spans="1:8">
      <c r="A109" s="3" t="s">
        <v>295</v>
      </c>
      <c r="E109" s="172"/>
      <c r="F109" s="172"/>
      <c r="G109" s="172"/>
    </row>
    <row r="110" spans="1:8">
      <c r="B110" t="s">
        <v>447</v>
      </c>
      <c r="E110" s="169">
        <f>capESAT</f>
        <v>63</v>
      </c>
      <c r="F110" s="169">
        <f>capESAT</f>
        <v>63</v>
      </c>
      <c r="G110" s="169">
        <f>capESAT</f>
        <v>63</v>
      </c>
      <c r="H110" s="579" t="s">
        <v>47</v>
      </c>
    </row>
    <row r="111" spans="1:8">
      <c r="B111" t="str">
        <f>DataNameEmp1&amp;" Employees"</f>
        <v>Engineers Employees</v>
      </c>
      <c r="E111" s="169">
        <f>capEmp1End</f>
        <v>1000</v>
      </c>
      <c r="F111" s="169">
        <f>capEmp1End</f>
        <v>1400</v>
      </c>
      <c r="G111" s="169">
        <f>capEmp1End</f>
        <v>1400</v>
      </c>
      <c r="H111" s="123" t="s">
        <v>42</v>
      </c>
    </row>
    <row r="112" spans="1:8">
      <c r="B112" t="str">
        <f>DataNameEmp1&amp;" Employees Recruited"</f>
        <v>Engineers Employees Recruited</v>
      </c>
      <c r="E112" s="169">
        <f>MAX(0,decEmp1Change+0)</f>
        <v>100</v>
      </c>
      <c r="F112" s="169">
        <f>MAX(0,decEmp1Change+0)</f>
        <v>500</v>
      </c>
      <c r="G112" s="169">
        <f>MAX(0,decEmp1Change+0)</f>
        <v>500</v>
      </c>
      <c r="H112" s="579"/>
    </row>
    <row r="113" spans="1:17">
      <c r="B113" t="str">
        <f>DataNameEmp2&amp;" Employees"</f>
        <v>Staff Employees</v>
      </c>
      <c r="E113" s="169">
        <f>capEmp2End</f>
        <v>12905</v>
      </c>
      <c r="F113" s="169">
        <f>capEmp2End</f>
        <v>10075</v>
      </c>
      <c r="G113" s="169">
        <f>capEmp2End</f>
        <v>9231</v>
      </c>
      <c r="H113" s="123" t="s">
        <v>43</v>
      </c>
    </row>
    <row r="114" spans="1:17">
      <c r="B114" t="str">
        <f>DataNameEmp3</f>
        <v>Services Personnel</v>
      </c>
      <c r="E114" s="169">
        <f>capEmp3End</f>
        <v>1409</v>
      </c>
      <c r="F114" s="169">
        <f>capEmp3End</f>
        <v>1197</v>
      </c>
      <c r="G114" s="169">
        <f>capEmp3End</f>
        <v>916</v>
      </c>
      <c r="H114" s="123" t="s">
        <v>422</v>
      </c>
    </row>
    <row r="115" spans="1:17">
      <c r="B115" t="s">
        <v>1354</v>
      </c>
      <c r="E115" s="169">
        <f>obalEmp1TrainingLvl+decEmp1TrainingLvl</f>
        <v>4</v>
      </c>
      <c r="F115" s="169">
        <f>obalEmp1TrainingLvl+decEmp1TrainingLvl</f>
        <v>4</v>
      </c>
      <c r="G115" s="169">
        <f>obalEmp1TrainingLvl+decEmp1TrainingLvl</f>
        <v>2</v>
      </c>
      <c r="H115" s="579" t="s">
        <v>1971</v>
      </c>
    </row>
    <row r="116" spans="1:17">
      <c r="B116" t="s">
        <v>2000</v>
      </c>
      <c r="E116" s="457">
        <f>decSalesNewPerc</f>
        <v>0.5</v>
      </c>
      <c r="F116" s="457">
        <f>decSalesNewPerc</f>
        <v>0.35</v>
      </c>
      <c r="G116" s="457">
        <f>decSalesNewPerc</f>
        <v>0.55000000000000004</v>
      </c>
      <c r="L116" s="34"/>
    </row>
    <row r="117" spans="1:17">
      <c r="B117" t="s">
        <v>2001</v>
      </c>
      <c r="E117" s="457">
        <f>1-decSalesNewPerc</f>
        <v>0.5</v>
      </c>
      <c r="F117" s="457">
        <f>1-decSalesNewPerc</f>
        <v>0.65</v>
      </c>
      <c r="G117" s="457">
        <f>1-decSalesNewPerc</f>
        <v>0.44999999999999996</v>
      </c>
      <c r="L117" s="34"/>
    </row>
    <row r="118" spans="1:17">
      <c r="B118" t="s">
        <v>2994</v>
      </c>
      <c r="E118" s="457">
        <f>capSalesForceNewAccounts</f>
        <v>0.54</v>
      </c>
      <c r="F118" s="457">
        <f>capSalesForceNewAccounts</f>
        <v>0.38999999999999996</v>
      </c>
      <c r="G118" s="457">
        <f>capSalesForceNewAccounts</f>
        <v>0.57000000000000006</v>
      </c>
      <c r="L118" s="34"/>
    </row>
    <row r="119" spans="1:17">
      <c r="B119" t="s">
        <v>2995</v>
      </c>
      <c r="E119" s="457">
        <f>capSalesForceExistingAccounts</f>
        <v>0.54</v>
      </c>
      <c r="F119" s="457">
        <f>capSalesForceExistingAccounts</f>
        <v>0.69000000000000006</v>
      </c>
      <c r="G119" s="457">
        <f>capSalesForceExistingAccounts</f>
        <v>0.47</v>
      </c>
      <c r="L119" s="34"/>
    </row>
    <row r="120" spans="1:17">
      <c r="B120" s="565" t="s">
        <v>2135</v>
      </c>
      <c r="E120" s="1013">
        <f>capCustomerService</f>
        <v>5.04</v>
      </c>
      <c r="F120" s="1013">
        <f>capCustomerService</f>
        <v>5.04</v>
      </c>
      <c r="G120" s="1013">
        <f>capCustomerService</f>
        <v>2.52</v>
      </c>
      <c r="L120" s="34"/>
    </row>
    <row r="121" spans="1:17">
      <c r="E121" s="172"/>
      <c r="F121" s="172"/>
      <c r="G121" s="172"/>
      <c r="L121" s="34"/>
    </row>
    <row r="122" spans="1:17">
      <c r="A122" s="3" t="s">
        <v>368</v>
      </c>
      <c r="E122" s="172"/>
      <c r="F122" s="172"/>
      <c r="G122" s="172"/>
      <c r="L122" s="34"/>
    </row>
    <row r="123" spans="1:17">
      <c r="B123" t="str">
        <f>DataNamePlant1&amp;" Plant Units"</f>
        <v>Data Center Plant Units</v>
      </c>
      <c r="E123" s="169">
        <f>capPlant1UnitsEnd</f>
        <v>30</v>
      </c>
      <c r="F123" s="169">
        <f>capPlant1UnitsEnd</f>
        <v>18</v>
      </c>
      <c r="G123" s="169">
        <f>capPlant1UnitsEnd</f>
        <v>15</v>
      </c>
      <c r="H123" s="123" t="s">
        <v>1169</v>
      </c>
      <c r="L123" s="34"/>
      <c r="Q123" t="s">
        <v>531</v>
      </c>
    </row>
    <row r="124" spans="1:17">
      <c r="B124" t="str">
        <f>DataNamePlant1&amp;" Units Sold"</f>
        <v>Data Center Units Sold</v>
      </c>
      <c r="E124" s="169">
        <f>obalPlant1UnitsSold+capPlant1UnitsSold</f>
        <v>0</v>
      </c>
      <c r="F124" s="169">
        <f>obalPlant1UnitsSold+capPlant1UnitsSold</f>
        <v>0</v>
      </c>
      <c r="G124" s="169">
        <f>obalPlant1UnitsSold+capPlant1UnitsSold</f>
        <v>0</v>
      </c>
      <c r="H124" s="579" t="s">
        <v>3032</v>
      </c>
      <c r="L124" s="34"/>
    </row>
    <row r="125" spans="1:17">
      <c r="B125" t="str">
        <f>DataNamePlant1&amp;" Units Bought"</f>
        <v>Data Center Units Bought</v>
      </c>
      <c r="E125" s="169"/>
      <c r="F125" s="169"/>
      <c r="G125" s="169"/>
      <c r="H125" s="579"/>
      <c r="L125" s="34"/>
    </row>
    <row r="126" spans="1:17">
      <c r="B126" s="565" t="str">
        <f>DataNamePlant1&amp;" Consolidation"</f>
        <v>Data Center Consolidation</v>
      </c>
      <c r="E126" s="169">
        <f>decDCConsolidation</f>
        <v>0</v>
      </c>
      <c r="F126" s="169">
        <f>decDCConsolidation</f>
        <v>0</v>
      </c>
      <c r="G126" s="169">
        <f>decDCConsolidation</f>
        <v>0</v>
      </c>
      <c r="H126" s="579"/>
      <c r="L126" s="34"/>
    </row>
    <row r="127" spans="1:17">
      <c r="B127" t="str">
        <f>DataNamePlant1&amp;" Utilization"</f>
        <v>Data Center Utilization</v>
      </c>
      <c r="E127" s="457">
        <f>capPlant1Utiliz</f>
        <v>0.56300511050462976</v>
      </c>
      <c r="F127" s="457">
        <f>capPlant1Utiliz</f>
        <v>0.79520055833217607</v>
      </c>
      <c r="G127" s="457">
        <f>capPlant1Utiliz</f>
        <v>0.73096087697824075</v>
      </c>
      <c r="H127" s="579"/>
      <c r="L127" s="34"/>
    </row>
    <row r="128" spans="1:17">
      <c r="B128" t="str">
        <f>DataNamePlant2&amp;" Plant Units"</f>
        <v>Property Plant Units</v>
      </c>
      <c r="E128" s="169">
        <f>capPlant2UnitsEnd</f>
        <v>22</v>
      </c>
      <c r="F128" s="169">
        <f>capPlant2UnitsEnd</f>
        <v>22</v>
      </c>
      <c r="G128" s="169">
        <f>capPlant2UnitsEnd</f>
        <v>22</v>
      </c>
      <c r="L128" s="34"/>
    </row>
    <row r="129" spans="1:17">
      <c r="E129" s="169"/>
      <c r="F129" s="169"/>
      <c r="G129" s="169"/>
      <c r="L129" s="34"/>
    </row>
    <row r="130" spans="1:17">
      <c r="A130" s="3" t="s">
        <v>1489</v>
      </c>
      <c r="E130" s="172"/>
      <c r="F130" s="172"/>
      <c r="G130" s="172"/>
      <c r="L130" s="34"/>
    </row>
    <row r="131" spans="1:17">
      <c r="B131" s="565" t="s">
        <v>1490</v>
      </c>
      <c r="E131" s="169">
        <f>decGlobalExpansion+obalGlobalExpansionLvl</f>
        <v>3</v>
      </c>
      <c r="F131" s="169">
        <f>decGlobalExpansion+obalGlobalExpansionLvl</f>
        <v>4</v>
      </c>
      <c r="G131" s="169">
        <f>decGlobalExpansion+obalGlobalExpansionLvl</f>
        <v>3</v>
      </c>
      <c r="H131" s="579" t="s">
        <v>2010</v>
      </c>
      <c r="L131" s="34"/>
      <c r="Q131" t="s">
        <v>531</v>
      </c>
    </row>
    <row r="132" spans="1:17">
      <c r="B132" s="565" t="s">
        <v>2016</v>
      </c>
      <c r="E132" s="169">
        <f>cbalGlobalSalesCoverage*paramGlobalSalesMktPLvl</f>
        <v>4000000</v>
      </c>
      <c r="F132" s="169">
        <f>cbalGlobalSalesCoverage*paramGlobalSalesMktPLvl</f>
        <v>6000000</v>
      </c>
      <c r="G132" s="169">
        <f>cbalGlobalSalesCoverage*paramGlobalSalesMktPLvl</f>
        <v>4000000</v>
      </c>
      <c r="H132" s="579" t="s">
        <v>2018</v>
      </c>
      <c r="L132" s="34"/>
    </row>
    <row r="133" spans="1:17">
      <c r="B133" s="565" t="s">
        <v>423</v>
      </c>
      <c r="E133" s="169">
        <f>obalGlobalSalesCoverage+decSFCoverage</f>
        <v>2</v>
      </c>
      <c r="F133" s="169">
        <f>obalGlobalSalesCoverage+decSFCoverage</f>
        <v>3</v>
      </c>
      <c r="G133" s="169">
        <f>obalGlobalSalesCoverage+decSFCoverage</f>
        <v>2</v>
      </c>
      <c r="H133" s="579" t="s">
        <v>2020</v>
      </c>
      <c r="L133" s="34"/>
    </row>
    <row r="134" spans="1:17">
      <c r="E134" s="169"/>
      <c r="F134" s="169"/>
      <c r="G134" s="169"/>
      <c r="L134" s="34"/>
    </row>
    <row r="135" spans="1:17">
      <c r="A135" s="3" t="str">
        <f>DataNameProd1 &amp;" Income Statement"</f>
        <v>Growth Income Statement</v>
      </c>
      <c r="E135" s="169"/>
      <c r="F135" s="169"/>
      <c r="G135" s="169"/>
      <c r="L135" s="34"/>
    </row>
    <row r="136" spans="1:17">
      <c r="B136" s="565" t="s">
        <v>1423</v>
      </c>
      <c r="E136" s="169">
        <f>finPNLProd1ExistSubRev</f>
        <v>1639034251.7625</v>
      </c>
      <c r="F136" s="169">
        <f>finPNLProd1ExistSubRev</f>
        <v>1458232675.9855313</v>
      </c>
      <c r="G136" s="169">
        <f>finPNLProd1ExistSubRev</f>
        <v>1050162556.3770657</v>
      </c>
      <c r="L136" s="34"/>
    </row>
    <row r="137" spans="1:17">
      <c r="B137" s="565" t="s">
        <v>1424</v>
      </c>
      <c r="E137" s="169">
        <f>finPNLProd1NewSubRev</f>
        <v>62143200</v>
      </c>
      <c r="F137" s="169">
        <f>finPNLProd1NewSubRev</f>
        <v>58105080.000000007</v>
      </c>
      <c r="G137" s="169">
        <f>finPNLProd1NewSubRev</f>
        <v>39180240</v>
      </c>
      <c r="L137" s="34"/>
    </row>
    <row r="138" spans="1:17">
      <c r="B138" s="565" t="s">
        <v>1425</v>
      </c>
      <c r="E138" s="169">
        <f>finPNLProd1ServiceRev</f>
        <v>165715200</v>
      </c>
      <c r="F138" s="169">
        <f>finPNLProd1ServiceRev</f>
        <v>140860800.00000003</v>
      </c>
      <c r="G138" s="169">
        <f>finPNLProd1ServiceRev</f>
        <v>107712000</v>
      </c>
      <c r="L138" s="34"/>
    </row>
    <row r="139" spans="1:17">
      <c r="B139" s="565" t="s">
        <v>3065</v>
      </c>
      <c r="E139" s="169">
        <f>finPNLProd1GGORev</f>
        <v>141889637.33477581</v>
      </c>
      <c r="F139" s="169">
        <f>finPNLProd1GGORev</f>
        <v>145150541.99880993</v>
      </c>
      <c r="G139" s="169">
        <f>finPNLProd1GGORev</f>
        <v>142200580.17273182</v>
      </c>
      <c r="L139" s="34"/>
    </row>
    <row r="140" spans="1:17">
      <c r="B140" s="565" t="str">
        <f>DataNameProd1 &amp; " Revenues"</f>
        <v>Growth Revenues</v>
      </c>
      <c r="E140" s="169">
        <f>finPNLProd1Rev</f>
        <v>2008782289.0972757</v>
      </c>
      <c r="F140" s="169">
        <f>finPNLProd1Rev</f>
        <v>1802349097.9843411</v>
      </c>
      <c r="G140" s="169">
        <f>finPNLProd1Rev</f>
        <v>1339255376.5497975</v>
      </c>
      <c r="L140" s="34"/>
    </row>
    <row r="141" spans="1:17">
      <c r="B141" s="565" t="str">
        <f>DataNameEmp1</f>
        <v>Engineers</v>
      </c>
      <c r="E141" s="169">
        <f>finPNLProd1Emp1Exp</f>
        <v>16614104.91225257</v>
      </c>
      <c r="F141" s="169">
        <f>finPNLProd1Emp1Exp</f>
        <v>66700194.076584511</v>
      </c>
      <c r="G141" s="169">
        <f>finPNLProd1Emp1Exp</f>
        <v>19387202.760598101</v>
      </c>
      <c r="L141" s="34"/>
    </row>
    <row r="142" spans="1:17">
      <c r="B142" s="565" t="str">
        <f>DataNameEmp2</f>
        <v>Staff</v>
      </c>
      <c r="E142" s="169">
        <f>finPNLProd1Emp2Exp</f>
        <v>716206756.20443416</v>
      </c>
      <c r="F142" s="169">
        <f>finPNLProd1Emp2Exp</f>
        <v>557008214.58360183</v>
      </c>
      <c r="G142" s="169">
        <f>finPNLProd1Emp2Exp</f>
        <v>504242933.99809039</v>
      </c>
      <c r="L142" s="34"/>
    </row>
    <row r="143" spans="1:17">
      <c r="B143" s="565" t="str">
        <f>DataNameEmp3</f>
        <v>Services Personnel</v>
      </c>
      <c r="E143" s="169">
        <f>finPNLProd1Emp3Exp</f>
        <v>164842538.60247129</v>
      </c>
      <c r="F143" s="169">
        <f>finPNLProd1Emp3Exp</f>
        <v>142162018.32172039</v>
      </c>
      <c r="G143" s="169">
        <f>finPNLProd1Emp3Exp</f>
        <v>112087711.73848441</v>
      </c>
      <c r="L143" s="34"/>
    </row>
    <row r="144" spans="1:17">
      <c r="B144" s="565" t="s">
        <v>1427</v>
      </c>
      <c r="E144" s="169">
        <f>finPNLProd1EmpExp</f>
        <v>1001854815.114001</v>
      </c>
      <c r="F144" s="169">
        <f>finPNLProd1EmpExp</f>
        <v>859498400.2506057</v>
      </c>
      <c r="G144" s="169">
        <f>finPNLProd1EmpExp</f>
        <v>761178621.58792078</v>
      </c>
      <c r="L144" s="34"/>
    </row>
    <row r="145" spans="2:12">
      <c r="B145" s="565" t="s">
        <v>1542</v>
      </c>
      <c r="E145" s="169">
        <f>finPNLProd1RoyalityExp</f>
        <v>114289301.503125</v>
      </c>
      <c r="F145" s="169">
        <f>finPNLProd1RoyalityExp</f>
        <v>96861762.715156242</v>
      </c>
      <c r="G145" s="169">
        <f>finPNLProd1RoyalityExp</f>
        <v>74338631.083281249</v>
      </c>
      <c r="L145" s="34"/>
    </row>
    <row r="146" spans="2:12">
      <c r="B146" s="565" t="s">
        <v>1551</v>
      </c>
      <c r="E146" s="169">
        <f>finPNLProd1PrintExp</f>
        <v>62042763.673124991</v>
      </c>
      <c r="F146" s="169">
        <f>finPNLProd1PrintExp</f>
        <v>52582099.75965625</v>
      </c>
      <c r="G146" s="169">
        <f>finPNLProd1PrintExp</f>
        <v>40355256.873781256</v>
      </c>
      <c r="L146" s="34"/>
    </row>
    <row r="147" spans="2:12">
      <c r="B147" s="565" t="s">
        <v>1226</v>
      </c>
      <c r="E147" s="169">
        <f>finPNLProd1MktExp</f>
        <v>90616738.689926505</v>
      </c>
      <c r="F147" s="169">
        <f>finPNLProd1MktExp</f>
        <v>94893743.091153428</v>
      </c>
      <c r="G147" s="169">
        <f>finPNLProd1MktExp</f>
        <v>70160908.756668299</v>
      </c>
      <c r="L147" s="34"/>
    </row>
    <row r="148" spans="2:12">
      <c r="B148" s="565" t="s">
        <v>722</v>
      </c>
      <c r="E148" s="169">
        <f>finPNLProd1OtherExp</f>
        <v>57637291.918796688</v>
      </c>
      <c r="F148" s="169">
        <f>finPNLProd1OtherExp</f>
        <v>57886665.135615103</v>
      </c>
      <c r="G148" s="169">
        <f>finPNLProd1OtherExp</f>
        <v>57110813.579862729</v>
      </c>
      <c r="L148" s="34"/>
    </row>
    <row r="149" spans="2:12">
      <c r="B149" s="565" t="s">
        <v>1533</v>
      </c>
      <c r="E149" s="169">
        <f>finPNLProd1RevExp</f>
        <v>266948803.86617649</v>
      </c>
      <c r="F149" s="169">
        <f>finPNLProd1RevExp</f>
        <v>244337605.56596595</v>
      </c>
      <c r="G149" s="169">
        <f>finPNLProd1RevExp</f>
        <v>184854796.71373081</v>
      </c>
      <c r="L149" s="34"/>
    </row>
    <row r="150" spans="2:12">
      <c r="B150" s="565" t="s">
        <v>1562</v>
      </c>
      <c r="E150" s="169">
        <f>finPNLProd1Emp1ProdDevExp</f>
        <v>104191415.39484309</v>
      </c>
      <c r="F150" s="169">
        <f>finPNLProd1Emp1ProdDevExp</f>
        <v>93627973.26869902</v>
      </c>
      <c r="G150" s="169">
        <f>finPNLProd1Emp1ProdDevExp</f>
        <v>125460773.0907478</v>
      </c>
      <c r="L150" s="34"/>
    </row>
    <row r="151" spans="2:12">
      <c r="B151" s="565" t="s">
        <v>1565</v>
      </c>
      <c r="E151" s="169">
        <f>finPNLProd1ExtFTEProdDevExp</f>
        <v>9026802.4796463959</v>
      </c>
      <c r="F151" s="169">
        <f>finPNLProd1ExtFTEProdDevExp</f>
        <v>2303246.1915328503</v>
      </c>
      <c r="G151" s="169">
        <f>finPNLProd1ExtFTEProdDevExp</f>
        <v>2277951.5830087112</v>
      </c>
      <c r="L151" s="34"/>
    </row>
    <row r="152" spans="2:12">
      <c r="B152" s="565" t="s">
        <v>1556</v>
      </c>
      <c r="E152" s="169">
        <f>finPNLProd1ProdDevExp</f>
        <v>9026802.4796463959</v>
      </c>
      <c r="F152" s="169">
        <f>finPNLProd1ProdDevExp</f>
        <v>2303246.1915328503</v>
      </c>
      <c r="G152" s="169">
        <f>finPNLProd1ProdDevExp</f>
        <v>2277951.5830087112</v>
      </c>
      <c r="L152" s="34"/>
    </row>
    <row r="153" spans="2:12">
      <c r="B153" s="565" t="s">
        <v>1428</v>
      </c>
      <c r="E153" s="169">
        <f>finPNLProd1Plant1Exp</f>
        <v>219754140.51922289</v>
      </c>
      <c r="F153" s="169">
        <f>finPNLProd1Plant1Exp</f>
        <v>131861957.0386392</v>
      </c>
      <c r="G153" s="169">
        <f>finPNLProd1Plant1Exp</f>
        <v>110094152.26982856</v>
      </c>
      <c r="L153" s="34"/>
    </row>
    <row r="154" spans="2:12">
      <c r="B154" s="565" t="s">
        <v>291</v>
      </c>
      <c r="E154" s="169">
        <f>finPNLProd1AdminExp</f>
        <v>6830407.438939184</v>
      </c>
      <c r="F154" s="169">
        <f>finPNLProd1AdminExp</f>
        <v>6909738.5745985508</v>
      </c>
      <c r="G154" s="169">
        <f>finPNLProd1AdminExp</f>
        <v>2277951.5830087112</v>
      </c>
      <c r="L154" s="34"/>
    </row>
    <row r="155" spans="2:12">
      <c r="B155" s="565" t="s">
        <v>1557</v>
      </c>
      <c r="E155" s="169">
        <f>finPNLProd1AdminInfraExp</f>
        <v>226584547.95816207</v>
      </c>
      <c r="F155" s="169">
        <f>finPNLProd1AdminInfraExp</f>
        <v>138771695.61323774</v>
      </c>
      <c r="G155" s="169">
        <f>finPNLProd1AdminInfraExp</f>
        <v>112372103.85283726</v>
      </c>
      <c r="L155" s="34"/>
    </row>
    <row r="156" spans="2:12">
      <c r="B156" s="565" t="s">
        <v>686</v>
      </c>
      <c r="E156" s="169">
        <f>finPNLProd1OtherExp</f>
        <v>57637291.918796688</v>
      </c>
      <c r="F156" s="169">
        <f>finPNLProd1OtherExp</f>
        <v>57886665.135615103</v>
      </c>
      <c r="G156" s="169">
        <f>finPNLProd1OtherExp</f>
        <v>57110813.579862729</v>
      </c>
      <c r="L156" s="34"/>
    </row>
    <row r="157" spans="2:12">
      <c r="B157" s="565" t="s">
        <v>406</v>
      </c>
      <c r="E157" s="169">
        <f>finPNLProd1SpecProgExp</f>
        <v>27321629.755756736</v>
      </c>
      <c r="F157" s="169">
        <f>finPNLProd1SpecProgExp</f>
        <v>27638954.298394203</v>
      </c>
      <c r="G157" s="169">
        <f>finPNLProd1SpecProgExp</f>
        <v>27335418.996104531</v>
      </c>
      <c r="L157" s="34"/>
    </row>
    <row r="158" spans="2:12">
      <c r="B158" s="565" t="s">
        <v>686</v>
      </c>
      <c r="E158" s="169">
        <f>finPNLProd1OtherOpExp</f>
        <v>84958921.674553424</v>
      </c>
      <c r="F158" s="169">
        <f>finPNLProd1OtherOpExp</f>
        <v>85525619.434009314</v>
      </c>
      <c r="G158" s="169">
        <f>finPNLProd1OtherOpExp</f>
        <v>84446232.575967252</v>
      </c>
      <c r="L158" s="34"/>
    </row>
    <row r="159" spans="2:12">
      <c r="B159" s="565" t="s">
        <v>406</v>
      </c>
      <c r="E159" s="169">
        <f>finPNLProd1OperatingExp</f>
        <v>1589373891.0925393</v>
      </c>
      <c r="F159" s="169">
        <f>finPNLProd1OperatingExp</f>
        <v>1330436567.0553515</v>
      </c>
      <c r="G159" s="169">
        <f>finPNLProd1OperatingExp</f>
        <v>1145129706.3134649</v>
      </c>
      <c r="L159" s="34"/>
    </row>
    <row r="160" spans="2:12">
      <c r="B160" s="565" t="s">
        <v>957</v>
      </c>
      <c r="E160" s="169">
        <f>finPNLProd1EBITDA</f>
        <v>419408398.00473642</v>
      </c>
      <c r="F160" s="169">
        <f>finPNLProd1EBITDA</f>
        <v>471912530.92898965</v>
      </c>
      <c r="G160" s="169">
        <f>finPNLProd1EBITDA</f>
        <v>194125670.23633265</v>
      </c>
      <c r="L160" s="34"/>
    </row>
    <row r="161" spans="1:12">
      <c r="B161" s="565" t="s">
        <v>1622</v>
      </c>
      <c r="E161" s="169">
        <f>finPNLProd1DeprExp</f>
        <v>74443574.253257036</v>
      </c>
      <c r="F161" s="169">
        <f>finPNLProd1DeprExp</f>
        <v>51601688.470588699</v>
      </c>
      <c r="G161" s="169">
        <f>finPNLProd1DeprExp</f>
        <v>45097138.034617223</v>
      </c>
      <c r="L161" s="34"/>
    </row>
    <row r="162" spans="1:12">
      <c r="B162" s="565" t="s">
        <v>1624</v>
      </c>
      <c r="E162" s="169">
        <f>finPNLProd1AmortExp</f>
        <v>65647825.802543916</v>
      </c>
      <c r="F162" s="169">
        <f>finPNLProd1AmortExp</f>
        <v>57198007.510599643</v>
      </c>
      <c r="G162" s="169">
        <f>finPNLProd1AmortExp</f>
        <v>72407438.613560349</v>
      </c>
      <c r="L162" s="34"/>
    </row>
    <row r="163" spans="1:12">
      <c r="B163" s="565" t="s">
        <v>1623</v>
      </c>
      <c r="E163" s="169">
        <f>finPNLProd1DeprAmortExp</f>
        <v>140091400.05580094</v>
      </c>
      <c r="F163" s="169">
        <f>finPNLProd1DeprAmortExp</f>
        <v>108799695.98118834</v>
      </c>
      <c r="G163" s="169">
        <f>finPNLProd1DeprAmortExp</f>
        <v>117504576.64817756</v>
      </c>
      <c r="L163" s="34"/>
    </row>
    <row r="164" spans="1:12">
      <c r="B164" s="565" t="s">
        <v>1625</v>
      </c>
      <c r="E164" s="169">
        <f>finPNLProd1OperatingIncome</f>
        <v>279316997.94893551</v>
      </c>
      <c r="F164" s="169">
        <f>finPNLProd1OperatingIncome</f>
        <v>363112834.94780129</v>
      </c>
      <c r="G164" s="169">
        <f>finPNLProd1OperatingIncome</f>
        <v>76621093.588155091</v>
      </c>
      <c r="L164" s="34"/>
    </row>
    <row r="165" spans="1:12">
      <c r="B165" s="565" t="s">
        <v>403</v>
      </c>
      <c r="E165" s="457">
        <f>finPNLProd1OperatingMargin</f>
        <v>0.13904791946092745</v>
      </c>
      <c r="F165" s="457">
        <f>finPNLProd1OperatingMargin</f>
        <v>0.20146642809314183</v>
      </c>
      <c r="G165" s="457">
        <f>finPNLProd1OperatingMargin</f>
        <v>5.721171251561228E-2</v>
      </c>
      <c r="L165" s="34"/>
    </row>
    <row r="166" spans="1:12">
      <c r="B166" s="565"/>
      <c r="E166" s="169"/>
      <c r="F166" s="169"/>
      <c r="G166" s="169"/>
      <c r="L166" s="34"/>
    </row>
    <row r="167" spans="1:12">
      <c r="A167" s="3" t="str">
        <f>DataNameProd2 &amp;" Income Statement"</f>
        <v>Transform Income Statement</v>
      </c>
      <c r="B167" s="565"/>
      <c r="E167" s="169"/>
      <c r="F167" s="169"/>
      <c r="G167" s="169"/>
      <c r="L167" s="34"/>
    </row>
    <row r="168" spans="1:12">
      <c r="B168" s="565" t="s">
        <v>1423</v>
      </c>
      <c r="E168" s="169">
        <f>finPNLProd2ExistSubRev</f>
        <v>2130647736.0000005</v>
      </c>
      <c r="F168" s="169">
        <f>finPNLProd2ExistSubRev</f>
        <v>1850503519.9950004</v>
      </c>
      <c r="G168" s="169">
        <f>finPNLProd2ExistSubRev</f>
        <v>1359867866.487</v>
      </c>
      <c r="L168" s="34"/>
    </row>
    <row r="169" spans="1:12">
      <c r="B169" s="565" t="s">
        <v>1424</v>
      </c>
      <c r="E169" s="169">
        <f>finPNLProd2NewSubRev</f>
        <v>27936000</v>
      </c>
      <c r="F169" s="169">
        <f>finPNLProd2NewSubRev</f>
        <v>24929100</v>
      </c>
      <c r="G169" s="169">
        <f>finPNLProd2NewSubRev</f>
        <v>17611320</v>
      </c>
      <c r="L169" s="34"/>
    </row>
    <row r="170" spans="1:12">
      <c r="B170" s="565" t="s">
        <v>1425</v>
      </c>
      <c r="E170" s="169">
        <f>finPNLProd2ServiceRev</f>
        <v>59596800</v>
      </c>
      <c r="F170" s="169">
        <f>finPNLProd2ServiceRev</f>
        <v>50649600.000000007</v>
      </c>
      <c r="G170" s="169">
        <f>finPNLProd2ServiceRev</f>
        <v>38732800</v>
      </c>
      <c r="L170" s="34"/>
    </row>
    <row r="171" spans="1:12">
      <c r="B171" s="565" t="s">
        <v>3065</v>
      </c>
      <c r="E171" s="169">
        <f>finPNLProd2GGORev</f>
        <v>184448149.40512156</v>
      </c>
      <c r="F171" s="169">
        <f>finPNLProd2GGORev</f>
        <v>184196660.32819372</v>
      </c>
      <c r="G171" s="169">
        <f>finPNLProd2GGORev</f>
        <v>184137206.56716555</v>
      </c>
      <c r="L171" s="34"/>
    </row>
    <row r="172" spans="1:12">
      <c r="B172" s="565" t="str">
        <f>DataNameProd2 &amp; " Revenues"</f>
        <v>Transform Revenues</v>
      </c>
      <c r="E172" s="169">
        <f>finPNLProd2Rev</f>
        <v>2402628685.4051218</v>
      </c>
      <c r="F172" s="169">
        <f>finPNLProd2Rev</f>
        <v>2110278880.323194</v>
      </c>
      <c r="G172" s="169">
        <f>finPNLProd2Rev</f>
        <v>1600349193.0541656</v>
      </c>
      <c r="L172" s="34"/>
    </row>
    <row r="173" spans="1:12">
      <c r="B173" s="565" t="str">
        <f>DataNameEmp1</f>
        <v>Engineers</v>
      </c>
      <c r="E173" s="169">
        <f>finPNLProd2Emp1Exp</f>
        <v>18001279.703132071</v>
      </c>
      <c r="F173" s="169">
        <f>finPNLProd2Emp1Exp</f>
        <v>82379151.774414867</v>
      </c>
      <c r="G173" s="169">
        <f>finPNLProd2Emp1Exp</f>
        <v>16663268.507264514</v>
      </c>
      <c r="L173" s="34"/>
    </row>
    <row r="174" spans="1:12">
      <c r="B174" s="565" t="str">
        <f>DataNameEmp2</f>
        <v>Staff</v>
      </c>
      <c r="E174" s="169">
        <f>finPNLProd2Emp2Exp</f>
        <v>830138043.79556561</v>
      </c>
      <c r="F174" s="169">
        <f>finPNLProd2Emp2Exp</f>
        <v>631171785.41639805</v>
      </c>
      <c r="G174" s="169">
        <f>finPNLProd2Emp2Exp</f>
        <v>585524906.00190985</v>
      </c>
      <c r="L174" s="34"/>
    </row>
    <row r="175" spans="1:12">
      <c r="B175" s="565" t="str">
        <f>DataNameEmp3</f>
        <v>Services Personnel</v>
      </c>
      <c r="E175" s="169">
        <f>finPNLProd2Emp3Exp</f>
        <v>59282961.39752876</v>
      </c>
      <c r="F175" s="169">
        <f>finPNLProd2Emp3Exp</f>
        <v>51117481.678279616</v>
      </c>
      <c r="G175" s="169">
        <f>finPNLProd2Emp3Exp</f>
        <v>40306288.26151561</v>
      </c>
      <c r="L175" s="34"/>
    </row>
    <row r="176" spans="1:12">
      <c r="B176" s="565" t="s">
        <v>1427</v>
      </c>
      <c r="E176" s="169">
        <f>finPNLProd2EmpExp</f>
        <v>1025346254.1167679</v>
      </c>
      <c r="F176" s="169">
        <f>finPNLProd2EmpExp</f>
        <v>890316641.84509373</v>
      </c>
      <c r="G176" s="169">
        <f>finPNLProd2EmpExp</f>
        <v>770218548.29958344</v>
      </c>
      <c r="L176" s="34"/>
    </row>
    <row r="177" spans="2:12">
      <c r="B177" s="565" t="s">
        <v>1542</v>
      </c>
      <c r="E177" s="169">
        <f>finPNLProd2RoyalityExp</f>
        <v>72883991.200000018</v>
      </c>
      <c r="F177" s="169">
        <f>finPNLProd2RoyalityExp</f>
        <v>61761776.260000013</v>
      </c>
      <c r="G177" s="169">
        <f>finPNLProd2RoyalityExp</f>
        <v>47229617.140000001</v>
      </c>
      <c r="L177" s="34"/>
    </row>
    <row r="178" spans="2:12">
      <c r="B178" s="565" t="s">
        <v>1551</v>
      </c>
      <c r="E178" s="169">
        <f>finPNLProd2PrintExp</f>
        <v>106592837.13000003</v>
      </c>
      <c r="F178" s="169">
        <f>finPNLProd2PrintExp</f>
        <v>90326597.780250028</v>
      </c>
      <c r="G178" s="169">
        <f>finPNLProd2PrintExp</f>
        <v>69073315.067249998</v>
      </c>
      <c r="L178" s="34"/>
    </row>
    <row r="179" spans="2:12">
      <c r="B179" s="565" t="s">
        <v>1226</v>
      </c>
      <c r="E179" s="169">
        <f>finPNLProd2MktExp</f>
        <v>108026145.27750769</v>
      </c>
      <c r="F179" s="169">
        <f>finPNLProd2MktExp</f>
        <v>110634047.76852542</v>
      </c>
      <c r="G179" s="169">
        <f>finPNLProd2MktExp</f>
        <v>83483813.776145652</v>
      </c>
      <c r="L179" s="34"/>
    </row>
    <row r="180" spans="2:12">
      <c r="B180" s="565" t="s">
        <v>722</v>
      </c>
      <c r="E180" s="169">
        <f>finPNLProd2OtherExp</f>
        <v>63362708.081203312</v>
      </c>
      <c r="F180" s="169">
        <f>finPNLProd2OtherExp</f>
        <v>63113334.86438489</v>
      </c>
      <c r="G180" s="169">
        <f>finPNLProd2OtherExp</f>
        <v>63889186.420137279</v>
      </c>
      <c r="L180" s="34"/>
    </row>
    <row r="181" spans="2:12">
      <c r="B181" s="565" t="s">
        <v>1533</v>
      </c>
      <c r="E181" s="169">
        <f>finPNLProd2RevExp</f>
        <v>287502973.60750771</v>
      </c>
      <c r="F181" s="169">
        <f>finPNLProd2RevExp</f>
        <v>262722421.80877545</v>
      </c>
      <c r="G181" s="169">
        <f>finPNLProd2RevExp</f>
        <v>199786745.98339564</v>
      </c>
      <c r="L181" s="34"/>
    </row>
    <row r="182" spans="2:12">
      <c r="B182" s="565" t="s">
        <v>1562</v>
      </c>
      <c r="E182" s="169">
        <f>finPNLProd2Emp1ProdDevExp</f>
        <v>117923969.22054152</v>
      </c>
      <c r="F182" s="169">
        <f>finPNLProd2Emp1ProdDevExp</f>
        <v>125648222.97600117</v>
      </c>
      <c r="G182" s="169">
        <f>finPNLProd2Emp1ProdDevExp</f>
        <v>127724085.52889344</v>
      </c>
      <c r="L182" s="34"/>
    </row>
    <row r="183" spans="2:12">
      <c r="B183" s="565" t="s">
        <v>1565</v>
      </c>
      <c r="E183" s="169">
        <f>finPNLProd2ExtFTEProdDevExp</f>
        <v>9473197.520353606</v>
      </c>
      <c r="F183" s="169">
        <f>finPNLProd2ExtFTEProdDevExp</f>
        <v>2696753.8084671497</v>
      </c>
      <c r="G183" s="169">
        <f>finPNLProd2ExtFTEProdDevExp</f>
        <v>2722048.4169912897</v>
      </c>
      <c r="L183" s="34"/>
    </row>
    <row r="184" spans="2:12">
      <c r="B184" s="565" t="s">
        <v>1556</v>
      </c>
      <c r="E184" s="169">
        <f>finPNLProd2ProdDevExp</f>
        <v>9473197.520353606</v>
      </c>
      <c r="F184" s="169">
        <f>finPNLProd2ProdDevExp</f>
        <v>2696753.8084671497</v>
      </c>
      <c r="G184" s="169">
        <f>finPNLProd2ProdDevExp</f>
        <v>2722048.4169912897</v>
      </c>
      <c r="L184" s="34"/>
    </row>
    <row r="185" spans="2:12">
      <c r="B185" s="565" t="s">
        <v>1428</v>
      </c>
      <c r="E185" s="169">
        <f>finPNLProd2Plant1Exp</f>
        <v>245245859.48077711</v>
      </c>
      <c r="F185" s="169">
        <f>finPNLProd2Plant1Exp</f>
        <v>147138042.96136081</v>
      </c>
      <c r="G185" s="169">
        <f>finPNLProd2Plant1Exp</f>
        <v>122405847.73017143</v>
      </c>
      <c r="L185" s="34"/>
    </row>
    <row r="186" spans="2:12">
      <c r="B186" s="565" t="s">
        <v>291</v>
      </c>
      <c r="E186" s="169">
        <f>finPNLProd2AdminExp</f>
        <v>8169592.5610608142</v>
      </c>
      <c r="F186" s="169">
        <f>finPNLProd2AdminExp</f>
        <v>8090261.4254014501</v>
      </c>
      <c r="G186" s="169">
        <f>finPNLProd2AdminExp</f>
        <v>2722048.4169912897</v>
      </c>
      <c r="L186" s="34"/>
    </row>
    <row r="187" spans="2:12">
      <c r="B187" s="565" t="s">
        <v>1557</v>
      </c>
      <c r="E187" s="169">
        <f>finPNLProd2AdminInfraExp</f>
        <v>253415452.04183793</v>
      </c>
      <c r="F187" s="169">
        <f>finPNLProd2AdminInfraExp</f>
        <v>155228304.38676226</v>
      </c>
      <c r="G187" s="169">
        <f>finPNLProd2AdminInfraExp</f>
        <v>125127896.14716272</v>
      </c>
      <c r="L187" s="34"/>
    </row>
    <row r="188" spans="2:12">
      <c r="B188" s="565" t="s">
        <v>686</v>
      </c>
      <c r="E188" s="169">
        <f>finPNLProd2OtherExp</f>
        <v>63362708.081203312</v>
      </c>
      <c r="F188" s="169">
        <f>finPNLProd2OtherExp</f>
        <v>63113334.86438489</v>
      </c>
      <c r="G188" s="169">
        <f>finPNLProd2OtherExp</f>
        <v>63889186.420137279</v>
      </c>
      <c r="L188" s="34"/>
    </row>
    <row r="189" spans="2:12">
      <c r="B189" s="565" t="s">
        <v>406</v>
      </c>
      <c r="E189" s="169">
        <f>finPNLProd2SpecProgExp</f>
        <v>32678370.244243257</v>
      </c>
      <c r="F189" s="169">
        <f>finPNLProd2SpecProgExp</f>
        <v>32361045.701605801</v>
      </c>
      <c r="G189" s="169">
        <f>finPNLProd2SpecProgExp</f>
        <v>32664581.003895473</v>
      </c>
      <c r="L189" s="34"/>
    </row>
    <row r="190" spans="2:12">
      <c r="B190" s="565" t="s">
        <v>686</v>
      </c>
      <c r="E190" s="169">
        <f>finPNLProd2OtherOpExp</f>
        <v>96041078.325446576</v>
      </c>
      <c r="F190" s="169">
        <f>finPNLProd2OtherOpExp</f>
        <v>95474380.565990686</v>
      </c>
      <c r="G190" s="169">
        <f>finPNLProd2OtherOpExp</f>
        <v>96553767.424032748</v>
      </c>
      <c r="L190" s="34"/>
    </row>
    <row r="191" spans="2:12">
      <c r="B191" s="565" t="s">
        <v>406</v>
      </c>
      <c r="E191" s="169">
        <f>finPNLProd2OperatingExp</f>
        <v>1671778955.6119137</v>
      </c>
      <c r="F191" s="169">
        <f>finPNLProd2OperatingExp</f>
        <v>1406438502.4150894</v>
      </c>
      <c r="G191" s="169">
        <f>finPNLProd2OperatingExp</f>
        <v>1194409006.2711656</v>
      </c>
      <c r="L191" s="34"/>
    </row>
    <row r="192" spans="2:12">
      <c r="B192" s="565" t="s">
        <v>957</v>
      </c>
      <c r="E192" s="169">
        <f>finPNLProd2EBITDA</f>
        <v>730849729.79320812</v>
      </c>
      <c r="F192" s="169">
        <f>finPNLProd2EBITDA</f>
        <v>703840377.90810466</v>
      </c>
      <c r="G192" s="169">
        <f>finPNLProd2EBITDA</f>
        <v>405940186.78299999</v>
      </c>
      <c r="L192" s="34"/>
    </row>
    <row r="193" spans="1:12">
      <c r="B193" s="565" t="s">
        <v>1622</v>
      </c>
      <c r="E193" s="169">
        <f>finPNLProd2DeprExp</f>
        <v>83306425.746742964</v>
      </c>
      <c r="F193" s="169">
        <f>finPNLProd2DeprExp</f>
        <v>57648311.529411301</v>
      </c>
      <c r="G193" s="169">
        <f>finPNLProd2DeprExp</f>
        <v>50777861.965382777</v>
      </c>
      <c r="L193" s="34"/>
    </row>
    <row r="194" spans="1:12">
      <c r="B194" s="565" t="s">
        <v>1624</v>
      </c>
      <c r="E194" s="169">
        <f>finPNLProd2AmortExp</f>
        <v>88682020.351302251</v>
      </c>
      <c r="F194" s="169">
        <f>finPNLProd2AmortExp</f>
        <v>89506884.070260465</v>
      </c>
      <c r="G194" s="169">
        <f>finPNLProd2AmortExp</f>
        <v>90121495.408938885</v>
      </c>
      <c r="L194" s="34"/>
    </row>
    <row r="195" spans="1:12">
      <c r="B195" s="565" t="s">
        <v>1623</v>
      </c>
      <c r="E195" s="169">
        <f>finPNLProd2DeprAmortExp</f>
        <v>171988446.09804523</v>
      </c>
      <c r="F195" s="169">
        <f>finPNLProd2DeprAmortExp</f>
        <v>147155195.59967178</v>
      </c>
      <c r="G195" s="169">
        <f>finPNLProd2DeprAmortExp</f>
        <v>140899357.37432167</v>
      </c>
      <c r="L195" s="34"/>
    </row>
    <row r="196" spans="1:12">
      <c r="B196" s="565" t="s">
        <v>1625</v>
      </c>
      <c r="E196" s="169">
        <f>finPNLProd2OperatingIncome</f>
        <v>558861283.69516289</v>
      </c>
      <c r="F196" s="169">
        <f>finPNLProd2OperatingIncome</f>
        <v>556685182.30843282</v>
      </c>
      <c r="G196" s="169">
        <f>finPNLProd2OperatingIncome</f>
        <v>265040829.40867832</v>
      </c>
      <c r="L196" s="34"/>
    </row>
    <row r="197" spans="1:12">
      <c r="B197" s="565" t="s">
        <v>403</v>
      </c>
      <c r="E197" s="457">
        <f>finPNLProd2OperatingMargin</f>
        <v>0.23260410028815165</v>
      </c>
      <c r="F197" s="457">
        <f>finPNLProd2OperatingMargin</f>
        <v>0.26379697370765293</v>
      </c>
      <c r="G197" s="457">
        <f>finPNLProd2OperatingMargin</f>
        <v>0.16561437376230659</v>
      </c>
      <c r="L197" s="34"/>
    </row>
    <row r="198" spans="1:12">
      <c r="B198" s="565"/>
      <c r="E198" s="169"/>
      <c r="F198" s="169"/>
      <c r="G198" s="169"/>
      <c r="L198" s="34"/>
    </row>
    <row r="199" spans="1:12">
      <c r="A199" s="3" t="s">
        <v>1872</v>
      </c>
      <c r="B199" s="565"/>
      <c r="E199" s="169"/>
      <c r="F199" s="169"/>
      <c r="G199" s="169"/>
      <c r="L199" s="34"/>
    </row>
    <row r="200" spans="1:12">
      <c r="B200" s="565" t="s">
        <v>1423</v>
      </c>
      <c r="E200" s="169">
        <f>finPNLExistSubRev</f>
        <v>3769681987.7625008</v>
      </c>
      <c r="F200" s="169">
        <f>finPNLExistSubRev</f>
        <v>3308736195.9805317</v>
      </c>
      <c r="G200" s="169">
        <f>finPNLExistSubRev</f>
        <v>2410030422.8640656</v>
      </c>
      <c r="L200" s="34"/>
    </row>
    <row r="201" spans="1:12">
      <c r="B201" s="565" t="s">
        <v>1424</v>
      </c>
      <c r="E201" s="169">
        <f>finPNLNewSubRev</f>
        <v>90079200</v>
      </c>
      <c r="F201" s="169">
        <f>finPNLNewSubRev</f>
        <v>83034180</v>
      </c>
      <c r="G201" s="169">
        <f>finPNLNewSubRev</f>
        <v>56791560</v>
      </c>
      <c r="L201" s="34"/>
    </row>
    <row r="202" spans="1:12">
      <c r="B202" s="565" t="s">
        <v>1425</v>
      </c>
      <c r="E202" s="169">
        <f>finPNLServiceRev</f>
        <v>225312000</v>
      </c>
      <c r="F202" s="169">
        <f>finPNLServiceRev</f>
        <v>191510400.00000003</v>
      </c>
      <c r="G202" s="169">
        <f>finPNLServiceRev</f>
        <v>146444800</v>
      </c>
      <c r="L202" s="34"/>
    </row>
    <row r="203" spans="1:12">
      <c r="B203" s="565" t="s">
        <v>3065</v>
      </c>
      <c r="E203" s="169">
        <f>finPNLGGORev</f>
        <v>326337786.73989737</v>
      </c>
      <c r="F203" s="169">
        <f>finPNLGGORev</f>
        <v>329347202.32700366</v>
      </c>
      <c r="G203" s="169">
        <f>finPNLGGORev</f>
        <v>326337786.73989737</v>
      </c>
      <c r="L203" s="34"/>
    </row>
    <row r="204" spans="1:12">
      <c r="B204" s="565" t="s">
        <v>807</v>
      </c>
      <c r="E204" s="169">
        <f>finPNLRev</f>
        <v>4411410974.5023985</v>
      </c>
      <c r="F204" s="169">
        <f>finPNLRev</f>
        <v>3912627978.3075352</v>
      </c>
      <c r="G204" s="169">
        <f>finPNLRev</f>
        <v>2939604569.6039629</v>
      </c>
      <c r="H204" s="579"/>
      <c r="L204" s="34"/>
    </row>
    <row r="205" spans="1:12">
      <c r="B205" s="565" t="str">
        <f>DataNameEmp1</f>
        <v>Engineers</v>
      </c>
      <c r="E205" s="169">
        <f>finPNLEmp1Exp</f>
        <v>34615384.615384638</v>
      </c>
      <c r="F205" s="169">
        <f>finPNLEmp1Exp</f>
        <v>149079345.85099939</v>
      </c>
      <c r="G205" s="169">
        <f>finPNLEmp1Exp</f>
        <v>36050471.267862618</v>
      </c>
      <c r="L205" s="34"/>
    </row>
    <row r="206" spans="1:12">
      <c r="B206" s="565" t="str">
        <f>DataNameEmp2</f>
        <v>Staff</v>
      </c>
      <c r="E206" s="169">
        <f>finPNLEmp2Exp</f>
        <v>1546344799.9999998</v>
      </c>
      <c r="F206" s="169">
        <f>finPNLEmp2Exp</f>
        <v>1188180000</v>
      </c>
      <c r="G206" s="169">
        <f>finPNLEmp2Exp</f>
        <v>1089767840.0000002</v>
      </c>
      <c r="L206" s="34"/>
    </row>
    <row r="207" spans="1:12">
      <c r="B207" s="565" t="str">
        <f>DataNameEmp3</f>
        <v>Services Personnel</v>
      </c>
      <c r="E207" s="169">
        <f>finPNLEmp3Exp</f>
        <v>224125500.00000006</v>
      </c>
      <c r="F207" s="169">
        <f>finPNLEmp3Exp</f>
        <v>193279500</v>
      </c>
      <c r="G207" s="169">
        <f>finPNLEmp3Exp</f>
        <v>152394000.00000003</v>
      </c>
      <c r="L207" s="34"/>
    </row>
    <row r="208" spans="1:12">
      <c r="B208" s="565" t="s">
        <v>1427</v>
      </c>
      <c r="E208" s="169">
        <f>finPNLEmpExp</f>
        <v>2027201069.2307689</v>
      </c>
      <c r="F208" s="169">
        <f>finPNLEmpExp</f>
        <v>1749815042.0956995</v>
      </c>
      <c r="G208" s="169">
        <f>finPNLEmpExp</f>
        <v>1531397169.8875041</v>
      </c>
      <c r="L208" s="34"/>
    </row>
    <row r="209" spans="2:12">
      <c r="B209" s="565" t="s">
        <v>1542</v>
      </c>
      <c r="E209" s="169">
        <f>finPNLRoyalityExp</f>
        <v>187173292.703125</v>
      </c>
      <c r="F209" s="169">
        <f>finPNLRoyalityExp</f>
        <v>158623538.97515625</v>
      </c>
      <c r="G209" s="169">
        <f>finPNLRoyalityExp</f>
        <v>121568248.22328125</v>
      </c>
      <c r="L209" s="34"/>
    </row>
    <row r="210" spans="2:12">
      <c r="B210" s="565" t="s">
        <v>1551</v>
      </c>
      <c r="E210" s="169">
        <f>finPNLPrintExp</f>
        <v>168635600.80312502</v>
      </c>
      <c r="F210" s="169">
        <f>finPNLPrintExp</f>
        <v>142908697.53990626</v>
      </c>
      <c r="G210" s="169">
        <f>finPNLPrintExp</f>
        <v>109428571.94103125</v>
      </c>
      <c r="L210" s="34"/>
    </row>
    <row r="211" spans="2:12">
      <c r="B211" s="565" t="s">
        <v>1226</v>
      </c>
      <c r="E211" s="169">
        <f>finPNLMktExp</f>
        <v>198642883.9674342</v>
      </c>
      <c r="F211" s="169">
        <f>finPNLMktExp</f>
        <v>205527790.85967886</v>
      </c>
      <c r="G211" s="169">
        <f>finPNLMktExp</f>
        <v>153644722.53281397</v>
      </c>
      <c r="L211" s="34"/>
    </row>
    <row r="212" spans="2:12">
      <c r="B212" s="565" t="s">
        <v>722</v>
      </c>
      <c r="E212" s="169">
        <f>finPNLOtherExp</f>
        <v>121000000</v>
      </c>
      <c r="F212" s="169">
        <f>finPNLOtherExp</f>
        <v>121000000</v>
      </c>
      <c r="G212" s="169">
        <f>finPNLOtherExp</f>
        <v>121000000</v>
      </c>
      <c r="L212" s="34"/>
    </row>
    <row r="213" spans="2:12">
      <c r="B213" s="565" t="s">
        <v>1533</v>
      </c>
      <c r="E213" s="169">
        <f>finPNLRevExp</f>
        <v>554451777.47368419</v>
      </c>
      <c r="F213" s="169">
        <f>finPNLRevExp</f>
        <v>507060027.37474138</v>
      </c>
      <c r="G213" s="169">
        <f>finPNLRevExp</f>
        <v>384641542.69712645</v>
      </c>
      <c r="L213" s="34"/>
    </row>
    <row r="214" spans="2:12">
      <c r="B214" s="565" t="s">
        <v>1562</v>
      </c>
      <c r="E214" s="169">
        <f>finPNLEmp1ProdDevExp</f>
        <v>222115384.61538461</v>
      </c>
      <c r="F214" s="169">
        <f>finPNLEmp1ProdDevExp</f>
        <v>219276196.24470019</v>
      </c>
      <c r="G214" s="169">
        <f>finPNLEmp1ProdDevExp</f>
        <v>253184858.61964124</v>
      </c>
      <c r="L214" s="34"/>
    </row>
    <row r="215" spans="2:12">
      <c r="B215" s="565" t="s">
        <v>1565</v>
      </c>
      <c r="E215" s="169">
        <f>finPNLExtFTEProdDevExp</f>
        <v>18500000</v>
      </c>
      <c r="F215" s="169">
        <f>finPNLExtFTEProdDevExp</f>
        <v>5000000</v>
      </c>
      <c r="G215" s="169">
        <f>finPNLExtFTEProdDevExp</f>
        <v>5000000.0000000009</v>
      </c>
      <c r="L215" s="34"/>
    </row>
    <row r="216" spans="2:12">
      <c r="B216" s="565" t="s">
        <v>1556</v>
      </c>
      <c r="E216" s="169">
        <f>finPNLProdDevExp</f>
        <v>18500000</v>
      </c>
      <c r="F216" s="169">
        <f>finPNLProdDevExp</f>
        <v>5000000</v>
      </c>
      <c r="G216" s="169">
        <f>finPNLProdDevExp</f>
        <v>5000000.0000000009</v>
      </c>
      <c r="L216" s="34"/>
    </row>
    <row r="217" spans="2:12">
      <c r="B217" s="565" t="s">
        <v>1428</v>
      </c>
      <c r="E217" s="169">
        <f>finPNLPlant1Exp</f>
        <v>465000000</v>
      </c>
      <c r="F217" s="169">
        <f>finPNLPlant1Exp</f>
        <v>279000000</v>
      </c>
      <c r="G217" s="169">
        <f>finPNLPlant1Exp</f>
        <v>232500000</v>
      </c>
      <c r="L217" s="34"/>
    </row>
    <row r="218" spans="2:12">
      <c r="B218" s="565" t="s">
        <v>291</v>
      </c>
      <c r="E218" s="169">
        <f>finPNLAdminExp</f>
        <v>14999999.999999998</v>
      </c>
      <c r="F218" s="169">
        <f>finPNLAdminExp</f>
        <v>15000000</v>
      </c>
      <c r="G218" s="169">
        <f>finPNLAdminExp</f>
        <v>5000000.0000000009</v>
      </c>
      <c r="L218" s="34"/>
    </row>
    <row r="219" spans="2:12">
      <c r="B219" s="565" t="s">
        <v>1557</v>
      </c>
      <c r="E219" s="169">
        <f>finPNLAdminInfraExp</f>
        <v>480000000</v>
      </c>
      <c r="F219" s="169">
        <f>finPNLAdminInfraExp</f>
        <v>294000000</v>
      </c>
      <c r="G219" s="169">
        <f>finPNLAdminInfraExp</f>
        <v>237500000</v>
      </c>
      <c r="L219" s="34"/>
    </row>
    <row r="220" spans="2:12">
      <c r="B220" s="565" t="s">
        <v>686</v>
      </c>
      <c r="E220" s="169">
        <f>finPNLOtherExp</f>
        <v>121000000</v>
      </c>
      <c r="F220" s="169">
        <f>finPNLOtherExp</f>
        <v>121000000</v>
      </c>
      <c r="G220" s="169">
        <f>finPNLOtherExp</f>
        <v>121000000</v>
      </c>
      <c r="L220" s="34"/>
    </row>
    <row r="221" spans="2:12">
      <c r="B221" s="565" t="s">
        <v>406</v>
      </c>
      <c r="E221" s="169">
        <f>finPNLSpecProgExp</f>
        <v>59999999.999999993</v>
      </c>
      <c r="F221" s="169">
        <f>finPNLSpecProgExp</f>
        <v>60000000</v>
      </c>
      <c r="G221" s="169">
        <f>finPNLSpecProgExp</f>
        <v>60000000</v>
      </c>
      <c r="L221" s="34"/>
    </row>
    <row r="222" spans="2:12">
      <c r="B222" s="565" t="s">
        <v>686</v>
      </c>
      <c r="E222" s="169">
        <f>finPNLOtherOpExp</f>
        <v>181000000</v>
      </c>
      <c r="F222" s="169">
        <f>finPNLOtherOpExp</f>
        <v>181000000</v>
      </c>
      <c r="G222" s="169">
        <f>finPNLOtherOpExp</f>
        <v>181000000</v>
      </c>
      <c r="L222" s="34"/>
    </row>
    <row r="223" spans="2:12">
      <c r="B223" s="565" t="s">
        <v>406</v>
      </c>
      <c r="E223" s="169">
        <f>finPNLOperatingExp</f>
        <v>3261152846.704453</v>
      </c>
      <c r="F223" s="169">
        <f>finPNLOperatingExp</f>
        <v>2736875069.4704409</v>
      </c>
      <c r="G223" s="169">
        <f>finPNLOperatingExp</f>
        <v>2339538712.5846305</v>
      </c>
      <c r="L223" s="34"/>
    </row>
    <row r="224" spans="2:12">
      <c r="B224" s="565" t="s">
        <v>957</v>
      </c>
      <c r="E224" s="169">
        <f>finPNLEBITDA</f>
        <v>1150258127.7979455</v>
      </c>
      <c r="F224" s="169">
        <f>finPNLEBITDA</f>
        <v>1175752908.8370943</v>
      </c>
      <c r="G224" s="169">
        <f>finPNLEBITDA</f>
        <v>600065857.01933241</v>
      </c>
      <c r="L224" s="34"/>
    </row>
    <row r="225" spans="1:12">
      <c r="B225" s="565" t="s">
        <v>1622</v>
      </c>
      <c r="E225" s="169">
        <f>finPNLDeprExp</f>
        <v>157750000</v>
      </c>
      <c r="F225" s="169">
        <f>finPNLDeprExp</f>
        <v>109250000</v>
      </c>
      <c r="G225" s="169">
        <f>finPNLDeprExp</f>
        <v>95875000</v>
      </c>
      <c r="L225" s="34"/>
    </row>
    <row r="226" spans="1:12">
      <c r="B226" s="565" t="s">
        <v>1624</v>
      </c>
      <c r="E226" s="169">
        <f>finPNLAmortExp</f>
        <v>154329846.15384617</v>
      </c>
      <c r="F226" s="169">
        <f>finPNLAmortExp</f>
        <v>146704891.58086011</v>
      </c>
      <c r="G226" s="169">
        <f>finPNLAmortExp</f>
        <v>162528934.02249923</v>
      </c>
      <c r="L226" s="34"/>
    </row>
    <row r="227" spans="1:12">
      <c r="B227" s="565" t="s">
        <v>1623</v>
      </c>
      <c r="E227" s="169">
        <f>finPNLDeprAmortExp</f>
        <v>312079846.15384614</v>
      </c>
      <c r="F227" s="169">
        <f>finPNLDeprAmortExp</f>
        <v>255954891.58086011</v>
      </c>
      <c r="G227" s="169">
        <f>finPNLDeprAmortExp</f>
        <v>258403934.02249923</v>
      </c>
      <c r="L227" s="34"/>
    </row>
    <row r="228" spans="1:12">
      <c r="B228" s="565" t="s">
        <v>1625</v>
      </c>
      <c r="E228" s="169">
        <f>finPNLOperatingIncome</f>
        <v>838178281.64409935</v>
      </c>
      <c r="F228" s="169">
        <f>finPNLOperatingIncome</f>
        <v>919798017.25623417</v>
      </c>
      <c r="G228" s="169">
        <f>finPNLOperatingIncome</f>
        <v>341661922.99683321</v>
      </c>
      <c r="L228" s="34"/>
    </row>
    <row r="229" spans="1:12">
      <c r="B229" s="565" t="s">
        <v>403</v>
      </c>
      <c r="E229" s="457">
        <f>finPNLOperatingMargin</f>
        <v>0.1900023113894177</v>
      </c>
      <c r="F229" s="457">
        <f>finPNLOperatingMargin</f>
        <v>0.23508445534709546</v>
      </c>
      <c r="G229" s="457">
        <f>finPNLOperatingMargin</f>
        <v>0.11622717100445366</v>
      </c>
      <c r="H229" s="579" t="s">
        <v>3339</v>
      </c>
      <c r="L229" s="34"/>
    </row>
    <row r="230" spans="1:12">
      <c r="B230" s="565" t="s">
        <v>574</v>
      </c>
      <c r="E230" s="169">
        <f>finPNLCapLossExp</f>
        <v>0</v>
      </c>
      <c r="F230" s="169">
        <f>finPNLCapLossExp</f>
        <v>0</v>
      </c>
      <c r="G230" s="169">
        <f>finPNLCapLossExp</f>
        <v>0</v>
      </c>
      <c r="L230" s="34"/>
    </row>
    <row r="231" spans="1:12">
      <c r="B231" s="565" t="s">
        <v>1127</v>
      </c>
      <c r="E231" s="169">
        <f>finPNLSpecLoansExp</f>
        <v>0</v>
      </c>
      <c r="F231" s="169">
        <f>finPNLSpecLoansExp</f>
        <v>0</v>
      </c>
      <c r="G231" s="169">
        <f>finPNLSpecLoansExp</f>
        <v>0</v>
      </c>
      <c r="L231" s="34"/>
    </row>
    <row r="232" spans="1:12">
      <c r="B232" s="565" t="s">
        <v>885</v>
      </c>
      <c r="E232" s="169">
        <f>finPNLExtraOrdExp</f>
        <v>0</v>
      </c>
      <c r="F232" s="169">
        <f>finPNLExtraOrdExp</f>
        <v>0</v>
      </c>
      <c r="G232" s="169">
        <f>finPNLExtraOrdExp</f>
        <v>0</v>
      </c>
      <c r="L232" s="34"/>
    </row>
    <row r="233" spans="1:12">
      <c r="B233" s="565" t="s">
        <v>886</v>
      </c>
      <c r="E233" s="169">
        <f>finPNLIntInc</f>
        <v>8500838.6443741601</v>
      </c>
      <c r="F233" s="169">
        <f>finPNLIntInc</f>
        <v>8500838.6443741601</v>
      </c>
      <c r="G233" s="169">
        <f>finPNLIntInc</f>
        <v>8500838.6443741601</v>
      </c>
      <c r="L233" s="34"/>
    </row>
    <row r="234" spans="1:12">
      <c r="B234" s="565" t="s">
        <v>887</v>
      </c>
      <c r="E234" s="169">
        <f>finPNLIntExp</f>
        <v>125929708.2424297</v>
      </c>
      <c r="F234" s="169">
        <f>finPNLIntExp</f>
        <v>125929708.2424297</v>
      </c>
      <c r="G234" s="169">
        <f>finPNLIntExp</f>
        <v>125929708.2424297</v>
      </c>
      <c r="L234" s="34"/>
    </row>
    <row r="235" spans="1:12">
      <c r="B235" s="565" t="s">
        <v>721</v>
      </c>
      <c r="E235" s="169">
        <f>finPNLNetIntExp</f>
        <v>117428869.59805554</v>
      </c>
      <c r="F235" s="169">
        <f>finPNLNetIntExp</f>
        <v>117428869.59805554</v>
      </c>
      <c r="G235" s="169">
        <f>finPNLNetIntExp</f>
        <v>117428869.59805554</v>
      </c>
      <c r="L235" s="34"/>
    </row>
    <row r="236" spans="1:12">
      <c r="B236" s="565" t="s">
        <v>10</v>
      </c>
      <c r="E236" s="169">
        <f>finEBIT</f>
        <v>720749412.04604387</v>
      </c>
      <c r="F236" s="169">
        <f>finEBIT</f>
        <v>802369147.65817857</v>
      </c>
      <c r="G236" s="169">
        <f>finEBIT</f>
        <v>224233053.39877766</v>
      </c>
      <c r="L236" s="34"/>
    </row>
    <row r="237" spans="1:12">
      <c r="B237" s="565" t="s">
        <v>1136</v>
      </c>
      <c r="E237" s="169">
        <f>finPNLTaxExp</f>
        <v>144149882.40920877</v>
      </c>
      <c r="F237" s="169">
        <f>finPNLTaxExp</f>
        <v>160473829.53163573</v>
      </c>
      <c r="G237" s="169">
        <f>finPNLTaxExp</f>
        <v>44846610.679755539</v>
      </c>
      <c r="L237" s="34"/>
    </row>
    <row r="238" spans="1:12">
      <c r="B238" s="565" t="s">
        <v>443</v>
      </c>
      <c r="E238" s="169">
        <f>finPNLNetEarn</f>
        <v>576599529.6368351</v>
      </c>
      <c r="F238" s="169">
        <f>finPNLNetEarn</f>
        <v>641895318.12654281</v>
      </c>
      <c r="G238" s="169">
        <f>finPNLNetEarn</f>
        <v>179386442.71902213</v>
      </c>
      <c r="L238" s="34"/>
    </row>
    <row r="239" spans="1:12">
      <c r="E239" s="169"/>
      <c r="F239" s="169"/>
      <c r="G239" s="169"/>
      <c r="L239" s="34"/>
    </row>
    <row r="240" spans="1:12">
      <c r="A240" s="3" t="s">
        <v>448</v>
      </c>
      <c r="E240" s="172"/>
      <c r="F240" s="172"/>
      <c r="G240" s="172"/>
    </row>
    <row r="241" spans="1:8">
      <c r="A241" s="3"/>
      <c r="B241" t="s">
        <v>404</v>
      </c>
      <c r="E241" s="169">
        <f>obalCStockPricePShare</f>
        <v>5</v>
      </c>
      <c r="F241" s="169">
        <f>obalCStockPricePShare</f>
        <v>5</v>
      </c>
      <c r="G241" s="169">
        <f>obalCStockPricePShare</f>
        <v>5</v>
      </c>
    </row>
    <row r="242" spans="1:8">
      <c r="B242" t="s">
        <v>449</v>
      </c>
      <c r="E242" s="169">
        <f>obalCStockShares+finStockchange</f>
        <v>10000000</v>
      </c>
      <c r="F242" s="169">
        <f>obalCStockShares+finStockchange</f>
        <v>10000000</v>
      </c>
      <c r="G242" s="169">
        <f>obalCStockShares+finStockchange</f>
        <v>10000000</v>
      </c>
      <c r="H242" s="123" t="s">
        <v>351</v>
      </c>
    </row>
    <row r="243" spans="1:8">
      <c r="B243" t="s">
        <v>1251</v>
      </c>
      <c r="E243" s="416">
        <f>finEBIT</f>
        <v>720749412.04604387</v>
      </c>
      <c r="F243" s="416">
        <f>finEBIT</f>
        <v>802369147.65817857</v>
      </c>
      <c r="G243" s="416">
        <f>finEBIT</f>
        <v>224233053.39877766</v>
      </c>
      <c r="H243" s="123" t="s">
        <v>457</v>
      </c>
    </row>
    <row r="244" spans="1:8">
      <c r="B244" t="s">
        <v>382</v>
      </c>
      <c r="E244" s="169">
        <f>IF(obalCumulativeTaxLoss&lt;=0,0,IF(finEBIT&lt;=0,obalCumulativeTaxLoss,IF(obalCumulativeTaxLoss+0-finEBIT*paramTaxRate&lt;0,0,obalCumulativeTaxLoss+0-finEBIT*paramTaxRate)))+IF(finEBIT&lt;=0,-finEBIT,0)</f>
        <v>0</v>
      </c>
      <c r="F244" s="169">
        <f>IF(obalCumulativeTaxLoss&lt;=0,0,IF(finEBIT&lt;=0,obalCumulativeTaxLoss,IF(obalCumulativeTaxLoss+0-finEBIT*paramTaxRate&lt;0,0,obalCumulativeTaxLoss+0-finEBIT*paramTaxRate)))+IF(finEBIT&lt;=0,-finEBIT,0)</f>
        <v>0</v>
      </c>
      <c r="G244" s="169">
        <f>IF(obalCumulativeTaxLoss&lt;=0,0,IF(finEBIT&lt;=0,obalCumulativeTaxLoss,IF(obalCumulativeTaxLoss+0-finEBIT*paramTaxRate&lt;0,0,obalCumulativeTaxLoss+0-finEBIT*paramTaxRate)))+IF(finEBIT&lt;=0,-finEBIT,0)</f>
        <v>0</v>
      </c>
      <c r="H244" s="123" t="s">
        <v>388</v>
      </c>
    </row>
    <row r="245" spans="1:8">
      <c r="E245" s="172"/>
      <c r="F245" s="172"/>
      <c r="G245" s="172"/>
    </row>
    <row r="246" spans="1:8">
      <c r="A246" s="3" t="s">
        <v>451</v>
      </c>
      <c r="E246" s="172"/>
      <c r="F246" s="172"/>
      <c r="G246" s="172"/>
    </row>
    <row r="247" spans="1:8">
      <c r="B247" s="5" t="s">
        <v>452</v>
      </c>
      <c r="C247" t="s">
        <v>453</v>
      </c>
      <c r="D247" t="s">
        <v>1271</v>
      </c>
      <c r="E247" s="172"/>
      <c r="F247" s="172"/>
      <c r="G247" s="172"/>
    </row>
    <row r="248" spans="1:8">
      <c r="B248" s="5">
        <v>1</v>
      </c>
      <c r="C248" s="5" t="s">
        <v>498</v>
      </c>
      <c r="D248">
        <f>MAX(xxYear-B248+1,0)</f>
        <v>0</v>
      </c>
      <c r="E248" s="1098">
        <f>IF(xxYear=$B248,LARGE(E$440:E$461,1),obal!E248)</f>
        <v>0</v>
      </c>
      <c r="F248" s="1098">
        <f>IF(xxYear=$B248,LARGE(F$440:F$461,1),obal!F248)</f>
        <v>0</v>
      </c>
      <c r="G248" s="1098">
        <f>IF(xxYear=$B248,LARGE(G$440:G$461,1),obal!G248)</f>
        <v>0</v>
      </c>
      <c r="H248" s="579" t="s">
        <v>2822</v>
      </c>
    </row>
    <row r="249" spans="1:8">
      <c r="B249" s="5">
        <v>1</v>
      </c>
      <c r="C249" s="5" t="s">
        <v>499</v>
      </c>
      <c r="D249">
        <f t="shared" ref="D249:D256" si="14">MAX(xxYear-B249+1,0)</f>
        <v>0</v>
      </c>
      <c r="E249" s="1098">
        <f>IF(xxYear=$B249,LARGE(E$440:E$461,2),obal!E249)</f>
        <v>0</v>
      </c>
      <c r="F249" s="1098">
        <f>IF(xxYear=$B249,LARGE(F$440:F$461,2),obal!F249)</f>
        <v>0</v>
      </c>
      <c r="G249" s="1098">
        <f>IF(xxYear=$B249,LARGE(G$440:G$461,2),obal!G249)</f>
        <v>0</v>
      </c>
      <c r="H249" s="579" t="s">
        <v>2823</v>
      </c>
    </row>
    <row r="250" spans="1:8">
      <c r="B250" s="5">
        <v>1</v>
      </c>
      <c r="C250" s="5" t="s">
        <v>500</v>
      </c>
      <c r="D250">
        <f t="shared" si="14"/>
        <v>0</v>
      </c>
      <c r="E250" s="1098">
        <f>IF(xxYear=$B250,LARGE(E$440:E$461,3),obal!E250)</f>
        <v>0</v>
      </c>
      <c r="F250" s="1098">
        <f>IF(xxYear=$B250,LARGE(F$440:F$461,3),obal!F250)</f>
        <v>0</v>
      </c>
      <c r="G250" s="1098">
        <f>IF(xxYear=$B250,LARGE(G$440:G$461,3),obal!G250)</f>
        <v>0</v>
      </c>
      <c r="H250" s="579" t="s">
        <v>2824</v>
      </c>
    </row>
    <row r="251" spans="1:8">
      <c r="B251" s="5">
        <v>1</v>
      </c>
      <c r="C251" s="5" t="s">
        <v>501</v>
      </c>
      <c r="D251">
        <f t="shared" si="14"/>
        <v>0</v>
      </c>
      <c r="E251" s="1098">
        <f>IF(xxYear=$B251,LARGE(E$440:E$461,4),obal!E251)</f>
        <v>0</v>
      </c>
      <c r="F251" s="1098">
        <f>IF(xxYear=$B251,LARGE(F$440:F$461,4),obal!F251)</f>
        <v>0</v>
      </c>
      <c r="G251" s="1098">
        <f>IF(xxYear=$B251,LARGE(G$440:G$461,4),obal!G251)</f>
        <v>0</v>
      </c>
      <c r="H251" s="579" t="s">
        <v>2825</v>
      </c>
    </row>
    <row r="252" spans="1:8">
      <c r="B252" s="5">
        <v>1</v>
      </c>
      <c r="C252" s="5" t="s">
        <v>502</v>
      </c>
      <c r="D252">
        <f t="shared" si="14"/>
        <v>0</v>
      </c>
      <c r="E252" s="1098">
        <f>IF(xxYear=$B252,LARGE(E$440:E$461,5),obal!E252)</f>
        <v>0</v>
      </c>
      <c r="F252" s="1098">
        <f>IF(xxYear=$B252,LARGE(F$440:F$461,5),obal!F252)</f>
        <v>0</v>
      </c>
      <c r="G252" s="1098">
        <f>IF(xxYear=$B252,LARGE(G$440:G$461,5),obal!G252)</f>
        <v>0</v>
      </c>
      <c r="H252" s="579" t="s">
        <v>2826</v>
      </c>
    </row>
    <row r="253" spans="1:8">
      <c r="B253" s="5">
        <v>1</v>
      </c>
      <c r="C253" s="5" t="s">
        <v>916</v>
      </c>
      <c r="D253">
        <f>MAX(xxYear-B253+1,0)</f>
        <v>0</v>
      </c>
      <c r="E253" s="1098">
        <f>IF(xxYear=$B253,LARGE(E$440:E$461,6),obal!E253)</f>
        <v>0</v>
      </c>
      <c r="F253" s="1098">
        <f>IF(xxYear=$B253,LARGE(F$440:F$461,6),obal!F253)</f>
        <v>0</v>
      </c>
      <c r="G253" s="1098">
        <f>IF(xxYear=$B253,LARGE(G$440:G$461,6),obal!G253)</f>
        <v>0</v>
      </c>
      <c r="H253" s="579" t="s">
        <v>2827</v>
      </c>
    </row>
    <row r="254" spans="1:8">
      <c r="B254" s="5">
        <v>1</v>
      </c>
      <c r="C254" s="5" t="s">
        <v>917</v>
      </c>
      <c r="D254">
        <f>MAX(xxYear-B254+1,0)</f>
        <v>0</v>
      </c>
      <c r="E254" s="1098">
        <f>IF(xxYear=$B254,LARGE(E$440:E$461,7),obal!E254)</f>
        <v>0</v>
      </c>
      <c r="F254" s="1098">
        <f>IF(xxYear=$B254,LARGE(F$440:F$461,7),obal!F254)</f>
        <v>0</v>
      </c>
      <c r="G254" s="1098">
        <f>IF(xxYear=$B254,LARGE(G$440:G$461,7),obal!G254)</f>
        <v>0</v>
      </c>
      <c r="H254" s="579" t="s">
        <v>2828</v>
      </c>
    </row>
    <row r="255" spans="1:8">
      <c r="B255" s="5">
        <v>1</v>
      </c>
      <c r="C255" s="5" t="s">
        <v>918</v>
      </c>
      <c r="D255">
        <f>MAX(xxYear-B255+1,0)</f>
        <v>0</v>
      </c>
      <c r="E255" s="1098">
        <f>IF(xxYear=$B255,LARGE(E$440:E$461,8),obal!E255)</f>
        <v>0</v>
      </c>
      <c r="F255" s="1098">
        <f>IF(xxYear=$B255,LARGE(F$440:F$461,8),obal!F255)</f>
        <v>0</v>
      </c>
      <c r="G255" s="1098">
        <f>IF(xxYear=$B255,LARGE(G$440:G$461,8),obal!G255)</f>
        <v>0</v>
      </c>
      <c r="H255" s="579" t="s">
        <v>2829</v>
      </c>
    </row>
    <row r="256" spans="1:8">
      <c r="B256">
        <v>2</v>
      </c>
      <c r="C256" s="5" t="s">
        <v>498</v>
      </c>
      <c r="D256">
        <f t="shared" si="14"/>
        <v>0</v>
      </c>
      <c r="E256" s="1098">
        <f>IF(xxYear=$B256,LARGE(E$440:E$461,1),obal!E256)</f>
        <v>0</v>
      </c>
      <c r="F256" s="1098">
        <f>IF(xxYear=$B256,LARGE(F$440:F$461,1),obal!F256)</f>
        <v>0</v>
      </c>
      <c r="G256" s="1098">
        <f>IF(xxYear=$B256,LARGE(G$440:G$461,1),obal!G256)</f>
        <v>0</v>
      </c>
      <c r="H256" s="579" t="s">
        <v>2830</v>
      </c>
    </row>
    <row r="257" spans="1:8">
      <c r="B257">
        <v>2</v>
      </c>
      <c r="C257" s="5" t="s">
        <v>499</v>
      </c>
      <c r="D257">
        <f t="shared" ref="D257:D271" si="15">MAX(xxYear-B257+1,0)</f>
        <v>0</v>
      </c>
      <c r="E257" s="1098">
        <f>IF(xxYear=$B257,LARGE(E$440:E$461,2),obal!E257)</f>
        <v>0</v>
      </c>
      <c r="F257" s="1098">
        <f>IF(xxYear=$B257,LARGE(F$440:F$461,2),obal!F257)</f>
        <v>0</v>
      </c>
      <c r="G257" s="1098">
        <f>IF(xxYear=$B257,LARGE(G$440:G$461,2),obal!G257)</f>
        <v>0</v>
      </c>
      <c r="H257" s="579" t="s">
        <v>2831</v>
      </c>
    </row>
    <row r="258" spans="1:8">
      <c r="B258">
        <v>2</v>
      </c>
      <c r="C258" s="5" t="s">
        <v>500</v>
      </c>
      <c r="D258">
        <f t="shared" si="15"/>
        <v>0</v>
      </c>
      <c r="E258" s="1098">
        <f>IF(xxYear=$B258,LARGE(E$440:E$461,3),obal!E258)</f>
        <v>0</v>
      </c>
      <c r="F258" s="1098">
        <f>IF(xxYear=$B258,LARGE(F$440:F$461,3),obal!F258)</f>
        <v>0</v>
      </c>
      <c r="G258" s="1098">
        <f>IF(xxYear=$B258,LARGE(G$440:G$461,3),obal!G258)</f>
        <v>0</v>
      </c>
      <c r="H258" s="579" t="s">
        <v>2832</v>
      </c>
    </row>
    <row r="259" spans="1:8">
      <c r="B259">
        <v>2</v>
      </c>
      <c r="C259" s="5" t="s">
        <v>501</v>
      </c>
      <c r="D259">
        <f t="shared" si="15"/>
        <v>0</v>
      </c>
      <c r="E259" s="1098">
        <f>IF(xxYear=$B259,LARGE(E$440:E$461,4),obal!E259)</f>
        <v>0</v>
      </c>
      <c r="F259" s="1098">
        <f>IF(xxYear=$B259,LARGE(F$440:F$461,4),obal!F259)</f>
        <v>0</v>
      </c>
      <c r="G259" s="1098">
        <f>IF(xxYear=$B259,LARGE(G$440:G$461,4),obal!G259)</f>
        <v>0</v>
      </c>
      <c r="H259" s="579" t="s">
        <v>2833</v>
      </c>
    </row>
    <row r="260" spans="1:8">
      <c r="B260">
        <v>2</v>
      </c>
      <c r="C260" s="5" t="s">
        <v>502</v>
      </c>
      <c r="D260">
        <f t="shared" si="15"/>
        <v>0</v>
      </c>
      <c r="E260" s="1098">
        <f>IF(xxYear=$B260,LARGE(E$440:E$461,5),obal!E260)</f>
        <v>0</v>
      </c>
      <c r="F260" s="1098">
        <f>IF(xxYear=$B260,LARGE(F$440:F$461,5),obal!F260)</f>
        <v>0</v>
      </c>
      <c r="G260" s="1098">
        <f>IF(xxYear=$B260,LARGE(G$440:G$461,5),obal!G260)</f>
        <v>0</v>
      </c>
      <c r="H260" s="579" t="s">
        <v>2834</v>
      </c>
    </row>
    <row r="261" spans="1:8">
      <c r="B261">
        <v>2</v>
      </c>
      <c r="C261" s="5" t="s">
        <v>916</v>
      </c>
      <c r="D261">
        <f t="shared" si="15"/>
        <v>0</v>
      </c>
      <c r="E261" s="1098">
        <f>IF(xxYear=$B261,LARGE(E$440:E$461,6),obal!E261)</f>
        <v>0</v>
      </c>
      <c r="F261" s="1098">
        <f>IF(xxYear=$B261,LARGE(F$440:F$461,6),obal!F261)</f>
        <v>0</v>
      </c>
      <c r="G261" s="1098">
        <f>IF(xxYear=$B261,LARGE(G$440:G$461,6),obal!G261)</f>
        <v>0</v>
      </c>
      <c r="H261" s="579" t="s">
        <v>2835</v>
      </c>
    </row>
    <row r="262" spans="1:8">
      <c r="B262">
        <v>2</v>
      </c>
      <c r="C262" s="5" t="s">
        <v>917</v>
      </c>
      <c r="D262">
        <f t="shared" si="15"/>
        <v>0</v>
      </c>
      <c r="E262" s="1098">
        <f>IF(xxYear=$B262,LARGE(E$440:E$461,7),obal!E262)</f>
        <v>0</v>
      </c>
      <c r="F262" s="1098">
        <f>IF(xxYear=$B262,LARGE(F$440:F$461,7),obal!F262)</f>
        <v>0</v>
      </c>
      <c r="G262" s="1098">
        <f>IF(xxYear=$B262,LARGE(G$440:G$461,7),obal!G262)</f>
        <v>0</v>
      </c>
      <c r="H262" s="579" t="s">
        <v>2836</v>
      </c>
    </row>
    <row r="263" spans="1:8">
      <c r="B263">
        <v>2</v>
      </c>
      <c r="C263" s="5" t="s">
        <v>918</v>
      </c>
      <c r="D263">
        <f t="shared" si="15"/>
        <v>0</v>
      </c>
      <c r="E263" s="1098">
        <f>IF(xxYear=$B263,LARGE(E$440:E$461,8),obal!E263)</f>
        <v>0</v>
      </c>
      <c r="F263" s="1098">
        <f>IF(xxYear=$B263,LARGE(F$440:F$461,8),obal!F263)</f>
        <v>0</v>
      </c>
      <c r="G263" s="1098">
        <f>IF(xxYear=$B263,LARGE(G$440:G$461,8),obal!G263)</f>
        <v>0</v>
      </c>
      <c r="H263" s="579" t="s">
        <v>2837</v>
      </c>
    </row>
    <row r="264" spans="1:8">
      <c r="B264">
        <v>3</v>
      </c>
      <c r="C264" s="5" t="s">
        <v>498</v>
      </c>
      <c r="D264">
        <f t="shared" si="15"/>
        <v>0</v>
      </c>
      <c r="E264" s="1098">
        <f>IF(xxYear=$B264,LARGE(E$440:E$461,1),obal!E264)</f>
        <v>0</v>
      </c>
      <c r="F264" s="1098">
        <f>IF(xxYear=$B264,LARGE(F$440:F$461,1),obal!F264)</f>
        <v>0</v>
      </c>
      <c r="G264" s="1098">
        <f>IF(xxYear=$B264,LARGE(G$440:G$461,1),obal!G264)</f>
        <v>0</v>
      </c>
      <c r="H264" s="579" t="s">
        <v>2838</v>
      </c>
    </row>
    <row r="265" spans="1:8">
      <c r="B265">
        <v>3</v>
      </c>
      <c r="C265" s="5" t="s">
        <v>499</v>
      </c>
      <c r="D265">
        <f t="shared" si="15"/>
        <v>0</v>
      </c>
      <c r="E265" s="1098">
        <f>IF(xxYear=$B265,LARGE(E$440:E$461,2),obal!E265)</f>
        <v>0</v>
      </c>
      <c r="F265" s="1098">
        <f>IF(xxYear=$B265,LARGE(F$440:F$461,2),obal!F265)</f>
        <v>0</v>
      </c>
      <c r="G265" s="1098">
        <f>IF(xxYear=$B265,LARGE(G$440:G$461,2),obal!G265)</f>
        <v>0</v>
      </c>
      <c r="H265" s="579" t="s">
        <v>2839</v>
      </c>
    </row>
    <row r="266" spans="1:8">
      <c r="B266">
        <v>3</v>
      </c>
      <c r="C266" s="5" t="s">
        <v>500</v>
      </c>
      <c r="D266">
        <f t="shared" si="15"/>
        <v>0</v>
      </c>
      <c r="E266" s="1098">
        <f>IF(xxYear=$B266,LARGE(E$440:E$461,3),obal!E266)</f>
        <v>0</v>
      </c>
      <c r="F266" s="1098">
        <f>IF(xxYear=$B266,LARGE(F$440:F$461,3),obal!F266)</f>
        <v>0</v>
      </c>
      <c r="G266" s="1098">
        <f>IF(xxYear=$B266,LARGE(G$440:G$461,3),obal!G266)</f>
        <v>0</v>
      </c>
      <c r="H266" s="579" t="s">
        <v>2840</v>
      </c>
    </row>
    <row r="267" spans="1:8">
      <c r="B267">
        <v>3</v>
      </c>
      <c r="C267" s="5" t="s">
        <v>501</v>
      </c>
      <c r="D267">
        <f t="shared" si="15"/>
        <v>0</v>
      </c>
      <c r="E267" s="1098">
        <f>IF(xxYear=$B267,LARGE(E$440:E$461,4),obal!E267)</f>
        <v>0</v>
      </c>
      <c r="F267" s="1098">
        <f>IF(xxYear=$B267,LARGE(F$440:F$461,4),obal!F267)</f>
        <v>0</v>
      </c>
      <c r="G267" s="1098">
        <f>IF(xxYear=$B267,LARGE(G$440:G$461,4),obal!G267)</f>
        <v>0</v>
      </c>
      <c r="H267" s="579" t="s">
        <v>2841</v>
      </c>
    </row>
    <row r="268" spans="1:8">
      <c r="B268">
        <v>3</v>
      </c>
      <c r="C268" s="5" t="s">
        <v>502</v>
      </c>
      <c r="D268">
        <f t="shared" si="15"/>
        <v>0</v>
      </c>
      <c r="E268" s="1098">
        <f>IF(xxYear=$B268,LARGE(E$440:E$461,5),obal!E268)</f>
        <v>0</v>
      </c>
      <c r="F268" s="1098">
        <f>IF(xxYear=$B268,LARGE(F$440:F$461,5),obal!F268)</f>
        <v>0</v>
      </c>
      <c r="G268" s="1098">
        <f>IF(xxYear=$B268,LARGE(G$440:G$461,5),obal!G268)</f>
        <v>0</v>
      </c>
      <c r="H268" s="579" t="s">
        <v>2842</v>
      </c>
    </row>
    <row r="269" spans="1:8">
      <c r="B269">
        <v>3</v>
      </c>
      <c r="C269" s="5" t="s">
        <v>916</v>
      </c>
      <c r="D269">
        <f t="shared" si="15"/>
        <v>0</v>
      </c>
      <c r="E269" s="1098">
        <f>IF(xxYear=$B269,LARGE(E$440:E$461,6),obal!E269)</f>
        <v>0</v>
      </c>
      <c r="F269" s="1098">
        <f>IF(xxYear=$B269,LARGE(F$440:F$461,6),obal!F269)</f>
        <v>0</v>
      </c>
      <c r="G269" s="1098">
        <f>IF(xxYear=$B269,LARGE(G$440:G$461,6),obal!G269)</f>
        <v>0</v>
      </c>
      <c r="H269" s="579" t="s">
        <v>2843</v>
      </c>
    </row>
    <row r="270" spans="1:8">
      <c r="B270">
        <v>3</v>
      </c>
      <c r="C270" s="5" t="s">
        <v>917</v>
      </c>
      <c r="D270">
        <f t="shared" si="15"/>
        <v>0</v>
      </c>
      <c r="E270" s="1098">
        <f>IF(xxYear=$B270,LARGE(E$440:E$461,7),obal!E270)</f>
        <v>0</v>
      </c>
      <c r="F270" s="1098">
        <f>IF(xxYear=$B270,LARGE(F$440:F$461,7),obal!F270)</f>
        <v>0</v>
      </c>
      <c r="G270" s="1098">
        <f>IF(xxYear=$B270,LARGE(G$440:G$461,7),obal!G270)</f>
        <v>0</v>
      </c>
      <c r="H270" s="579" t="s">
        <v>2844</v>
      </c>
    </row>
    <row r="271" spans="1:8">
      <c r="B271">
        <v>3</v>
      </c>
      <c r="C271" s="5" t="s">
        <v>918</v>
      </c>
      <c r="D271">
        <f t="shared" si="15"/>
        <v>0</v>
      </c>
      <c r="E271" s="1098">
        <f>IF(xxYear=$B271,LARGE(E$440:E$461,8),obal!E271)</f>
        <v>0</v>
      </c>
      <c r="F271" s="1098">
        <f>IF(xxYear=$B271,LARGE(F$440:F$461,8),obal!F271)</f>
        <v>0</v>
      </c>
      <c r="G271" s="1098">
        <f>IF(xxYear=$B271,LARGE(G$440:G$461,8),obal!G271)</f>
        <v>0</v>
      </c>
      <c r="H271" s="579" t="s">
        <v>2845</v>
      </c>
    </row>
    <row r="272" spans="1:8">
      <c r="A272" s="3" t="s">
        <v>1474</v>
      </c>
      <c r="E272" s="172"/>
      <c r="F272" s="172"/>
      <c r="G272" s="172"/>
    </row>
    <row r="273" spans="2:14">
      <c r="B273" s="5">
        <v>1</v>
      </c>
      <c r="C273" s="5" t="s">
        <v>2247</v>
      </c>
      <c r="D273">
        <f>MAX(xxYear-B273+1,0)</f>
        <v>0</v>
      </c>
      <c r="E273" s="172">
        <f>IF(xxYear=$B273,IF(cbalEvent101Chosen=TRUE,101,IF(cbalEvent102Chosen=TRUE,102,IF(cbalEvent103Chosen=TRUE, 103,0))),obal!E273)</f>
        <v>0</v>
      </c>
      <c r="F273" s="172">
        <f>IF(xxYear=$B273,IF(cbalEvent101Chosen=TRUE,101,IF(cbalEvent102Chosen=TRUE,102,IF(cbalEvent103Chosen=TRUE, 103,0))),obal!F273)</f>
        <v>0</v>
      </c>
      <c r="G273" s="172">
        <f>IF(xxYear=$B273,IF(cbalEvent101Chosen=TRUE,101,IF(cbalEvent102Chosen=TRUE,102,IF(cbalEvent103Chosen=TRUE, 103,0))),obal!G273)</f>
        <v>0</v>
      </c>
      <c r="H273" s="123" t="s">
        <v>2262</v>
      </c>
    </row>
    <row r="274" spans="2:14">
      <c r="B274" s="5">
        <v>1</v>
      </c>
      <c r="C274" s="5" t="s">
        <v>2248</v>
      </c>
      <c r="D274">
        <f t="shared" ref="D274:D276" si="16">MAX(xxYear-B274+1,0)</f>
        <v>0</v>
      </c>
      <c r="E274" s="172">
        <f>IF(xxYear=$B274,IF(cbalEvent201Chosen=TRUE,201,IF(cbalEvent202Chosen=TRUE,202,IF(cbalEvent203Chosen=TRUE, 203,0))),obal!E274)</f>
        <v>0</v>
      </c>
      <c r="F274" s="172">
        <f>IF(xxYear=$B274,IF(cbalEvent201Chosen=TRUE,201,IF(cbalEvent202Chosen=TRUE,202,IF(cbalEvent203Chosen=TRUE, 203,0))),obal!F274)</f>
        <v>0</v>
      </c>
      <c r="G274" s="172">
        <f>IF(xxYear=$B274,IF(cbalEvent201Chosen=TRUE,201,IF(cbalEvent202Chosen=TRUE,202,IF(cbalEvent203Chosen=TRUE, 203,0))),obal!G274)</f>
        <v>0</v>
      </c>
      <c r="H274" s="123" t="s">
        <v>2265</v>
      </c>
    </row>
    <row r="275" spans="2:14">
      <c r="B275" s="5">
        <v>1</v>
      </c>
      <c r="C275" s="5" t="s">
        <v>2249</v>
      </c>
      <c r="D275">
        <f t="shared" si="16"/>
        <v>0</v>
      </c>
      <c r="E275" s="172">
        <f>IF(xxYear=$B275,IF(cbalEvent301Chosen=TRUE,301,IF(cbalEvent302Chosen=TRUE,302,0)),obal!E275)</f>
        <v>0</v>
      </c>
      <c r="F275" s="172">
        <f>IF(xxYear=$B275,IF(cbalEvent301Chosen=TRUE,301,IF(cbalEvent302Chosen=TRUE,302,0)),obal!F275)</f>
        <v>0</v>
      </c>
      <c r="G275" s="172">
        <f>IF(xxYear=$B275,IF(cbalEvent301Chosen=TRUE,301,IF(cbalEvent302Chosen=TRUE,302,0)),obal!G275)</f>
        <v>0</v>
      </c>
      <c r="H275" s="123" t="s">
        <v>2266</v>
      </c>
    </row>
    <row r="276" spans="2:14">
      <c r="B276" s="5">
        <v>1</v>
      </c>
      <c r="C276" s="5" t="s">
        <v>2250</v>
      </c>
      <c r="D276">
        <f t="shared" si="16"/>
        <v>0</v>
      </c>
      <c r="E276" s="172"/>
      <c r="F276" s="172"/>
      <c r="G276" s="172"/>
      <c r="H276" s="123" t="s">
        <v>2267</v>
      </c>
    </row>
    <row r="277" spans="2:14">
      <c r="B277">
        <v>2</v>
      </c>
      <c r="C277" s="5" t="s">
        <v>2247</v>
      </c>
      <c r="D277">
        <f t="shared" ref="D277:D284" si="17">MAX(xxYear-B277+1,0)</f>
        <v>0</v>
      </c>
      <c r="E277" s="172">
        <f>IF(xxYear=$B277,IF(cbalEvent401Chosen=TRUE,401,IF(cbalEvent402Chosen=TRUE,402,IF(cbalEvent403Chosen=TRUE, 403,0))),obal!E277)</f>
        <v>0</v>
      </c>
      <c r="F277" s="172">
        <f>IF(xxYear=$B277,IF(cbalEvent401Chosen=TRUE,401,IF(cbalEvent402Chosen=TRUE,402,IF(cbalEvent403Chosen=TRUE, 403,0))),obal!F277)</f>
        <v>0</v>
      </c>
      <c r="G277" s="172">
        <f>IF(xxYear=$B277,IF(cbalEvent401Chosen=TRUE,401,IF(cbalEvent402Chosen=TRUE,402,IF(cbalEvent403Chosen=TRUE, 403,0))),obal!G277)</f>
        <v>0</v>
      </c>
      <c r="H277" s="123" t="s">
        <v>2263</v>
      </c>
    </row>
    <row r="278" spans="2:14">
      <c r="B278">
        <v>2</v>
      </c>
      <c r="C278" s="5" t="s">
        <v>2248</v>
      </c>
      <c r="D278">
        <f t="shared" si="17"/>
        <v>0</v>
      </c>
      <c r="E278" s="172">
        <f>IF(xxYear=$B278,IF(cbalEvent501Chosen=TRUE,501,IF(cbalEvent502Chosen=TRUE,502,IF(cbalEvent503Chosen=TRUE, 503,0))),obal!E278)</f>
        <v>0</v>
      </c>
      <c r="F278" s="172">
        <f>IF(xxYear=$B278,IF(cbalEvent501Chosen=TRUE,501,IF(cbalEvent502Chosen=TRUE,502,IF(cbalEvent503Chosen=TRUE, 503,0))),obal!F278)</f>
        <v>0</v>
      </c>
      <c r="G278" s="172">
        <f>IF(xxYear=$B278,IF(cbalEvent501Chosen=TRUE,501,IF(cbalEvent502Chosen=TRUE,502,IF(cbalEvent503Chosen=TRUE, 503,0))),obal!G278)</f>
        <v>0</v>
      </c>
      <c r="H278" s="123" t="s">
        <v>2268</v>
      </c>
    </row>
    <row r="279" spans="2:14">
      <c r="B279">
        <v>2</v>
      </c>
      <c r="C279" s="5" t="s">
        <v>2249</v>
      </c>
      <c r="D279">
        <f t="shared" si="17"/>
        <v>0</v>
      </c>
      <c r="E279" s="172">
        <f>IF(xxYear=$B279,IF(cbalEvent601Chosen=TRUE,601,IF(cbalEvent602Chosen=TRUE,602,IF(cbalEvent603Chosen=TRUE, 603,0))),obal!E279)</f>
        <v>0</v>
      </c>
      <c r="F279" s="172">
        <f>IF(xxYear=$B279,IF(cbalEvent601Chosen=TRUE,601,IF(cbalEvent602Chosen=TRUE,602,IF(cbalEvent603Chosen=TRUE, 603,0))),obal!F279)</f>
        <v>0</v>
      </c>
      <c r="G279" s="172">
        <f>IF(xxYear=$B279,IF(cbalEvent601Chosen=TRUE,601,IF(cbalEvent602Chosen=TRUE,602,IF(cbalEvent603Chosen=TRUE, 603,0))),obal!G279)</f>
        <v>0</v>
      </c>
      <c r="H279" s="123" t="s">
        <v>2269</v>
      </c>
    </row>
    <row r="280" spans="2:14">
      <c r="B280">
        <v>2</v>
      </c>
      <c r="C280" s="5" t="s">
        <v>2250</v>
      </c>
      <c r="D280">
        <f t="shared" si="17"/>
        <v>0</v>
      </c>
      <c r="E280" s="172"/>
      <c r="F280" s="172"/>
      <c r="G280" s="172"/>
      <c r="H280" s="123" t="s">
        <v>2270</v>
      </c>
    </row>
    <row r="281" spans="2:14">
      <c r="B281">
        <v>3</v>
      </c>
      <c r="C281" s="5" t="s">
        <v>2247</v>
      </c>
      <c r="D281">
        <f t="shared" si="17"/>
        <v>0</v>
      </c>
      <c r="E281" s="172">
        <f>IF(xxYear=$B281,IF(cbalEvent701Chosen=TRUE,701,IF(cbalEvent702Chosen=TRUE,702,IF(cbalEvent703Chosen=TRUE, 703,0))),obal!E281)</f>
        <v>0</v>
      </c>
      <c r="F281" s="172">
        <f>IF(xxYear=$B281,IF(cbalEvent701Chosen=TRUE,701,IF(cbalEvent702Chosen=TRUE,702,IF(cbalEvent703Chosen=TRUE, 703,0))),obal!F281)</f>
        <v>0</v>
      </c>
      <c r="G281" s="172">
        <f>IF(xxYear=$B281,IF(cbalEvent701Chosen=TRUE,701,IF(cbalEvent702Chosen=TRUE,702,IF(cbalEvent703Chosen=TRUE, 703,0))),obal!G281)</f>
        <v>0</v>
      </c>
      <c r="H281" s="123" t="s">
        <v>2264</v>
      </c>
    </row>
    <row r="282" spans="2:14">
      <c r="B282">
        <v>3</v>
      </c>
      <c r="C282" s="5" t="s">
        <v>2248</v>
      </c>
      <c r="D282">
        <f t="shared" si="17"/>
        <v>0</v>
      </c>
      <c r="E282" s="172">
        <f>IF(xxYear=$B282,IF(cbalEvent801Chosen=TRUE,801,IF(cbalEvent802Chosen=TRUE,802,IF(cbalEvent803Chosen=TRUE, 803,0))),obal!E282)</f>
        <v>0</v>
      </c>
      <c r="F282" s="172">
        <f>IF(xxYear=$B282,IF(cbalEvent801Chosen=TRUE,801,IF(cbalEvent802Chosen=TRUE,802,IF(cbalEvent803Chosen=TRUE, 803,0))),obal!F282)</f>
        <v>0</v>
      </c>
      <c r="G282" s="172">
        <f>IF(xxYear=$B282,IF(cbalEvent801Chosen=TRUE,801,IF(cbalEvent802Chosen=TRUE,802,IF(cbalEvent803Chosen=TRUE, 803,0))),obal!G282)</f>
        <v>0</v>
      </c>
      <c r="H282" s="123" t="s">
        <v>2271</v>
      </c>
    </row>
    <row r="283" spans="2:14">
      <c r="B283">
        <v>3</v>
      </c>
      <c r="C283" s="5" t="s">
        <v>2249</v>
      </c>
      <c r="D283">
        <f t="shared" si="17"/>
        <v>0</v>
      </c>
      <c r="E283" s="172">
        <f>IF(xxYear=$B283,IF(cbalEvent901Chosen=TRUE,901,IF(cbalEvent902Chosen=TRUE,902,0)),obal!E283)</f>
        <v>0</v>
      </c>
      <c r="F283" s="172">
        <f>IF(xxYear=$B283,IF(cbalEvent901Chosen=TRUE,901,IF(cbalEvent902Chosen=TRUE,902,0)),obal!F283)</f>
        <v>0</v>
      </c>
      <c r="G283" s="172">
        <f>IF(xxYear=$B283,IF(cbalEvent901Chosen=TRUE,901,IF(cbalEvent902Chosen=TRUE,902,0)),obal!G283)</f>
        <v>0</v>
      </c>
      <c r="H283" s="123" t="s">
        <v>2272</v>
      </c>
    </row>
    <row r="284" spans="2:14">
      <c r="B284">
        <v>3</v>
      </c>
      <c r="C284" s="5" t="s">
        <v>2250</v>
      </c>
      <c r="D284">
        <f t="shared" si="17"/>
        <v>0</v>
      </c>
      <c r="E284" s="172"/>
      <c r="F284" s="172"/>
      <c r="G284" s="172"/>
      <c r="H284" s="123" t="s">
        <v>2273</v>
      </c>
    </row>
    <row r="285" spans="2:14">
      <c r="E285" s="119"/>
      <c r="F285" s="119"/>
      <c r="G285" s="119"/>
    </row>
    <row r="286" spans="2:14">
      <c r="B286" t="s">
        <v>3160</v>
      </c>
      <c r="E286" s="119"/>
      <c r="F286" s="119"/>
      <c r="G286" s="119"/>
      <c r="M286" s="565" t="s">
        <v>3331</v>
      </c>
    </row>
    <row r="287" spans="2:14">
      <c r="B287">
        <v>283</v>
      </c>
      <c r="C287">
        <v>1</v>
      </c>
      <c r="E287" s="119">
        <f>IF( obalSpecProg1Year,  obalSpecProg1Year, IF(decSpecProg1Chosen,xxYear, obalSpecProg1Year))</f>
        <v>0</v>
      </c>
      <c r="F287" s="119">
        <f>IF( obalSpecProg1Year,  obalSpecProg1Year, IF(decSpecProg1Chosen,xxYear, obalSpecProg1Year))</f>
        <v>0</v>
      </c>
      <c r="G287" s="119">
        <f>IF( obalSpecProg1Year,  obalSpecProg1Year, IF(decSpecProg1Chosen,xxYear, obalSpecProg1Year))</f>
        <v>0</v>
      </c>
      <c r="H287" s="123" t="str">
        <f>"cbalSpecProg"&amp;C287&amp;"Year"</f>
        <v>cbalSpecProg1Year</v>
      </c>
      <c r="L287">
        <f>IF(E287=3,(1*C287),0)</f>
        <v>0</v>
      </c>
      <c r="M287" s="1097">
        <f>LARGE(L287:L308,1)</f>
        <v>0</v>
      </c>
      <c r="N287">
        <v>1</v>
      </c>
    </row>
    <row r="288" spans="2:14">
      <c r="B288">
        <v>284</v>
      </c>
      <c r="C288">
        <v>2</v>
      </c>
      <c r="E288" s="119">
        <f>IF( obalSpecProg2Year,  obalSpecProg2Year, IF(decSpecProg2Chosen,xxYear, obalSpecProg2Year))</f>
        <v>0</v>
      </c>
      <c r="F288" s="119">
        <f>IF( obalSpecProg2Year,  obalSpecProg2Year, IF(decSpecProg2Chosen,xxYear, obalSpecProg2Year))</f>
        <v>0</v>
      </c>
      <c r="G288" s="119">
        <f>IF( obalSpecProg2Year,  obalSpecProg2Year, IF(decSpecProg2Chosen,xxYear, obalSpecProg2Year))</f>
        <v>0</v>
      </c>
      <c r="H288" s="123" t="str">
        <f t="shared" ref="H288:H308" si="18">"cbalSpecProg"&amp;C288&amp;"Year"</f>
        <v>cbalSpecProg2Year</v>
      </c>
      <c r="L288">
        <f t="shared" ref="L288:L308" si="19">IF(E288=3,(1*C288),0)</f>
        <v>0</v>
      </c>
      <c r="M288" s="1097">
        <f>LARGE(L288:L309,2)</f>
        <v>0</v>
      </c>
      <c r="N288">
        <v>2</v>
      </c>
    </row>
    <row r="289" spans="2:14">
      <c r="B289">
        <v>285</v>
      </c>
      <c r="C289">
        <v>3</v>
      </c>
      <c r="E289" s="119">
        <f>IF( obalSpecProg3Year,  obalSpecProg3Year, IF(decSpecProg3Chosen,xxYear, obalSpecProg3Year))</f>
        <v>0</v>
      </c>
      <c r="F289" s="119">
        <f>IF( obalSpecProg3Year,  obalSpecProg3Year, IF(decSpecProg3Chosen,xxYear, obalSpecProg3Year))</f>
        <v>0</v>
      </c>
      <c r="G289" s="119">
        <f>IF( obalSpecProg3Year,  obalSpecProg3Year, IF(decSpecProg3Chosen,xxYear, obalSpecProg3Year))</f>
        <v>0</v>
      </c>
      <c r="H289" s="123" t="str">
        <f t="shared" si="18"/>
        <v>cbalSpecProg3Year</v>
      </c>
      <c r="L289">
        <f t="shared" si="19"/>
        <v>0</v>
      </c>
      <c r="M289" s="1097">
        <f>LARGE(L289:L310,3)</f>
        <v>0</v>
      </c>
      <c r="N289">
        <v>3</v>
      </c>
    </row>
    <row r="290" spans="2:14">
      <c r="B290">
        <v>286</v>
      </c>
      <c r="C290">
        <v>4</v>
      </c>
      <c r="E290" s="119">
        <f>IF( obalSpecProg4Year,  obalSpecProg4Year, IF(decSpecProg4Chosen,xxYear, obalSpecProg4Year))</f>
        <v>0</v>
      </c>
      <c r="F290" s="119">
        <f>IF( obalSpecProg4Year,  obalSpecProg4Year, IF(decSpecProg4Chosen,xxYear, obalSpecProg4Year))</f>
        <v>0</v>
      </c>
      <c r="G290" s="119">
        <f>IF( obalSpecProg4Year,  obalSpecProg4Year, IF(decSpecProg4Chosen,xxYear, obalSpecProg4Year))</f>
        <v>0</v>
      </c>
      <c r="H290" s="123" t="str">
        <f t="shared" si="18"/>
        <v>cbalSpecProg4Year</v>
      </c>
      <c r="L290">
        <f t="shared" si="19"/>
        <v>0</v>
      </c>
      <c r="M290" s="1097"/>
    </row>
    <row r="291" spans="2:14">
      <c r="B291">
        <v>287</v>
      </c>
      <c r="C291">
        <v>5</v>
      </c>
      <c r="E291" s="119">
        <f>IF( obalSpecProg5Year,  obalSpecProg5Year, IF(decSpecProg5Chosen,xxYear, obalSpecProg5Year))</f>
        <v>0</v>
      </c>
      <c r="F291" s="119">
        <f>IF( obalSpecProg5Year,  obalSpecProg5Year, IF(decSpecProg5Chosen,xxYear, obalSpecProg5Year))</f>
        <v>0</v>
      </c>
      <c r="G291" s="119">
        <f>IF( obalSpecProg5Year,  obalSpecProg5Year, IF(decSpecProg5Chosen,xxYear, obalSpecProg5Year))</f>
        <v>0</v>
      </c>
      <c r="H291" s="123" t="str">
        <f t="shared" si="18"/>
        <v>cbalSpecProg5Year</v>
      </c>
      <c r="L291">
        <f t="shared" si="19"/>
        <v>0</v>
      </c>
      <c r="M291" s="1097"/>
    </row>
    <row r="292" spans="2:14">
      <c r="B292">
        <v>288</v>
      </c>
      <c r="C292">
        <v>6</v>
      </c>
      <c r="E292" s="119">
        <f>IF( obalSpecProg6Year,  obalSpecProg6Year, IF(decSpecProg6Chosen,xxYear, obalSpecProg6Year))</f>
        <v>0</v>
      </c>
      <c r="F292" s="119">
        <f>IF( obalSpecProg6Year,  obalSpecProg6Year, IF(decSpecProg6Chosen,xxYear, obalSpecProg6Year))</f>
        <v>0</v>
      </c>
      <c r="G292" s="119">
        <f>IF( obalSpecProg6Year,  obalSpecProg6Year, IF(decSpecProg6Chosen,xxYear, obalSpecProg6Year))</f>
        <v>0</v>
      </c>
      <c r="H292" s="123" t="str">
        <f t="shared" si="18"/>
        <v>cbalSpecProg6Year</v>
      </c>
      <c r="L292">
        <f t="shared" si="19"/>
        <v>0</v>
      </c>
      <c r="M292" s="1097"/>
    </row>
    <row r="293" spans="2:14">
      <c r="B293">
        <v>289</v>
      </c>
      <c r="C293">
        <v>7</v>
      </c>
      <c r="E293" s="119">
        <f>IF( obalSpecProg7Year,  obalSpecProg7Year, IF(decSpecProg7Chosen,xxYear, obalSpecProg7Year))</f>
        <v>0</v>
      </c>
      <c r="F293" s="119">
        <f>IF( obalSpecProg7Year,  obalSpecProg7Year, IF(decSpecProg7Chosen,xxYear, obalSpecProg7Year))</f>
        <v>0</v>
      </c>
      <c r="G293" s="119">
        <f>IF( obalSpecProg7Year,  obalSpecProg7Year, IF(decSpecProg7Chosen,xxYear, obalSpecProg7Year))</f>
        <v>0</v>
      </c>
      <c r="H293" s="123" t="str">
        <f t="shared" si="18"/>
        <v>cbalSpecProg7Year</v>
      </c>
      <c r="L293">
        <f t="shared" si="19"/>
        <v>0</v>
      </c>
      <c r="M293" s="565"/>
    </row>
    <row r="294" spans="2:14">
      <c r="B294">
        <v>290</v>
      </c>
      <c r="C294">
        <v>8</v>
      </c>
      <c r="E294" s="119">
        <f>IF( obalSpecProg8Year,  obalSpecProg8Year, IF(decSpecProg8Chosen,xxYear, obalSpecProg8Year))</f>
        <v>0</v>
      </c>
      <c r="F294" s="119">
        <f>IF( obalSpecProg8Year,  obalSpecProg8Year, IF(decSpecProg8Chosen,xxYear, obalSpecProg8Year))</f>
        <v>0</v>
      </c>
      <c r="G294" s="119">
        <f>IF( obalSpecProg8Year,  obalSpecProg8Year, IF(decSpecProg8Chosen,xxYear, obalSpecProg8Year))</f>
        <v>0</v>
      </c>
      <c r="H294" s="123" t="str">
        <f t="shared" si="18"/>
        <v>cbalSpecProg8Year</v>
      </c>
      <c r="L294">
        <f t="shared" si="19"/>
        <v>0</v>
      </c>
      <c r="M294" s="565"/>
    </row>
    <row r="295" spans="2:14">
      <c r="B295">
        <v>291</v>
      </c>
      <c r="C295">
        <v>9</v>
      </c>
      <c r="E295" s="119">
        <f>IF( obalSpecProg9Year,  obalSpecProg9Year, IF(decSpecProg9Chosen,xxYear, obalSpecProg9Year))</f>
        <v>0</v>
      </c>
      <c r="F295" s="119">
        <f>IF( obalSpecProg9Year,  obalSpecProg9Year, IF(decSpecProg9Chosen,xxYear, obalSpecProg9Year))</f>
        <v>0</v>
      </c>
      <c r="G295" s="119">
        <f>IF( obalSpecProg9Year,  obalSpecProg9Year, IF(decSpecProg9Chosen,xxYear, obalSpecProg9Year))</f>
        <v>0</v>
      </c>
      <c r="H295" s="123" t="str">
        <f t="shared" si="18"/>
        <v>cbalSpecProg9Year</v>
      </c>
      <c r="L295">
        <f t="shared" si="19"/>
        <v>0</v>
      </c>
      <c r="M295" s="565"/>
    </row>
    <row r="296" spans="2:14">
      <c r="B296">
        <v>292</v>
      </c>
      <c r="C296">
        <v>10</v>
      </c>
      <c r="E296" s="119">
        <f>IF( obalSpecProg10Year,  obalSpecProg10Year, IF(decSpecProg10Chosen,xxYear, obalSpecProg10Year))</f>
        <v>0</v>
      </c>
      <c r="F296" s="119">
        <f>IF( obalSpecProg10Year,  obalSpecProg10Year, IF(decSpecProg10Chosen,xxYear, obalSpecProg10Year))</f>
        <v>0</v>
      </c>
      <c r="G296" s="119">
        <f>IF( obalSpecProg10Year,  obalSpecProg10Year, IF(decSpecProg10Chosen,xxYear, obalSpecProg10Year))</f>
        <v>0</v>
      </c>
      <c r="H296" s="123" t="str">
        <f t="shared" si="18"/>
        <v>cbalSpecProg10Year</v>
      </c>
      <c r="L296">
        <f t="shared" si="19"/>
        <v>0</v>
      </c>
      <c r="M296" s="565"/>
    </row>
    <row r="297" spans="2:14">
      <c r="B297">
        <v>293</v>
      </c>
      <c r="C297">
        <v>11</v>
      </c>
      <c r="E297" s="119">
        <f>IF( obalSpecProg11Year,  obalSpecProg11Year, IF(decSpecProg11Chosen,xxYear, obalSpecProg11Year))</f>
        <v>0</v>
      </c>
      <c r="F297" s="119">
        <f>IF( obalSpecProg11Year,  obalSpecProg11Year, IF(decSpecProg11Chosen,xxYear, obalSpecProg11Year))</f>
        <v>0</v>
      </c>
      <c r="G297" s="119">
        <f>IF( obalSpecProg11Year,  obalSpecProg11Year, IF(decSpecProg11Chosen,xxYear, obalSpecProg11Year))</f>
        <v>0</v>
      </c>
      <c r="H297" s="123" t="str">
        <f t="shared" si="18"/>
        <v>cbalSpecProg11Year</v>
      </c>
      <c r="L297">
        <f t="shared" si="19"/>
        <v>0</v>
      </c>
      <c r="M297" s="565"/>
    </row>
    <row r="298" spans="2:14">
      <c r="B298">
        <v>294</v>
      </c>
      <c r="C298">
        <v>12</v>
      </c>
      <c r="E298" s="119">
        <f>IF( obalSpecProg12Year,  obalSpecProg12Year, IF(decSpecProg12Chosen,xxYear, obalSpecProg12Year))</f>
        <v>0</v>
      </c>
      <c r="F298" s="119">
        <f>IF( obalSpecProg12Year,  obalSpecProg12Year, IF(decSpecProg12Chosen,xxYear, obalSpecProg12Year))</f>
        <v>0</v>
      </c>
      <c r="G298" s="119">
        <f>IF( obalSpecProg12Year,  obalSpecProg12Year, IF(decSpecProg12Chosen,xxYear, obalSpecProg12Year))</f>
        <v>0</v>
      </c>
      <c r="H298" s="123" t="str">
        <f t="shared" si="18"/>
        <v>cbalSpecProg12Year</v>
      </c>
      <c r="L298">
        <f t="shared" si="19"/>
        <v>0</v>
      </c>
      <c r="M298" s="565"/>
    </row>
    <row r="299" spans="2:14">
      <c r="B299">
        <v>295</v>
      </c>
      <c r="C299">
        <v>13</v>
      </c>
      <c r="E299" s="119">
        <f>IF( obalSpecProg13Year,  obalSpecProg13Year, IF(decSpecProg13Chosen,xxYear, obalSpecProg13Year))</f>
        <v>0</v>
      </c>
      <c r="F299" s="119">
        <f>IF( obalSpecProg13Year,  obalSpecProg13Year, IF(decSpecProg13Chosen,xxYear, obalSpecProg13Year))</f>
        <v>0</v>
      </c>
      <c r="G299" s="119">
        <f>IF( obalSpecProg13Year,  obalSpecProg13Year, IF(decSpecProg13Chosen,xxYear, obalSpecProg13Year))</f>
        <v>0</v>
      </c>
      <c r="H299" s="123" t="str">
        <f t="shared" si="18"/>
        <v>cbalSpecProg13Year</v>
      </c>
      <c r="L299">
        <f t="shared" si="19"/>
        <v>0</v>
      </c>
      <c r="M299" s="565"/>
    </row>
    <row r="300" spans="2:14">
      <c r="B300">
        <v>296</v>
      </c>
      <c r="C300">
        <v>14</v>
      </c>
      <c r="E300" s="119">
        <f>IF( obalSpecProg14Year,  obalSpecProg14Year, IF(decSpecProg14Chosen,xxYear, obalSpecProg14Year))</f>
        <v>0</v>
      </c>
      <c r="F300" s="119">
        <f>IF( obalSpecProg14Year,  obalSpecProg14Year, IF(decSpecProg14Chosen,xxYear, obalSpecProg14Year))</f>
        <v>0</v>
      </c>
      <c r="G300" s="119">
        <f>IF( obalSpecProg14Year,  obalSpecProg14Year, IF(decSpecProg14Chosen,xxYear, obalSpecProg14Year))</f>
        <v>0</v>
      </c>
      <c r="H300" s="123" t="str">
        <f t="shared" si="18"/>
        <v>cbalSpecProg14Year</v>
      </c>
      <c r="L300">
        <f t="shared" si="19"/>
        <v>0</v>
      </c>
      <c r="M300" s="565"/>
    </row>
    <row r="301" spans="2:14">
      <c r="B301">
        <v>297</v>
      </c>
      <c r="C301">
        <v>15</v>
      </c>
      <c r="E301" s="119">
        <f>IF( obalSpecProg15Year,  obalSpecProg15Year, IF(decSpecProg15Chosen,xxYear, obalSpecProg15Year))</f>
        <v>0</v>
      </c>
      <c r="F301" s="119">
        <f>IF( obalSpecProg15Year,  obalSpecProg15Year, IF(decSpecProg15Chosen,xxYear, obalSpecProg15Year))</f>
        <v>0</v>
      </c>
      <c r="G301" s="119">
        <f>IF( obalSpecProg15Year,  obalSpecProg15Year, IF(decSpecProg15Chosen,xxYear, obalSpecProg15Year))</f>
        <v>0</v>
      </c>
      <c r="H301" s="123" t="str">
        <f t="shared" si="18"/>
        <v>cbalSpecProg15Year</v>
      </c>
      <c r="L301">
        <f t="shared" si="19"/>
        <v>0</v>
      </c>
      <c r="M301" s="565"/>
    </row>
    <row r="302" spans="2:14">
      <c r="B302">
        <v>298</v>
      </c>
      <c r="C302">
        <v>16</v>
      </c>
      <c r="E302" s="119">
        <f>IF( obalSpecProg16Year,  obalSpecProg16Year, IF(decSpecProg16Chosen,xxYear, obalSpecProg16Year))</f>
        <v>0</v>
      </c>
      <c r="F302" s="119">
        <f>IF( obalSpecProg16Year,  obalSpecProg16Year, IF(decSpecProg16Chosen,xxYear, obalSpecProg16Year))</f>
        <v>0</v>
      </c>
      <c r="G302" s="119">
        <f>IF( obalSpecProg16Year,  obalSpecProg16Year, IF(decSpecProg16Chosen,xxYear, obalSpecProg16Year))</f>
        <v>0</v>
      </c>
      <c r="H302" s="123" t="str">
        <f t="shared" si="18"/>
        <v>cbalSpecProg16Year</v>
      </c>
      <c r="L302">
        <f t="shared" si="19"/>
        <v>0</v>
      </c>
      <c r="M302" s="565"/>
    </row>
    <row r="303" spans="2:14">
      <c r="B303">
        <v>299</v>
      </c>
      <c r="C303">
        <v>17</v>
      </c>
      <c r="E303" s="119">
        <f>IF( obalSpecProg17Year,  obalSpecProg17Year, IF(decSpecProg17Chosen,xxYear, obalSpecProg17Year))</f>
        <v>0</v>
      </c>
      <c r="F303" s="119">
        <f>IF( obalSpecProg17Year,  obalSpecProg17Year, IF(decSpecProg17Chosen,xxYear, obalSpecProg17Year))</f>
        <v>0</v>
      </c>
      <c r="G303" s="119">
        <f>IF( obalSpecProg17Year,  obalSpecProg17Year, IF(decSpecProg17Chosen,xxYear, obalSpecProg17Year))</f>
        <v>0</v>
      </c>
      <c r="H303" s="123" t="str">
        <f t="shared" si="18"/>
        <v>cbalSpecProg17Year</v>
      </c>
      <c r="L303">
        <f t="shared" si="19"/>
        <v>0</v>
      </c>
      <c r="M303" s="565"/>
    </row>
    <row r="304" spans="2:14">
      <c r="B304">
        <v>300</v>
      </c>
      <c r="C304">
        <v>18</v>
      </c>
      <c r="E304" s="119">
        <f>IF( obalSpecProg18Year,  obalSpecProg18Year, IF(decSpecProg18Chosen,xxYear, obalSpecProg18Year))</f>
        <v>0</v>
      </c>
      <c r="F304" s="119">
        <f>IF( obalSpecProg18Year,  obalSpecProg18Year, IF(decSpecProg18Chosen,xxYear, obalSpecProg18Year))</f>
        <v>0</v>
      </c>
      <c r="G304" s="119">
        <f>IF( obalSpecProg18Year,  obalSpecProg18Year, IF(decSpecProg18Chosen,xxYear, obalSpecProg18Year))</f>
        <v>0</v>
      </c>
      <c r="H304" s="123" t="str">
        <f t="shared" si="18"/>
        <v>cbalSpecProg18Year</v>
      </c>
      <c r="L304">
        <f t="shared" si="19"/>
        <v>0</v>
      </c>
      <c r="M304" s="565"/>
    </row>
    <row r="305" spans="2:13">
      <c r="B305">
        <v>301</v>
      </c>
      <c r="C305">
        <v>19</v>
      </c>
      <c r="E305" s="119">
        <f>IF( obalSpecProg19Year,  obalSpecProg19Year, IF(decSpecProg19Chosen,xxYear, obalSpecProg19Year))</f>
        <v>0</v>
      </c>
      <c r="F305" s="119">
        <f>IF( obalSpecProg19Year,  obalSpecProg19Year, IF(decSpecProg19Chosen,xxYear, obalSpecProg19Year))</f>
        <v>0</v>
      </c>
      <c r="G305" s="119">
        <f>IF( obalSpecProg19Year,  obalSpecProg19Year, IF(decSpecProg19Chosen,xxYear, obalSpecProg19Year))</f>
        <v>0</v>
      </c>
      <c r="H305" s="123" t="str">
        <f t="shared" si="18"/>
        <v>cbalSpecProg19Year</v>
      </c>
      <c r="L305">
        <f t="shared" si="19"/>
        <v>0</v>
      </c>
      <c r="M305" s="565"/>
    </row>
    <row r="306" spans="2:13">
      <c r="B306">
        <v>302</v>
      </c>
      <c r="C306">
        <v>20</v>
      </c>
      <c r="E306" s="119">
        <f>IF( obalSpecProg20Year,  obalSpecProg20Year, IF(decSpecProg20Chosen,xxYear, obalSpecProg20Year))</f>
        <v>0</v>
      </c>
      <c r="F306" s="119">
        <f>IF( obalSpecProg20Year,  obalSpecProg20Year, IF(decSpecProg20Chosen,xxYear, obalSpecProg20Year))</f>
        <v>0</v>
      </c>
      <c r="G306" s="119">
        <f>IF( obalSpecProg20Year,  obalSpecProg20Year, IF(decSpecProg20Chosen,xxYear, obalSpecProg20Year))</f>
        <v>0</v>
      </c>
      <c r="H306" s="123" t="str">
        <f t="shared" si="18"/>
        <v>cbalSpecProg20Year</v>
      </c>
      <c r="L306">
        <f t="shared" si="19"/>
        <v>0</v>
      </c>
      <c r="M306" s="565"/>
    </row>
    <row r="307" spans="2:13">
      <c r="B307">
        <v>303</v>
      </c>
      <c r="C307">
        <v>21</v>
      </c>
      <c r="E307" s="119">
        <f>IF( obalSpecProg21Year,  obalSpecProg21Year, IF(decSpecProg21Chosen,xxYear, obalSpecProg21Year))</f>
        <v>0</v>
      </c>
      <c r="F307" s="119">
        <f>IF( obalSpecProg21Year,  obalSpecProg21Year, IF(decSpecProg21Chosen,xxYear, obalSpecProg21Year))</f>
        <v>0</v>
      </c>
      <c r="G307" s="119">
        <f>IF( obalSpecProg21Year,  obalSpecProg21Year, IF(decSpecProg21Chosen,xxYear, obalSpecProg21Year))</f>
        <v>0</v>
      </c>
      <c r="H307" s="123" t="str">
        <f t="shared" si="18"/>
        <v>cbalSpecProg21Year</v>
      </c>
      <c r="L307">
        <f t="shared" si="19"/>
        <v>0</v>
      </c>
      <c r="M307" s="565"/>
    </row>
    <row r="308" spans="2:13">
      <c r="B308">
        <v>304</v>
      </c>
      <c r="C308">
        <v>22</v>
      </c>
      <c r="E308" s="119">
        <f>IF( obalSpecProg22Year,  obalSpecProg22Year, IF(decSpecProg22Chosen,xxYear, obalSpecProg22Year))</f>
        <v>0</v>
      </c>
      <c r="F308" s="119">
        <f>IF( obalSpecProg22Year,  obalSpecProg22Year, IF(decSpecProg22Chosen,xxYear, obalSpecProg22Year))</f>
        <v>0</v>
      </c>
      <c r="G308" s="119">
        <f>IF( obalSpecProg22Year,  obalSpecProg22Year, IF(decSpecProg22Chosen,xxYear, obalSpecProg22Year))</f>
        <v>0</v>
      </c>
      <c r="H308" s="123" t="str">
        <f t="shared" si="18"/>
        <v>cbalSpecProg22Year</v>
      </c>
      <c r="L308">
        <f t="shared" si="19"/>
        <v>0</v>
      </c>
      <c r="M308" s="565"/>
    </row>
    <row r="309" spans="2:13">
      <c r="E309" s="119"/>
      <c r="F309" s="119"/>
      <c r="G309" s="119"/>
    </row>
    <row r="310" spans="2:13">
      <c r="B310" t="s">
        <v>3160</v>
      </c>
      <c r="E310" s="119"/>
      <c r="F310" s="119"/>
      <c r="G310" s="119"/>
    </row>
    <row r="311" spans="2:13">
      <c r="B311">
        <v>283</v>
      </c>
      <c r="C311">
        <v>1</v>
      </c>
      <c r="E311" s="119">
        <f>IF(E287&gt;0, xxYear - E287 + 1, 0)</f>
        <v>0</v>
      </c>
      <c r="F311" s="119">
        <f t="shared" ref="E311:G332" si="20">IF(F287&gt;0, xxYear - F287 + 1, 0)</f>
        <v>0</v>
      </c>
      <c r="G311" s="119">
        <f t="shared" si="20"/>
        <v>0</v>
      </c>
      <c r="H311" s="123" t="str">
        <f t="shared" ref="H311:H332" si="21">"cbalSpecProg"&amp;C311&amp;"Duration"</f>
        <v>cbalSpecProg1Duration</v>
      </c>
    </row>
    <row r="312" spans="2:13">
      <c r="B312">
        <v>284</v>
      </c>
      <c r="C312">
        <v>2</v>
      </c>
      <c r="E312" s="119">
        <f t="shared" si="20"/>
        <v>0</v>
      </c>
      <c r="F312" s="119">
        <f t="shared" si="20"/>
        <v>0</v>
      </c>
      <c r="G312" s="119">
        <f t="shared" si="20"/>
        <v>0</v>
      </c>
      <c r="H312" s="123" t="str">
        <f t="shared" si="21"/>
        <v>cbalSpecProg2Duration</v>
      </c>
    </row>
    <row r="313" spans="2:13">
      <c r="B313">
        <v>285</v>
      </c>
      <c r="C313">
        <v>3</v>
      </c>
      <c r="E313" s="119">
        <f t="shared" si="20"/>
        <v>0</v>
      </c>
      <c r="F313" s="119">
        <f t="shared" si="20"/>
        <v>0</v>
      </c>
      <c r="G313" s="119">
        <f t="shared" si="20"/>
        <v>0</v>
      </c>
      <c r="H313" s="123" t="str">
        <f t="shared" si="21"/>
        <v>cbalSpecProg3Duration</v>
      </c>
    </row>
    <row r="314" spans="2:13">
      <c r="B314">
        <v>286</v>
      </c>
      <c r="C314">
        <v>4</v>
      </c>
      <c r="E314" s="119">
        <f t="shared" si="20"/>
        <v>0</v>
      </c>
      <c r="F314" s="119">
        <f t="shared" si="20"/>
        <v>0</v>
      </c>
      <c r="G314" s="119">
        <f t="shared" si="20"/>
        <v>0</v>
      </c>
      <c r="H314" s="123" t="str">
        <f t="shared" si="21"/>
        <v>cbalSpecProg4Duration</v>
      </c>
    </row>
    <row r="315" spans="2:13">
      <c r="B315">
        <v>287</v>
      </c>
      <c r="C315">
        <v>5</v>
      </c>
      <c r="E315" s="119">
        <f t="shared" si="20"/>
        <v>0</v>
      </c>
      <c r="F315" s="119">
        <f t="shared" si="20"/>
        <v>0</v>
      </c>
      <c r="G315" s="119">
        <f t="shared" si="20"/>
        <v>0</v>
      </c>
      <c r="H315" s="123" t="str">
        <f t="shared" si="21"/>
        <v>cbalSpecProg5Duration</v>
      </c>
    </row>
    <row r="316" spans="2:13">
      <c r="B316">
        <v>288</v>
      </c>
      <c r="C316">
        <v>6</v>
      </c>
      <c r="E316" s="119">
        <f t="shared" si="20"/>
        <v>0</v>
      </c>
      <c r="F316" s="119">
        <f t="shared" si="20"/>
        <v>0</v>
      </c>
      <c r="G316" s="119">
        <f t="shared" si="20"/>
        <v>0</v>
      </c>
      <c r="H316" s="123" t="str">
        <f t="shared" si="21"/>
        <v>cbalSpecProg6Duration</v>
      </c>
    </row>
    <row r="317" spans="2:13">
      <c r="B317">
        <v>289</v>
      </c>
      <c r="C317">
        <v>7</v>
      </c>
      <c r="E317" s="119">
        <f t="shared" si="20"/>
        <v>0</v>
      </c>
      <c r="F317" s="119">
        <f t="shared" si="20"/>
        <v>0</v>
      </c>
      <c r="G317" s="119">
        <f t="shared" si="20"/>
        <v>0</v>
      </c>
      <c r="H317" s="123" t="str">
        <f t="shared" si="21"/>
        <v>cbalSpecProg7Duration</v>
      </c>
    </row>
    <row r="318" spans="2:13">
      <c r="B318">
        <v>290</v>
      </c>
      <c r="C318">
        <v>8</v>
      </c>
      <c r="E318" s="119">
        <f t="shared" si="20"/>
        <v>0</v>
      </c>
      <c r="F318" s="119">
        <f t="shared" si="20"/>
        <v>0</v>
      </c>
      <c r="G318" s="119">
        <f t="shared" si="20"/>
        <v>0</v>
      </c>
      <c r="H318" s="123" t="str">
        <f t="shared" si="21"/>
        <v>cbalSpecProg8Duration</v>
      </c>
    </row>
    <row r="319" spans="2:13">
      <c r="B319">
        <v>291</v>
      </c>
      <c r="C319">
        <v>9</v>
      </c>
      <c r="E319" s="119">
        <f t="shared" si="20"/>
        <v>0</v>
      </c>
      <c r="F319" s="119">
        <f t="shared" si="20"/>
        <v>0</v>
      </c>
      <c r="G319" s="119">
        <f t="shared" si="20"/>
        <v>0</v>
      </c>
      <c r="H319" s="123" t="str">
        <f t="shared" si="21"/>
        <v>cbalSpecProg9Duration</v>
      </c>
    </row>
    <row r="320" spans="2:13">
      <c r="B320">
        <v>292</v>
      </c>
      <c r="C320">
        <v>10</v>
      </c>
      <c r="E320" s="119">
        <f t="shared" si="20"/>
        <v>0</v>
      </c>
      <c r="F320" s="119">
        <f t="shared" si="20"/>
        <v>0</v>
      </c>
      <c r="G320" s="119">
        <f t="shared" si="20"/>
        <v>0</v>
      </c>
      <c r="H320" s="123" t="str">
        <f t="shared" si="21"/>
        <v>cbalSpecProg10Duration</v>
      </c>
    </row>
    <row r="321" spans="2:13">
      <c r="B321">
        <v>293</v>
      </c>
      <c r="C321">
        <v>11</v>
      </c>
      <c r="E321" s="119">
        <f t="shared" si="20"/>
        <v>0</v>
      </c>
      <c r="F321" s="119">
        <f t="shared" si="20"/>
        <v>0</v>
      </c>
      <c r="G321" s="119">
        <f t="shared" si="20"/>
        <v>0</v>
      </c>
      <c r="H321" s="123" t="str">
        <f t="shared" si="21"/>
        <v>cbalSpecProg11Duration</v>
      </c>
    </row>
    <row r="322" spans="2:13">
      <c r="B322">
        <v>294</v>
      </c>
      <c r="C322">
        <v>12</v>
      </c>
      <c r="E322" s="119">
        <f t="shared" si="20"/>
        <v>0</v>
      </c>
      <c r="F322" s="119">
        <f t="shared" si="20"/>
        <v>0</v>
      </c>
      <c r="G322" s="119">
        <f t="shared" si="20"/>
        <v>0</v>
      </c>
      <c r="H322" s="123" t="str">
        <f t="shared" si="21"/>
        <v>cbalSpecProg12Duration</v>
      </c>
    </row>
    <row r="323" spans="2:13">
      <c r="B323">
        <v>295</v>
      </c>
      <c r="C323">
        <v>13</v>
      </c>
      <c r="E323" s="119">
        <f t="shared" si="20"/>
        <v>0</v>
      </c>
      <c r="F323" s="119">
        <f t="shared" si="20"/>
        <v>0</v>
      </c>
      <c r="G323" s="119">
        <f t="shared" si="20"/>
        <v>0</v>
      </c>
      <c r="H323" s="123" t="str">
        <f t="shared" si="21"/>
        <v>cbalSpecProg13Duration</v>
      </c>
    </row>
    <row r="324" spans="2:13">
      <c r="B324">
        <v>296</v>
      </c>
      <c r="C324">
        <v>14</v>
      </c>
      <c r="E324" s="119">
        <f t="shared" si="20"/>
        <v>0</v>
      </c>
      <c r="F324" s="119">
        <f t="shared" si="20"/>
        <v>0</v>
      </c>
      <c r="G324" s="119">
        <f t="shared" si="20"/>
        <v>0</v>
      </c>
      <c r="H324" s="123" t="str">
        <f t="shared" si="21"/>
        <v>cbalSpecProg14Duration</v>
      </c>
    </row>
    <row r="325" spans="2:13">
      <c r="B325">
        <v>297</v>
      </c>
      <c r="C325">
        <v>15</v>
      </c>
      <c r="E325" s="119">
        <f t="shared" si="20"/>
        <v>0</v>
      </c>
      <c r="F325" s="119">
        <f t="shared" si="20"/>
        <v>0</v>
      </c>
      <c r="G325" s="119">
        <f t="shared" si="20"/>
        <v>0</v>
      </c>
      <c r="H325" s="123" t="str">
        <f t="shared" si="21"/>
        <v>cbalSpecProg15Duration</v>
      </c>
    </row>
    <row r="326" spans="2:13">
      <c r="B326">
        <v>298</v>
      </c>
      <c r="C326">
        <v>16</v>
      </c>
      <c r="E326" s="119">
        <f t="shared" si="20"/>
        <v>0</v>
      </c>
      <c r="F326" s="119">
        <f t="shared" si="20"/>
        <v>0</v>
      </c>
      <c r="G326" s="119">
        <f t="shared" si="20"/>
        <v>0</v>
      </c>
      <c r="H326" s="123" t="str">
        <f t="shared" si="21"/>
        <v>cbalSpecProg16Duration</v>
      </c>
    </row>
    <row r="327" spans="2:13">
      <c r="B327">
        <v>299</v>
      </c>
      <c r="C327">
        <v>17</v>
      </c>
      <c r="E327" s="119">
        <f t="shared" si="20"/>
        <v>0</v>
      </c>
      <c r="F327" s="119">
        <f t="shared" si="20"/>
        <v>0</v>
      </c>
      <c r="G327" s="119">
        <f t="shared" si="20"/>
        <v>0</v>
      </c>
      <c r="H327" s="123" t="str">
        <f t="shared" si="21"/>
        <v>cbalSpecProg17Duration</v>
      </c>
    </row>
    <row r="328" spans="2:13">
      <c r="B328">
        <v>300</v>
      </c>
      <c r="C328">
        <v>18</v>
      </c>
      <c r="E328" s="119">
        <f t="shared" si="20"/>
        <v>0</v>
      </c>
      <c r="F328" s="119">
        <f t="shared" si="20"/>
        <v>0</v>
      </c>
      <c r="G328" s="119">
        <f t="shared" si="20"/>
        <v>0</v>
      </c>
      <c r="H328" s="123" t="str">
        <f t="shared" si="21"/>
        <v>cbalSpecProg18Duration</v>
      </c>
    </row>
    <row r="329" spans="2:13">
      <c r="B329">
        <v>301</v>
      </c>
      <c r="C329">
        <v>19</v>
      </c>
      <c r="E329" s="119">
        <f t="shared" si="20"/>
        <v>0</v>
      </c>
      <c r="F329" s="119">
        <f t="shared" si="20"/>
        <v>0</v>
      </c>
      <c r="G329" s="119">
        <f t="shared" si="20"/>
        <v>0</v>
      </c>
      <c r="H329" s="123" t="str">
        <f t="shared" si="21"/>
        <v>cbalSpecProg19Duration</v>
      </c>
    </row>
    <row r="330" spans="2:13">
      <c r="B330">
        <v>302</v>
      </c>
      <c r="C330">
        <v>20</v>
      </c>
      <c r="E330" s="119">
        <f t="shared" si="20"/>
        <v>0</v>
      </c>
      <c r="F330" s="119">
        <f t="shared" si="20"/>
        <v>0</v>
      </c>
      <c r="G330" s="119">
        <f t="shared" si="20"/>
        <v>0</v>
      </c>
      <c r="H330" s="123" t="str">
        <f t="shared" si="21"/>
        <v>cbalSpecProg20Duration</v>
      </c>
    </row>
    <row r="331" spans="2:13">
      <c r="B331">
        <v>303</v>
      </c>
      <c r="C331">
        <v>21</v>
      </c>
      <c r="E331" s="119">
        <f t="shared" si="20"/>
        <v>0</v>
      </c>
      <c r="F331" s="119">
        <f t="shared" si="20"/>
        <v>0</v>
      </c>
      <c r="G331" s="119">
        <f t="shared" si="20"/>
        <v>0</v>
      </c>
      <c r="H331" s="123" t="str">
        <f t="shared" si="21"/>
        <v>cbalSpecProg21Duration</v>
      </c>
    </row>
    <row r="332" spans="2:13">
      <c r="B332">
        <v>304</v>
      </c>
      <c r="C332">
        <v>22</v>
      </c>
      <c r="E332" s="119">
        <f t="shared" si="20"/>
        <v>0</v>
      </c>
      <c r="F332" s="119">
        <f t="shared" si="20"/>
        <v>0</v>
      </c>
      <c r="G332" s="119">
        <f t="shared" si="20"/>
        <v>0</v>
      </c>
      <c r="H332" s="123" t="str">
        <f t="shared" si="21"/>
        <v>cbalSpecProg22Duration</v>
      </c>
    </row>
    <row r="333" spans="2:13">
      <c r="E333" s="119"/>
      <c r="F333" s="119"/>
      <c r="G333" s="119"/>
    </row>
    <row r="334" spans="2:13">
      <c r="B334" t="s">
        <v>1474</v>
      </c>
      <c r="E334" s="119"/>
      <c r="F334" s="119"/>
      <c r="G334" s="119"/>
    </row>
    <row r="335" spans="2:13">
      <c r="B335">
        <v>307</v>
      </c>
      <c r="C335">
        <v>101</v>
      </c>
      <c r="E335" s="119">
        <f>IF( obalEvent101Year,  obalEvent101Year, IF(decEvent101Chosen,xxYear, obalEvent101Year))</f>
        <v>0</v>
      </c>
      <c r="F335" s="119">
        <f>IF( obalEvent101Year,  obalEvent101Year, IF(decEvent101Chosen,xxYear, obalEvent101Year))</f>
        <v>0</v>
      </c>
      <c r="G335" s="119">
        <f>IF( obalEvent101Year,  obalEvent101Year, IF(decEvent101Chosen,xxYear, obalEvent101Year))</f>
        <v>0</v>
      </c>
      <c r="H335" s="123" t="str">
        <f>"cbalEvent"&amp;C335&amp;"Year"</f>
        <v>cbalEvent101Year</v>
      </c>
      <c r="M335" s="119" t="str">
        <f>"IF( obalEvent"&amp;$C335&amp;"Year,  obalEvent"&amp;$C335&amp;"Year, IF(decEvent"&amp;$C335&amp;"Chosen,xxYear, obalEvent"&amp;$C335&amp;"Year))"</f>
        <v>IF( obalEvent101Year,  obalEvent101Year, IF(decEvent101Chosen,xxYear, obalEvent101Year))</v>
      </c>
    </row>
    <row r="336" spans="2:13">
      <c r="B336">
        <v>308</v>
      </c>
      <c r="C336">
        <v>102</v>
      </c>
      <c r="E336" s="119">
        <f>IF( obalEvent102Year,  obalEvent102Year, IF(decEvent102Chosen,xxYear, obalEvent102Year))</f>
        <v>0</v>
      </c>
      <c r="F336" s="119">
        <f>IF( obalEvent102Year,  obalEvent102Year, IF(decEvent102Chosen,xxYear, obalEvent102Year))</f>
        <v>0</v>
      </c>
      <c r="G336" s="119">
        <f>IF( obalEvent102Year,  obalEvent102Year, IF(decEvent102Chosen,xxYear, obalEvent102Year))</f>
        <v>0</v>
      </c>
      <c r="H336" s="123" t="str">
        <f t="shared" ref="H336:H359" si="22">"cbalEvent"&amp;C336&amp;"Year"</f>
        <v>cbalEvent102Year</v>
      </c>
    </row>
    <row r="337" spans="2:8">
      <c r="B337">
        <v>309</v>
      </c>
      <c r="C337">
        <v>103</v>
      </c>
      <c r="E337" s="119">
        <f>IF( obalEvent103Year,  obalEvent103Year, IF(decEvent103Chosen,xxYear, obalEvent103Year))</f>
        <v>0</v>
      </c>
      <c r="F337" s="119">
        <f>IF( obalEvent103Year,  obalEvent103Year, IF(decEvent103Chosen,xxYear, obalEvent103Year))</f>
        <v>0</v>
      </c>
      <c r="G337" s="119">
        <f>IF( obalEvent103Year,  obalEvent103Year, IF(decEvent103Chosen,xxYear, obalEvent103Year))</f>
        <v>0</v>
      </c>
      <c r="H337" s="123" t="str">
        <f t="shared" si="22"/>
        <v>cbalEvent103Year</v>
      </c>
    </row>
    <row r="338" spans="2:8">
      <c r="B338">
        <v>310</v>
      </c>
      <c r="C338">
        <v>201</v>
      </c>
      <c r="E338" s="119">
        <f>IF( obalEvent201Year,  obalEvent201Year, IF(decEvent201Chosen,xxYear, obalEvent201Year))</f>
        <v>0</v>
      </c>
      <c r="F338" s="119">
        <f>IF( obalEvent201Year,  obalEvent201Year, IF(decEvent201Chosen,xxYear, obalEvent201Year))</f>
        <v>0</v>
      </c>
      <c r="G338" s="119">
        <f>IF( obalEvent201Year,  obalEvent201Year, IF(decEvent201Chosen,xxYear, obalEvent201Year))</f>
        <v>0</v>
      </c>
      <c r="H338" s="123" t="str">
        <f t="shared" si="22"/>
        <v>cbalEvent201Year</v>
      </c>
    </row>
    <row r="339" spans="2:8">
      <c r="B339">
        <v>311</v>
      </c>
      <c r="C339">
        <v>202</v>
      </c>
      <c r="E339" s="119">
        <f>IF( obalEvent202Year,  obalEvent202Year, IF(decEvent202Chosen,xxYear, obalEvent202Year))</f>
        <v>0</v>
      </c>
      <c r="F339" s="119">
        <f>IF( obalEvent202Year,  obalEvent202Year, IF(decEvent202Chosen,xxYear, obalEvent202Year))</f>
        <v>0</v>
      </c>
      <c r="G339" s="119">
        <f>IF( obalEvent202Year,  obalEvent202Year, IF(decEvent202Chosen,xxYear, obalEvent202Year))</f>
        <v>0</v>
      </c>
      <c r="H339" s="123" t="str">
        <f t="shared" si="22"/>
        <v>cbalEvent202Year</v>
      </c>
    </row>
    <row r="340" spans="2:8">
      <c r="B340">
        <v>312</v>
      </c>
      <c r="C340">
        <v>203</v>
      </c>
      <c r="E340" s="119">
        <f>IF( obalEvent203Year,  obalEvent203Year, IF(decEvent203Chosen,xxYear, obalEvent203Year))</f>
        <v>0</v>
      </c>
      <c r="F340" s="119">
        <f>IF( obalEvent203Year,  obalEvent203Year, IF(decEvent203Chosen,xxYear, obalEvent203Year))</f>
        <v>0</v>
      </c>
      <c r="G340" s="119">
        <f>IF( obalEvent203Year,  obalEvent203Year, IF(decEvent203Chosen,xxYear, obalEvent203Year))</f>
        <v>0</v>
      </c>
      <c r="H340" s="123" t="str">
        <f t="shared" si="22"/>
        <v>cbalEvent203Year</v>
      </c>
    </row>
    <row r="341" spans="2:8">
      <c r="B341">
        <v>313</v>
      </c>
      <c r="C341">
        <v>301</v>
      </c>
      <c r="E341" s="119">
        <f>IF( obalEvent301Year,  obalEvent301Year, IF(decEvent301Chosen,xxYear, obalEvent301Year))</f>
        <v>0</v>
      </c>
      <c r="F341" s="119">
        <f>IF( obalEvent301Year,  obalEvent301Year, IF(decEvent301Chosen,xxYear, obalEvent301Year))</f>
        <v>0</v>
      </c>
      <c r="G341" s="119">
        <f>IF( obalEvent301Year,  obalEvent301Year, IF(decEvent301Chosen,xxYear, obalEvent301Year))</f>
        <v>0</v>
      </c>
      <c r="H341" s="123" t="str">
        <f t="shared" si="22"/>
        <v>cbalEvent301Year</v>
      </c>
    </row>
    <row r="342" spans="2:8">
      <c r="B342">
        <v>314</v>
      </c>
      <c r="C342">
        <v>302</v>
      </c>
      <c r="E342" s="119">
        <f>IF( obalEvent302Year,  obalEvent302Year, IF(decEvent302Chosen,xxYear, obalEvent302Year))</f>
        <v>0</v>
      </c>
      <c r="F342" s="119">
        <f>IF( obalEvent302Year,  obalEvent302Year, IF(decEvent302Chosen,xxYear, obalEvent302Year))</f>
        <v>0</v>
      </c>
      <c r="G342" s="119">
        <f>IF( obalEvent302Year,  obalEvent302Year, IF(decEvent302Chosen,xxYear, obalEvent302Year))</f>
        <v>0</v>
      </c>
      <c r="H342" s="123" t="str">
        <f t="shared" si="22"/>
        <v>cbalEvent302Year</v>
      </c>
    </row>
    <row r="343" spans="2:8">
      <c r="B343">
        <v>315</v>
      </c>
      <c r="C343">
        <v>401</v>
      </c>
      <c r="E343" s="119">
        <f>IF( obalEvent401Year,  obalEvent401Year, IF(decEvent401Chosen,xxYear, obalEvent401Year))</f>
        <v>0</v>
      </c>
      <c r="F343" s="119">
        <f>IF( obalEvent401Year,  obalEvent401Year, IF(decEvent401Chosen,xxYear, obalEvent401Year))</f>
        <v>0</v>
      </c>
      <c r="G343" s="119">
        <f>IF( obalEvent401Year,  obalEvent401Year, IF(decEvent401Chosen,xxYear, obalEvent401Year))</f>
        <v>0</v>
      </c>
      <c r="H343" s="123" t="str">
        <f t="shared" si="22"/>
        <v>cbalEvent401Year</v>
      </c>
    </row>
    <row r="344" spans="2:8">
      <c r="B344">
        <v>316</v>
      </c>
      <c r="C344">
        <v>402</v>
      </c>
      <c r="E344" s="119">
        <f>IF( obalEvent402Year,  obalEvent402Year, IF(decEvent402Chosen,xxYear, obalEvent402Year))</f>
        <v>0</v>
      </c>
      <c r="F344" s="119">
        <f>IF( obalEvent402Year,  obalEvent402Year, IF(decEvent402Chosen,xxYear, obalEvent402Year))</f>
        <v>0</v>
      </c>
      <c r="G344" s="119">
        <f>IF( obalEvent402Year,  obalEvent402Year, IF(decEvent402Chosen,xxYear, obalEvent402Year))</f>
        <v>0</v>
      </c>
      <c r="H344" s="123" t="str">
        <f t="shared" si="22"/>
        <v>cbalEvent402Year</v>
      </c>
    </row>
    <row r="345" spans="2:8">
      <c r="B345">
        <v>317</v>
      </c>
      <c r="C345">
        <v>403</v>
      </c>
      <c r="E345" s="119">
        <f>IF( obalEvent403Year,  obalEvent403Year, IF(decEvent403Chosen,xxYear, obalEvent403Year))</f>
        <v>0</v>
      </c>
      <c r="F345" s="119">
        <f>IF( obalEvent403Year,  obalEvent403Year, IF(decEvent403Chosen,xxYear, obalEvent403Year))</f>
        <v>0</v>
      </c>
      <c r="G345" s="119">
        <f>IF( obalEvent403Year,  obalEvent403Year, IF(decEvent403Chosen,xxYear, obalEvent403Year))</f>
        <v>0</v>
      </c>
      <c r="H345" s="123" t="str">
        <f t="shared" si="22"/>
        <v>cbalEvent403Year</v>
      </c>
    </row>
    <row r="346" spans="2:8">
      <c r="B346">
        <v>318</v>
      </c>
      <c r="C346">
        <v>501</v>
      </c>
      <c r="E346" s="119">
        <f>IF( obalEvent501Year,  obalEvent501Year, IF(decEvent501Chosen,xxYear, obalEvent501Year))</f>
        <v>0</v>
      </c>
      <c r="F346" s="119">
        <f>IF( obalEvent501Year,  obalEvent501Year, IF(decEvent501Chosen,xxYear, obalEvent501Year))</f>
        <v>0</v>
      </c>
      <c r="G346" s="119">
        <f>IF( obalEvent501Year,  obalEvent501Year, IF(decEvent501Chosen,xxYear, obalEvent501Year))</f>
        <v>0</v>
      </c>
      <c r="H346" s="123" t="str">
        <f t="shared" si="22"/>
        <v>cbalEvent501Year</v>
      </c>
    </row>
    <row r="347" spans="2:8">
      <c r="B347">
        <v>319</v>
      </c>
      <c r="C347">
        <v>502</v>
      </c>
      <c r="E347" s="119">
        <f>IF( obalEvent502Year,  obalEvent502Year, IF(decEvent502Chosen,xxYear, obalEvent502Year))</f>
        <v>0</v>
      </c>
      <c r="F347" s="119">
        <f>IF( obalEvent502Year,  obalEvent502Year, IF(decEvent502Chosen,xxYear, obalEvent502Year))</f>
        <v>0</v>
      </c>
      <c r="G347" s="119">
        <f>IF( obalEvent502Year,  obalEvent502Year, IF(decEvent502Chosen,xxYear, obalEvent502Year))</f>
        <v>0</v>
      </c>
      <c r="H347" s="123" t="str">
        <f t="shared" si="22"/>
        <v>cbalEvent502Year</v>
      </c>
    </row>
    <row r="348" spans="2:8">
      <c r="B348">
        <v>320</v>
      </c>
      <c r="C348">
        <v>503</v>
      </c>
      <c r="E348" s="119">
        <f>IF( obalEvent503Year,  obalEvent503Year, IF(decEvent503Chosen,xxYear, obalEvent503Year))</f>
        <v>0</v>
      </c>
      <c r="F348" s="119">
        <f>IF( obalEvent503Year,  obalEvent503Year, IF(decEvent503Chosen,xxYear, obalEvent503Year))</f>
        <v>0</v>
      </c>
      <c r="G348" s="119">
        <f>IF( obalEvent503Year,  obalEvent503Year, IF(decEvent503Chosen,xxYear, obalEvent503Year))</f>
        <v>0</v>
      </c>
      <c r="H348" s="123" t="str">
        <f t="shared" si="22"/>
        <v>cbalEvent503Year</v>
      </c>
    </row>
    <row r="349" spans="2:8">
      <c r="B349">
        <v>318</v>
      </c>
      <c r="C349">
        <v>601</v>
      </c>
      <c r="E349" s="119">
        <f>IF( obalEvent601Year,  obalEvent601Year, IF(decEvent601Chosen,xxYear, obalEvent601Year))</f>
        <v>0</v>
      </c>
      <c r="F349" s="119">
        <f>IF( obalEvent601Year,  obalEvent601Year, IF(decEvent601Chosen,xxYear, obalEvent601Year))</f>
        <v>0</v>
      </c>
      <c r="G349" s="119">
        <f>IF( obalEvent601Year,  obalEvent601Year, IF(decEvent601Chosen,xxYear, obalEvent601Year))</f>
        <v>0</v>
      </c>
      <c r="H349" s="123" t="str">
        <f t="shared" si="22"/>
        <v>cbalEvent601Year</v>
      </c>
    </row>
    <row r="350" spans="2:8">
      <c r="B350">
        <v>319</v>
      </c>
      <c r="C350">
        <v>602</v>
      </c>
      <c r="E350" s="119">
        <f>IF( obalEvent602Year,  obalEvent602Year, IF(decEvent602Chosen,xxYear, obalEvent602Year))</f>
        <v>0</v>
      </c>
      <c r="F350" s="119">
        <f>IF( obalEvent602Year,  obalEvent602Year, IF(decEvent602Chosen,xxYear, obalEvent602Year))</f>
        <v>0</v>
      </c>
      <c r="G350" s="119">
        <f>IF( obalEvent602Year,  obalEvent602Year, IF(decEvent602Chosen,xxYear, obalEvent602Year))</f>
        <v>0</v>
      </c>
      <c r="H350" s="123" t="str">
        <f t="shared" si="22"/>
        <v>cbalEvent602Year</v>
      </c>
    </row>
    <row r="351" spans="2:8">
      <c r="B351">
        <v>320</v>
      </c>
      <c r="C351">
        <v>603</v>
      </c>
      <c r="E351" s="119">
        <f>IF( obalEvent603Year,  obalEvent603Year, IF(decEvent603Chosen,xxYear, obalEvent603Year))</f>
        <v>0</v>
      </c>
      <c r="F351" s="119">
        <f>IF( obalEvent603Year,  obalEvent603Year, IF(decEvent603Chosen,xxYear, obalEvent603Year))</f>
        <v>0</v>
      </c>
      <c r="G351" s="119">
        <f>IF( obalEvent603Year,  obalEvent603Year, IF(decEvent603Chosen,xxYear, obalEvent603Year))</f>
        <v>0</v>
      </c>
      <c r="H351" s="123" t="str">
        <f t="shared" si="22"/>
        <v>cbalEvent603Year</v>
      </c>
    </row>
    <row r="352" spans="2:8">
      <c r="B352">
        <v>321</v>
      </c>
      <c r="C352">
        <v>701</v>
      </c>
      <c r="E352" s="119">
        <f>IF( obalEvent701Year,  obalEvent701Year, IF(decEvent701Chosen,xxYear, obalEvent701Year))</f>
        <v>0</v>
      </c>
      <c r="F352" s="119">
        <f>IF( obalEvent701Year,  obalEvent701Year, IF(decEvent701Chosen,xxYear, obalEvent701Year))</f>
        <v>0</v>
      </c>
      <c r="G352" s="119">
        <f>IF( obalEvent701Year,  obalEvent701Year, IF(decEvent701Chosen,xxYear, obalEvent701Year))</f>
        <v>0</v>
      </c>
      <c r="H352" s="123" t="str">
        <f t="shared" si="22"/>
        <v>cbalEvent701Year</v>
      </c>
    </row>
    <row r="353" spans="2:8">
      <c r="B353">
        <v>322</v>
      </c>
      <c r="C353">
        <v>702</v>
      </c>
      <c r="E353" s="119">
        <f>IF( obalEvent702Year,  obalEvent702Year, IF(decEvent702Chosen,xxYear, obalEvent702Year))</f>
        <v>0</v>
      </c>
      <c r="F353" s="119">
        <f>IF( obalEvent702Year,  obalEvent702Year, IF(decEvent702Chosen,xxYear, obalEvent702Year))</f>
        <v>0</v>
      </c>
      <c r="G353" s="119">
        <f>IF( obalEvent702Year,  obalEvent702Year, IF(decEvent702Chosen,xxYear, obalEvent702Year))</f>
        <v>0</v>
      </c>
      <c r="H353" s="123" t="str">
        <f t="shared" si="22"/>
        <v>cbalEvent702Year</v>
      </c>
    </row>
    <row r="354" spans="2:8">
      <c r="B354">
        <v>323</v>
      </c>
      <c r="C354">
        <v>703</v>
      </c>
      <c r="E354" s="119">
        <f>IF( obalEvent703Year,  obalEvent703Year, IF(decEvent703Chosen,xxYear, obalEvent703Year))</f>
        <v>0</v>
      </c>
      <c r="F354" s="119">
        <f>IF( obalEvent703Year,  obalEvent703Year, IF(decEvent703Chosen,xxYear, obalEvent703Year))</f>
        <v>0</v>
      </c>
      <c r="G354" s="119">
        <f>IF( obalEvent703Year,  obalEvent703Year, IF(decEvent703Chosen,xxYear, obalEvent703Year))</f>
        <v>0</v>
      </c>
      <c r="H354" s="123" t="str">
        <f t="shared" si="22"/>
        <v>cbalEvent703Year</v>
      </c>
    </row>
    <row r="355" spans="2:8">
      <c r="B355">
        <v>324</v>
      </c>
      <c r="C355">
        <v>801</v>
      </c>
      <c r="E355" s="119">
        <f>IF( obalEvent801Year,  obalEvent801Year, IF(decEvent801Chosen,xxYear, obalEvent801Year))</f>
        <v>0</v>
      </c>
      <c r="F355" s="119">
        <f>IF( obalEvent801Year,  obalEvent801Year, IF(decEvent801Chosen,xxYear, obalEvent801Year))</f>
        <v>0</v>
      </c>
      <c r="G355" s="119">
        <f>IF( obalEvent801Year,  obalEvent801Year, IF(decEvent801Chosen,xxYear, obalEvent801Year))</f>
        <v>0</v>
      </c>
      <c r="H355" s="123" t="str">
        <f t="shared" si="22"/>
        <v>cbalEvent801Year</v>
      </c>
    </row>
    <row r="356" spans="2:8">
      <c r="B356">
        <v>325</v>
      </c>
      <c r="C356">
        <v>802</v>
      </c>
      <c r="E356" s="119">
        <f>IF( obalEvent802Year,  obalEvent802Year, IF(decEvent802Chosen,xxYear, obalEvent802Year))</f>
        <v>0</v>
      </c>
      <c r="F356" s="119">
        <f>IF( obalEvent802Year,  obalEvent802Year, IF(decEvent802Chosen,xxYear, obalEvent802Year))</f>
        <v>0</v>
      </c>
      <c r="G356" s="119">
        <f>IF( obalEvent802Year,  obalEvent802Year, IF(decEvent802Chosen,xxYear, obalEvent802Year))</f>
        <v>0</v>
      </c>
      <c r="H356" s="123" t="str">
        <f t="shared" si="22"/>
        <v>cbalEvent802Year</v>
      </c>
    </row>
    <row r="357" spans="2:8">
      <c r="B357">
        <v>326</v>
      </c>
      <c r="C357">
        <v>803</v>
      </c>
      <c r="E357" s="119">
        <f>IF( obalEvent803Year,  obalEvent803Year, IF(decEvent803Chosen,xxYear, obalEvent803Year))</f>
        <v>0</v>
      </c>
      <c r="F357" s="119">
        <f>IF( obalEvent803Year,  obalEvent803Year, IF(decEvent803Chosen,xxYear, obalEvent803Year))</f>
        <v>0</v>
      </c>
      <c r="G357" s="119">
        <f>IF( obalEvent803Year,  obalEvent803Year, IF(decEvent803Chosen,xxYear, obalEvent803Year))</f>
        <v>0</v>
      </c>
      <c r="H357" s="123" t="str">
        <f t="shared" si="22"/>
        <v>cbalEvent803Year</v>
      </c>
    </row>
    <row r="358" spans="2:8">
      <c r="B358">
        <v>327</v>
      </c>
      <c r="C358">
        <v>901</v>
      </c>
      <c r="E358" s="119">
        <f>IF( obalEvent901Year,  obalEvent901Year, IF(decEvent901Chosen,xxYear, obalEvent901Year))</f>
        <v>0</v>
      </c>
      <c r="F358" s="119">
        <f>IF( obalEvent901Year,  obalEvent901Year, IF(decEvent901Chosen,xxYear, obalEvent901Year))</f>
        <v>0</v>
      </c>
      <c r="G358" s="119">
        <f>IF( obalEvent901Year,  obalEvent901Year, IF(decEvent901Chosen,xxYear, obalEvent901Year))</f>
        <v>0</v>
      </c>
      <c r="H358" s="123" t="str">
        <f t="shared" si="22"/>
        <v>cbalEvent901Year</v>
      </c>
    </row>
    <row r="359" spans="2:8">
      <c r="B359">
        <v>328</v>
      </c>
      <c r="C359">
        <v>902</v>
      </c>
      <c r="E359" s="119">
        <f>IF( obalEvent902Year,  obalEvent902Year, IF(decEvent902Chosen,xxYear, obalEvent902Year))</f>
        <v>0</v>
      </c>
      <c r="F359" s="119">
        <f>IF( obalEvent902Year,  obalEvent902Year, IF(decEvent902Chosen,xxYear, obalEvent902Year))</f>
        <v>0</v>
      </c>
      <c r="G359" s="119">
        <f>IF( obalEvent902Year,  obalEvent902Year, IF(decEvent902Chosen,xxYear, obalEvent902Year))</f>
        <v>0</v>
      </c>
      <c r="H359" s="123" t="str">
        <f t="shared" si="22"/>
        <v>cbalEvent902Year</v>
      </c>
    </row>
    <row r="360" spans="2:8">
      <c r="E360" s="119"/>
      <c r="F360" s="119"/>
      <c r="G360" s="119"/>
    </row>
    <row r="361" spans="2:8">
      <c r="B361" t="s">
        <v>1474</v>
      </c>
      <c r="E361" s="119"/>
      <c r="F361" s="119"/>
      <c r="G361" s="119"/>
    </row>
    <row r="362" spans="2:8">
      <c r="B362">
        <v>307</v>
      </c>
      <c r="C362">
        <v>101</v>
      </c>
      <c r="E362" s="119">
        <f t="shared" ref="E362:G386" si="23">IF(E335&gt;0, xxYear - E335 + 1, 0)</f>
        <v>0</v>
      </c>
      <c r="F362" s="119">
        <f t="shared" si="23"/>
        <v>0</v>
      </c>
      <c r="G362" s="119">
        <f t="shared" si="23"/>
        <v>0</v>
      </c>
      <c r="H362" s="123" t="str">
        <f t="shared" ref="H362:H386" si="24">"cbalEvent"&amp;C362&amp;"Duration"</f>
        <v>cbalEvent101Duration</v>
      </c>
    </row>
    <row r="363" spans="2:8">
      <c r="B363">
        <v>308</v>
      </c>
      <c r="C363">
        <v>102</v>
      </c>
      <c r="E363" s="119">
        <f t="shared" si="23"/>
        <v>0</v>
      </c>
      <c r="F363" s="119">
        <f t="shared" si="23"/>
        <v>0</v>
      </c>
      <c r="G363" s="119">
        <f t="shared" si="23"/>
        <v>0</v>
      </c>
      <c r="H363" s="123" t="str">
        <f t="shared" si="24"/>
        <v>cbalEvent102Duration</v>
      </c>
    </row>
    <row r="364" spans="2:8">
      <c r="B364">
        <v>309</v>
      </c>
      <c r="C364">
        <v>103</v>
      </c>
      <c r="E364" s="119">
        <f t="shared" si="23"/>
        <v>0</v>
      </c>
      <c r="F364" s="119">
        <f t="shared" si="23"/>
        <v>0</v>
      </c>
      <c r="G364" s="119">
        <f t="shared" si="23"/>
        <v>0</v>
      </c>
      <c r="H364" s="123" t="str">
        <f t="shared" si="24"/>
        <v>cbalEvent103Duration</v>
      </c>
    </row>
    <row r="365" spans="2:8">
      <c r="B365">
        <v>310</v>
      </c>
      <c r="C365">
        <v>201</v>
      </c>
      <c r="E365" s="119">
        <f t="shared" si="23"/>
        <v>0</v>
      </c>
      <c r="F365" s="119">
        <f t="shared" si="23"/>
        <v>0</v>
      </c>
      <c r="G365" s="119">
        <f t="shared" si="23"/>
        <v>0</v>
      </c>
      <c r="H365" s="123" t="str">
        <f t="shared" si="24"/>
        <v>cbalEvent201Duration</v>
      </c>
    </row>
    <row r="366" spans="2:8">
      <c r="B366">
        <v>311</v>
      </c>
      <c r="C366">
        <v>202</v>
      </c>
      <c r="E366" s="119">
        <f t="shared" si="23"/>
        <v>0</v>
      </c>
      <c r="F366" s="119">
        <f t="shared" si="23"/>
        <v>0</v>
      </c>
      <c r="G366" s="119">
        <f t="shared" si="23"/>
        <v>0</v>
      </c>
      <c r="H366" s="123" t="str">
        <f t="shared" si="24"/>
        <v>cbalEvent202Duration</v>
      </c>
    </row>
    <row r="367" spans="2:8">
      <c r="B367">
        <v>312</v>
      </c>
      <c r="C367">
        <v>203</v>
      </c>
      <c r="E367" s="119">
        <f t="shared" si="23"/>
        <v>0</v>
      </c>
      <c r="F367" s="119">
        <f t="shared" si="23"/>
        <v>0</v>
      </c>
      <c r="G367" s="119">
        <f t="shared" si="23"/>
        <v>0</v>
      </c>
      <c r="H367" s="123" t="str">
        <f t="shared" si="24"/>
        <v>cbalEvent203Duration</v>
      </c>
    </row>
    <row r="368" spans="2:8">
      <c r="B368">
        <v>313</v>
      </c>
      <c r="C368">
        <v>301</v>
      </c>
      <c r="E368" s="119">
        <f t="shared" si="23"/>
        <v>0</v>
      </c>
      <c r="F368" s="119">
        <f t="shared" si="23"/>
        <v>0</v>
      </c>
      <c r="G368" s="119">
        <f t="shared" si="23"/>
        <v>0</v>
      </c>
      <c r="H368" s="123" t="str">
        <f t="shared" si="24"/>
        <v>cbalEvent301Duration</v>
      </c>
    </row>
    <row r="369" spans="2:8">
      <c r="B369">
        <v>314</v>
      </c>
      <c r="C369">
        <v>302</v>
      </c>
      <c r="E369" s="119">
        <f t="shared" si="23"/>
        <v>0</v>
      </c>
      <c r="F369" s="119">
        <f t="shared" si="23"/>
        <v>0</v>
      </c>
      <c r="G369" s="119">
        <f t="shared" si="23"/>
        <v>0</v>
      </c>
      <c r="H369" s="123" t="str">
        <f t="shared" si="24"/>
        <v>cbalEvent302Duration</v>
      </c>
    </row>
    <row r="370" spans="2:8">
      <c r="B370">
        <v>315</v>
      </c>
      <c r="C370">
        <v>401</v>
      </c>
      <c r="E370" s="119">
        <f t="shared" si="23"/>
        <v>0</v>
      </c>
      <c r="F370" s="119">
        <f t="shared" si="23"/>
        <v>0</v>
      </c>
      <c r="G370" s="119">
        <f t="shared" si="23"/>
        <v>0</v>
      </c>
      <c r="H370" s="123" t="str">
        <f t="shared" si="24"/>
        <v>cbalEvent401Duration</v>
      </c>
    </row>
    <row r="371" spans="2:8">
      <c r="B371">
        <v>316</v>
      </c>
      <c r="C371">
        <v>402</v>
      </c>
      <c r="E371" s="119">
        <f t="shared" si="23"/>
        <v>0</v>
      </c>
      <c r="F371" s="119">
        <f t="shared" si="23"/>
        <v>0</v>
      </c>
      <c r="G371" s="119">
        <f t="shared" si="23"/>
        <v>0</v>
      </c>
      <c r="H371" s="123" t="str">
        <f t="shared" si="24"/>
        <v>cbalEvent402Duration</v>
      </c>
    </row>
    <row r="372" spans="2:8">
      <c r="B372">
        <v>317</v>
      </c>
      <c r="C372">
        <v>403</v>
      </c>
      <c r="E372" s="119">
        <f t="shared" si="23"/>
        <v>0</v>
      </c>
      <c r="F372" s="119">
        <f t="shared" si="23"/>
        <v>0</v>
      </c>
      <c r="G372" s="119">
        <f t="shared" si="23"/>
        <v>0</v>
      </c>
      <c r="H372" s="123" t="str">
        <f t="shared" si="24"/>
        <v>cbalEvent403Duration</v>
      </c>
    </row>
    <row r="373" spans="2:8">
      <c r="B373">
        <v>318</v>
      </c>
      <c r="C373">
        <v>501</v>
      </c>
      <c r="E373" s="119">
        <f t="shared" si="23"/>
        <v>0</v>
      </c>
      <c r="F373" s="119">
        <f t="shared" si="23"/>
        <v>0</v>
      </c>
      <c r="G373" s="119">
        <f t="shared" si="23"/>
        <v>0</v>
      </c>
      <c r="H373" s="123" t="str">
        <f t="shared" si="24"/>
        <v>cbalEvent501Duration</v>
      </c>
    </row>
    <row r="374" spans="2:8">
      <c r="B374">
        <v>319</v>
      </c>
      <c r="C374">
        <v>502</v>
      </c>
      <c r="E374" s="119">
        <f t="shared" si="23"/>
        <v>0</v>
      </c>
      <c r="F374" s="119">
        <f t="shared" si="23"/>
        <v>0</v>
      </c>
      <c r="G374" s="119">
        <f t="shared" si="23"/>
        <v>0</v>
      </c>
      <c r="H374" s="123" t="str">
        <f t="shared" si="24"/>
        <v>cbalEvent502Duration</v>
      </c>
    </row>
    <row r="375" spans="2:8">
      <c r="B375">
        <v>320</v>
      </c>
      <c r="C375">
        <v>503</v>
      </c>
      <c r="E375" s="119">
        <f t="shared" si="23"/>
        <v>0</v>
      </c>
      <c r="F375" s="119">
        <f t="shared" si="23"/>
        <v>0</v>
      </c>
      <c r="G375" s="119">
        <f t="shared" si="23"/>
        <v>0</v>
      </c>
      <c r="H375" s="123" t="str">
        <f t="shared" si="24"/>
        <v>cbalEvent503Duration</v>
      </c>
    </row>
    <row r="376" spans="2:8">
      <c r="B376">
        <v>318</v>
      </c>
      <c r="C376">
        <v>601</v>
      </c>
      <c r="E376" s="119">
        <f t="shared" si="23"/>
        <v>0</v>
      </c>
      <c r="F376" s="119">
        <f t="shared" si="23"/>
        <v>0</v>
      </c>
      <c r="G376" s="119">
        <f t="shared" si="23"/>
        <v>0</v>
      </c>
      <c r="H376" s="123" t="str">
        <f t="shared" si="24"/>
        <v>cbalEvent601Duration</v>
      </c>
    </row>
    <row r="377" spans="2:8">
      <c r="B377">
        <v>319</v>
      </c>
      <c r="C377">
        <v>602</v>
      </c>
      <c r="E377" s="119">
        <f t="shared" si="23"/>
        <v>0</v>
      </c>
      <c r="F377" s="119">
        <f t="shared" si="23"/>
        <v>0</v>
      </c>
      <c r="G377" s="119">
        <f t="shared" si="23"/>
        <v>0</v>
      </c>
      <c r="H377" s="123" t="str">
        <f t="shared" si="24"/>
        <v>cbalEvent602Duration</v>
      </c>
    </row>
    <row r="378" spans="2:8">
      <c r="B378">
        <v>320</v>
      </c>
      <c r="C378">
        <v>603</v>
      </c>
      <c r="E378" s="119">
        <f t="shared" si="23"/>
        <v>0</v>
      </c>
      <c r="F378" s="119">
        <f t="shared" si="23"/>
        <v>0</v>
      </c>
      <c r="G378" s="119">
        <f t="shared" si="23"/>
        <v>0</v>
      </c>
      <c r="H378" s="123" t="str">
        <f t="shared" si="24"/>
        <v>cbalEvent603Duration</v>
      </c>
    </row>
    <row r="379" spans="2:8">
      <c r="B379">
        <v>321</v>
      </c>
      <c r="C379">
        <v>701</v>
      </c>
      <c r="E379" s="119">
        <f t="shared" si="23"/>
        <v>0</v>
      </c>
      <c r="F379" s="119">
        <f t="shared" si="23"/>
        <v>0</v>
      </c>
      <c r="G379" s="119">
        <f t="shared" si="23"/>
        <v>0</v>
      </c>
      <c r="H379" s="123" t="str">
        <f t="shared" si="24"/>
        <v>cbalEvent701Duration</v>
      </c>
    </row>
    <row r="380" spans="2:8">
      <c r="B380">
        <v>322</v>
      </c>
      <c r="C380">
        <v>702</v>
      </c>
      <c r="E380" s="119">
        <f t="shared" si="23"/>
        <v>0</v>
      </c>
      <c r="F380" s="119">
        <f t="shared" si="23"/>
        <v>0</v>
      </c>
      <c r="G380" s="119">
        <f t="shared" si="23"/>
        <v>0</v>
      </c>
      <c r="H380" s="123" t="str">
        <f t="shared" si="24"/>
        <v>cbalEvent702Duration</v>
      </c>
    </row>
    <row r="381" spans="2:8">
      <c r="B381">
        <v>323</v>
      </c>
      <c r="C381">
        <v>703</v>
      </c>
      <c r="E381" s="119">
        <f t="shared" si="23"/>
        <v>0</v>
      </c>
      <c r="F381" s="119">
        <f t="shared" si="23"/>
        <v>0</v>
      </c>
      <c r="G381" s="119">
        <f t="shared" si="23"/>
        <v>0</v>
      </c>
      <c r="H381" s="123" t="str">
        <f t="shared" si="24"/>
        <v>cbalEvent703Duration</v>
      </c>
    </row>
    <row r="382" spans="2:8">
      <c r="B382">
        <v>324</v>
      </c>
      <c r="C382">
        <v>801</v>
      </c>
      <c r="E382" s="119">
        <f t="shared" si="23"/>
        <v>0</v>
      </c>
      <c r="F382" s="119">
        <f t="shared" si="23"/>
        <v>0</v>
      </c>
      <c r="G382" s="119">
        <f t="shared" si="23"/>
        <v>0</v>
      </c>
      <c r="H382" s="123" t="str">
        <f t="shared" si="24"/>
        <v>cbalEvent801Duration</v>
      </c>
    </row>
    <row r="383" spans="2:8">
      <c r="B383">
        <v>325</v>
      </c>
      <c r="C383">
        <v>802</v>
      </c>
      <c r="E383" s="119">
        <f t="shared" si="23"/>
        <v>0</v>
      </c>
      <c r="F383" s="119">
        <f t="shared" si="23"/>
        <v>0</v>
      </c>
      <c r="G383" s="119">
        <f t="shared" si="23"/>
        <v>0</v>
      </c>
      <c r="H383" s="123" t="str">
        <f t="shared" si="24"/>
        <v>cbalEvent802Duration</v>
      </c>
    </row>
    <row r="384" spans="2:8">
      <c r="B384">
        <v>326</v>
      </c>
      <c r="C384">
        <v>803</v>
      </c>
      <c r="E384" s="119">
        <f t="shared" si="23"/>
        <v>0</v>
      </c>
      <c r="F384" s="119">
        <f t="shared" si="23"/>
        <v>0</v>
      </c>
      <c r="G384" s="119">
        <f t="shared" si="23"/>
        <v>0</v>
      </c>
      <c r="H384" s="123" t="str">
        <f t="shared" si="24"/>
        <v>cbalEvent803Duration</v>
      </c>
    </row>
    <row r="385" spans="2:8">
      <c r="B385">
        <v>327</v>
      </c>
      <c r="C385">
        <v>901</v>
      </c>
      <c r="E385" s="119">
        <f t="shared" si="23"/>
        <v>0</v>
      </c>
      <c r="F385" s="119">
        <f t="shared" si="23"/>
        <v>0</v>
      </c>
      <c r="G385" s="119">
        <f t="shared" si="23"/>
        <v>0</v>
      </c>
      <c r="H385" s="123" t="str">
        <f t="shared" si="24"/>
        <v>cbalEvent901Duration</v>
      </c>
    </row>
    <row r="386" spans="2:8">
      <c r="B386">
        <v>328</v>
      </c>
      <c r="C386">
        <v>902</v>
      </c>
      <c r="E386" s="119">
        <f t="shared" si="23"/>
        <v>0</v>
      </c>
      <c r="F386" s="119">
        <f t="shared" si="23"/>
        <v>0</v>
      </c>
      <c r="G386" s="119">
        <f t="shared" si="23"/>
        <v>0</v>
      </c>
      <c r="H386" s="123" t="str">
        <f t="shared" si="24"/>
        <v>cbalEvent902Duration</v>
      </c>
    </row>
    <row r="387" spans="2:8">
      <c r="E387" s="119"/>
      <c r="F387" s="119"/>
      <c r="G387" s="119"/>
    </row>
    <row r="388" spans="2:8">
      <c r="B388" t="s">
        <v>3160</v>
      </c>
      <c r="E388" s="119"/>
      <c r="F388" s="119"/>
      <c r="G388" s="119"/>
    </row>
    <row r="389" spans="2:8">
      <c r="B389">
        <v>283</v>
      </c>
      <c r="C389">
        <v>1</v>
      </c>
      <c r="E389" s="119" t="b">
        <f>cbalSpecProg1Year&gt;0</f>
        <v>0</v>
      </c>
      <c r="F389" s="119" t="b">
        <f>cbalSpecProg1Year&gt;0</f>
        <v>0</v>
      </c>
      <c r="G389" s="119" t="b">
        <f>cbalSpecProg1Year&gt;0</f>
        <v>0</v>
      </c>
      <c r="H389" s="123" t="str">
        <f t="shared" ref="H389:H410" si="25">"cbalSpecProg"&amp;C389&amp;"Chosen"</f>
        <v>cbalSpecProg1Chosen</v>
      </c>
    </row>
    <row r="390" spans="2:8">
      <c r="B390">
        <v>284</v>
      </c>
      <c r="C390">
        <v>2</v>
      </c>
      <c r="E390" s="119" t="b">
        <f>cbalSpecProg2Year&gt;0</f>
        <v>0</v>
      </c>
      <c r="F390" s="119" t="b">
        <f>cbalSpecProg2Year&gt;0</f>
        <v>0</v>
      </c>
      <c r="G390" s="119" t="b">
        <f>cbalSpecProg2Year&gt;0</f>
        <v>0</v>
      </c>
      <c r="H390" s="123" t="str">
        <f t="shared" si="25"/>
        <v>cbalSpecProg2Chosen</v>
      </c>
    </row>
    <row r="391" spans="2:8">
      <c r="B391">
        <v>285</v>
      </c>
      <c r="C391">
        <v>3</v>
      </c>
      <c r="E391" s="119" t="b">
        <f>cbalSpecProg3Year&gt;0</f>
        <v>0</v>
      </c>
      <c r="F391" s="119" t="b">
        <f>cbalSpecProg3Year&gt;0</f>
        <v>0</v>
      </c>
      <c r="G391" s="119" t="b">
        <f>cbalSpecProg3Year&gt;0</f>
        <v>0</v>
      </c>
      <c r="H391" s="123" t="str">
        <f t="shared" si="25"/>
        <v>cbalSpecProg3Chosen</v>
      </c>
    </row>
    <row r="392" spans="2:8">
      <c r="B392">
        <v>286</v>
      </c>
      <c r="C392">
        <v>4</v>
      </c>
      <c r="E392" s="119" t="b">
        <f>cbalSpecProg4Year&gt;0</f>
        <v>0</v>
      </c>
      <c r="F392" s="119" t="b">
        <f>cbalSpecProg4Year&gt;0</f>
        <v>0</v>
      </c>
      <c r="G392" s="119" t="b">
        <f>cbalSpecProg4Year&gt;0</f>
        <v>0</v>
      </c>
      <c r="H392" s="123" t="str">
        <f t="shared" si="25"/>
        <v>cbalSpecProg4Chosen</v>
      </c>
    </row>
    <row r="393" spans="2:8">
      <c r="B393">
        <v>287</v>
      </c>
      <c r="C393">
        <v>5</v>
      </c>
      <c r="E393" s="119" t="b">
        <f>cbalSpecProg5Year&gt;0</f>
        <v>0</v>
      </c>
      <c r="F393" s="119" t="b">
        <f>cbalSpecProg5Year&gt;0</f>
        <v>0</v>
      </c>
      <c r="G393" s="119" t="b">
        <f>cbalSpecProg5Year&gt;0</f>
        <v>0</v>
      </c>
      <c r="H393" s="123" t="str">
        <f t="shared" si="25"/>
        <v>cbalSpecProg5Chosen</v>
      </c>
    </row>
    <row r="394" spans="2:8">
      <c r="B394">
        <v>288</v>
      </c>
      <c r="C394">
        <v>6</v>
      </c>
      <c r="E394" s="119" t="b">
        <f>cbalSpecProg6Year&gt;0</f>
        <v>0</v>
      </c>
      <c r="F394" s="119" t="b">
        <f>cbalSpecProg6Year&gt;0</f>
        <v>0</v>
      </c>
      <c r="G394" s="119" t="b">
        <f>cbalSpecProg6Year&gt;0</f>
        <v>0</v>
      </c>
      <c r="H394" s="123" t="str">
        <f t="shared" si="25"/>
        <v>cbalSpecProg6Chosen</v>
      </c>
    </row>
    <row r="395" spans="2:8">
      <c r="B395">
        <v>289</v>
      </c>
      <c r="C395">
        <v>7</v>
      </c>
      <c r="E395" s="119" t="b">
        <f>cbalSpecProg7Year&gt;0</f>
        <v>0</v>
      </c>
      <c r="F395" s="119" t="b">
        <f>cbalSpecProg7Year&gt;0</f>
        <v>0</v>
      </c>
      <c r="G395" s="119" t="b">
        <f>cbalSpecProg7Year&gt;0</f>
        <v>0</v>
      </c>
      <c r="H395" s="123" t="str">
        <f t="shared" si="25"/>
        <v>cbalSpecProg7Chosen</v>
      </c>
    </row>
    <row r="396" spans="2:8">
      <c r="B396">
        <v>290</v>
      </c>
      <c r="C396">
        <v>8</v>
      </c>
      <c r="E396" s="119" t="b">
        <f>cbalSpecProg8Year&gt;0</f>
        <v>0</v>
      </c>
      <c r="F396" s="119" t="b">
        <f>cbalSpecProg8Year&gt;0</f>
        <v>0</v>
      </c>
      <c r="G396" s="119" t="b">
        <f>cbalSpecProg8Year&gt;0</f>
        <v>0</v>
      </c>
      <c r="H396" s="123" t="str">
        <f t="shared" si="25"/>
        <v>cbalSpecProg8Chosen</v>
      </c>
    </row>
    <row r="397" spans="2:8">
      <c r="B397">
        <v>291</v>
      </c>
      <c r="C397">
        <v>9</v>
      </c>
      <c r="E397" s="119" t="b">
        <f>cbalSpecProg9Year&gt;0</f>
        <v>0</v>
      </c>
      <c r="F397" s="119" t="b">
        <f>cbalSpecProg9Year&gt;0</f>
        <v>0</v>
      </c>
      <c r="G397" s="119" t="b">
        <f>cbalSpecProg9Year&gt;0</f>
        <v>0</v>
      </c>
      <c r="H397" s="123" t="str">
        <f t="shared" si="25"/>
        <v>cbalSpecProg9Chosen</v>
      </c>
    </row>
    <row r="398" spans="2:8">
      <c r="B398">
        <v>292</v>
      </c>
      <c r="C398">
        <v>10</v>
      </c>
      <c r="E398" s="119" t="b">
        <f>cbalSpecProg10Year&gt;0</f>
        <v>0</v>
      </c>
      <c r="F398" s="119" t="b">
        <f>cbalSpecProg10Year&gt;0</f>
        <v>0</v>
      </c>
      <c r="G398" s="119" t="b">
        <f>cbalSpecProg10Year&gt;0</f>
        <v>0</v>
      </c>
      <c r="H398" s="123" t="str">
        <f t="shared" si="25"/>
        <v>cbalSpecProg10Chosen</v>
      </c>
    </row>
    <row r="399" spans="2:8">
      <c r="B399">
        <v>293</v>
      </c>
      <c r="C399">
        <v>11</v>
      </c>
      <c r="E399" s="119" t="b">
        <f>cbalSpecProg11Year&gt;0</f>
        <v>0</v>
      </c>
      <c r="F399" s="119" t="b">
        <f>cbalSpecProg11Year&gt;0</f>
        <v>0</v>
      </c>
      <c r="G399" s="119" t="b">
        <f>cbalSpecProg11Year&gt;0</f>
        <v>0</v>
      </c>
      <c r="H399" s="123" t="str">
        <f t="shared" si="25"/>
        <v>cbalSpecProg11Chosen</v>
      </c>
    </row>
    <row r="400" spans="2:8">
      <c r="B400">
        <v>294</v>
      </c>
      <c r="C400">
        <v>12</v>
      </c>
      <c r="E400" s="119" t="b">
        <f>cbalSpecProg12Year&gt;0</f>
        <v>0</v>
      </c>
      <c r="F400" s="119" t="b">
        <f>cbalSpecProg12Year&gt;0</f>
        <v>0</v>
      </c>
      <c r="G400" s="119" t="b">
        <f>cbalSpecProg12Year&gt;0</f>
        <v>0</v>
      </c>
      <c r="H400" s="123" t="str">
        <f t="shared" si="25"/>
        <v>cbalSpecProg12Chosen</v>
      </c>
    </row>
    <row r="401" spans="2:8">
      <c r="B401">
        <v>295</v>
      </c>
      <c r="C401">
        <v>13</v>
      </c>
      <c r="E401" s="119" t="b">
        <f>cbalSpecProg13Year&gt;0</f>
        <v>0</v>
      </c>
      <c r="F401" s="119" t="b">
        <f>cbalSpecProg13Year&gt;0</f>
        <v>0</v>
      </c>
      <c r="G401" s="119" t="b">
        <f>cbalSpecProg13Year&gt;0</f>
        <v>0</v>
      </c>
      <c r="H401" s="123" t="str">
        <f t="shared" si="25"/>
        <v>cbalSpecProg13Chosen</v>
      </c>
    </row>
    <row r="402" spans="2:8">
      <c r="B402">
        <v>296</v>
      </c>
      <c r="C402">
        <v>14</v>
      </c>
      <c r="E402" s="119" t="b">
        <f>cbalSpecProg14Year&gt;0</f>
        <v>0</v>
      </c>
      <c r="F402" s="119" t="b">
        <f>cbalSpecProg14Year&gt;0</f>
        <v>0</v>
      </c>
      <c r="G402" s="119" t="b">
        <f>cbalSpecProg14Year&gt;0</f>
        <v>0</v>
      </c>
      <c r="H402" s="123" t="str">
        <f t="shared" si="25"/>
        <v>cbalSpecProg14Chosen</v>
      </c>
    </row>
    <row r="403" spans="2:8">
      <c r="B403">
        <v>297</v>
      </c>
      <c r="C403">
        <v>15</v>
      </c>
      <c r="E403" s="119" t="b">
        <f>cbalSpecProg15Year&gt;0</f>
        <v>0</v>
      </c>
      <c r="F403" s="119" t="b">
        <f>cbalSpecProg15Year&gt;0</f>
        <v>0</v>
      </c>
      <c r="G403" s="119" t="b">
        <f>cbalSpecProg15Year&gt;0</f>
        <v>0</v>
      </c>
      <c r="H403" s="123" t="str">
        <f t="shared" si="25"/>
        <v>cbalSpecProg15Chosen</v>
      </c>
    </row>
    <row r="404" spans="2:8">
      <c r="B404">
        <v>298</v>
      </c>
      <c r="C404">
        <v>16</v>
      </c>
      <c r="E404" s="119" t="b">
        <f>cbalSpecProg16Year&gt;0</f>
        <v>0</v>
      </c>
      <c r="F404" s="119" t="b">
        <f>cbalSpecProg16Year&gt;0</f>
        <v>0</v>
      </c>
      <c r="G404" s="119" t="b">
        <f>cbalSpecProg16Year&gt;0</f>
        <v>0</v>
      </c>
      <c r="H404" s="123" t="str">
        <f t="shared" si="25"/>
        <v>cbalSpecProg16Chosen</v>
      </c>
    </row>
    <row r="405" spans="2:8">
      <c r="B405">
        <v>299</v>
      </c>
      <c r="C405">
        <v>17</v>
      </c>
      <c r="E405" s="119" t="b">
        <f>cbalSpecProg17Year&gt;0</f>
        <v>0</v>
      </c>
      <c r="F405" s="119" t="b">
        <f>cbalSpecProg17Year&gt;0</f>
        <v>0</v>
      </c>
      <c r="G405" s="119" t="b">
        <f>cbalSpecProg17Year&gt;0</f>
        <v>0</v>
      </c>
      <c r="H405" s="123" t="str">
        <f t="shared" si="25"/>
        <v>cbalSpecProg17Chosen</v>
      </c>
    </row>
    <row r="406" spans="2:8">
      <c r="B406">
        <v>300</v>
      </c>
      <c r="C406">
        <v>18</v>
      </c>
      <c r="E406" s="119" t="b">
        <f>cbalSpecProg18Year&gt;0</f>
        <v>0</v>
      </c>
      <c r="F406" s="119" t="b">
        <f>cbalSpecProg18Year&gt;0</f>
        <v>0</v>
      </c>
      <c r="G406" s="119" t="b">
        <f>cbalSpecProg18Year&gt;0</f>
        <v>0</v>
      </c>
      <c r="H406" s="123" t="str">
        <f t="shared" si="25"/>
        <v>cbalSpecProg18Chosen</v>
      </c>
    </row>
    <row r="407" spans="2:8">
      <c r="B407">
        <v>301</v>
      </c>
      <c r="C407">
        <v>19</v>
      </c>
      <c r="E407" s="119" t="b">
        <f>cbalSpecProg19Year&gt;0</f>
        <v>0</v>
      </c>
      <c r="F407" s="119" t="b">
        <f>cbalSpecProg19Year&gt;0</f>
        <v>0</v>
      </c>
      <c r="G407" s="119" t="b">
        <f>cbalSpecProg19Year&gt;0</f>
        <v>0</v>
      </c>
      <c r="H407" s="123" t="str">
        <f t="shared" si="25"/>
        <v>cbalSpecProg19Chosen</v>
      </c>
    </row>
    <row r="408" spans="2:8">
      <c r="B408">
        <v>302</v>
      </c>
      <c r="C408">
        <v>20</v>
      </c>
      <c r="E408" s="119" t="b">
        <f>cbalSpecProg20Year&gt;0</f>
        <v>0</v>
      </c>
      <c r="F408" s="119" t="b">
        <f>cbalSpecProg20Year&gt;0</f>
        <v>0</v>
      </c>
      <c r="G408" s="119" t="b">
        <f>cbalSpecProg20Year&gt;0</f>
        <v>0</v>
      </c>
      <c r="H408" s="123" t="str">
        <f t="shared" si="25"/>
        <v>cbalSpecProg20Chosen</v>
      </c>
    </row>
    <row r="409" spans="2:8">
      <c r="B409">
        <v>303</v>
      </c>
      <c r="C409">
        <v>21</v>
      </c>
      <c r="E409" s="119" t="b">
        <f>cbalSpecProg21Year&gt;0</f>
        <v>0</v>
      </c>
      <c r="F409" s="119" t="b">
        <f>cbalSpecProg21Year&gt;0</f>
        <v>0</v>
      </c>
      <c r="G409" s="119" t="b">
        <f>cbalSpecProg21Year&gt;0</f>
        <v>0</v>
      </c>
      <c r="H409" s="123" t="str">
        <f t="shared" si="25"/>
        <v>cbalSpecProg21Chosen</v>
      </c>
    </row>
    <row r="410" spans="2:8">
      <c r="B410">
        <v>304</v>
      </c>
      <c r="C410">
        <v>22</v>
      </c>
      <c r="E410" s="119" t="b">
        <f>cbalSpecProg22Year&gt;0</f>
        <v>0</v>
      </c>
      <c r="F410" s="119" t="b">
        <f>cbalSpecProg22Year&gt;0</f>
        <v>0</v>
      </c>
      <c r="G410" s="119" t="b">
        <f>cbalSpecProg22Year&gt;0</f>
        <v>0</v>
      </c>
      <c r="H410" s="123" t="str">
        <f t="shared" si="25"/>
        <v>cbalSpecProg22Chosen</v>
      </c>
    </row>
    <row r="411" spans="2:8">
      <c r="E411" s="119"/>
      <c r="F411" s="119"/>
      <c r="G411" s="119"/>
    </row>
    <row r="412" spans="2:8">
      <c r="B412" t="s">
        <v>1474</v>
      </c>
      <c r="E412" s="119"/>
      <c r="F412" s="119"/>
      <c r="G412" s="119"/>
    </row>
    <row r="413" spans="2:8">
      <c r="B413">
        <v>307</v>
      </c>
      <c r="C413">
        <v>101</v>
      </c>
      <c r="E413" s="119" t="b">
        <f>cbalEvent101Year&gt;0</f>
        <v>0</v>
      </c>
      <c r="F413" s="119" t="b">
        <f>cbalEvent101Year&gt;0</f>
        <v>0</v>
      </c>
      <c r="G413" s="119" t="b">
        <f>cbalEvent101Year&gt;0</f>
        <v>0</v>
      </c>
      <c r="H413" s="123" t="str">
        <f t="shared" ref="H413:H437" si="26">"cbalEvent"&amp;C413&amp;"Chosen"</f>
        <v>cbalEvent101Chosen</v>
      </c>
    </row>
    <row r="414" spans="2:8">
      <c r="B414">
        <v>308</v>
      </c>
      <c r="C414">
        <v>102</v>
      </c>
      <c r="E414" s="119" t="b">
        <f>cbalEvent102Year&gt;0</f>
        <v>0</v>
      </c>
      <c r="F414" s="119" t="b">
        <f>cbalEvent102Year&gt;0</f>
        <v>0</v>
      </c>
      <c r="G414" s="119" t="b">
        <f>cbalEvent102Year&gt;0</f>
        <v>0</v>
      </c>
      <c r="H414" s="123" t="str">
        <f t="shared" si="26"/>
        <v>cbalEvent102Chosen</v>
      </c>
    </row>
    <row r="415" spans="2:8">
      <c r="B415">
        <v>309</v>
      </c>
      <c r="C415">
        <v>103</v>
      </c>
      <c r="E415" s="119" t="b">
        <f>cbalEvent103Year&gt;0</f>
        <v>0</v>
      </c>
      <c r="F415" s="119" t="b">
        <f>cbalEvent103Year&gt;0</f>
        <v>0</v>
      </c>
      <c r="G415" s="119" t="b">
        <f>cbalEvent103Year&gt;0</f>
        <v>0</v>
      </c>
      <c r="H415" s="123" t="str">
        <f t="shared" si="26"/>
        <v>cbalEvent103Chosen</v>
      </c>
    </row>
    <row r="416" spans="2:8">
      <c r="B416">
        <v>310</v>
      </c>
      <c r="C416">
        <v>201</v>
      </c>
      <c r="E416" s="119" t="b">
        <f>cbalEvent201Year&gt;0</f>
        <v>0</v>
      </c>
      <c r="F416" s="119" t="b">
        <f>cbalEvent201Year&gt;0</f>
        <v>0</v>
      </c>
      <c r="G416" s="119" t="b">
        <f>cbalEvent201Year&gt;0</f>
        <v>0</v>
      </c>
      <c r="H416" s="123" t="str">
        <f t="shared" si="26"/>
        <v>cbalEvent201Chosen</v>
      </c>
    </row>
    <row r="417" spans="2:8">
      <c r="B417">
        <v>311</v>
      </c>
      <c r="C417">
        <v>202</v>
      </c>
      <c r="E417" s="119" t="b">
        <f>cbalEvent202Year&gt;0</f>
        <v>0</v>
      </c>
      <c r="F417" s="119" t="b">
        <f>cbalEvent202Year&gt;0</f>
        <v>0</v>
      </c>
      <c r="G417" s="119" t="b">
        <f>cbalEvent202Year&gt;0</f>
        <v>0</v>
      </c>
      <c r="H417" s="123" t="str">
        <f t="shared" si="26"/>
        <v>cbalEvent202Chosen</v>
      </c>
    </row>
    <row r="418" spans="2:8">
      <c r="B418">
        <v>312</v>
      </c>
      <c r="C418">
        <v>203</v>
      </c>
      <c r="E418" s="119" t="b">
        <f>cbalEvent203Year&gt;0</f>
        <v>0</v>
      </c>
      <c r="F418" s="119" t="b">
        <f>cbalEvent203Year&gt;0</f>
        <v>0</v>
      </c>
      <c r="G418" s="119" t="b">
        <f>cbalEvent203Year&gt;0</f>
        <v>0</v>
      </c>
      <c r="H418" s="123" t="str">
        <f t="shared" si="26"/>
        <v>cbalEvent203Chosen</v>
      </c>
    </row>
    <row r="419" spans="2:8">
      <c r="B419">
        <v>313</v>
      </c>
      <c r="C419">
        <v>301</v>
      </c>
      <c r="E419" s="119" t="b">
        <f>cbalEvent301Year&gt;0</f>
        <v>0</v>
      </c>
      <c r="F419" s="119" t="b">
        <f>cbalEvent301Year&gt;0</f>
        <v>0</v>
      </c>
      <c r="G419" s="119" t="b">
        <f>cbalEvent301Year&gt;0</f>
        <v>0</v>
      </c>
      <c r="H419" s="123" t="str">
        <f t="shared" si="26"/>
        <v>cbalEvent301Chosen</v>
      </c>
    </row>
    <row r="420" spans="2:8">
      <c r="B420">
        <v>314</v>
      </c>
      <c r="C420">
        <v>302</v>
      </c>
      <c r="E420" s="119" t="b">
        <f>cbalEvent302Year&gt;0</f>
        <v>0</v>
      </c>
      <c r="F420" s="119" t="b">
        <f>cbalEvent302Year&gt;0</f>
        <v>0</v>
      </c>
      <c r="G420" s="119" t="b">
        <f>cbalEvent302Year&gt;0</f>
        <v>0</v>
      </c>
      <c r="H420" s="123" t="str">
        <f t="shared" si="26"/>
        <v>cbalEvent302Chosen</v>
      </c>
    </row>
    <row r="421" spans="2:8">
      <c r="B421">
        <v>315</v>
      </c>
      <c r="C421">
        <v>401</v>
      </c>
      <c r="E421" s="119" t="b">
        <f>cbalEvent401Year&gt;0</f>
        <v>0</v>
      </c>
      <c r="F421" s="119" t="b">
        <f>cbalEvent401Year&gt;0</f>
        <v>0</v>
      </c>
      <c r="G421" s="119" t="b">
        <f>cbalEvent401Year&gt;0</f>
        <v>0</v>
      </c>
      <c r="H421" s="123" t="str">
        <f t="shared" si="26"/>
        <v>cbalEvent401Chosen</v>
      </c>
    </row>
    <row r="422" spans="2:8">
      <c r="B422">
        <v>316</v>
      </c>
      <c r="C422">
        <v>402</v>
      </c>
      <c r="E422" s="119" t="b">
        <f>cbalEvent402Year&gt;0</f>
        <v>0</v>
      </c>
      <c r="F422" s="119" t="b">
        <f>cbalEvent402Year&gt;0</f>
        <v>0</v>
      </c>
      <c r="G422" s="119" t="b">
        <f>cbalEvent402Year&gt;0</f>
        <v>0</v>
      </c>
      <c r="H422" s="123" t="str">
        <f t="shared" si="26"/>
        <v>cbalEvent402Chosen</v>
      </c>
    </row>
    <row r="423" spans="2:8">
      <c r="B423">
        <v>317</v>
      </c>
      <c r="C423">
        <v>403</v>
      </c>
      <c r="E423" s="119" t="b">
        <f>cbalEvent403Year&gt;0</f>
        <v>0</v>
      </c>
      <c r="F423" s="119" t="b">
        <f>cbalEvent403Year&gt;0</f>
        <v>0</v>
      </c>
      <c r="G423" s="119" t="b">
        <f>cbalEvent403Year&gt;0</f>
        <v>0</v>
      </c>
      <c r="H423" s="123" t="str">
        <f t="shared" si="26"/>
        <v>cbalEvent403Chosen</v>
      </c>
    </row>
    <row r="424" spans="2:8">
      <c r="B424">
        <v>318</v>
      </c>
      <c r="C424">
        <v>501</v>
      </c>
      <c r="E424" s="119" t="b">
        <f>cbalEvent501Year&gt;0</f>
        <v>0</v>
      </c>
      <c r="F424" s="119" t="b">
        <f>cbalEvent501Year&gt;0</f>
        <v>0</v>
      </c>
      <c r="G424" s="119" t="b">
        <f>cbalEvent501Year&gt;0</f>
        <v>0</v>
      </c>
      <c r="H424" s="123" t="str">
        <f t="shared" si="26"/>
        <v>cbalEvent501Chosen</v>
      </c>
    </row>
    <row r="425" spans="2:8">
      <c r="B425">
        <v>319</v>
      </c>
      <c r="C425">
        <v>502</v>
      </c>
      <c r="E425" s="119" t="b">
        <f>cbalEvent502Year&gt;0</f>
        <v>0</v>
      </c>
      <c r="F425" s="119" t="b">
        <f>cbalEvent502Year&gt;0</f>
        <v>0</v>
      </c>
      <c r="G425" s="119" t="b">
        <f>cbalEvent502Year&gt;0</f>
        <v>0</v>
      </c>
      <c r="H425" s="123" t="str">
        <f t="shared" si="26"/>
        <v>cbalEvent502Chosen</v>
      </c>
    </row>
    <row r="426" spans="2:8">
      <c r="B426">
        <v>320</v>
      </c>
      <c r="C426">
        <v>503</v>
      </c>
      <c r="E426" s="119" t="b">
        <f>cbalEvent503Year&gt;0</f>
        <v>0</v>
      </c>
      <c r="F426" s="119" t="b">
        <f>cbalEvent503Year&gt;0</f>
        <v>0</v>
      </c>
      <c r="G426" s="119" t="b">
        <f>cbalEvent503Year&gt;0</f>
        <v>0</v>
      </c>
      <c r="H426" s="123" t="str">
        <f t="shared" si="26"/>
        <v>cbalEvent503Chosen</v>
      </c>
    </row>
    <row r="427" spans="2:8">
      <c r="B427">
        <v>318</v>
      </c>
      <c r="C427">
        <v>601</v>
      </c>
      <c r="E427" s="119" t="b">
        <f>cbalEvent601Year&gt;0</f>
        <v>0</v>
      </c>
      <c r="F427" s="119" t="b">
        <f>cbalEvent601Year&gt;0</f>
        <v>0</v>
      </c>
      <c r="G427" s="119" t="b">
        <f>cbalEvent601Year&gt;0</f>
        <v>0</v>
      </c>
      <c r="H427" s="123" t="str">
        <f t="shared" si="26"/>
        <v>cbalEvent601Chosen</v>
      </c>
    </row>
    <row r="428" spans="2:8">
      <c r="B428">
        <v>319</v>
      </c>
      <c r="C428">
        <v>602</v>
      </c>
      <c r="E428" s="119" t="b">
        <f>cbalEvent602Year&gt;0</f>
        <v>0</v>
      </c>
      <c r="F428" s="119" t="b">
        <f>cbalEvent602Year&gt;0</f>
        <v>0</v>
      </c>
      <c r="G428" s="119" t="b">
        <f>cbalEvent602Year&gt;0</f>
        <v>0</v>
      </c>
      <c r="H428" s="123" t="str">
        <f t="shared" si="26"/>
        <v>cbalEvent602Chosen</v>
      </c>
    </row>
    <row r="429" spans="2:8">
      <c r="B429">
        <v>320</v>
      </c>
      <c r="C429">
        <v>603</v>
      </c>
      <c r="E429" s="119" t="b">
        <f>cbalEvent603Year&gt;0</f>
        <v>0</v>
      </c>
      <c r="F429" s="119" t="b">
        <f>cbalEvent603Year&gt;0</f>
        <v>0</v>
      </c>
      <c r="G429" s="119" t="b">
        <f>cbalEvent603Year&gt;0</f>
        <v>0</v>
      </c>
      <c r="H429" s="123" t="str">
        <f t="shared" si="26"/>
        <v>cbalEvent603Chosen</v>
      </c>
    </row>
    <row r="430" spans="2:8">
      <c r="B430">
        <v>321</v>
      </c>
      <c r="C430">
        <v>701</v>
      </c>
      <c r="E430" s="119" t="b">
        <f>cbalEvent701Year&gt;0</f>
        <v>0</v>
      </c>
      <c r="F430" s="119" t="b">
        <f>cbalEvent701Year&gt;0</f>
        <v>0</v>
      </c>
      <c r="G430" s="119" t="b">
        <f>cbalEvent701Year&gt;0</f>
        <v>0</v>
      </c>
      <c r="H430" s="123" t="str">
        <f t="shared" si="26"/>
        <v>cbalEvent701Chosen</v>
      </c>
    </row>
    <row r="431" spans="2:8">
      <c r="B431">
        <v>322</v>
      </c>
      <c r="C431">
        <v>702</v>
      </c>
      <c r="E431" s="119" t="b">
        <f>cbalEvent702Year&gt;0</f>
        <v>0</v>
      </c>
      <c r="F431" s="119" t="b">
        <f>cbalEvent702Year&gt;0</f>
        <v>0</v>
      </c>
      <c r="G431" s="119" t="b">
        <f>cbalEvent702Year&gt;0</f>
        <v>0</v>
      </c>
      <c r="H431" s="123" t="str">
        <f t="shared" si="26"/>
        <v>cbalEvent702Chosen</v>
      </c>
    </row>
    <row r="432" spans="2:8">
      <c r="B432">
        <v>323</v>
      </c>
      <c r="C432">
        <v>703</v>
      </c>
      <c r="E432" s="119" t="b">
        <f>cbalEvent703Year&gt;0</f>
        <v>0</v>
      </c>
      <c r="F432" s="119" t="b">
        <f>cbalEvent703Year&gt;0</f>
        <v>0</v>
      </c>
      <c r="G432" s="119" t="b">
        <f>cbalEvent703Year&gt;0</f>
        <v>0</v>
      </c>
      <c r="H432" s="123" t="str">
        <f t="shared" si="26"/>
        <v>cbalEvent703Chosen</v>
      </c>
    </row>
    <row r="433" spans="2:8">
      <c r="B433">
        <v>324</v>
      </c>
      <c r="C433">
        <v>801</v>
      </c>
      <c r="E433" s="119" t="b">
        <f>cbalEvent801Year&gt;0</f>
        <v>0</v>
      </c>
      <c r="F433" s="119" t="b">
        <f>cbalEvent801Year&gt;0</f>
        <v>0</v>
      </c>
      <c r="G433" s="119" t="b">
        <f>cbalEvent801Year&gt;0</f>
        <v>0</v>
      </c>
      <c r="H433" s="123" t="str">
        <f t="shared" si="26"/>
        <v>cbalEvent801Chosen</v>
      </c>
    </row>
    <row r="434" spans="2:8">
      <c r="B434">
        <v>325</v>
      </c>
      <c r="C434">
        <v>802</v>
      </c>
      <c r="E434" s="119" t="b">
        <f>cbalEvent802Year&gt;0</f>
        <v>0</v>
      </c>
      <c r="F434" s="119" t="b">
        <f>cbalEvent802Year&gt;0</f>
        <v>0</v>
      </c>
      <c r="G434" s="119" t="b">
        <f>cbalEvent802Year&gt;0</f>
        <v>0</v>
      </c>
      <c r="H434" s="123" t="str">
        <f t="shared" si="26"/>
        <v>cbalEvent802Chosen</v>
      </c>
    </row>
    <row r="435" spans="2:8">
      <c r="B435">
        <v>326</v>
      </c>
      <c r="C435">
        <v>803</v>
      </c>
      <c r="E435" s="119" t="b">
        <f>cbalEvent803Year&gt;0</f>
        <v>0</v>
      </c>
      <c r="F435" s="119" t="b">
        <f>cbalEvent803Year&gt;0</f>
        <v>0</v>
      </c>
      <c r="G435" s="119" t="b">
        <f>cbalEvent803Year&gt;0</f>
        <v>0</v>
      </c>
      <c r="H435" s="123" t="str">
        <f t="shared" si="26"/>
        <v>cbalEvent803Chosen</v>
      </c>
    </row>
    <row r="436" spans="2:8">
      <c r="B436">
        <v>327</v>
      </c>
      <c r="C436">
        <v>901</v>
      </c>
      <c r="E436" s="119" t="b">
        <f>cbalEvent901Year&gt;0</f>
        <v>0</v>
      </c>
      <c r="F436" s="119" t="b">
        <f>cbalEvent901Year&gt;0</f>
        <v>0</v>
      </c>
      <c r="G436" s="119" t="b">
        <f>cbalEvent901Year&gt;0</f>
        <v>0</v>
      </c>
      <c r="H436" s="123" t="str">
        <f t="shared" si="26"/>
        <v>cbalEvent901Chosen</v>
      </c>
    </row>
    <row r="437" spans="2:8">
      <c r="B437">
        <v>328</v>
      </c>
      <c r="C437">
        <v>902</v>
      </c>
      <c r="E437" s="119" t="b">
        <f>cbalEvent902Year&gt;0</f>
        <v>0</v>
      </c>
      <c r="F437" s="119" t="b">
        <f>cbalEvent902Year&gt;0</f>
        <v>0</v>
      </c>
      <c r="G437" s="119" t="b">
        <f>cbalEvent902Year&gt;0</f>
        <v>0</v>
      </c>
      <c r="H437" s="123" t="str">
        <f t="shared" si="26"/>
        <v>cbalEvent902Chosen</v>
      </c>
    </row>
    <row r="438" spans="2:8">
      <c r="E438" s="119"/>
      <c r="F438" s="119"/>
      <c r="G438" s="119"/>
    </row>
    <row r="439" spans="2:8">
      <c r="B439" t="s">
        <v>3160</v>
      </c>
      <c r="E439" s="119"/>
      <c r="F439" s="119"/>
      <c r="G439" s="119"/>
    </row>
    <row r="440" spans="2:8">
      <c r="C440">
        <v>1</v>
      </c>
      <c r="E440" s="615">
        <f t="shared" ref="E440:G461" si="27">IF(E287=xxYear,1*$C440,0)</f>
        <v>1</v>
      </c>
      <c r="F440" s="615">
        <f t="shared" si="27"/>
        <v>1</v>
      </c>
      <c r="G440" s="615">
        <f t="shared" si="27"/>
        <v>1</v>
      </c>
    </row>
    <row r="441" spans="2:8">
      <c r="C441">
        <v>2</v>
      </c>
      <c r="E441" s="615">
        <f t="shared" si="27"/>
        <v>2</v>
      </c>
      <c r="F441" s="615">
        <f t="shared" si="27"/>
        <v>2</v>
      </c>
      <c r="G441" s="615">
        <f t="shared" si="27"/>
        <v>2</v>
      </c>
    </row>
    <row r="442" spans="2:8">
      <c r="C442">
        <v>3</v>
      </c>
      <c r="E442" s="615">
        <f t="shared" si="27"/>
        <v>3</v>
      </c>
      <c r="F442" s="615">
        <f t="shared" si="27"/>
        <v>3</v>
      </c>
      <c r="G442" s="615">
        <f t="shared" si="27"/>
        <v>3</v>
      </c>
    </row>
    <row r="443" spans="2:8">
      <c r="C443">
        <v>4</v>
      </c>
      <c r="E443" s="615">
        <f t="shared" si="27"/>
        <v>4</v>
      </c>
      <c r="F443" s="615">
        <f t="shared" si="27"/>
        <v>4</v>
      </c>
      <c r="G443" s="615">
        <f t="shared" si="27"/>
        <v>4</v>
      </c>
    </row>
    <row r="444" spans="2:8">
      <c r="C444">
        <v>5</v>
      </c>
      <c r="E444" s="615">
        <f t="shared" si="27"/>
        <v>5</v>
      </c>
      <c r="F444" s="615">
        <f t="shared" si="27"/>
        <v>5</v>
      </c>
      <c r="G444" s="615">
        <f t="shared" si="27"/>
        <v>5</v>
      </c>
    </row>
    <row r="445" spans="2:8">
      <c r="C445">
        <v>6</v>
      </c>
      <c r="E445" s="615">
        <f t="shared" si="27"/>
        <v>6</v>
      </c>
      <c r="F445" s="615">
        <f t="shared" si="27"/>
        <v>6</v>
      </c>
      <c r="G445" s="615">
        <f t="shared" si="27"/>
        <v>6</v>
      </c>
    </row>
    <row r="446" spans="2:8">
      <c r="C446">
        <v>7</v>
      </c>
      <c r="E446" s="615">
        <f t="shared" si="27"/>
        <v>7</v>
      </c>
      <c r="F446" s="615">
        <f t="shared" si="27"/>
        <v>7</v>
      </c>
      <c r="G446" s="615">
        <f t="shared" si="27"/>
        <v>7</v>
      </c>
    </row>
    <row r="447" spans="2:8">
      <c r="C447">
        <v>8</v>
      </c>
      <c r="E447" s="615">
        <f t="shared" si="27"/>
        <v>8</v>
      </c>
      <c r="F447" s="615">
        <f t="shared" si="27"/>
        <v>8</v>
      </c>
      <c r="G447" s="615">
        <f t="shared" si="27"/>
        <v>8</v>
      </c>
    </row>
    <row r="448" spans="2:8">
      <c r="C448">
        <v>9</v>
      </c>
      <c r="E448" s="615">
        <f t="shared" si="27"/>
        <v>9</v>
      </c>
      <c r="F448" s="615">
        <f t="shared" si="27"/>
        <v>9</v>
      </c>
      <c r="G448" s="615">
        <f t="shared" si="27"/>
        <v>9</v>
      </c>
    </row>
    <row r="449" spans="3:7">
      <c r="C449">
        <v>10</v>
      </c>
      <c r="E449" s="615">
        <f t="shared" si="27"/>
        <v>10</v>
      </c>
      <c r="F449" s="615">
        <f t="shared" si="27"/>
        <v>10</v>
      </c>
      <c r="G449" s="615">
        <f t="shared" si="27"/>
        <v>10</v>
      </c>
    </row>
    <row r="450" spans="3:7">
      <c r="C450">
        <v>11</v>
      </c>
      <c r="E450" s="615">
        <f t="shared" si="27"/>
        <v>11</v>
      </c>
      <c r="F450" s="615">
        <f t="shared" si="27"/>
        <v>11</v>
      </c>
      <c r="G450" s="615">
        <f t="shared" si="27"/>
        <v>11</v>
      </c>
    </row>
    <row r="451" spans="3:7">
      <c r="C451">
        <v>12</v>
      </c>
      <c r="E451" s="615">
        <f t="shared" si="27"/>
        <v>12</v>
      </c>
      <c r="F451" s="615">
        <f t="shared" si="27"/>
        <v>12</v>
      </c>
      <c r="G451" s="615">
        <f t="shared" si="27"/>
        <v>12</v>
      </c>
    </row>
    <row r="452" spans="3:7">
      <c r="C452">
        <v>13</v>
      </c>
      <c r="E452" s="615">
        <f t="shared" si="27"/>
        <v>13</v>
      </c>
      <c r="F452" s="615">
        <f t="shared" si="27"/>
        <v>13</v>
      </c>
      <c r="G452" s="615">
        <f t="shared" si="27"/>
        <v>13</v>
      </c>
    </row>
    <row r="453" spans="3:7">
      <c r="C453">
        <v>14</v>
      </c>
      <c r="E453" s="615">
        <f t="shared" si="27"/>
        <v>14</v>
      </c>
      <c r="F453" s="615">
        <f t="shared" si="27"/>
        <v>14</v>
      </c>
      <c r="G453" s="615">
        <f t="shared" si="27"/>
        <v>14</v>
      </c>
    </row>
    <row r="454" spans="3:7">
      <c r="C454">
        <v>15</v>
      </c>
      <c r="E454" s="615">
        <f t="shared" si="27"/>
        <v>15</v>
      </c>
      <c r="F454" s="615">
        <f t="shared" si="27"/>
        <v>15</v>
      </c>
      <c r="G454" s="615">
        <f t="shared" si="27"/>
        <v>15</v>
      </c>
    </row>
    <row r="455" spans="3:7">
      <c r="C455">
        <v>16</v>
      </c>
      <c r="E455" s="615">
        <f t="shared" si="27"/>
        <v>16</v>
      </c>
      <c r="F455" s="615">
        <f t="shared" si="27"/>
        <v>16</v>
      </c>
      <c r="G455" s="615">
        <f t="shared" si="27"/>
        <v>16</v>
      </c>
    </row>
    <row r="456" spans="3:7">
      <c r="C456">
        <v>17</v>
      </c>
      <c r="E456" s="615">
        <f t="shared" si="27"/>
        <v>17</v>
      </c>
      <c r="F456" s="615">
        <f t="shared" si="27"/>
        <v>17</v>
      </c>
      <c r="G456" s="615">
        <f t="shared" si="27"/>
        <v>17</v>
      </c>
    </row>
    <row r="457" spans="3:7">
      <c r="C457">
        <v>18</v>
      </c>
      <c r="E457" s="615">
        <f t="shared" si="27"/>
        <v>18</v>
      </c>
      <c r="F457" s="615">
        <f t="shared" si="27"/>
        <v>18</v>
      </c>
      <c r="G457" s="615">
        <f t="shared" si="27"/>
        <v>18</v>
      </c>
    </row>
    <row r="458" spans="3:7">
      <c r="C458">
        <v>19</v>
      </c>
      <c r="E458" s="615">
        <f t="shared" si="27"/>
        <v>19</v>
      </c>
      <c r="F458" s="615">
        <f t="shared" si="27"/>
        <v>19</v>
      </c>
      <c r="G458" s="615">
        <f t="shared" si="27"/>
        <v>19</v>
      </c>
    </row>
    <row r="459" spans="3:7">
      <c r="C459">
        <v>20</v>
      </c>
      <c r="E459" s="615">
        <f t="shared" si="27"/>
        <v>20</v>
      </c>
      <c r="F459" s="615">
        <f t="shared" si="27"/>
        <v>20</v>
      </c>
      <c r="G459" s="615">
        <f t="shared" si="27"/>
        <v>20</v>
      </c>
    </row>
    <row r="460" spans="3:7">
      <c r="C460">
        <v>21</v>
      </c>
      <c r="E460" s="615">
        <f t="shared" si="27"/>
        <v>21</v>
      </c>
      <c r="F460" s="615">
        <f t="shared" si="27"/>
        <v>21</v>
      </c>
      <c r="G460" s="615">
        <f t="shared" si="27"/>
        <v>21</v>
      </c>
    </row>
    <row r="461" spans="3:7">
      <c r="C461">
        <v>22</v>
      </c>
      <c r="E461" s="615">
        <f t="shared" si="27"/>
        <v>22</v>
      </c>
      <c r="F461" s="615">
        <f t="shared" si="27"/>
        <v>22</v>
      </c>
      <c r="G461" s="615">
        <f t="shared" si="27"/>
        <v>22</v>
      </c>
    </row>
    <row r="462" spans="3:7">
      <c r="E462" s="119"/>
      <c r="F462" s="119"/>
      <c r="G462" s="119"/>
    </row>
    <row r="463" spans="3:7">
      <c r="E463" s="119"/>
      <c r="F463" s="119"/>
      <c r="G463" s="119"/>
    </row>
    <row r="464" spans="3:7">
      <c r="E464" s="119"/>
      <c r="F464" s="119"/>
      <c r="G464" s="119"/>
    </row>
    <row r="465" spans="1:8">
      <c r="E465" s="119"/>
      <c r="F465" s="119"/>
      <c r="G465" s="119"/>
    </row>
    <row r="466" spans="1:8">
      <c r="B466" s="4" t="s">
        <v>648</v>
      </c>
      <c r="E466" s="539">
        <f>finPNLRev</f>
        <v>4411410974.5023985</v>
      </c>
      <c r="F466" s="539">
        <f>finPNLRev</f>
        <v>3912627978.3075352</v>
      </c>
      <c r="G466" s="539">
        <f>finPNLRev</f>
        <v>2939604569.6039629</v>
      </c>
      <c r="H466" s="579" t="s">
        <v>650</v>
      </c>
    </row>
    <row r="467" spans="1:8">
      <c r="B467" s="4" t="s">
        <v>936</v>
      </c>
      <c r="E467" s="457">
        <f>finCAGR</f>
        <v>0</v>
      </c>
      <c r="F467" s="457">
        <f>finCAGR</f>
        <v>0</v>
      </c>
      <c r="G467" s="457">
        <f>finCAGR</f>
        <v>0</v>
      </c>
      <c r="H467" s="579" t="s">
        <v>938</v>
      </c>
    </row>
    <row r="468" spans="1:8">
      <c r="B468" s="4" t="s">
        <v>473</v>
      </c>
      <c r="E468" s="457">
        <f>finPNLOperatingMargin</f>
        <v>0.1900023113894177</v>
      </c>
      <c r="F468" s="457">
        <f>finPNLOperatingMargin</f>
        <v>0.23508445534709546</v>
      </c>
      <c r="G468" s="457">
        <f>finPNLOperatingMargin</f>
        <v>0.11622717100445366</v>
      </c>
      <c r="H468" s="123" t="s">
        <v>939</v>
      </c>
    </row>
    <row r="469" spans="1:8">
      <c r="B469" s="565" t="s">
        <v>1737</v>
      </c>
      <c r="E469" s="416">
        <f>finCashOI</f>
        <v>940488897.02871478</v>
      </c>
      <c r="F469" s="416">
        <f>finCashOI</f>
        <v>994108450.93279386</v>
      </c>
      <c r="G469" s="416">
        <f>finCashOI</f>
        <v>349301186.90683627</v>
      </c>
      <c r="H469" s="579" t="s">
        <v>2300</v>
      </c>
    </row>
    <row r="470" spans="1:8">
      <c r="B470" s="4"/>
      <c r="E470" s="539"/>
      <c r="F470" s="539"/>
      <c r="G470" s="539"/>
    </row>
    <row r="471" spans="1:8">
      <c r="B471" t="s">
        <v>824</v>
      </c>
      <c r="E471" s="416">
        <f>IF(xxYear=0,finPNLRev,obalRevenueY0)</f>
        <v>4411410974.5023985</v>
      </c>
      <c r="F471" s="416">
        <f>IF(xxYear=0,finPNLRev,obalRevenueY0)</f>
        <v>3912627978.3075352</v>
      </c>
      <c r="G471" s="416">
        <f>IF(xxYear=0,finPNLRev,obalRevenueY0)</f>
        <v>2939604569.6039629</v>
      </c>
      <c r="H471" s="509" t="s">
        <v>267</v>
      </c>
    </row>
    <row r="472" spans="1:8">
      <c r="B472" t="str">
        <f>DataNameProd1&amp;" Y0 Revenues"</f>
        <v>Growth Y0 Revenues</v>
      </c>
      <c r="E472" s="416">
        <f>IF(xxYear=0,finPNLProd1Rev,obalProd1RevY0)</f>
        <v>2008782289.0972757</v>
      </c>
      <c r="F472" s="416">
        <f>IF(xxYear=0,finPNLProd1Rev,obalProd1RevY0)</f>
        <v>1802349097.9843411</v>
      </c>
      <c r="G472" s="416">
        <f>IF(xxYear=0,finPNLProd1Rev,obalProd1RevY0)</f>
        <v>1339255376.5497975</v>
      </c>
      <c r="H472" s="509" t="s">
        <v>293</v>
      </c>
    </row>
    <row r="473" spans="1:8">
      <c r="B473" t="str">
        <f>DataNameProd2&amp;" Y0 Revenues"</f>
        <v>Transform Y0 Revenues</v>
      </c>
      <c r="E473" s="416">
        <f>IF(xxYear=0,finPNLProd2Rev,obalProd2RevY0)</f>
        <v>2402628685.4051218</v>
      </c>
      <c r="F473" s="416">
        <f>IF(xxYear=0,finPNLProd2Rev,obalProd2RevY0)</f>
        <v>2110278880.323194</v>
      </c>
      <c r="G473" s="416">
        <f>IF(xxYear=0,finPNLProd2Rev,obalProd2RevY0)</f>
        <v>1600349193.0541656</v>
      </c>
      <c r="H473" s="509" t="s">
        <v>294</v>
      </c>
    </row>
    <row r="474" spans="1:8">
      <c r="B474" t="s">
        <v>83</v>
      </c>
      <c r="E474" s="457">
        <f>IF(xxYear=0,finCAGR,obalCAGRY0)</f>
        <v>0</v>
      </c>
      <c r="F474" s="457">
        <f>IF(xxYear=0,finCAGR,obalCAGRY0)</f>
        <v>0</v>
      </c>
      <c r="G474" s="457">
        <f>IF(xxYear=0,finCAGR,obalCAGRY0)</f>
        <v>0</v>
      </c>
      <c r="H474" s="509" t="s">
        <v>85</v>
      </c>
    </row>
    <row r="475" spans="1:8">
      <c r="B475" t="s">
        <v>84</v>
      </c>
      <c r="E475" s="457">
        <f>IF(xxYear=0,finPNLOperatingMargin,obalProfitMarginY0)</f>
        <v>0.1900023113894177</v>
      </c>
      <c r="F475" s="457">
        <f>IF(xxYear=0,finPNLOperatingMargin,obalProfitMarginY0)</f>
        <v>0.23508445534709546</v>
      </c>
      <c r="G475" s="457">
        <f>IF(xxYear=0,finPNLOperatingMargin,obalProfitMarginY0)</f>
        <v>0.11622717100445366</v>
      </c>
      <c r="H475" s="509" t="s">
        <v>86</v>
      </c>
    </row>
    <row r="476" spans="1:8">
      <c r="A476" s="3"/>
      <c r="E476" s="172"/>
      <c r="F476" s="172"/>
      <c r="G476" s="172"/>
    </row>
    <row r="477" spans="1:8">
      <c r="B477" s="3" t="s">
        <v>777</v>
      </c>
      <c r="E477" s="172"/>
      <c r="F477" s="172"/>
      <c r="G477" s="172"/>
    </row>
    <row r="478" spans="1:8">
      <c r="B478" s="4" t="s">
        <v>784</v>
      </c>
      <c r="E478" s="539">
        <f>IF(xxYear=1,finCashOI,obalScoreY1)</f>
        <v>0</v>
      </c>
      <c r="F478" s="539">
        <f>IF(xxYear=1,finCashOI,obalScoreY1)</f>
        <v>0</v>
      </c>
      <c r="G478" s="539">
        <f>IF(xxYear=1,finCashOI,obalScoreY1)</f>
        <v>0</v>
      </c>
      <c r="H478" s="123" t="s">
        <v>778</v>
      </c>
    </row>
    <row r="479" spans="1:8">
      <c r="B479" s="4" t="s">
        <v>785</v>
      </c>
      <c r="E479" s="416">
        <f>IF(xxYear=2,finCashOI,obalScoreY2)</f>
        <v>0</v>
      </c>
      <c r="F479" s="416">
        <f>IF(xxYear=2,finCashOI,obalScoreY2)</f>
        <v>0</v>
      </c>
      <c r="G479" s="416">
        <f>IF(xxYear=2,finCashOI,obalScoreY2)</f>
        <v>0</v>
      </c>
      <c r="H479" s="123" t="s">
        <v>779</v>
      </c>
    </row>
    <row r="480" spans="1:8">
      <c r="B480" s="4" t="s">
        <v>786</v>
      </c>
      <c r="E480" s="416">
        <f>IF(xxYear=3,finCashOI,obalScoreY3)</f>
        <v>0</v>
      </c>
      <c r="F480" s="416">
        <f>IF(xxYear=3,finCashOI,obalScoreY3)</f>
        <v>0</v>
      </c>
      <c r="G480" s="416">
        <f>IF(xxYear=3,finCashOI,obalScoreY3)</f>
        <v>0</v>
      </c>
      <c r="H480" s="123" t="s">
        <v>780</v>
      </c>
    </row>
    <row r="481" spans="2:8">
      <c r="B481" s="4"/>
      <c r="E481" s="416"/>
      <c r="F481" s="416"/>
      <c r="G481" s="416"/>
    </row>
    <row r="482" spans="2:8">
      <c r="B482" s="3" t="s">
        <v>2182</v>
      </c>
      <c r="E482" s="416"/>
      <c r="F482" s="416"/>
      <c r="G482" s="416"/>
    </row>
    <row r="483" spans="2:8">
      <c r="B483" s="565" t="s">
        <v>2183</v>
      </c>
      <c r="D483">
        <v>0</v>
      </c>
      <c r="E483" s="416">
        <f>IF(xxYear=$D483,finPNLRev,obalTotalRevY0)</f>
        <v>4411410974.5023985</v>
      </c>
      <c r="F483" s="416">
        <f>IF(xxYear=$D483,finPNLRev,obalTotalRevY0)</f>
        <v>3912627978.3075352</v>
      </c>
      <c r="G483" s="416">
        <f>IF(xxYear=$D483,finPNLRev,obalTotalRevY0)</f>
        <v>2939604569.6039629</v>
      </c>
      <c r="H483" s="579" t="s">
        <v>2190</v>
      </c>
    </row>
    <row r="484" spans="2:8">
      <c r="B484" s="565" t="s">
        <v>2184</v>
      </c>
      <c r="D484">
        <v>1</v>
      </c>
      <c r="E484" s="416">
        <f>IF(xxYear=$D484,finPNLRev,obalTotalRevY1)</f>
        <v>0</v>
      </c>
      <c r="F484" s="416">
        <f>IF(xxYear=$D484,finPNLRev,obalTotalRevY1)</f>
        <v>0</v>
      </c>
      <c r="G484" s="416">
        <f>IF(xxYear=$D484,finPNLRev,obalTotalRevY1)</f>
        <v>0</v>
      </c>
      <c r="H484" s="579" t="s">
        <v>2191</v>
      </c>
    </row>
    <row r="485" spans="2:8">
      <c r="B485" s="565" t="s">
        <v>2185</v>
      </c>
      <c r="D485">
        <v>2</v>
      </c>
      <c r="E485" s="416">
        <f>IF(xxYear=$D485,finPNLRev,obalTotalRevY2)</f>
        <v>0</v>
      </c>
      <c r="F485" s="416">
        <f>IF(xxYear=$D485,finPNLRev,obalTotalRevY2)</f>
        <v>0</v>
      </c>
      <c r="G485" s="416">
        <f>IF(xxYear=$D485,finPNLRev,obalTotalRevY2)</f>
        <v>0</v>
      </c>
      <c r="H485" s="579" t="s">
        <v>2192</v>
      </c>
    </row>
    <row r="486" spans="2:8">
      <c r="B486" s="565" t="s">
        <v>2185</v>
      </c>
      <c r="D486">
        <v>3</v>
      </c>
      <c r="E486" s="416">
        <f>IF(xxYear=$D486,finPNLRev,obalTotalRevY3)</f>
        <v>0</v>
      </c>
      <c r="F486" s="416">
        <f>IF(xxYear=$D486,finPNLRev,obalTotalRevY3)</f>
        <v>0</v>
      </c>
      <c r="G486" s="416">
        <f>IF(xxYear=$D486,finPNLRev,obalTotalRevY3)</f>
        <v>0</v>
      </c>
      <c r="H486" s="579" t="s">
        <v>2193</v>
      </c>
    </row>
    <row r="487" spans="2:8">
      <c r="B487" s="4"/>
      <c r="E487" s="539"/>
      <c r="F487" s="539"/>
      <c r="G487" s="539"/>
    </row>
    <row r="488" spans="2:8">
      <c r="B488" s="565" t="s">
        <v>2194</v>
      </c>
      <c r="D488">
        <v>0</v>
      </c>
      <c r="E488" s="457">
        <f>IF(xxYear=$D488,finPNLOperatingMargin,obalOperatingMarginY0)</f>
        <v>0.1900023113894177</v>
      </c>
      <c r="F488" s="457">
        <f>IF(xxYear=$D488,finPNLOperatingMargin,obalOperatingMarginY0)</f>
        <v>0.23508445534709546</v>
      </c>
      <c r="G488" s="457">
        <f>IF(xxYear=$D488,finPNLOperatingMargin,obalOperatingMarginY0)</f>
        <v>0.11622717100445366</v>
      </c>
      <c r="H488" s="713" t="s">
        <v>2205</v>
      </c>
    </row>
    <row r="489" spans="2:8">
      <c r="B489" s="565" t="s">
        <v>2195</v>
      </c>
      <c r="D489">
        <v>1</v>
      </c>
      <c r="E489" s="457">
        <f>IF(xxYear=$D489,finPNLOperatingMargin,obalOperatingMarginY1)</f>
        <v>0</v>
      </c>
      <c r="F489" s="457">
        <f>IF(xxYear=$D489,finPNLOperatingMargin,obalOperatingMarginY1)</f>
        <v>0</v>
      </c>
      <c r="G489" s="457">
        <f>IF(xxYear=$D489,finPNLOperatingMargin,obalOperatingMarginY1)</f>
        <v>0</v>
      </c>
      <c r="H489" s="713" t="s">
        <v>2206</v>
      </c>
    </row>
    <row r="490" spans="2:8">
      <c r="B490" s="565" t="s">
        <v>2196</v>
      </c>
      <c r="D490">
        <v>2</v>
      </c>
      <c r="E490" s="457">
        <f>IF(xxYear=$D490,finPNLOperatingMargin,obalOperatingMarginY2)</f>
        <v>0</v>
      </c>
      <c r="F490" s="457">
        <f>IF(xxYear=$D490,finPNLOperatingMargin,obalOperatingMarginY2)</f>
        <v>0</v>
      </c>
      <c r="G490" s="457">
        <f>IF(xxYear=$D490,finPNLOperatingMargin,obalOperatingMarginY2)</f>
        <v>0</v>
      </c>
      <c r="H490" s="713" t="s">
        <v>2207</v>
      </c>
    </row>
    <row r="491" spans="2:8">
      <c r="B491" s="565" t="s">
        <v>2196</v>
      </c>
      <c r="D491">
        <v>3</v>
      </c>
      <c r="E491" s="457">
        <f>IF(xxYear=$D491,finPNLOperatingMargin,obalOperatingMarginY3)</f>
        <v>0</v>
      </c>
      <c r="F491" s="457">
        <f>IF(xxYear=$D491,finPNLOperatingMargin,obalOperatingMarginY3)</f>
        <v>0</v>
      </c>
      <c r="G491" s="457">
        <f>IF(xxYear=$D491,finPNLOperatingMargin,obalOperatingMarginY3)</f>
        <v>0</v>
      </c>
      <c r="H491" s="713" t="s">
        <v>2208</v>
      </c>
    </row>
    <row r="492" spans="2:8">
      <c r="B492" s="4"/>
      <c r="E492" s="539"/>
      <c r="F492" s="539"/>
      <c r="G492" s="539"/>
    </row>
    <row r="493" spans="2:8">
      <c r="B493" s="565" t="s">
        <v>2213</v>
      </c>
      <c r="D493">
        <v>0</v>
      </c>
      <c r="E493" s="416">
        <f>IF(xxYear=$D493,finCashOI,obalCashOIY0)</f>
        <v>940488897.02871478</v>
      </c>
      <c r="F493" s="416">
        <f>IF(xxYear=$D493,finCashOI,obalCashOIY0)</f>
        <v>994108450.93279386</v>
      </c>
      <c r="G493" s="416">
        <f>IF(xxYear=$D493,finCashOI,obalCashOIY0)</f>
        <v>349301186.90683627</v>
      </c>
      <c r="H493" s="713" t="s">
        <v>2209</v>
      </c>
    </row>
    <row r="494" spans="2:8">
      <c r="B494" s="565" t="s">
        <v>2214</v>
      </c>
      <c r="D494">
        <v>1</v>
      </c>
      <c r="E494" s="416">
        <f>IF(xxYear=$D494,finCashOI,obalCashOIY1)</f>
        <v>0</v>
      </c>
      <c r="F494" s="416">
        <f>IF(xxYear=$D494,finCashOI,obalCashOIY1)</f>
        <v>0</v>
      </c>
      <c r="G494" s="416">
        <f>IF(xxYear=$D494,finCashOI,obalCashOIY1)</f>
        <v>0</v>
      </c>
      <c r="H494" s="713" t="s">
        <v>2210</v>
      </c>
    </row>
    <row r="495" spans="2:8">
      <c r="B495" s="565" t="s">
        <v>2215</v>
      </c>
      <c r="D495">
        <v>2</v>
      </c>
      <c r="E495" s="416">
        <f>IF(xxYear=$D495,finCashOI,obalCashOIY2)</f>
        <v>0</v>
      </c>
      <c r="F495" s="416">
        <f>IF(xxYear=$D495,finCashOI,obalCashOIY2)</f>
        <v>0</v>
      </c>
      <c r="G495" s="416">
        <f>IF(xxYear=$D495,finCashOI,obalCashOIY2)</f>
        <v>0</v>
      </c>
      <c r="H495" s="713" t="s">
        <v>2211</v>
      </c>
    </row>
    <row r="496" spans="2:8">
      <c r="B496" s="565" t="s">
        <v>2215</v>
      </c>
      <c r="D496">
        <v>3</v>
      </c>
      <c r="E496" s="416">
        <f>IF(xxYear=$D496,finCashOI,obalCashOIY3)</f>
        <v>0</v>
      </c>
      <c r="F496" s="416">
        <f>IF(xxYear=$D496,finCashOI,obalCashOIY3)</f>
        <v>0</v>
      </c>
      <c r="G496" s="416">
        <f>IF(xxYear=$D496,finCashOI,obalCashOIY3)</f>
        <v>0</v>
      </c>
      <c r="H496" s="713" t="s">
        <v>2212</v>
      </c>
    </row>
    <row r="497" spans="1:9">
      <c r="B497" s="4"/>
      <c r="E497" s="539"/>
      <c r="F497" s="539"/>
      <c r="G497" s="539"/>
    </row>
    <row r="498" spans="1:9">
      <c r="B498" s="565" t="s">
        <v>2216</v>
      </c>
      <c r="D498">
        <v>0</v>
      </c>
      <c r="E498" s="457">
        <f>IF(xxYear=$D498,capESAT,obalESATY0)</f>
        <v>63</v>
      </c>
      <c r="F498" s="457">
        <f>IF(xxYear=$D498,capESAT,obalESATY0)</f>
        <v>63</v>
      </c>
      <c r="G498" s="457">
        <f>IF(xxYear=$D498,capESAT,obalESATY0)</f>
        <v>63</v>
      </c>
      <c r="H498" s="713" t="s">
        <v>2223</v>
      </c>
    </row>
    <row r="499" spans="1:9">
      <c r="B499" s="565" t="s">
        <v>2217</v>
      </c>
      <c r="D499">
        <v>1</v>
      </c>
      <c r="E499" s="457">
        <f>IF(xxYear=$D499,capESAT,obalESATY1)</f>
        <v>0</v>
      </c>
      <c r="F499" s="457">
        <f>IF(xxYear=$D499,capESAT,obalESATY1)</f>
        <v>0</v>
      </c>
      <c r="G499" s="457">
        <f>IF(xxYear=$D499,capESAT,obalESATY1)</f>
        <v>0</v>
      </c>
      <c r="H499" s="713" t="s">
        <v>2224</v>
      </c>
    </row>
    <row r="500" spans="1:9">
      <c r="B500" s="565" t="s">
        <v>2218</v>
      </c>
      <c r="D500">
        <v>2</v>
      </c>
      <c r="E500" s="457">
        <f>IF(xxYear=$D500,capESAT,obalESATY2)</f>
        <v>0</v>
      </c>
      <c r="F500" s="457">
        <f>IF(xxYear=$D500,capESAT,obalESATY2)</f>
        <v>0</v>
      </c>
      <c r="G500" s="457">
        <f>IF(xxYear=$D500,capESAT,obalESATY2)</f>
        <v>0</v>
      </c>
      <c r="H500" s="713" t="s">
        <v>2225</v>
      </c>
    </row>
    <row r="501" spans="1:9">
      <c r="B501" s="565" t="s">
        <v>2218</v>
      </c>
      <c r="D501">
        <v>3</v>
      </c>
      <c r="E501" s="457">
        <f>IF(xxYear=$D501,capESAT,obalESATY3)</f>
        <v>0</v>
      </c>
      <c r="F501" s="457">
        <f>IF(xxYear=$D501,capESAT,obalESATY3)</f>
        <v>0</v>
      </c>
      <c r="G501" s="457">
        <f>IF(xxYear=$D501,capESAT,obalESATY3)</f>
        <v>0</v>
      </c>
      <c r="H501" s="713" t="s">
        <v>2226</v>
      </c>
    </row>
    <row r="502" spans="1:9">
      <c r="B502" s="4"/>
      <c r="E502" s="539"/>
      <c r="F502" s="539"/>
      <c r="G502" s="539"/>
    </row>
    <row r="503" spans="1:9">
      <c r="B503" s="565" t="s">
        <v>2227</v>
      </c>
      <c r="D503">
        <v>0</v>
      </c>
      <c r="E503" s="457">
        <f>IF(xxYear=$D503,capCSAT,obalCSATY0)</f>
        <v>63</v>
      </c>
      <c r="F503" s="457">
        <f>IF(xxYear=$D503,capCSAT,obalCSATY0)</f>
        <v>63</v>
      </c>
      <c r="G503" s="457">
        <f>IF(xxYear=$D503,capCSAT,obalCSATY0)</f>
        <v>63</v>
      </c>
      <c r="H503" s="713" t="s">
        <v>2228</v>
      </c>
    </row>
    <row r="504" spans="1:9">
      <c r="B504" s="565" t="s">
        <v>2229</v>
      </c>
      <c r="D504">
        <v>1</v>
      </c>
      <c r="E504" s="457">
        <f>IF(xxYear=$D504,capCSAT,obalCSATY1)</f>
        <v>0</v>
      </c>
      <c r="F504" s="457">
        <f>IF(xxYear=$D504,capCSAT,obalCSATY1)</f>
        <v>0</v>
      </c>
      <c r="G504" s="457">
        <f>IF(xxYear=$D504,capCSAT,obalCSATY1)</f>
        <v>0</v>
      </c>
      <c r="H504" s="713" t="s">
        <v>2230</v>
      </c>
    </row>
    <row r="505" spans="1:9">
      <c r="B505" s="565" t="s">
        <v>2231</v>
      </c>
      <c r="D505">
        <v>2</v>
      </c>
      <c r="E505" s="457">
        <f>IF(xxYear=$D505,capCSAT,obalCSATY2)</f>
        <v>0</v>
      </c>
      <c r="F505" s="457">
        <f>IF(xxYear=$D505,capCSAT,obalCSATY2)</f>
        <v>0</v>
      </c>
      <c r="G505" s="457">
        <f>IF(xxYear=$D505,capCSAT,obalCSATY2)</f>
        <v>0</v>
      </c>
      <c r="H505" s="713" t="s">
        <v>2232</v>
      </c>
    </row>
    <row r="506" spans="1:9">
      <c r="B506" s="565" t="s">
        <v>2231</v>
      </c>
      <c r="D506">
        <v>3</v>
      </c>
      <c r="E506" s="457">
        <f>IF(xxYear=$D506,capCSAT,obalCSATY3)</f>
        <v>0</v>
      </c>
      <c r="F506" s="457">
        <f>IF(xxYear=$D506,capCSAT,obalCSATY3)</f>
        <v>0</v>
      </c>
      <c r="G506" s="457">
        <f>IF(xxYear=$D506,capCSAT,obalCSATY3)</f>
        <v>0</v>
      </c>
      <c r="H506" s="713" t="s">
        <v>2233</v>
      </c>
    </row>
    <row r="507" spans="1:9">
      <c r="B507" s="4"/>
      <c r="E507" s="539"/>
      <c r="F507" s="539"/>
      <c r="G507" s="539"/>
    </row>
    <row r="508" spans="1:9">
      <c r="E508" s="172"/>
      <c r="F508" s="172"/>
      <c r="G508" s="172"/>
    </row>
    <row r="509" spans="1:9">
      <c r="A509" s="32"/>
      <c r="B509" s="32"/>
      <c r="C509" s="32"/>
      <c r="D509" s="32"/>
      <c r="E509" s="32"/>
      <c r="F509" s="32"/>
      <c r="G509" s="32"/>
      <c r="H509" s="510"/>
      <c r="I509" s="32"/>
    </row>
  </sheetData>
  <phoneticPr fontId="0" type="noConversion"/>
  <pageMargins left="0.5" right="0.5" top="0.5" bottom="0.5"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ap">
    <tabColor indexed="11"/>
  </sheetPr>
  <dimension ref="A1:S548"/>
  <sheetViews>
    <sheetView workbookViewId="0">
      <pane ySplit="1" topLeftCell="A338" activePane="bottomLeft" state="frozen"/>
      <selection pane="bottomLeft" activeCell="I342" sqref="I342"/>
    </sheetView>
  </sheetViews>
  <sheetFormatPr defaultRowHeight="11.25"/>
  <cols>
    <col min="1" max="1" width="3.83203125" customWidth="1"/>
    <col min="2" max="2" width="4.1640625" customWidth="1"/>
    <col min="3" max="3" width="31.33203125" customWidth="1"/>
    <col min="4" max="4" width="8.33203125" bestFit="1" customWidth="1"/>
    <col min="5" max="7" width="25" customWidth="1"/>
    <col min="8" max="8" width="28.6640625" style="123" customWidth="1"/>
    <col min="9" max="12" width="11.1640625" customWidth="1"/>
    <col min="13" max="13" width="13.6640625" bestFit="1" customWidth="1"/>
    <col min="14" max="14" width="11.5" bestFit="1" customWidth="1"/>
    <col min="15" max="15" width="10.5" bestFit="1" customWidth="1"/>
  </cols>
  <sheetData>
    <row r="1" spans="1:14" s="138" customFormat="1" ht="15.75">
      <c r="A1" s="138" t="s">
        <v>1076</v>
      </c>
      <c r="E1" s="138">
        <v>1</v>
      </c>
      <c r="F1" s="138">
        <v>2</v>
      </c>
      <c r="G1" s="138">
        <v>3</v>
      </c>
      <c r="H1" s="515"/>
    </row>
    <row r="2" spans="1:14">
      <c r="E2" s="413">
        <v>1</v>
      </c>
      <c r="F2" s="413">
        <v>2</v>
      </c>
      <c r="G2" s="413">
        <v>3</v>
      </c>
    </row>
    <row r="3" spans="1:14" ht="15.75">
      <c r="A3" s="25" t="s">
        <v>682</v>
      </c>
      <c r="B3" s="26"/>
      <c r="C3" s="26"/>
      <c r="D3" s="26"/>
      <c r="E3" s="26"/>
      <c r="F3" s="26"/>
      <c r="G3" s="26"/>
    </row>
    <row r="5" spans="1:14">
      <c r="A5" s="290" t="str">
        <f>DataNameProd1 &amp; " Subscriptions"</f>
        <v>Growth Subscriptions</v>
      </c>
      <c r="B5" s="26"/>
      <c r="C5" s="26"/>
      <c r="D5" s="26"/>
      <c r="E5" s="26"/>
      <c r="F5" s="26"/>
      <c r="G5" s="26"/>
    </row>
    <row r="7" spans="1:14">
      <c r="A7" s="3"/>
      <c r="B7" s="565" t="s">
        <v>1381</v>
      </c>
      <c r="C7" s="3"/>
      <c r="D7" s="3"/>
      <c r="E7" s="24">
        <f>obalProd1Subscribers</f>
        <v>159262.5</v>
      </c>
      <c r="F7" s="24">
        <f>obalProd1Subscribers</f>
        <v>135373.125</v>
      </c>
      <c r="G7" s="24">
        <f>obalProd1Subscribers</f>
        <v>103520.625</v>
      </c>
      <c r="H7" s="579" t="s">
        <v>1387</v>
      </c>
    </row>
    <row r="8" spans="1:14">
      <c r="B8" s="565" t="s">
        <v>1388</v>
      </c>
      <c r="E8" s="135">
        <f>capProd1OpenSubs*capProd1CancellationRate+paramProd1SubtractSubs</f>
        <v>7500.0692812500001</v>
      </c>
      <c r="F8" s="135">
        <f>capProd1OpenSubs*capProd1CancellationRate+paramProd1SubtractSubs</f>
        <v>6781.1782640625015</v>
      </c>
      <c r="G8" s="135">
        <f>capProd1OpenSubs*capProd1CancellationRate+paramProd1SubtractSubs</f>
        <v>4802.5805953125</v>
      </c>
      <c r="H8" s="579" t="s">
        <v>1393</v>
      </c>
      <c r="K8" s="18"/>
    </row>
    <row r="9" spans="1:14">
      <c r="B9" s="565" t="s">
        <v>1346</v>
      </c>
      <c r="E9" s="11">
        <f>IF(xxSim0Tool1=0,mmProd1TotalUnits,decProd1Units)+paramProd1AddSubs</f>
        <v>11508</v>
      </c>
      <c r="F9" s="11">
        <f>IF(xxSim0Tool1=0,mmProd1TotalUnits,decProd1Units)+paramProd1AddSubs</f>
        <v>9782</v>
      </c>
      <c r="G9" s="11">
        <f>IF(xxSim0Tool1=0,mmProd1TotalUnits,decProd1Units)+paramProd1AddSubs</f>
        <v>7480</v>
      </c>
      <c r="H9" s="579" t="s">
        <v>1394</v>
      </c>
      <c r="J9" s="18"/>
      <c r="K9" s="18"/>
      <c r="L9" s="18"/>
      <c r="M9" s="18"/>
    </row>
    <row r="10" spans="1:14">
      <c r="B10" s="565" t="s">
        <v>1382</v>
      </c>
      <c r="E10" s="11">
        <f>E7-E8+E9</f>
        <v>163270.43071874999</v>
      </c>
      <c r="F10" s="11">
        <f t="shared" ref="F10:G10" si="0">F7-F8+F9</f>
        <v>138373.9467359375</v>
      </c>
      <c r="G10" s="11">
        <f t="shared" si="0"/>
        <v>106198.04440468751</v>
      </c>
      <c r="H10" s="579" t="s">
        <v>1395</v>
      </c>
      <c r="J10" s="18"/>
      <c r="K10" s="18"/>
    </row>
    <row r="11" spans="1:14">
      <c r="B11" s="565" t="s">
        <v>1383</v>
      </c>
      <c r="E11" s="11">
        <f>capProd1NewSubs-capProd1Cancellations</f>
        <v>4007.9307187499999</v>
      </c>
      <c r="F11" s="11">
        <f>capProd1NewSubs-capProd1Cancellations</f>
        <v>3000.8217359374985</v>
      </c>
      <c r="G11" s="11">
        <f>capProd1NewSubs-capProd1Cancellations</f>
        <v>2677.4194046875</v>
      </c>
      <c r="H11" s="579" t="s">
        <v>1396</v>
      </c>
      <c r="M11" s="18"/>
      <c r="N11" s="326"/>
    </row>
    <row r="12" spans="1:14">
      <c r="B12" s="565" t="s">
        <v>1384</v>
      </c>
      <c r="E12" s="385">
        <f>capProd1NetNewSubs/capProd1OpenSubs</f>
        <v>2.516556451612903E-2</v>
      </c>
      <c r="F12" s="385">
        <f>capProd1NetNewSubs/capProd1OpenSubs</f>
        <v>2.216704191424626E-2</v>
      </c>
      <c r="G12" s="385">
        <f>capProd1NetNewSubs/capProd1OpenSubs</f>
        <v>2.5863632533975719E-2</v>
      </c>
      <c r="H12" s="579" t="s">
        <v>1397</v>
      </c>
      <c r="N12" s="14"/>
    </row>
    <row r="13" spans="1:14">
      <c r="B13" s="565" t="s">
        <v>2151</v>
      </c>
      <c r="E13" s="385">
        <f>capProd1Cancellations/capProd1OpenSubs</f>
        <v>4.7092500000000002E-2</v>
      </c>
      <c r="F13" s="385">
        <f>capProd1Cancellations/capProd1OpenSubs</f>
        <v>5.0092500000000012E-2</v>
      </c>
      <c r="G13" s="385">
        <f>capProd1Cancellations/capProd1OpenSubs</f>
        <v>4.6392500000000003E-2</v>
      </c>
      <c r="H13" s="579" t="s">
        <v>2769</v>
      </c>
    </row>
    <row r="14" spans="1:14">
      <c r="B14" s="565"/>
      <c r="E14" s="385"/>
      <c r="F14" s="385"/>
      <c r="G14" s="385"/>
      <c r="H14" s="579"/>
    </row>
    <row r="15" spans="1:14">
      <c r="B15" s="565" t="s">
        <v>1514</v>
      </c>
      <c r="E15" s="326">
        <f>capProd1NewSubs*paramProd1ServiceAttachRate</f>
        <v>10357.200000000001</v>
      </c>
      <c r="F15" s="326">
        <f>capProd1NewSubs*paramProd1ServiceAttachRate</f>
        <v>8803.8000000000011</v>
      </c>
      <c r="G15" s="326">
        <f>capProd1NewSubs*paramProd1ServiceAttachRate</f>
        <v>6732</v>
      </c>
      <c r="H15" s="579" t="s">
        <v>1515</v>
      </c>
    </row>
    <row r="16" spans="1:14">
      <c r="E16" s="11"/>
      <c r="F16" s="11"/>
      <c r="G16" s="11"/>
    </row>
    <row r="17" spans="1:11">
      <c r="A17" s="290" t="str">
        <f>DataNameProd1 &amp; " Sales"</f>
        <v>Growth Sales</v>
      </c>
      <c r="B17" s="26"/>
      <c r="C17" s="26"/>
      <c r="D17" s="26"/>
      <c r="E17" s="26"/>
      <c r="F17" s="26"/>
      <c r="G17" s="26"/>
    </row>
    <row r="19" spans="1:11">
      <c r="A19" s="3"/>
      <c r="B19" s="565" t="s">
        <v>1407</v>
      </c>
      <c r="C19" s="3"/>
      <c r="D19" s="3"/>
      <c r="E19" s="24">
        <f>capProd1NewSubs*decProd1Price</f>
        <v>124286400</v>
      </c>
      <c r="F19" s="24">
        <f>capProd1NewSubs*decProd1Price</f>
        <v>116210160.00000001</v>
      </c>
      <c r="G19" s="24">
        <f>capProd1NewSubs*decProd1Price</f>
        <v>78360480</v>
      </c>
      <c r="H19" s="579" t="s">
        <v>1414</v>
      </c>
    </row>
    <row r="20" spans="1:11">
      <c r="B20" s="565" t="s">
        <v>1388</v>
      </c>
      <c r="E20" s="135">
        <f>capProd1Cancellations*obalProd1Price</f>
        <v>81000748.237499997</v>
      </c>
      <c r="F20" s="135">
        <f>capProd1Cancellations*obalProd1Price</f>
        <v>73236725.251875013</v>
      </c>
      <c r="G20" s="135">
        <f>capProd1Cancellations*obalProd1Price</f>
        <v>51867870.429375</v>
      </c>
      <c r="H20" s="579" t="s">
        <v>1415</v>
      </c>
    </row>
    <row r="21" spans="1:11">
      <c r="B21" s="565" t="s">
        <v>1408</v>
      </c>
      <c r="E21" s="11">
        <f>capProd1ServiceContracts*paramProd1ServicePrice</f>
        <v>165715200</v>
      </c>
      <c r="F21" s="11">
        <f>capProd1ServiceContracts*paramProd1ServicePrice</f>
        <v>140860800.00000003</v>
      </c>
      <c r="G21" s="11">
        <f>capProd1ServiceContracts*paramProd1ServicePrice</f>
        <v>107712000</v>
      </c>
      <c r="H21" s="579" t="s">
        <v>1416</v>
      </c>
    </row>
    <row r="22" spans="1:11">
      <c r="B22" s="565" t="s">
        <v>1409</v>
      </c>
      <c r="E22" s="326">
        <f>capProd1NewSales-capProd1CancelledSales+capProd1ServiceSales</f>
        <v>209000851.76249999</v>
      </c>
      <c r="F22" s="326">
        <f>capProd1NewSales-capProd1CancelledSales+capProd1ServiceSales</f>
        <v>183834234.74812502</v>
      </c>
      <c r="G22" s="326">
        <f>capProd1NewSales-capProd1CancelledSales+capProd1ServiceSales</f>
        <v>134204609.57062501</v>
      </c>
      <c r="H22" s="579" t="s">
        <v>1417</v>
      </c>
      <c r="I22" s="587" t="s">
        <v>1418</v>
      </c>
    </row>
    <row r="23" spans="1:11">
      <c r="E23" s="11"/>
      <c r="F23" s="11"/>
      <c r="G23" s="11"/>
    </row>
    <row r="24" spans="1:11">
      <c r="A24" s="290" t="str">
        <f>DataNameProd2 &amp; " Subscriptions"</f>
        <v>Transform Subscriptions</v>
      </c>
      <c r="B24" s="26"/>
      <c r="C24" s="26"/>
      <c r="D24" s="26"/>
      <c r="E24" s="26"/>
      <c r="F24" s="26"/>
      <c r="G24" s="26"/>
    </row>
    <row r="26" spans="1:11">
      <c r="A26" s="3"/>
      <c r="B26" s="565" t="s">
        <v>1381</v>
      </c>
      <c r="C26" s="3"/>
      <c r="D26" s="3"/>
      <c r="E26" s="24">
        <f>obalProd2Subscribers</f>
        <v>200500.00000000003</v>
      </c>
      <c r="F26" s="24">
        <f>obalProd2Subscribers</f>
        <v>170425.00000000003</v>
      </c>
      <c r="G26" s="24">
        <f>obalProd2Subscribers</f>
        <v>130325</v>
      </c>
      <c r="H26" s="579" t="s">
        <v>1398</v>
      </c>
    </row>
    <row r="27" spans="1:11">
      <c r="B27" s="565" t="s">
        <v>1388</v>
      </c>
      <c r="E27" s="135">
        <f>capProd2OpenSubs*capProd2CancellationRate++paramProd2SubtractSubs</f>
        <v>22946.022000000001</v>
      </c>
      <c r="F27" s="135">
        <f>capProd2OpenSubs*capProd2CancellationRate++paramProd2SubtractSubs</f>
        <v>19977.559350000003</v>
      </c>
      <c r="G27" s="135">
        <f>capProd2OpenSubs*capProd2CancellationRate++paramProd2SubtractSubs</f>
        <v>15276.957149999998</v>
      </c>
      <c r="H27" s="579" t="s">
        <v>1399</v>
      </c>
      <c r="K27" s="18"/>
    </row>
    <row r="28" spans="1:11">
      <c r="B28" s="565" t="s">
        <v>1346</v>
      </c>
      <c r="E28" s="11">
        <f>IF(xxSim0Tool1=0,mmProd2TotalUnits,decProd2Units)+paramProd2AddSubs</f>
        <v>4656</v>
      </c>
      <c r="F28" s="11">
        <f>IF(xxSim0Tool1=0,mmProd2TotalUnits,decProd2Units)+paramProd2AddSubs</f>
        <v>3957</v>
      </c>
      <c r="G28" s="11">
        <f>IF(xxSim0Tool1=0,mmProd2TotalUnits,decProd2Units)+paramProd2AddSubs</f>
        <v>3026</v>
      </c>
      <c r="H28" s="579" t="s">
        <v>1400</v>
      </c>
      <c r="J28" s="18"/>
      <c r="K28" s="18"/>
    </row>
    <row r="29" spans="1:11">
      <c r="B29" s="565" t="s">
        <v>1382</v>
      </c>
      <c r="E29" s="11">
        <f>E26-E27+E28</f>
        <v>182209.97800000003</v>
      </c>
      <c r="F29" s="11">
        <f t="shared" ref="F29:G29" si="1">F26-F27+F28</f>
        <v>154404.44065000003</v>
      </c>
      <c r="G29" s="11">
        <f t="shared" si="1"/>
        <v>118074.04285</v>
      </c>
      <c r="H29" s="579" t="s">
        <v>1401</v>
      </c>
      <c r="K29" s="18"/>
    </row>
    <row r="30" spans="1:11">
      <c r="B30" s="565" t="s">
        <v>1383</v>
      </c>
      <c r="E30" s="11">
        <f>capProd2NewSubs-capProd2Cancellations</f>
        <v>-18290.022000000001</v>
      </c>
      <c r="F30" s="11">
        <f>capProd2NewSubs-capProd2Cancellations</f>
        <v>-16020.559350000003</v>
      </c>
      <c r="G30" s="11">
        <f>capProd2NewSubs-capProd2Cancellations</f>
        <v>-12250.957149999998</v>
      </c>
      <c r="H30" s="579" t="s">
        <v>1402</v>
      </c>
    </row>
    <row r="31" spans="1:11">
      <c r="B31" s="565" t="s">
        <v>1384</v>
      </c>
      <c r="E31" s="385">
        <f>capProd2NetNewSubs/capProd2OpenSubs</f>
        <v>-9.1222054862842877E-2</v>
      </c>
      <c r="F31" s="385">
        <f>capProd2NetNewSubs/capProd2OpenSubs</f>
        <v>-9.400357547308201E-2</v>
      </c>
      <c r="G31" s="385">
        <f>capProd2NetNewSubs/capProd2OpenSubs</f>
        <v>-9.400312411279492E-2</v>
      </c>
      <c r="H31" s="579" t="s">
        <v>1403</v>
      </c>
    </row>
    <row r="32" spans="1:11">
      <c r="B32" s="565" t="s">
        <v>2151</v>
      </c>
      <c r="E32" s="385">
        <f>capProd2Cancellations/capProd2OpenSubs</f>
        <v>0.11444399999999999</v>
      </c>
      <c r="F32" s="385">
        <f>capProd2Cancellations/capProd2OpenSubs</f>
        <v>0.11722199999999999</v>
      </c>
      <c r="G32" s="385">
        <f>capProd2Cancellations/capProd2OpenSubs</f>
        <v>0.11722199999999999</v>
      </c>
      <c r="H32" s="579" t="s">
        <v>2770</v>
      </c>
    </row>
    <row r="33" spans="1:9">
      <c r="B33" s="565"/>
      <c r="E33" s="385"/>
      <c r="F33" s="385"/>
      <c r="G33" s="385"/>
      <c r="H33" s="579"/>
    </row>
    <row r="34" spans="1:9">
      <c r="B34" s="565" t="s">
        <v>1514</v>
      </c>
      <c r="E34" s="326">
        <f>capProd2NewSubs*paramProd2ServiceAttachRate</f>
        <v>3724.8</v>
      </c>
      <c r="F34" s="326">
        <f>capProd2NewSubs*paramProd2ServiceAttachRate</f>
        <v>3165.6000000000004</v>
      </c>
      <c r="G34" s="326">
        <f>capProd2NewSubs*paramProd2ServiceAttachRate</f>
        <v>2420.8000000000002</v>
      </c>
      <c r="H34" s="579" t="s">
        <v>1516</v>
      </c>
    </row>
    <row r="35" spans="1:9">
      <c r="E35" s="11"/>
      <c r="F35" s="11"/>
      <c r="G35" s="11"/>
    </row>
    <row r="36" spans="1:9">
      <c r="A36" s="290" t="str">
        <f>DataNameProd2 &amp; " Sales"</f>
        <v>Transform Sales</v>
      </c>
      <c r="B36" s="26"/>
      <c r="C36" s="26"/>
      <c r="D36" s="26"/>
      <c r="E36" s="26"/>
      <c r="F36" s="26"/>
      <c r="G36" s="26"/>
    </row>
    <row r="38" spans="1:9">
      <c r="A38" s="3"/>
      <c r="B38" s="565" t="s">
        <v>1407</v>
      </c>
      <c r="C38" s="3"/>
      <c r="D38" s="3"/>
      <c r="E38" s="24">
        <f>capProd2NewSubs*decProd2Price</f>
        <v>55872000</v>
      </c>
      <c r="F38" s="24">
        <f>capProd2NewSubs*decProd2Price</f>
        <v>49858200</v>
      </c>
      <c r="G38" s="24">
        <f>capProd2NewSubs*decProd2Price</f>
        <v>35222640</v>
      </c>
      <c r="H38" s="579" t="s">
        <v>1419</v>
      </c>
    </row>
    <row r="39" spans="1:9">
      <c r="B39" s="565" t="s">
        <v>1388</v>
      </c>
      <c r="E39" s="135">
        <f>capProd2Cancellations*obalProd2Price</f>
        <v>275352264</v>
      </c>
      <c r="F39" s="135">
        <f>capProd2Cancellations*obalProd2Price</f>
        <v>239730712.20000005</v>
      </c>
      <c r="G39" s="135">
        <f>capProd2Cancellations*obalProd2Price</f>
        <v>183323485.79999998</v>
      </c>
      <c r="H39" s="579" t="s">
        <v>1420</v>
      </c>
    </row>
    <row r="40" spans="1:9">
      <c r="B40" s="565" t="s">
        <v>1408</v>
      </c>
      <c r="E40" s="11">
        <f>capProd2ServiceContracts*paramProd2ServicePrice</f>
        <v>59596800</v>
      </c>
      <c r="F40" s="11">
        <f>capProd2ServiceContracts*paramProd2ServicePrice</f>
        <v>50649600.000000007</v>
      </c>
      <c r="G40" s="11">
        <f>capProd2ServiceContracts*paramProd2ServicePrice</f>
        <v>38732800</v>
      </c>
      <c r="H40" s="579" t="s">
        <v>1421</v>
      </c>
    </row>
    <row r="41" spans="1:9">
      <c r="B41" s="565" t="s">
        <v>1409</v>
      </c>
      <c r="E41" s="326">
        <f>capProd2NewSales-capProd2CancelledSales+capProd2ServiceSales</f>
        <v>-159883464</v>
      </c>
      <c r="F41" s="326">
        <f>capProd2NewSales-capProd2CancelledSales+capProd2ServiceSales</f>
        <v>-139222912.20000005</v>
      </c>
      <c r="G41" s="326">
        <f>capProd2NewSales-capProd2CancelledSales+capProd2ServiceSales</f>
        <v>-109368045.79999998</v>
      </c>
      <c r="H41" s="579" t="s">
        <v>1422</v>
      </c>
      <c r="I41" s="587" t="s">
        <v>1418</v>
      </c>
    </row>
    <row r="42" spans="1:9">
      <c r="E42" s="11"/>
      <c r="F42" s="11"/>
      <c r="G42" s="11"/>
    </row>
    <row r="43" spans="1:9">
      <c r="E43" s="11"/>
      <c r="F43" s="11"/>
      <c r="G43" s="11"/>
    </row>
    <row r="44" spans="1:9">
      <c r="B44" s="565" t="s">
        <v>2175</v>
      </c>
      <c r="E44" s="385">
        <f>(capProd1Cancellations+capProd2Cancellations)/(capProd1OpenSubs+capProd2OpenSubs)</f>
        <v>8.4628306955977908E-2</v>
      </c>
      <c r="F44" s="385">
        <f>(capProd1Cancellations+capProd2Cancellations)/(capProd1OpenSubs+capProd2OpenSubs)</f>
        <v>8.7504583666307659E-2</v>
      </c>
      <c r="G44" s="385">
        <f>(capProd1Cancellations+capProd2Cancellations)/(capProd1OpenSubs+capProd2OpenSubs)</f>
        <v>8.5866638494145428E-2</v>
      </c>
      <c r="H44" s="579" t="s">
        <v>2176</v>
      </c>
    </row>
    <row r="45" spans="1:9">
      <c r="E45" s="11"/>
      <c r="F45" s="11"/>
      <c r="G45" s="11"/>
    </row>
    <row r="46" spans="1:9" ht="15.75" customHeight="1">
      <c r="A46" s="25" t="s">
        <v>1654</v>
      </c>
      <c r="B46" s="26"/>
      <c r="C46" s="26"/>
      <c r="D46" s="26"/>
      <c r="E46" s="26"/>
      <c r="F46" s="26"/>
      <c r="G46" s="26"/>
    </row>
    <row r="47" spans="1:9" ht="11.25" customHeight="1"/>
    <row r="48" spans="1:9" ht="11.25" customHeight="1">
      <c r="A48" s="290" t="str">
        <f>DataNamePlant1&amp;" Capacity Required"</f>
        <v>Data Center Capacity Required</v>
      </c>
      <c r="B48" s="290"/>
      <c r="C48" s="290"/>
      <c r="D48" s="290"/>
      <c r="E48" s="290"/>
      <c r="F48" s="290"/>
      <c r="G48" s="290"/>
    </row>
    <row r="49" spans="2:19" ht="11.25" customHeight="1">
      <c r="B49" t="str">
        <f>DataNameProd1 &amp; " Sub Capacity Required"</f>
        <v>Growth Sub Capacity Required</v>
      </c>
      <c r="E49" s="217">
        <f>capProd1EndSubs*paramProd1DCCapacityPSub</f>
        <v>35919.494758125002</v>
      </c>
      <c r="F49" s="217">
        <f>capProd1EndSubs*paramProd1DCCapacityPSub</f>
        <v>30442.26828190625</v>
      </c>
      <c r="G49" s="217">
        <f>capProd1EndSubs*paramProd1DCCapacityPSub</f>
        <v>23363.569769031252</v>
      </c>
      <c r="H49" s="579" t="s">
        <v>1437</v>
      </c>
    </row>
    <row r="50" spans="2:19" ht="11.25" customHeight="1">
      <c r="B50" t="str">
        <f>DataNameProd2 &amp; " Plant Sub Capacity Required"</f>
        <v>Transform Plant Sub Capacity Required</v>
      </c>
      <c r="E50" s="217">
        <f>capProd2EndSubs*paramProd2DCCapacityPSub</f>
        <v>40086.19516000001</v>
      </c>
      <c r="F50" s="217">
        <f>capProd2EndSubs*paramProd2DCCapacityPSub</f>
        <v>33968.976943000009</v>
      </c>
      <c r="G50" s="217">
        <f>capProd2EndSubs*paramProd2DCCapacityPSub</f>
        <v>25976.289427</v>
      </c>
      <c r="H50" s="579" t="s">
        <v>1438</v>
      </c>
    </row>
    <row r="51" spans="2:19" ht="11.25" customHeight="1">
      <c r="B51" t="str">
        <f>DataNameProd1 &amp; " Tech Lvl Capcity Required"</f>
        <v>Growth Tech Lvl Capcity Required</v>
      </c>
      <c r="E51" s="217">
        <f>capProd1EndSubs*paramProd1DCCapacityPSub*(cbalProd1ProdTechLvl/100)</f>
        <v>1077.58484274375</v>
      </c>
      <c r="F51" s="217">
        <f>capProd1EndSubs*paramProd1DCCapacityPSub*(cbalProd1ProdTechLvl/100)</f>
        <v>608.84536563812503</v>
      </c>
      <c r="G51" s="217">
        <f>capProd1EndSubs*paramProd1DCCapacityPSub*(cbalProd1ProdTechLvl/100)</f>
        <v>934.5427907612501</v>
      </c>
      <c r="H51" s="579" t="s">
        <v>3055</v>
      </c>
    </row>
    <row r="52" spans="2:19" ht="11.25" customHeight="1">
      <c r="B52" t="str">
        <f>DataNameProd2 &amp; " PlantTech Lvl  Capacity Required"</f>
        <v>Transform PlantTech Lvl  Capacity Required</v>
      </c>
      <c r="E52" s="217">
        <f>capProd2EndSubs*paramProd2DCCapacityPSub*(cbalProd2ProdTechLvl/100)</f>
        <v>1202.5858548000003</v>
      </c>
      <c r="F52" s="217">
        <f>capProd2EndSubs*paramProd2DCCapacityPSub*(cbalProd2ProdTechLvl/100)</f>
        <v>1019.0693082900002</v>
      </c>
      <c r="G52" s="217">
        <f>capProd2EndSubs*paramProd2DCCapacityPSub*(cbalProd2ProdTechLvl/100)</f>
        <v>779.28868280999995</v>
      </c>
      <c r="H52" s="579" t="s">
        <v>3056</v>
      </c>
    </row>
    <row r="53" spans="2:19" ht="4.5" customHeight="1">
      <c r="B53" s="185"/>
      <c r="C53" s="185"/>
      <c r="D53" s="185"/>
      <c r="E53" s="185"/>
      <c r="F53" s="185"/>
      <c r="G53" s="185"/>
    </row>
    <row r="54" spans="2:19" ht="11.25" customHeight="1">
      <c r="B54" s="3" t="s">
        <v>237</v>
      </c>
      <c r="C54" s="3"/>
      <c r="D54" s="3"/>
      <c r="E54" s="17">
        <f>SUM(E49:E53)</f>
        <v>78285.86061566876</v>
      </c>
      <c r="F54" s="17">
        <f t="shared" ref="F54:G54" si="2">SUM(F49:F53)</f>
        <v>66039.15989883439</v>
      </c>
      <c r="G54" s="17">
        <f t="shared" si="2"/>
        <v>51053.690669602496</v>
      </c>
      <c r="H54" s="579" t="s">
        <v>1439</v>
      </c>
    </row>
    <row r="55" spans="2:19" ht="11.25" customHeight="1">
      <c r="B55" s="3" t="s">
        <v>360</v>
      </c>
      <c r="C55" s="3"/>
      <c r="D55" s="3"/>
      <c r="E55" s="468">
        <f>capPlant1CapacityReq/paramPlant1CapacityPUnit</f>
        <v>17.396857914593056</v>
      </c>
      <c r="F55" s="468">
        <f>capPlant1CapacityReq/paramPlant1CapacityPUnit</f>
        <v>14.675368866407643</v>
      </c>
      <c r="G55" s="468">
        <f>capPlant1CapacityReq/paramPlant1CapacityPUnit</f>
        <v>11.345264593245</v>
      </c>
      <c r="H55" s="123" t="s">
        <v>361</v>
      </c>
    </row>
    <row r="56" spans="2:19" ht="11.25" customHeight="1">
      <c r="E56" s="14" t="s">
        <v>531</v>
      </c>
      <c r="F56" s="469"/>
      <c r="G56" s="14" t="s">
        <v>531</v>
      </c>
    </row>
    <row r="57" spans="2:19" ht="11.25" customHeight="1">
      <c r="B57" t="str">
        <f>DataNamePlant1&amp;" Consolidation"</f>
        <v>Data Center Consolidation</v>
      </c>
      <c r="E57" s="14">
        <f>IF(paramPlant1ShutDownTrigger=1,obalPlant1Units,obalDCConsolidation-decDCConsolidation)</f>
        <v>0</v>
      </c>
      <c r="F57" s="14">
        <f>IF(paramPlant1ShutDownTrigger=1,obalPlant1Units,obalDCConsolidation-decDCConsolidation)</f>
        <v>0</v>
      </c>
      <c r="G57" s="14">
        <f>IF(paramPlant1ShutDownTrigger=1,obalPlant1Units,obalDCConsolidation-decDCConsolidation)</f>
        <v>0</v>
      </c>
      <c r="H57" s="579" t="s">
        <v>3105</v>
      </c>
    </row>
    <row r="58" spans="2:19" ht="11.25" customHeight="1">
      <c r="E58" s="14"/>
      <c r="F58" s="469"/>
      <c r="G58" s="14"/>
    </row>
    <row r="59" spans="2:19" ht="11.25" customHeight="1">
      <c r="B59" t="str">
        <f>DataNamePlant1&amp;" Plant Units Sold"</f>
        <v>Data Center Plant Units Sold</v>
      </c>
      <c r="E59" s="11">
        <f>ROUND(IF(paramPlant1ShutDownTrigger=0,MIN(obalPlant1Units-1,IF(capPlant1Consolidate&lt;0,-capPlant1Consolidate,0)),obalPlant1Units),0)</f>
        <v>0</v>
      </c>
      <c r="F59" s="11">
        <f>ROUND(IF(paramPlant1ShutDownTrigger=0,MIN(obalPlant1Units-1,IF(capPlant1Consolidate&lt;0,-capPlant1Consolidate,0)),obalPlant1Units),0)</f>
        <v>0</v>
      </c>
      <c r="G59" s="11">
        <f>ROUND(IF(paramPlant1ShutDownTrigger=0,MIN(obalPlant1Units-1,IF(capPlant1Consolidate&lt;0,-capPlant1Consolidate,0)),obalPlant1Units),0)</f>
        <v>0</v>
      </c>
      <c r="H59" s="579" t="s">
        <v>3031</v>
      </c>
      <c r="I59" s="1001" t="s">
        <v>3029</v>
      </c>
    </row>
    <row r="60" spans="2:19" ht="11.25" customHeight="1">
      <c r="B60" t="str">
        <f>DataNamePlant1&amp;" Plant Units Bought"</f>
        <v>Data Center Plant Units Bought</v>
      </c>
      <c r="E60" s="11">
        <f>ROUND(IF(paramPlant1ShutDownTrigger=0,IF(capPlant1Consolidate&gt;0,capPlant1Consolidate,0)),0)</f>
        <v>0</v>
      </c>
      <c r="F60" s="11">
        <f>ROUND(IF(paramPlant1ShutDownTrigger=0,IF(capPlant1Consolidate&gt;0,capPlant1Consolidate,0)),0)</f>
        <v>0</v>
      </c>
      <c r="G60" s="11">
        <f>ROUND(IF(paramPlant1ShutDownTrigger=0,IF(capPlant1Consolidate&gt;0,capPlant1Consolidate,0)),0)</f>
        <v>0</v>
      </c>
      <c r="I60" s="385"/>
      <c r="K60" s="385"/>
      <c r="L60" s="385"/>
      <c r="M60" s="385"/>
      <c r="N60" s="385"/>
      <c r="O60" s="385"/>
      <c r="P60" s="385"/>
      <c r="Q60" s="385"/>
      <c r="R60" s="385"/>
      <c r="S60" s="385"/>
    </row>
    <row r="61" spans="2:19" ht="11.25" customHeight="1">
      <c r="B61" s="3" t="str">
        <f>DataNamePlant1&amp;" Plant Ending Units"</f>
        <v>Data Center Plant Ending Units</v>
      </c>
      <c r="C61" s="3"/>
      <c r="D61" s="3"/>
      <c r="E61" s="13">
        <f>obalPlant1Units-E59+E60</f>
        <v>30</v>
      </c>
      <c r="F61" s="13">
        <f>obalPlant1Units-F59+F60</f>
        <v>18</v>
      </c>
      <c r="G61" s="13">
        <f>obalPlant1Units-G59+G60</f>
        <v>15</v>
      </c>
      <c r="H61" s="123" t="s">
        <v>575</v>
      </c>
    </row>
    <row r="62" spans="2:19" ht="11.25" customHeight="1">
      <c r="B62" s="4" t="str">
        <f>DataNamePlant1&amp;" Plant Units Available"</f>
        <v>Data Center Plant Units Available</v>
      </c>
      <c r="C62" s="3"/>
      <c r="D62" s="3"/>
      <c r="E62" s="24">
        <f>obalPlant1Units+E60*paramPlant1RampUpPct-E59</f>
        <v>30</v>
      </c>
      <c r="F62" s="24">
        <f>obalPlant1Units+F60*paramPlant1RampUpPct-F59</f>
        <v>18</v>
      </c>
      <c r="G62" s="24">
        <f>obalPlant1Units+G60*paramPlant1RampUpPct-G59</f>
        <v>15</v>
      </c>
      <c r="H62" s="516" t="s">
        <v>283</v>
      </c>
    </row>
    <row r="63" spans="2:19" ht="11.25" customHeight="1">
      <c r="B63" s="4" t="str">
        <f>DataNamePlant1&amp;" Plant Hours Available"</f>
        <v>Data Center Plant Hours Available</v>
      </c>
      <c r="C63" s="3"/>
      <c r="D63" s="3"/>
      <c r="E63" s="465">
        <f>capPlant1UnitsAvail*paramPlant1CapacityPUnit+capPlant1ConsolidateCapacity</f>
        <v>135000</v>
      </c>
      <c r="F63" s="465">
        <f>capPlant1UnitsAvail*paramPlant1CapacityPUnit+capPlant1ConsolidateCapacity</f>
        <v>81000</v>
      </c>
      <c r="G63" s="465">
        <f>capPlant1UnitsAvail*paramPlant1CapacityPUnit+capPlant1ConsolidateCapacity</f>
        <v>67500</v>
      </c>
      <c r="H63" s="516" t="s">
        <v>773</v>
      </c>
    </row>
    <row r="64" spans="2:19" ht="11.25" customHeight="1">
      <c r="B64" s="4"/>
      <c r="C64" s="3"/>
      <c r="D64" s="3"/>
      <c r="E64" s="465"/>
      <c r="F64" s="465"/>
      <c r="G64" s="465"/>
      <c r="H64" s="516"/>
    </row>
    <row r="65" spans="1:15" ht="11.25" customHeight="1">
      <c r="B65" s="4" t="str">
        <f>DataNameProd1 &amp; " Utilization"</f>
        <v>Growth Utilization</v>
      </c>
      <c r="C65" s="3"/>
      <c r="D65" s="3"/>
      <c r="E65" s="537">
        <f t="shared" ref="E65:G66" si="3">IF(capPlant1HoursAvl=0,0,E49/capPlant1HoursAvl)</f>
        <v>0.2660703315416667</v>
      </c>
      <c r="F65" s="537">
        <f t="shared" si="3"/>
        <v>0.37583047261612657</v>
      </c>
      <c r="G65" s="537">
        <f t="shared" si="3"/>
        <v>0.3461269595412037</v>
      </c>
      <c r="H65" s="516" t="s">
        <v>4</v>
      </c>
    </row>
    <row r="66" spans="1:15" ht="11.25" customHeight="1">
      <c r="B66" s="4" t="str">
        <f>DataNameProd2 &amp; " Utilization"</f>
        <v>Transform Utilization</v>
      </c>
      <c r="C66" s="3"/>
      <c r="D66" s="3"/>
      <c r="E66" s="537">
        <f t="shared" si="3"/>
        <v>0.29693477896296305</v>
      </c>
      <c r="F66" s="537">
        <f t="shared" si="3"/>
        <v>0.4193700857160495</v>
      </c>
      <c r="G66" s="537">
        <f t="shared" si="3"/>
        <v>0.38483391743703704</v>
      </c>
      <c r="H66" s="516" t="s">
        <v>5</v>
      </c>
    </row>
    <row r="67" spans="1:15" ht="11.25" customHeight="1">
      <c r="B67" t="s">
        <v>218</v>
      </c>
      <c r="E67" s="505">
        <f>SUM(E65:E66)</f>
        <v>0.56300511050462976</v>
      </c>
      <c r="F67" s="505">
        <f t="shared" ref="F67:G67" si="4">SUM(F65:F66)</f>
        <v>0.79520055833217607</v>
      </c>
      <c r="G67" s="505">
        <f t="shared" si="4"/>
        <v>0.73096087697824075</v>
      </c>
      <c r="H67" s="123" t="s">
        <v>284</v>
      </c>
    </row>
    <row r="68" spans="1:15" ht="11.25" customHeight="1">
      <c r="E68" s="505"/>
      <c r="F68" s="505"/>
      <c r="G68" s="505"/>
    </row>
    <row r="69" spans="1:15" ht="11.25" customHeight="1">
      <c r="B69" t="s">
        <v>1058</v>
      </c>
      <c r="E69" s="412">
        <f>IF(obalPlant1Units=0,0,IF(Controls!$F$6&gt;=E$2,obalPlant1Value/obalPlant1Units*E59,0))</f>
        <v>0</v>
      </c>
      <c r="F69" s="412">
        <f>IF(obalPlant1Units=0,0,IF(Controls!$F$6&gt;=F$2,obalPlant1Value/obalPlant1Units*F59,0))</f>
        <v>0</v>
      </c>
      <c r="G69" s="412">
        <f>IF(obalPlant1Units=0,0,IF(Controls!$F$6&gt;=G$2,obalPlant1Value/obalPlant1Units*G59,0))</f>
        <v>0</v>
      </c>
      <c r="H69" s="123" t="s">
        <v>476</v>
      </c>
    </row>
    <row r="70" spans="1:15" ht="11.25" customHeight="1">
      <c r="B70" t="s">
        <v>1059</v>
      </c>
      <c r="E70" s="11">
        <f>capPlant1DivestmentValue*paramPlant1SalesPercBook</f>
        <v>0</v>
      </c>
      <c r="F70" s="11">
        <f>capPlant1DivestmentValue*paramPlant1SalesPercBook</f>
        <v>0</v>
      </c>
      <c r="G70" s="11">
        <f>capPlant1DivestmentValue*paramPlant1SalesPercBook</f>
        <v>0</v>
      </c>
      <c r="H70" s="123" t="s">
        <v>459</v>
      </c>
    </row>
    <row r="71" spans="1:15" ht="11.25" customHeight="1">
      <c r="B71" t="s">
        <v>127</v>
      </c>
      <c r="E71" s="412">
        <f>MAX(0,E69-E70)</f>
        <v>0</v>
      </c>
      <c r="F71" s="412">
        <f t="shared" ref="F71:G71" si="5">MAX(0,F69-F70)</f>
        <v>0</v>
      </c>
      <c r="G71" s="412">
        <f t="shared" si="5"/>
        <v>0</v>
      </c>
      <c r="H71" s="123" t="s">
        <v>212</v>
      </c>
    </row>
    <row r="72" spans="1:15" ht="11.25" customHeight="1">
      <c r="A72" s="3"/>
      <c r="B72" t="s">
        <v>128</v>
      </c>
      <c r="E72" s="11">
        <f>E60*paramPlant1InvCost</f>
        <v>0</v>
      </c>
      <c r="F72" s="11">
        <f>F60*paramPlant1InvCost</f>
        <v>0</v>
      </c>
      <c r="G72" s="11">
        <f>G60*paramPlant1InvCost</f>
        <v>0</v>
      </c>
      <c r="M72" s="326"/>
    </row>
    <row r="73" spans="1:15" ht="11.25" customHeight="1">
      <c r="A73" s="3"/>
      <c r="B73" s="3" t="s">
        <v>129</v>
      </c>
      <c r="C73" s="3"/>
      <c r="D73" s="3"/>
      <c r="E73" s="13">
        <f>SUM(E72:E72)</f>
        <v>0</v>
      </c>
      <c r="F73" s="13">
        <f t="shared" ref="F73:G73" si="6">SUM(F72:F72)</f>
        <v>0</v>
      </c>
      <c r="G73" s="13">
        <f t="shared" si="6"/>
        <v>0</v>
      </c>
      <c r="H73" s="123" t="s">
        <v>576</v>
      </c>
      <c r="M73" s="326"/>
      <c r="N73" s="1029"/>
      <c r="O73" s="327"/>
    </row>
    <row r="74" spans="1:15" ht="11.25" customHeight="1">
      <c r="M74" s="326"/>
      <c r="N74" s="1029"/>
      <c r="O74" s="327"/>
    </row>
    <row r="75" spans="1:15" ht="11.25" customHeight="1">
      <c r="B75" s="3" t="str">
        <f>DataNamePlant1 &amp; " Expense Items"</f>
        <v>Data Center Expense Items</v>
      </c>
      <c r="M75" s="326"/>
      <c r="N75" s="1029"/>
      <c r="O75" s="327"/>
    </row>
    <row r="76" spans="1:15" s="4" customFormat="1" ht="11.25" customHeight="1">
      <c r="B76" s="4" t="str">
        <f>"Fixed "&amp; DataNamePlant1 &amp; " Expense"</f>
        <v>Fixed Data Center Expense</v>
      </c>
      <c r="E76" s="79">
        <f>paramPlant1MachCostPHr*capPlant1UnitsEnd*paramPlant1MachHrsPUnit+paramPlant1MachCostPHr*capPlant1ConsolidateMachHrs</f>
        <v>465000000</v>
      </c>
      <c r="F76" s="79">
        <f>paramPlant1MachCostPHr*capPlant1UnitsEnd*paramPlant1MachHrsPUnit+paramPlant1MachCostPHr*capPlant1ConsolidateMachHrs</f>
        <v>279000000</v>
      </c>
      <c r="G76" s="79">
        <f>paramPlant1MachCostPHr*capPlant1UnitsEnd*paramPlant1MachHrsPUnit+paramPlant1MachCostPHr*capPlant1ConsolidateMachHrs</f>
        <v>232500000</v>
      </c>
      <c r="H76" s="516" t="s">
        <v>272</v>
      </c>
      <c r="J76"/>
      <c r="M76" s="1030"/>
      <c r="O76" s="1031"/>
    </row>
    <row r="77" spans="1:15" ht="11.25" customHeight="1">
      <c r="B77" t="str">
        <f>DataNamePlant1 &amp; " Depreciation"</f>
        <v>Data Center Depreciation</v>
      </c>
      <c r="E77" s="11">
        <f>(obalPlant1Value-capPlant1DivestmentValue+capPlant1Investment)*paramPlant1DepRate</f>
        <v>123750000</v>
      </c>
      <c r="F77" s="11">
        <f>(obalPlant1Value-capPlant1DivestmentValue+capPlant1Investment)*paramPlant1DepRate</f>
        <v>74250000</v>
      </c>
      <c r="G77" s="11">
        <f>(obalPlant1Value-capPlant1DivestmentValue+capPlant1Investment)*paramPlant1DepRate</f>
        <v>61875000</v>
      </c>
      <c r="H77" s="516" t="s">
        <v>577</v>
      </c>
    </row>
    <row r="78" spans="1:15" ht="11.25" customHeight="1"/>
    <row r="79" spans="1:15" ht="11.25" customHeight="1">
      <c r="B79" s="3" t="s">
        <v>6</v>
      </c>
    </row>
    <row r="80" spans="1:15" ht="11.25" customHeight="1">
      <c r="B80" t="str">
        <f>DataNameProd1 &amp; " Product"</f>
        <v>Growth Product</v>
      </c>
      <c r="E80" s="19">
        <f>IF(capPlant1Utiliz=0,0,capPlant1MachCost*capPlant1Prod1Utilization/capPlant1Utiliz)</f>
        <v>219754140.51922289</v>
      </c>
      <c r="F80" s="19">
        <f>IF(capPlant1Utiliz=0,0,capPlant1MachCost*capPlant1Prod1Utilization/capPlant1Utiliz)</f>
        <v>131861957.0386392</v>
      </c>
      <c r="G80" s="19">
        <f>IF(capPlant1Utiliz=0,0,capPlant1MachCost*capPlant1Prod1Utilization/capPlant1Utiliz)</f>
        <v>110094152.26982856</v>
      </c>
      <c r="H80" s="516" t="s">
        <v>7</v>
      </c>
    </row>
    <row r="81" spans="1:10" ht="11.25" customHeight="1">
      <c r="B81" t="str">
        <f>DataNameProd2 &amp; " Product"</f>
        <v>Transform Product</v>
      </c>
      <c r="E81" s="19">
        <f>IF(capPlant1Utiliz=0,0,capPlant1MachCost*capPlant1Prod2Utilization/capPlant1Utiliz)</f>
        <v>245245859.48077711</v>
      </c>
      <c r="F81" s="19">
        <f>IF(capPlant1Utiliz=0,0,capPlant1MachCost*capPlant1Prod2Utilization/capPlant1Utiliz)</f>
        <v>147138042.96136081</v>
      </c>
      <c r="G81" s="19">
        <f>IF(capPlant1Utiliz=0,0,capPlant1MachCost*capPlant1Prod2Utilization/capPlant1Utiliz)</f>
        <v>122405847.73017143</v>
      </c>
      <c r="H81" s="516" t="s">
        <v>8</v>
      </c>
    </row>
    <row r="82" spans="1:10" ht="4.5" customHeight="1">
      <c r="B82" s="119"/>
      <c r="C82" s="119"/>
      <c r="D82" s="119"/>
      <c r="E82" s="283"/>
      <c r="F82" s="283"/>
      <c r="G82" s="283"/>
    </row>
    <row r="83" spans="1:10" s="34" customFormat="1" ht="11.25" customHeight="1">
      <c r="B83" s="34" t="s">
        <v>342</v>
      </c>
      <c r="E83" s="135">
        <f>SUM(E80:E81)</f>
        <v>465000000</v>
      </c>
      <c r="F83" s="135">
        <f t="shared" ref="F83:G83" si="7">SUM(F80:F81)</f>
        <v>279000000</v>
      </c>
      <c r="G83" s="135">
        <f t="shared" si="7"/>
        <v>232500000</v>
      </c>
      <c r="H83" s="508" t="s">
        <v>339</v>
      </c>
      <c r="J83"/>
    </row>
    <row r="84" spans="1:10" s="34" customFormat="1" ht="11.25" customHeight="1">
      <c r="B84" s="34" t="s">
        <v>343</v>
      </c>
      <c r="E84" s="135">
        <f>capPlant1MachCost-capPlant1AllocFixedExp</f>
        <v>0</v>
      </c>
      <c r="F84" s="135">
        <f>capPlant1MachCost-capPlant1AllocFixedExp</f>
        <v>0</v>
      </c>
      <c r="G84" s="135">
        <f>capPlant1MachCost-capPlant1AllocFixedExp</f>
        <v>0</v>
      </c>
      <c r="H84" s="508" t="s">
        <v>340</v>
      </c>
      <c r="J84"/>
    </row>
    <row r="85" spans="1:10" s="34" customFormat="1" ht="11.25" customHeight="1">
      <c r="E85" s="135"/>
      <c r="F85" s="135"/>
      <c r="G85" s="135"/>
      <c r="H85" s="508"/>
      <c r="J85"/>
    </row>
    <row r="86" spans="1:10" ht="11.25" customHeight="1">
      <c r="B86" s="3" t="s">
        <v>341</v>
      </c>
    </row>
    <row r="87" spans="1:10" ht="11.25" customHeight="1">
      <c r="B87" t="str">
        <f>DataNameProd1 &amp; " Product"</f>
        <v>Growth Product</v>
      </c>
      <c r="E87" s="19">
        <f>IF(capPlant1Utiliz=0,0,capPlant1Depreciation*(capPlant1Prod1Utilization/capPlant1Utiliz))</f>
        <v>58482956.751083508</v>
      </c>
      <c r="F87" s="19">
        <f>IF(capPlant1Utiliz=0,0,capPlant1Depreciation*(capPlant1Prod1Utilization/capPlant1Utiliz))</f>
        <v>35092295.018347532</v>
      </c>
      <c r="G87" s="19">
        <f>IF(capPlant1Utiliz=0,0,capPlant1Depreciation*(capPlant1Prod1Utilization/capPlant1Utiliz))</f>
        <v>29299250.200841472</v>
      </c>
      <c r="H87" s="516" t="s">
        <v>328</v>
      </c>
    </row>
    <row r="88" spans="1:10" ht="11.25" customHeight="1">
      <c r="B88" t="str">
        <f>DataNameProd2 &amp; " Product"</f>
        <v>Transform Product</v>
      </c>
      <c r="E88" s="19">
        <f>IF(capPlant1Utiliz=0,0,capPlant1Depreciation*(capPlant1Prod2Utilization/capPlant1Utiliz))</f>
        <v>65267043.248916492</v>
      </c>
      <c r="F88" s="19">
        <f>IF(capPlant1Utiliz=0,0,capPlant1Depreciation*(capPlant1Prod2Utilization/capPlant1Utiliz))</f>
        <v>39157704.981652476</v>
      </c>
      <c r="G88" s="19">
        <f>IF(capPlant1Utiliz=0,0,capPlant1Depreciation*(capPlant1Prod2Utilization/capPlant1Utiliz))</f>
        <v>32575749.799158528</v>
      </c>
      <c r="H88" s="516" t="s">
        <v>329</v>
      </c>
    </row>
    <row r="89" spans="1:10" ht="4.5" customHeight="1">
      <c r="B89" s="119"/>
      <c r="C89" s="222"/>
      <c r="D89" s="222"/>
      <c r="E89" s="284"/>
      <c r="F89" s="284"/>
      <c r="G89" s="284"/>
    </row>
    <row r="90" spans="1:10" s="34" customFormat="1" ht="11.25" customHeight="1">
      <c r="B90" s="34" t="s">
        <v>327</v>
      </c>
      <c r="E90" s="135">
        <f>SUM(E87:E88)</f>
        <v>123750000</v>
      </c>
      <c r="F90" s="135">
        <f t="shared" ref="F90:G90" si="8">SUM(F87:F88)</f>
        <v>74250000</v>
      </c>
      <c r="G90" s="135">
        <f t="shared" si="8"/>
        <v>61875000</v>
      </c>
      <c r="H90" s="508" t="s">
        <v>330</v>
      </c>
      <c r="J90"/>
    </row>
    <row r="91" spans="1:10" ht="11.25" customHeight="1"/>
    <row r="92" spans="1:10" ht="11.25" customHeight="1">
      <c r="A92" s="290" t="str">
        <f>DataNamePlant1&amp;" Consolidation"</f>
        <v>Data Center Consolidation</v>
      </c>
      <c r="B92" s="290"/>
      <c r="C92" s="290"/>
      <c r="D92" s="290"/>
      <c r="E92" s="290"/>
      <c r="F92" s="290"/>
      <c r="G92" s="290"/>
    </row>
    <row r="93" spans="1:10" ht="11.25" customHeight="1">
      <c r="B93" s="565" t="s">
        <v>3030</v>
      </c>
      <c r="E93" s="326">
        <f>cbalPlant1UnitsSold*IF(paramPlant1ShutDownTrigger=0,1,0)</f>
        <v>0</v>
      </c>
      <c r="F93" s="326">
        <f>cbalPlant1UnitsSold*IF(paramPlant1ShutDownTrigger=0,1,0)</f>
        <v>0</v>
      </c>
      <c r="G93" s="326">
        <f>cbalPlant1UnitsSold*IF(paramPlant1ShutDownTrigger=0,1,0)</f>
        <v>0</v>
      </c>
      <c r="H93" s="579" t="s">
        <v>3054</v>
      </c>
    </row>
    <row r="94" spans="1:10" ht="11.25" customHeight="1">
      <c r="B94" s="565" t="s">
        <v>3040</v>
      </c>
      <c r="E94" s="326">
        <f>cbalPlant1UnitsConsolidate*paramPlant1CapacityPUnit*paramPlant1CapacityPUnitConsolidate</f>
        <v>0</v>
      </c>
      <c r="F94" s="326">
        <f>cbalPlant1UnitsConsolidate*paramPlant1CapacityPUnit*paramPlant1CapacityPUnitConsolidate</f>
        <v>0</v>
      </c>
      <c r="G94" s="326">
        <f>cbalPlant1UnitsConsolidate*paramPlant1CapacityPUnit*paramPlant1CapacityPUnitConsolidate</f>
        <v>0</v>
      </c>
      <c r="H94" s="579" t="s">
        <v>3043</v>
      </c>
    </row>
    <row r="95" spans="1:10" ht="11.25" customHeight="1">
      <c r="B95" s="565" t="s">
        <v>3041</v>
      </c>
      <c r="E95" s="326">
        <f>cbalPlant1UnitsConsolidate*paramPlant1MachHrsPUnit*paramPlant1MachHrsPUnitConsolidate</f>
        <v>0</v>
      </c>
      <c r="F95" s="326">
        <f>cbalPlant1UnitsConsolidate*paramPlant1MachHrsPUnit*paramPlant1MachHrsPUnitConsolidate</f>
        <v>0</v>
      </c>
      <c r="G95" s="326">
        <f>cbalPlant1UnitsConsolidate*paramPlant1MachHrsPUnit*paramPlant1MachHrsPUnitConsolidate</f>
        <v>0</v>
      </c>
      <c r="H95" s="579" t="s">
        <v>3044</v>
      </c>
    </row>
    <row r="96" spans="1:10" ht="11.25" customHeight="1">
      <c r="B96" s="565" t="s">
        <v>3042</v>
      </c>
      <c r="E96" s="326">
        <f>cbalPlant1UnitsConsolidate*paramPlant1LaborPUnit*paramPlant1LaborPUnitConsolidate</f>
        <v>0</v>
      </c>
      <c r="F96" s="326">
        <f>cbalPlant1UnitsConsolidate*paramPlant1LaborPUnit*paramPlant1LaborPUnitConsolidate</f>
        <v>0</v>
      </c>
      <c r="G96" s="326">
        <f>cbalPlant1UnitsConsolidate*paramPlant1LaborPUnit*paramPlant1LaborPUnitConsolidate</f>
        <v>0</v>
      </c>
      <c r="H96" s="579" t="s">
        <v>3045</v>
      </c>
    </row>
    <row r="97" spans="1:10" ht="11.25" customHeight="1"/>
    <row r="98" spans="1:10" ht="11.25" customHeight="1">
      <c r="A98" s="290" t="str">
        <f>DataNamePlant1&amp;" 3rd Party"</f>
        <v>Data Center 3rd Party</v>
      </c>
      <c r="B98" s="290"/>
      <c r="C98" s="290"/>
      <c r="D98" s="290"/>
      <c r="E98" s="290"/>
      <c r="F98" s="290"/>
      <c r="G98" s="290"/>
    </row>
    <row r="99" spans="1:10" ht="11.25" customHeight="1">
      <c r="B99" s="565" t="s">
        <v>3051</v>
      </c>
      <c r="E99" s="326">
        <f>paramPlant13rdPartyExp*paramPlant1ShutDownTrigger</f>
        <v>0</v>
      </c>
      <c r="F99" s="326">
        <f>paramPlant13rdPartyExp*paramPlant1ShutDownTrigger</f>
        <v>0</v>
      </c>
      <c r="G99" s="326">
        <f>paramPlant13rdPartyExp*paramPlant1ShutDownTrigger</f>
        <v>0</v>
      </c>
    </row>
    <row r="100" spans="1:10" ht="11.25" customHeight="1">
      <c r="B100" s="565"/>
      <c r="E100" s="326"/>
      <c r="F100" s="326"/>
      <c r="G100" s="326"/>
    </row>
    <row r="101" spans="1:10" ht="11.25" customHeight="1">
      <c r="B101" s="3" t="s">
        <v>6</v>
      </c>
    </row>
    <row r="102" spans="1:10" ht="11.25" customHeight="1">
      <c r="B102" t="str">
        <f>DataNameProd1 &amp; " Product"</f>
        <v>Growth Product</v>
      </c>
      <c r="E102" s="19">
        <f>E99*(capPlant1Prod1CapacityReq/capPlant1CapacityReq)</f>
        <v>0</v>
      </c>
      <c r="F102" s="19">
        <f>F99*(capPlant1Prod1CapacityReq/capPlant1CapacityReq)</f>
        <v>0</v>
      </c>
      <c r="G102" s="19">
        <f>G99*(capPlant1Prod1CapacityReq/capPlant1CapacityReq)</f>
        <v>0</v>
      </c>
      <c r="H102" s="579" t="s">
        <v>3052</v>
      </c>
    </row>
    <row r="103" spans="1:10" ht="11.25" customHeight="1">
      <c r="B103" t="str">
        <f>DataNameProd2 &amp; " Product"</f>
        <v>Transform Product</v>
      </c>
      <c r="E103" s="19">
        <f>E99*(capPlant1Prod2CapacityReq/capPlant1CapacityReq)</f>
        <v>0</v>
      </c>
      <c r="F103" s="19">
        <f>F99*(capPlant1Prod2CapacityReq/capPlant1CapacityReq)</f>
        <v>0</v>
      </c>
      <c r="G103" s="19">
        <f>G99*(capPlant1Prod2CapacityReq/capPlant1CapacityReq)</f>
        <v>0</v>
      </c>
      <c r="H103" s="579" t="s">
        <v>3053</v>
      </c>
    </row>
    <row r="104" spans="1:10" ht="4.5" customHeight="1">
      <c r="B104" s="119"/>
      <c r="C104" s="119"/>
      <c r="D104" s="119"/>
      <c r="E104" s="283"/>
      <c r="F104" s="283"/>
      <c r="G104" s="283"/>
    </row>
    <row r="105" spans="1:10" s="34" customFormat="1" ht="11.25" customHeight="1">
      <c r="B105" s="34" t="s">
        <v>342</v>
      </c>
      <c r="E105" s="135">
        <f>SUM(E102:E103)</f>
        <v>0</v>
      </c>
      <c r="F105" s="135">
        <f t="shared" ref="F105:G105" si="9">SUM(F102:F103)</f>
        <v>0</v>
      </c>
      <c r="G105" s="135">
        <f t="shared" si="9"/>
        <v>0</v>
      </c>
      <c r="H105" s="508"/>
      <c r="J105"/>
    </row>
    <row r="106" spans="1:10" ht="11.25" customHeight="1"/>
    <row r="107" spans="1:10" ht="11.25" customHeight="1">
      <c r="A107" s="290" t="str">
        <f>DataNamePlant2&amp;" Capacity Required"</f>
        <v>Property Capacity Required</v>
      </c>
      <c r="B107" s="290"/>
      <c r="C107" s="290"/>
      <c r="D107" s="290"/>
      <c r="E107" s="290"/>
      <c r="F107" s="290"/>
      <c r="G107" s="290"/>
    </row>
    <row r="108" spans="1:10" ht="11.25" customHeight="1">
      <c r="B108" t="str">
        <f>DataNameProd1 &amp; " "&amp; DataNamePlant2&amp; " Required"</f>
        <v>Growth Property Required</v>
      </c>
      <c r="E108" s="217">
        <f>capProd1Emp2Req/paramPlant2LaborPUnit</f>
        <v>0.98</v>
      </c>
      <c r="F108" s="217">
        <f>capProd1Emp2Req/paramPlant2LaborPUnit</f>
        <v>0.83199999999999996</v>
      </c>
      <c r="G108" s="217">
        <f>capProd1Emp2Req/paramPlant2LaborPUnit</f>
        <v>0.63800000000000001</v>
      </c>
      <c r="H108" s="579" t="s">
        <v>1655</v>
      </c>
    </row>
    <row r="109" spans="1:10" ht="11.25" customHeight="1">
      <c r="B109" t="str">
        <f>DataNameProd2 &amp; " "&amp; DataNamePlant2&amp; " Required"</f>
        <v>Transform Property Required</v>
      </c>
      <c r="E109" s="217">
        <f>capProd2Emp2Req/paramPlant2LaborPUnit</f>
        <v>0.73</v>
      </c>
      <c r="F109" s="217">
        <f>capProd2Emp2Req/paramPlant2LaborPUnit</f>
        <v>0.61799999999999999</v>
      </c>
      <c r="G109" s="217">
        <f>capProd2Emp2Req/paramPlant2LaborPUnit</f>
        <v>0.47399999999999998</v>
      </c>
      <c r="H109" s="579" t="s">
        <v>1656</v>
      </c>
    </row>
    <row r="110" spans="1:10" ht="11.25" customHeight="1">
      <c r="B110" s="565" t="str">
        <f>"Global Locations"&amp; " "&amp; DataNamePlant2&amp; " Required"</f>
        <v>Global Locations Property Required</v>
      </c>
      <c r="E110" s="217">
        <f>capGlobalEmp2Req/paramPlant2LaborPUnit</f>
        <v>0.6</v>
      </c>
      <c r="F110" s="217">
        <f>capGlobalEmp2Req/paramPlant2LaborPUnit</f>
        <v>0.6</v>
      </c>
      <c r="G110" s="217">
        <f>capGlobalEmp2Req/paramPlant2LaborPUnit</f>
        <v>0.6</v>
      </c>
      <c r="H110" s="579" t="s">
        <v>1673</v>
      </c>
    </row>
    <row r="111" spans="1:10" ht="11.25" customHeight="1">
      <c r="B111" s="565" t="str">
        <f>"Corporate"&amp; " "&amp; DataNamePlant2&amp; " Required"</f>
        <v>Corporate Property Required</v>
      </c>
      <c r="E111" s="217">
        <f>capCorporateEmp2Req/paramPlant2LaborPUnit</f>
        <v>10</v>
      </c>
      <c r="F111" s="217">
        <f>capCorporateEmp2Req/paramPlant2LaborPUnit</f>
        <v>10</v>
      </c>
      <c r="G111" s="217">
        <f>capCorporateEmp2Req/paramPlant2LaborPUnit</f>
        <v>10</v>
      </c>
      <c r="H111" s="579" t="s">
        <v>1674</v>
      </c>
    </row>
    <row r="112" spans="1:10" ht="11.25" customHeight="1">
      <c r="B112" s="565" t="str">
        <f>DataNameEmp1&amp; " "&amp; DataNamePlant2&amp; " Required"</f>
        <v>Engineers Property Required</v>
      </c>
      <c r="E112" s="217">
        <f>capEmp1End/paramPlant2LaborPUnit</f>
        <v>2</v>
      </c>
      <c r="F112" s="217">
        <f>capEmp1End/paramPlant2LaborPUnit</f>
        <v>2.8</v>
      </c>
      <c r="G112" s="217">
        <f>capEmp1End/paramPlant2LaborPUnit</f>
        <v>2.8</v>
      </c>
      <c r="H112" s="579" t="s">
        <v>1675</v>
      </c>
    </row>
    <row r="113" spans="1:8" ht="4.5" customHeight="1">
      <c r="B113" s="185"/>
      <c r="C113" s="185"/>
      <c r="D113" s="185"/>
      <c r="E113" s="185"/>
      <c r="F113" s="185"/>
      <c r="G113" s="185"/>
    </row>
    <row r="114" spans="1:8" ht="11.25" customHeight="1">
      <c r="B114" s="3" t="s">
        <v>360</v>
      </c>
      <c r="C114" s="3"/>
      <c r="D114" s="3"/>
      <c r="E114" s="468">
        <f>ROUNDUP(SUM(E108:E113),0)</f>
        <v>15</v>
      </c>
      <c r="F114" s="468">
        <f t="shared" ref="F114:G114" si="10">ROUNDUP(SUM(F108:F113),0)</f>
        <v>15</v>
      </c>
      <c r="G114" s="468">
        <f t="shared" si="10"/>
        <v>15</v>
      </c>
      <c r="H114" s="579" t="s">
        <v>1676</v>
      </c>
    </row>
    <row r="115" spans="1:8" ht="11.25" customHeight="1">
      <c r="E115" s="14" t="s">
        <v>531</v>
      </c>
      <c r="F115" s="469"/>
      <c r="G115" s="14" t="s">
        <v>531</v>
      </c>
    </row>
    <row r="116" spans="1:8" ht="11.25" customHeight="1">
      <c r="B116" t="str">
        <f>DataNamePlant2&amp;" Plant Units Sold"</f>
        <v>Property Plant Units Sold</v>
      </c>
      <c r="E116" s="11"/>
      <c r="F116" s="11"/>
      <c r="G116" s="11"/>
      <c r="H116" s="579" t="s">
        <v>1678</v>
      </c>
    </row>
    <row r="117" spans="1:8" ht="11.25" customHeight="1">
      <c r="B117" t="str">
        <f>DataNamePlant2&amp;" Plant Units Bought"</f>
        <v>Property Plant Units Bought</v>
      </c>
      <c r="E117" s="11">
        <f>MAX(0,(E114-obalPlant2Units))</f>
        <v>0</v>
      </c>
      <c r="F117" s="11">
        <f>MAX(0,(F114-obalPlant2Units))</f>
        <v>0</v>
      </c>
      <c r="G117" s="11">
        <f>MAX(0,(G114-obalPlant2Units))</f>
        <v>0</v>
      </c>
      <c r="H117" s="579" t="s">
        <v>1679</v>
      </c>
    </row>
    <row r="118" spans="1:8" ht="11.25" customHeight="1">
      <c r="B118" s="3" t="str">
        <f>DataNamePlant2&amp;" Plant Ending Units"</f>
        <v>Property Plant Ending Units</v>
      </c>
      <c r="C118" s="3"/>
      <c r="D118" s="3"/>
      <c r="E118" s="595">
        <f>obalPlant2Units-E116+E117</f>
        <v>22</v>
      </c>
      <c r="F118" s="595">
        <f>obalPlant2Units-F116+F117</f>
        <v>22</v>
      </c>
      <c r="G118" s="595">
        <f>obalPlant2Units-G116+G117</f>
        <v>22</v>
      </c>
      <c r="H118" s="123" t="s">
        <v>1657</v>
      </c>
    </row>
    <row r="119" spans="1:8" ht="11.25" customHeight="1">
      <c r="B119" s="4"/>
      <c r="C119" s="3"/>
      <c r="D119" s="3"/>
      <c r="E119" s="465"/>
      <c r="F119" s="465"/>
      <c r="G119" s="465"/>
      <c r="H119" s="516"/>
    </row>
    <row r="120" spans="1:8" ht="11.25" customHeight="1">
      <c r="B120" s="4" t="str">
        <f>DataNameProd1 &amp; " Utilization"</f>
        <v>Growth Utilization</v>
      </c>
      <c r="C120" s="3"/>
      <c r="D120" s="3"/>
      <c r="E120" s="537">
        <f>(capPlant2Prod1CapacityReq+(finPNLProd1Rev/finPNLRev)*(capPlant2GlobalCapacityReq+capPlant2CorpCapacityReq+capPlant2FTECapacityReq))/capPlant2UnitsEnd</f>
        <v>0.30534282948676883</v>
      </c>
      <c r="F120" s="537">
        <f>(capPlant2Prod1CapacityReq+(finPNLProd1Rev/finPNLRev)*(capPlant2GlobalCapacityReq+capPlant2CorpCapacityReq+capPlant2FTECapacityReq))/capPlant2UnitsEnd</f>
        <v>0.31839544515036539</v>
      </c>
      <c r="G120" s="537">
        <f>(capPlant2Prod1CapacityReq+(finPNLProd1Rev/finPNLRev)*(capPlant2GlobalCapacityReq+capPlant2CorpCapacityReq+capPlant2FTECapacityReq))/capPlant2UnitsEnd</f>
        <v>0.30649592011197019</v>
      </c>
      <c r="H120" s="516" t="s">
        <v>1658</v>
      </c>
    </row>
    <row r="121" spans="1:8" ht="11.25" customHeight="1">
      <c r="B121" s="4" t="str">
        <f>DataNameProd2 &amp; " Utilization"</f>
        <v>Transform Utilization</v>
      </c>
      <c r="C121" s="3"/>
      <c r="D121" s="3"/>
      <c r="E121" s="537">
        <f>(capPlant2Prod2CapacityReq+(finPNLProd2Rev/finPNLRev)*(capPlant2GlobalCapacityReq+capPlant2CorpCapacityReq+capPlant2FTECapacityReq))/capPlant2UnitsEnd</f>
        <v>0.34511171596777657</v>
      </c>
      <c r="F121" s="537">
        <f>(capPlant2Prod2CapacityReq+(finPNLProd2Rev/finPNLRev)*(capPlant2GlobalCapacityReq+capPlant2CorpCapacityReq+capPlant2FTECapacityReq))/capPlant2UnitsEnd</f>
        <v>0.3566045548496346</v>
      </c>
      <c r="G121" s="537">
        <f>(capPlant2Prod2CapacityReq+(finPNLProd2Rev/finPNLRev)*(capPlant2GlobalCapacityReq+capPlant2CorpCapacityReq+capPlant2FTECapacityReq))/capPlant2UnitsEnd</f>
        <v>0.35314044352439344</v>
      </c>
      <c r="H121" s="516" t="s">
        <v>1659</v>
      </c>
    </row>
    <row r="122" spans="1:8" ht="11.25" customHeight="1">
      <c r="B122" t="s">
        <v>218</v>
      </c>
      <c r="E122" s="505">
        <f>SUM(E120:E121)</f>
        <v>0.6504545454545454</v>
      </c>
      <c r="F122" s="505">
        <f t="shared" ref="F122:G122" si="11">SUM(F120:F121)</f>
        <v>0.67500000000000004</v>
      </c>
      <c r="G122" s="505">
        <f t="shared" si="11"/>
        <v>0.65963636363636358</v>
      </c>
      <c r="H122" s="123" t="s">
        <v>1660</v>
      </c>
    </row>
    <row r="123" spans="1:8" ht="11.25" customHeight="1">
      <c r="E123" s="505"/>
      <c r="F123" s="505"/>
      <c r="G123" s="505"/>
    </row>
    <row r="124" spans="1:8" ht="11.25" customHeight="1">
      <c r="B124" t="s">
        <v>1058</v>
      </c>
      <c r="E124" s="412">
        <f>IF(obalPlant2Units=0,0,IF(Controls!$F$6&gt;=E$2,obalPlant2Value/obalPlant2Units*E116,0))</f>
        <v>0</v>
      </c>
      <c r="F124" s="412">
        <f>IF(obalPlant2Units=0,0,IF(Controls!$F$6&gt;=F$2,obalPlant2Value/obalPlant2Units*F116,0))</f>
        <v>0</v>
      </c>
      <c r="G124" s="412">
        <f>IF(obalPlant2Units=0,0,IF(Controls!$F$6&gt;=G$2,obalPlant2Value/obalPlant2Units*G116,0))</f>
        <v>0</v>
      </c>
      <c r="H124" s="123" t="s">
        <v>1661</v>
      </c>
    </row>
    <row r="125" spans="1:8" ht="11.25" customHeight="1">
      <c r="B125" t="s">
        <v>1059</v>
      </c>
      <c r="E125" s="326">
        <f>capPlant2DivestmentValue*paramPlant2SalesPercBook</f>
        <v>0</v>
      </c>
      <c r="F125" s="326">
        <f>capPlant2DivestmentValue*paramPlant2SalesPercBook</f>
        <v>0</v>
      </c>
      <c r="G125" s="326">
        <f>capPlant2DivestmentValue*paramPlant2SalesPercBook</f>
        <v>0</v>
      </c>
      <c r="H125" s="123" t="s">
        <v>1662</v>
      </c>
    </row>
    <row r="126" spans="1:8" ht="11.25" customHeight="1">
      <c r="B126" t="s">
        <v>127</v>
      </c>
      <c r="E126" s="412">
        <f>MAX(0,E124-E125)</f>
        <v>0</v>
      </c>
      <c r="F126" s="412">
        <f>MAX(0,F124-F125)</f>
        <v>0</v>
      </c>
      <c r="G126" s="412">
        <f>MAX(0,G124-G125)</f>
        <v>0</v>
      </c>
      <c r="H126" s="123" t="s">
        <v>1663</v>
      </c>
    </row>
    <row r="127" spans="1:8" ht="11.25" customHeight="1">
      <c r="A127" s="3"/>
      <c r="B127" t="s">
        <v>128</v>
      </c>
      <c r="E127" s="326">
        <f>E117*paramPlant2InvCost</f>
        <v>0</v>
      </c>
      <c r="F127" s="326">
        <f>F117*paramPlant2InvCost</f>
        <v>0</v>
      </c>
      <c r="G127" s="326">
        <f>G117*paramPlant2InvCost</f>
        <v>0</v>
      </c>
    </row>
    <row r="128" spans="1:8" ht="11.25" customHeight="1">
      <c r="A128" s="3"/>
      <c r="B128" s="3" t="s">
        <v>129</v>
      </c>
      <c r="C128" s="3"/>
      <c r="D128" s="3"/>
      <c r="E128" s="600">
        <f>SUM(E127:E127)</f>
        <v>0</v>
      </c>
      <c r="F128" s="600">
        <f>SUM(F127:F127)</f>
        <v>0</v>
      </c>
      <c r="G128" s="600">
        <f>SUM(G127:G127)</f>
        <v>0</v>
      </c>
      <c r="H128" s="123" t="s">
        <v>1664</v>
      </c>
    </row>
    <row r="129" spans="2:8" ht="11.25" customHeight="1"/>
    <row r="130" spans="2:8" ht="11.25" customHeight="1">
      <c r="B130" s="3" t="str">
        <f>DataNamePlant2 &amp; " Expense Items"</f>
        <v>Property Expense Items</v>
      </c>
    </row>
    <row r="131" spans="2:8" s="4" customFormat="1" ht="11.25" customHeight="1">
      <c r="B131" s="4" t="str">
        <f>"Fixed "&amp; DataNamePlant2 &amp; " Expense"</f>
        <v>Fixed Property Expense</v>
      </c>
      <c r="E131" s="79">
        <f>capPlant2UnitsEnd*paramPlant2FixedExp</f>
        <v>110000000</v>
      </c>
      <c r="F131" s="79">
        <f>capPlant2UnitsEnd*paramPlant2FixedExp</f>
        <v>110000000</v>
      </c>
      <c r="G131" s="79">
        <f>capPlant2UnitsEnd*paramPlant2FixedExp</f>
        <v>110000000</v>
      </c>
      <c r="H131" s="516" t="s">
        <v>1665</v>
      </c>
    </row>
    <row r="132" spans="2:8" ht="11.25" customHeight="1"/>
    <row r="133" spans="2:8" ht="11.25" customHeight="1">
      <c r="B133" s="3" t="s">
        <v>6</v>
      </c>
    </row>
    <row r="134" spans="2:8" ht="11.25" customHeight="1">
      <c r="B134" t="str">
        <f>DataNameProd1 &amp; " Product"</f>
        <v>Growth Product</v>
      </c>
      <c r="E134" s="19">
        <f>capPlant2MachCost*capPlant2Prod1Utilization/capPlant2Utiliz</f>
        <v>51637291.918796688</v>
      </c>
      <c r="F134" s="19">
        <f>capPlant2MachCost*capPlant2Prod1Utilization/capPlant2Utiliz</f>
        <v>51886665.135615103</v>
      </c>
      <c r="G134" s="19">
        <f>capPlant2MachCost*capPlant2Prod1Utilization/capPlant2Utiliz</f>
        <v>51110813.579862729</v>
      </c>
      <c r="H134" s="516" t="s">
        <v>1667</v>
      </c>
    </row>
    <row r="135" spans="2:8" ht="11.25" customHeight="1">
      <c r="B135" t="str">
        <f>DataNameProd2 &amp; " Product"</f>
        <v>Transform Product</v>
      </c>
      <c r="E135" s="19">
        <f>capPlant2MachCost*capPlant2Prod2Utilization/capPlant2Utiliz</f>
        <v>58362708.081203312</v>
      </c>
      <c r="F135" s="19">
        <f>capPlant2MachCost*capPlant2Prod2Utilization/capPlant2Utiliz</f>
        <v>58113334.86438489</v>
      </c>
      <c r="G135" s="19">
        <f>capPlant2MachCost*capPlant2Prod2Utilization/capPlant2Utiliz</f>
        <v>58889186.420137279</v>
      </c>
      <c r="H135" s="516" t="s">
        <v>1668</v>
      </c>
    </row>
    <row r="136" spans="2:8" ht="4.5" customHeight="1">
      <c r="B136" s="119"/>
      <c r="C136" s="119"/>
      <c r="D136" s="119"/>
      <c r="E136" s="283"/>
      <c r="F136" s="283"/>
      <c r="G136" s="283"/>
    </row>
    <row r="137" spans="2:8" s="34" customFormat="1" ht="11.25" customHeight="1">
      <c r="B137" s="34" t="s">
        <v>342</v>
      </c>
      <c r="E137" s="135">
        <f>SUM(E134:E135)</f>
        <v>110000000</v>
      </c>
      <c r="F137" s="135">
        <f>SUM(F134:F135)</f>
        <v>110000000</v>
      </c>
      <c r="G137" s="135">
        <f>SUM(G134:G135)</f>
        <v>110000000</v>
      </c>
      <c r="H137" s="508" t="s">
        <v>1669</v>
      </c>
    </row>
    <row r="138" spans="2:8" s="34" customFormat="1" ht="11.25" customHeight="1">
      <c r="E138" s="135"/>
      <c r="F138" s="135"/>
      <c r="G138" s="135"/>
      <c r="H138" s="508"/>
    </row>
    <row r="139" spans="2:8" ht="11.25" customHeight="1">
      <c r="B139" s="3" t="s">
        <v>341</v>
      </c>
    </row>
    <row r="140" spans="2:8" ht="11.25" customHeight="1">
      <c r="B140" t="str">
        <f>DataNameProd1 &amp; " Product"</f>
        <v>Growth Product</v>
      </c>
      <c r="E140" s="19">
        <f>capPlant2Depreciation*(capPlant2Prod1Utilization/capPlant2Utiliz)</f>
        <v>15960617.502173522</v>
      </c>
      <c r="F140" s="19">
        <f>capPlant2Depreciation*(capPlant2Prod1Utilization/capPlant2Utiliz)</f>
        <v>16509393.452241167</v>
      </c>
      <c r="G140" s="19">
        <f>capPlant2Depreciation*(capPlant2Prod1Utilization/capPlant2Utiliz)</f>
        <v>15797887.833775753</v>
      </c>
      <c r="H140" s="516" t="s">
        <v>1670</v>
      </c>
    </row>
    <row r="141" spans="2:8" ht="11.25" customHeight="1">
      <c r="B141" t="str">
        <f>DataNameProd2 &amp; " Product"</f>
        <v>Transform Product</v>
      </c>
      <c r="E141" s="19">
        <f>capPlant2Depreciation*(capPlant2Prod2Utilization/capPlant2Utiliz)</f>
        <v>18039382.497826479</v>
      </c>
      <c r="F141" s="19">
        <f>capPlant2Depreciation*(capPlant2Prod2Utilization/capPlant2Utiliz)</f>
        <v>18490606.547758829</v>
      </c>
      <c r="G141" s="19">
        <f>capPlant2Depreciation*(capPlant2Prod2Utilization/capPlant2Utiliz)</f>
        <v>18202112.166224249</v>
      </c>
      <c r="H141" s="516" t="s">
        <v>1671</v>
      </c>
    </row>
    <row r="142" spans="2:8" ht="4.5" customHeight="1">
      <c r="B142" s="119"/>
      <c r="C142" s="222"/>
      <c r="D142" s="222"/>
      <c r="E142" s="284"/>
      <c r="F142" s="284"/>
      <c r="G142" s="284"/>
    </row>
    <row r="143" spans="2:8" s="34" customFormat="1" ht="11.25" customHeight="1">
      <c r="B143" s="34" t="s">
        <v>327</v>
      </c>
      <c r="E143" s="135">
        <f>SUM(E140:E141)</f>
        <v>34000000</v>
      </c>
      <c r="F143" s="135">
        <f>SUM(F140:F141)</f>
        <v>35000000</v>
      </c>
      <c r="G143" s="135">
        <f>SUM(G140:G141)</f>
        <v>34000000</v>
      </c>
      <c r="H143" s="508" t="s">
        <v>1672</v>
      </c>
    </row>
    <row r="144" spans="2:8" s="34" customFormat="1" ht="11.25" customHeight="1">
      <c r="E144" s="135"/>
      <c r="F144" s="135"/>
      <c r="G144" s="135"/>
      <c r="H144" s="508"/>
    </row>
    <row r="145" spans="1:8" ht="11.25" customHeight="1">
      <c r="A145" s="290" t="s">
        <v>1689</v>
      </c>
      <c r="B145" s="290"/>
      <c r="C145" s="290"/>
      <c r="D145" s="290"/>
      <c r="E145" s="290"/>
      <c r="F145" s="290"/>
      <c r="G145" s="290"/>
    </row>
    <row r="146" spans="1:8" ht="11.25" customHeight="1">
      <c r="B146" t="str">
        <f>DataNameProd1 &amp; " Internal Investment"</f>
        <v>Growth Internal Investment</v>
      </c>
      <c r="E146" s="326">
        <f>capProd1Emp1DevExp*paramCapitalizedPerc</f>
        <v>83737129.012719557</v>
      </c>
      <c r="F146" s="326">
        <f>capProd1Emp1DevExp*paramCapitalizedPerc</f>
        <v>57238037.552998185</v>
      </c>
      <c r="G146" s="326">
        <f>capProd1Emp1DevExp*paramCapitalizedPerc</f>
        <v>133285193.06780173</v>
      </c>
      <c r="H146" s="579" t="s">
        <v>1697</v>
      </c>
    </row>
    <row r="147" spans="1:8" ht="11.25" customHeight="1">
      <c r="B147" t="str">
        <f>DataNameProd1 &amp; " Contractor Investment"</f>
        <v>Growth Contractor Investment</v>
      </c>
      <c r="E147" s="326">
        <f>(decProd1TTMConFTEs*paramCostPExternalFTE)*paramCapitalizedPerc</f>
        <v>15749999.999999998</v>
      </c>
      <c r="F147" s="326">
        <f>(decProd1TTMConFTEs*paramCostPExternalFTE)*paramCapitalizedPerc</f>
        <v>0</v>
      </c>
      <c r="G147" s="326">
        <f>(decProd1TTMConFTEs*paramCostPExternalFTE)*paramCapitalizedPerc</f>
        <v>0</v>
      </c>
      <c r="H147" s="579" t="s">
        <v>1698</v>
      </c>
    </row>
    <row r="148" spans="1:8" ht="11.25" customHeight="1">
      <c r="B148" t="str">
        <f>DataNameProd1 &amp; " Parameter &amp; Event Investment"</f>
        <v>Growth Parameter &amp; Event Investment</v>
      </c>
      <c r="E148" s="326">
        <f>paramSpecProgProd1TechCapEx</f>
        <v>0</v>
      </c>
      <c r="F148" s="326">
        <f>paramSpecProgProd1TechCapEx</f>
        <v>0</v>
      </c>
      <c r="G148" s="326">
        <f>paramSpecProgProd1TechCapEx</f>
        <v>0</v>
      </c>
      <c r="H148" s="579"/>
    </row>
    <row r="149" spans="1:8" ht="4.5" customHeight="1">
      <c r="B149" s="185"/>
      <c r="C149" s="185"/>
      <c r="D149" s="185"/>
      <c r="E149" s="185"/>
      <c r="F149" s="185"/>
      <c r="G149" s="185"/>
    </row>
    <row r="150" spans="1:8" ht="11.25" customHeight="1">
      <c r="B150" s="3" t="s">
        <v>1690</v>
      </c>
      <c r="C150" s="3"/>
      <c r="D150" s="3"/>
      <c r="E150" s="468">
        <f>SUM(E146:E149)</f>
        <v>99487129.012719557</v>
      </c>
      <c r="F150" s="468">
        <f t="shared" ref="F150:G150" si="12">SUM(F146:F149)</f>
        <v>57238037.552998185</v>
      </c>
      <c r="G150" s="468">
        <f t="shared" si="12"/>
        <v>133285193.06780173</v>
      </c>
      <c r="H150" s="579" t="s">
        <v>1696</v>
      </c>
    </row>
    <row r="151" spans="1:8" ht="11.25" customHeight="1">
      <c r="E151" s="14"/>
      <c r="F151" s="469"/>
      <c r="G151" s="14"/>
    </row>
    <row r="152" spans="1:8" ht="11.25" customHeight="1">
      <c r="B152" t="str">
        <f>DataNameProd1 &amp; " Software Depreciation"</f>
        <v>Growth Software Depreciation</v>
      </c>
      <c r="E152" s="11">
        <f>(obalProd1SoftwareValue+capProd1SoftwareInvestment)*paramSoftwareAmortRate</f>
        <v>65647825.802543916</v>
      </c>
      <c r="F152" s="11">
        <f>(obalProd1SoftwareValue+capProd1SoftwareInvestment)*paramSoftwareAmortRate</f>
        <v>57198007.510599643</v>
      </c>
      <c r="G152" s="11">
        <f>(obalProd1SoftwareValue+capProd1SoftwareInvestment)*paramSoftwareAmortRate</f>
        <v>72407438.613560349</v>
      </c>
      <c r="H152" s="579" t="s">
        <v>1704</v>
      </c>
    </row>
    <row r="153" spans="1:8" ht="11.25" customHeight="1">
      <c r="E153" s="14"/>
      <c r="F153" s="469"/>
      <c r="G153" s="14"/>
    </row>
    <row r="154" spans="1:8" ht="11.25" customHeight="1">
      <c r="B154" t="str">
        <f>DataNameProd2 &amp; " Internal Investment"</f>
        <v>Transform Internal Investment</v>
      </c>
      <c r="E154" s="326">
        <f>capProd2Emp1DevExp*paramCapitalizedPerc</f>
        <v>84532101.756511196</v>
      </c>
      <c r="F154" s="326">
        <f>capProd2Emp1DevExp*paramCapitalizedPerc</f>
        <v>104406420.35130224</v>
      </c>
      <c r="G154" s="326">
        <f>capProd2Emp1DevExp*paramCapitalizedPerc</f>
        <v>107479477.04469442</v>
      </c>
      <c r="H154" s="579" t="s">
        <v>1699</v>
      </c>
    </row>
    <row r="155" spans="1:8" ht="11.25" customHeight="1">
      <c r="B155" t="str">
        <f>DataNameProd2 &amp; " Contractor Investment"</f>
        <v>Transform Contractor Investment</v>
      </c>
      <c r="E155" s="326">
        <f>(decProd2TTMConFTEs*paramCostPExternalFTE)*paramCapitalizedPerc</f>
        <v>15749999.999999998</v>
      </c>
      <c r="F155" s="326">
        <f>(decProd2TTMConFTEs*paramCostPExternalFTE)*paramCapitalizedPerc</f>
        <v>0</v>
      </c>
      <c r="G155" s="326">
        <f>(decProd2TTMConFTEs*paramCostPExternalFTE)*paramCapitalizedPerc</f>
        <v>0</v>
      </c>
      <c r="H155" s="579" t="s">
        <v>1700</v>
      </c>
    </row>
    <row r="156" spans="1:8" ht="11.25" customHeight="1">
      <c r="B156" t="str">
        <f>DataNameProd2 &amp; " Parameter &amp; Event Investment"</f>
        <v>Transform Parameter &amp; Event Investment</v>
      </c>
      <c r="E156" s="326">
        <f>paramSpecProgProd2TechCapEx</f>
        <v>0</v>
      </c>
      <c r="F156" s="326">
        <f>paramSpecProgProd2TechCapEx</f>
        <v>0</v>
      </c>
      <c r="G156" s="326">
        <f>paramSpecProgProd2TechCapEx</f>
        <v>0</v>
      </c>
      <c r="H156" s="579"/>
    </row>
    <row r="157" spans="1:8" ht="4.5" customHeight="1">
      <c r="B157" s="185"/>
      <c r="C157" s="185"/>
      <c r="D157" s="185"/>
      <c r="E157" s="185"/>
      <c r="F157" s="185"/>
      <c r="G157" s="185"/>
    </row>
    <row r="158" spans="1:8" ht="11.25" customHeight="1">
      <c r="B158" s="3" t="s">
        <v>1690</v>
      </c>
      <c r="C158" s="3"/>
      <c r="D158" s="3"/>
      <c r="E158" s="468">
        <f>SUM(E154:E157)</f>
        <v>100282101.7565112</v>
      </c>
      <c r="F158" s="468">
        <f t="shared" ref="F158:G158" si="13">SUM(F154:F157)</f>
        <v>104406420.35130224</v>
      </c>
      <c r="G158" s="468">
        <f t="shared" si="13"/>
        <v>107479477.04469442</v>
      </c>
      <c r="H158" s="579" t="s">
        <v>1701</v>
      </c>
    </row>
    <row r="159" spans="1:8" ht="11.25" customHeight="1">
      <c r="E159" s="14" t="s">
        <v>531</v>
      </c>
      <c r="F159" s="469"/>
      <c r="G159" s="14" t="s">
        <v>531</v>
      </c>
    </row>
    <row r="160" spans="1:8" ht="11.25" customHeight="1">
      <c r="B160" t="str">
        <f>DataNameProd2 &amp; " Software Depreciation"</f>
        <v>Transform Software Depreciation</v>
      </c>
      <c r="E160" s="11">
        <f>(obalProd2SoftwareValue+capProd2SoftwareInvestment)*paramSoftwareAmortRate</f>
        <v>88682020.351302251</v>
      </c>
      <c r="F160" s="11">
        <f>(obalProd2SoftwareValue+capProd2SoftwareInvestment)*paramSoftwareAmortRate</f>
        <v>89506884.070260465</v>
      </c>
      <c r="G160" s="11">
        <f>(obalProd2SoftwareValue+capProd2SoftwareInvestment)*paramSoftwareAmortRate</f>
        <v>90121495.408938885</v>
      </c>
      <c r="H160" s="579" t="s">
        <v>1705</v>
      </c>
    </row>
    <row r="161" spans="1:8" ht="11.25" customHeight="1">
      <c r="E161" s="14"/>
      <c r="F161" s="469"/>
      <c r="G161" s="14"/>
    </row>
    <row r="162" spans="1:8" ht="11.25" customHeight="1">
      <c r="B162" s="565" t="s">
        <v>2004</v>
      </c>
      <c r="E162" s="14">
        <f>paramGlobalExpCapExPLvl*decGlobalExpansion</f>
        <v>10000000</v>
      </c>
      <c r="F162" s="14">
        <f>paramGlobalExpCapExPLvl*decGlobalExpansion</f>
        <v>20000000</v>
      </c>
      <c r="G162" s="14">
        <f>paramGlobalExpCapExPLvl*decGlobalExpansion</f>
        <v>10000000</v>
      </c>
      <c r="H162" s="579" t="s">
        <v>2005</v>
      </c>
    </row>
    <row r="163" spans="1:8" ht="11.25" customHeight="1">
      <c r="B163" s="565" t="s">
        <v>3125</v>
      </c>
      <c r="E163" s="1028">
        <f>(paramSpecProgProd1AcqCapEx+paramSpecProgProd2AcqCapEx)*(1-paramGoodwillPerc)</f>
        <v>0</v>
      </c>
      <c r="F163" s="1028">
        <f>(paramSpecProgProd1AcqCapEx+paramSpecProgProd2AcqCapEx)*(1-paramGoodwillPerc)</f>
        <v>0</v>
      </c>
      <c r="G163" s="1028">
        <f>(paramSpecProgProd1AcqCapEx+paramSpecProgProd2AcqCapEx)*(1-paramGoodwillPerc)</f>
        <v>0</v>
      </c>
      <c r="H163" s="579" t="s">
        <v>3126</v>
      </c>
    </row>
    <row r="164" spans="1:8" ht="11.25" customHeight="1">
      <c r="B164" t="str">
        <f>DataNamePlant2 &amp; " Depreciation"</f>
        <v>Property Depreciation</v>
      </c>
      <c r="E164" s="11">
        <f>(obalPlant2Value-capPlant2DivestmentValue+capPlant2Investment+capGlobalExpansionCapEx+capAcquistionCapEx)*paramPlant2DepRate</f>
        <v>34000000</v>
      </c>
      <c r="F164" s="11">
        <f>(obalPlant2Value-capPlant2DivestmentValue+capPlant2Investment+capGlobalExpansionCapEx+capAcquistionCapEx)*paramPlant2DepRate</f>
        <v>35000000</v>
      </c>
      <c r="G164" s="11">
        <f>(obalPlant2Value-capPlant2DivestmentValue+capPlant2Investment+capGlobalExpansionCapEx+capAcquistionCapEx)*paramPlant2DepRate</f>
        <v>34000000</v>
      </c>
      <c r="H164" s="516" t="s">
        <v>1666</v>
      </c>
    </row>
    <row r="165" spans="1:8" ht="11.25" customHeight="1"/>
    <row r="166" spans="1:8" ht="15.75" customHeight="1">
      <c r="A166" s="25" t="s">
        <v>148</v>
      </c>
      <c r="B166" s="26"/>
      <c r="C166" s="26"/>
      <c r="D166" s="26"/>
      <c r="E166" s="26"/>
      <c r="F166" s="26"/>
      <c r="G166" s="26"/>
    </row>
    <row r="167" spans="1:8" ht="11.25" customHeight="1"/>
    <row r="168" spans="1:8" ht="11.25" customHeight="1">
      <c r="A168" s="290" t="str">
        <f>DataNameEmp1 &amp; " Required"</f>
        <v>Engineers Required</v>
      </c>
      <c r="B168" s="290"/>
      <c r="C168" s="290"/>
      <c r="D168" s="290"/>
      <c r="E168" s="290"/>
      <c r="F168" s="290"/>
      <c r="G168" s="290"/>
    </row>
    <row r="169" spans="1:8" ht="11.25" customHeight="1"/>
    <row r="170" spans="1:8" ht="11.25" customHeight="1">
      <c r="B170" s="3" t="str">
        <f>DataNameEmp1 &amp; " Allocation"</f>
        <v>Engineers Allocation</v>
      </c>
    </row>
    <row r="171" spans="1:8" ht="11.25" customHeight="1">
      <c r="B171" s="3"/>
    </row>
    <row r="172" spans="1:8" ht="11.25" customHeight="1">
      <c r="B172" t="str">
        <f>DataNameProd1 &amp; " " &amp; DataNameEmp1 &amp; " Solution Capability"</f>
        <v>Growth Engineers Solution Capability</v>
      </c>
      <c r="E172" s="14">
        <f>ROUND(decProd1ProdTechLvl*paramProd1FTEsPCapLvl,0)</f>
        <v>140</v>
      </c>
      <c r="F172" s="14">
        <f>ROUND(decProd1ProdTechLvl*paramProd1FTEsPCapLvl,0)</f>
        <v>70</v>
      </c>
      <c r="G172" s="14">
        <f>ROUND(decProd1ProdTechLvl*paramProd1FTEsPCapLvl,0)</f>
        <v>210</v>
      </c>
      <c r="H172" s="579" t="s">
        <v>545</v>
      </c>
    </row>
    <row r="173" spans="1:8" ht="11.25" customHeight="1">
      <c r="B173" t="str">
        <f>DataNameProd1&amp;" "&amp;DataNameEmp1&amp;" TTM"</f>
        <v>Growth Engineers TTM</v>
      </c>
      <c r="E173" s="14">
        <f>decProd1TTMIntFTEs</f>
        <v>130</v>
      </c>
      <c r="F173" s="14">
        <f>decProd1TTMIntFTEs</f>
        <v>100</v>
      </c>
      <c r="G173" s="14">
        <f>decProd1TTMIntFTEs</f>
        <v>200</v>
      </c>
      <c r="H173" s="579" t="s">
        <v>1456</v>
      </c>
    </row>
    <row r="174" spans="1:8" ht="11.25" customHeight="1">
      <c r="B174" t="str">
        <f>DataNameProd1&amp;" "&amp;DataNameEmp1&amp;" Initiatives"</f>
        <v>Growth Engineers Initiatives</v>
      </c>
      <c r="E174" s="14">
        <f>paramSpecProgProd1Emp1Req</f>
        <v>0</v>
      </c>
      <c r="F174" s="14">
        <f>paramSpecProgProd1Emp1Req</f>
        <v>0</v>
      </c>
      <c r="G174" s="14">
        <f>paramSpecProgProd1Emp1Req</f>
        <v>0</v>
      </c>
      <c r="H174" s="579" t="s">
        <v>3006</v>
      </c>
    </row>
    <row r="175" spans="1:8" ht="11.25" customHeight="1">
      <c r="E175" s="14"/>
      <c r="F175" s="14"/>
      <c r="G175" s="14"/>
    </row>
    <row r="176" spans="1:8" ht="11.25" customHeight="1">
      <c r="B176" t="str">
        <f>DataNameProd2 &amp; " " &amp; DataNameEmp1 &amp; " Solution Capability"</f>
        <v>Transform Engineers Solution Capability</v>
      </c>
      <c r="E176" s="14">
        <f>ROUND(decProd2ProdTechLvl*paramProd2FTEsPCapLvl,0)</f>
        <v>140</v>
      </c>
      <c r="F176" s="14">
        <f>ROUND(decProd2ProdTechLvl*paramProd2FTEsPCapLvl,0)</f>
        <v>140</v>
      </c>
      <c r="G176" s="14">
        <f>ROUND(decProd2ProdTechLvl*paramProd2FTEsPCapLvl,0)</f>
        <v>140</v>
      </c>
      <c r="H176" s="579" t="s">
        <v>546</v>
      </c>
    </row>
    <row r="177" spans="1:8" ht="11.25" customHeight="1">
      <c r="B177" t="str">
        <f>DataNameProd2&amp;" "&amp;DataNameEmp1&amp;" TTM"</f>
        <v>Transform Engineers TTM</v>
      </c>
      <c r="E177" s="14">
        <f>decProd2TTMIntFTEs</f>
        <v>125</v>
      </c>
      <c r="F177" s="14">
        <f>decProd2TTMIntFTEs</f>
        <v>200</v>
      </c>
      <c r="G177" s="14">
        <f>decProd2TTMIntFTEs</f>
        <v>155</v>
      </c>
      <c r="H177" s="579" t="s">
        <v>1457</v>
      </c>
    </row>
    <row r="178" spans="1:8" ht="11.25" customHeight="1">
      <c r="B178" t="str">
        <f>DataNameProd2&amp;" "&amp;DataNameEmp1&amp;" Initiatives"</f>
        <v>Transform Engineers Initiatives</v>
      </c>
      <c r="E178" s="14">
        <f>paramSpecProgProd2Emp1Req</f>
        <v>0</v>
      </c>
      <c r="F178" s="14">
        <f>paramSpecProgProd2Emp1Req</f>
        <v>0</v>
      </c>
      <c r="G178" s="14">
        <f>paramSpecProgProd2Emp1Req</f>
        <v>0</v>
      </c>
      <c r="H178" s="579" t="s">
        <v>3007</v>
      </c>
    </row>
    <row r="179" spans="1:8" ht="11.25" customHeight="1">
      <c r="E179" s="14"/>
      <c r="F179" s="14"/>
      <c r="G179" s="14"/>
    </row>
    <row r="180" spans="1:8" ht="11.25" customHeight="1">
      <c r="B180" t="str">
        <f>"Content " &amp; DataNameEmp1</f>
        <v>Content Engineers</v>
      </c>
      <c r="E180" s="14">
        <f>ROUND(decContentLvl*paramContentFTEsPLvl*(100-decContentMethod)/100,0)</f>
        <v>100</v>
      </c>
      <c r="F180" s="14">
        <f>ROUND(decContentLvl*paramContentFTEsPLvl*(100-decContentMethod)/100,0)</f>
        <v>100</v>
      </c>
      <c r="G180" s="14">
        <f>ROUND(decContentLvl*paramContentFTEsPLvl*(100-decContentMethod)/100,0)</f>
        <v>200</v>
      </c>
      <c r="H180" s="579" t="s">
        <v>2597</v>
      </c>
    </row>
    <row r="181" spans="1:8" ht="11.25" customHeight="1">
      <c r="E181" s="14"/>
      <c r="F181" s="14"/>
      <c r="G181" s="14"/>
    </row>
    <row r="182" spans="1:8" ht="11.25" customHeight="1">
      <c r="B182" s="565" t="s">
        <v>1974</v>
      </c>
      <c r="E182" s="14">
        <f>ROUND(decEmp1TrainingLvl*paramTrainingFTEs,0)</f>
        <v>15</v>
      </c>
      <c r="F182" s="14">
        <f>ROUND(decEmp1TrainingLvl*paramTrainingFTEs,0)</f>
        <v>15</v>
      </c>
      <c r="G182" s="14">
        <f>ROUND(decEmp1TrainingLvl*paramTrainingFTEs,0)</f>
        <v>5</v>
      </c>
      <c r="H182" s="579" t="s">
        <v>1979</v>
      </c>
    </row>
    <row r="183" spans="1:8" ht="11.25" customHeight="1">
      <c r="B183" t="s">
        <v>1279</v>
      </c>
      <c r="E183" s="14">
        <f>ROUND(decGlobalExpansion*paramGlobalExpansionEmp1Req,0)</f>
        <v>5</v>
      </c>
      <c r="F183" s="14">
        <f>ROUND(decGlobalExpansion*paramGlobalExpansionEmp1Req,0)</f>
        <v>10</v>
      </c>
      <c r="G183" s="14">
        <f>ROUND(decGlobalExpansion*paramGlobalExpansionEmp1Req,0)</f>
        <v>5</v>
      </c>
      <c r="H183" s="579" t="s">
        <v>1471</v>
      </c>
    </row>
    <row r="184" spans="1:8" ht="11.25" customHeight="1">
      <c r="B184" s="565" t="s">
        <v>423</v>
      </c>
      <c r="E184" s="14">
        <f>ROUND(decSFCoverage*paramSalesCoverageEmp1Req,0)</f>
        <v>5</v>
      </c>
      <c r="F184" s="14">
        <f>ROUND(decSFCoverage*paramSalesCoverageEmp1Req,0)</f>
        <v>10</v>
      </c>
      <c r="G184" s="14">
        <f>ROUND(decSFCoverage*paramSalesCoverageEmp1Req,0)</f>
        <v>5</v>
      </c>
      <c r="H184" s="579" t="s">
        <v>1472</v>
      </c>
    </row>
    <row r="185" spans="1:8" ht="11.25" customHeight="1">
      <c r="B185" s="565" t="s">
        <v>1380</v>
      </c>
      <c r="E185" s="14">
        <f>IF(paramPlant1ShutDownTrigger=0,ROUND(ABS(obalDCConsolidation-decDCConsolidation)*paramDCConsolidationEmp1Req,0),0)</f>
        <v>0</v>
      </c>
      <c r="F185" s="14">
        <f>IF(paramPlant1ShutDownTrigger=0,ROUND(ABS(obalDCConsolidation-decDCConsolidation)*paramDCConsolidationEmp1Req,0),0)</f>
        <v>0</v>
      </c>
      <c r="G185" s="14">
        <f>IF(paramPlant1ShutDownTrigger=0,ROUND(ABS(obalDCConsolidation-decDCConsolidation)*paramDCConsolidationEmp1Req,0),0)</f>
        <v>0</v>
      </c>
      <c r="H185" s="579" t="s">
        <v>1473</v>
      </c>
    </row>
    <row r="186" spans="1:8" ht="11.25" customHeight="1">
      <c r="B186" s="565" t="s">
        <v>1474</v>
      </c>
      <c r="E186" s="14">
        <f>paramSpecProgEmp1Req</f>
        <v>0</v>
      </c>
      <c r="F186" s="14">
        <f>paramSpecProgEmp1Req</f>
        <v>0</v>
      </c>
      <c r="G186" s="14">
        <f>paramSpecProgEmp1Req</f>
        <v>0</v>
      </c>
      <c r="H186" s="123" t="s">
        <v>764</v>
      </c>
    </row>
    <row r="187" spans="1:8" ht="11.25" customHeight="1">
      <c r="B187" t="s">
        <v>313</v>
      </c>
      <c r="E187" s="14">
        <f>paramEventEmp1Req</f>
        <v>0</v>
      </c>
      <c r="F187" s="14">
        <f>paramEventEmp1Req</f>
        <v>0</v>
      </c>
      <c r="G187" s="14">
        <f>paramEventEmp1Req</f>
        <v>0</v>
      </c>
      <c r="H187" s="579" t="s">
        <v>1478</v>
      </c>
    </row>
    <row r="188" spans="1:8" ht="4.5" customHeight="1">
      <c r="B188" s="185"/>
      <c r="C188" s="185"/>
      <c r="D188" s="185"/>
      <c r="E188" s="215"/>
      <c r="F188" s="215"/>
      <c r="G188" s="215"/>
    </row>
    <row r="189" spans="1:8" ht="11.25" customHeight="1">
      <c r="A189" s="3"/>
      <c r="B189" s="3" t="s">
        <v>1281</v>
      </c>
      <c r="C189" s="3"/>
      <c r="D189" s="3"/>
      <c r="E189" s="17">
        <f>SUM(E172:E188)</f>
        <v>660</v>
      </c>
      <c r="F189" s="17">
        <f>SUM(F172:F188)</f>
        <v>645</v>
      </c>
      <c r="G189" s="17">
        <f>SUM(G172:G188)</f>
        <v>920</v>
      </c>
      <c r="H189" s="123" t="s">
        <v>509</v>
      </c>
    </row>
    <row r="190" spans="1:8" ht="11.25" customHeight="1">
      <c r="B190" s="3" t="str">
        <f>DataNameEmp1 &amp; " Required"</f>
        <v>Engineers Required</v>
      </c>
      <c r="C190" s="3"/>
      <c r="D190" s="3"/>
      <c r="E190" s="600">
        <f>ROUNDUP(E189/(paramEmp1FTECoefficient),0)</f>
        <v>1000</v>
      </c>
      <c r="F190" s="600">
        <f>ROUNDUP(F189/(paramEmp1FTECoefficient),0)</f>
        <v>977</v>
      </c>
      <c r="G190" s="600">
        <f>ROUNDUP(G189/(paramEmp1FTECoefficient),0)</f>
        <v>1399</v>
      </c>
      <c r="H190" s="123" t="s">
        <v>149</v>
      </c>
    </row>
    <row r="191" spans="1:8" ht="11.25" customHeight="1">
      <c r="B191" s="3"/>
      <c r="C191" s="3"/>
      <c r="D191" s="3"/>
      <c r="E191" s="20"/>
      <c r="F191" s="20"/>
      <c r="G191" s="20"/>
    </row>
    <row r="192" spans="1:8" ht="11.25" customHeight="1">
      <c r="B192" s="3" t="s">
        <v>690</v>
      </c>
      <c r="C192" s="3"/>
      <c r="D192" s="3"/>
      <c r="E192" s="782">
        <f>ROUNDDOWN(capEmp1End*paramEmp1FTECoefficient-capEmp1HoursReq,0)</f>
        <v>0</v>
      </c>
      <c r="F192" s="782">
        <f>ROUNDDOWN(capEmp1End*paramEmp1FTECoefficient-capEmp1HoursReq,0)</f>
        <v>279</v>
      </c>
      <c r="G192" s="782">
        <f>ROUNDDOWN(capEmp1End*paramEmp1FTECoefficient-capEmp1HoursReq,0)</f>
        <v>0</v>
      </c>
      <c r="H192" s="123" t="s">
        <v>691</v>
      </c>
    </row>
    <row r="193" spans="1:13" ht="11.25" customHeight="1">
      <c r="B193" s="3"/>
      <c r="C193" s="3"/>
      <c r="D193" s="3"/>
      <c r="E193" s="20"/>
      <c r="F193" s="20"/>
      <c r="G193" s="20"/>
    </row>
    <row r="194" spans="1:13" ht="11.25" customHeight="1">
      <c r="B194" t="str">
        <f>DataNameProd1 &amp; " " &amp; DataNameEmp1 &amp; " FTEs Required"</f>
        <v>Growth Engineers FTEs Required</v>
      </c>
      <c r="E194" s="326">
        <f>SUM(E172:E174)</f>
        <v>270</v>
      </c>
      <c r="F194" s="326">
        <f t="shared" ref="F194:G194" si="14">SUM(F172:F174)</f>
        <v>170</v>
      </c>
      <c r="G194" s="326">
        <f t="shared" si="14"/>
        <v>410</v>
      </c>
      <c r="H194" s="123" t="s">
        <v>692</v>
      </c>
    </row>
    <row r="195" spans="1:13" ht="11.25" customHeight="1">
      <c r="B195" t="str">
        <f>DataNameProd2 &amp; " " &amp; DataNameEmp1 &amp; " FTEs Required"</f>
        <v>Transform Engineers FTEs Required</v>
      </c>
      <c r="E195" s="326">
        <f>SUM(E176:E178)</f>
        <v>265</v>
      </c>
      <c r="F195" s="326">
        <f t="shared" ref="F195:G195" si="15">SUM(F176:F178)</f>
        <v>340</v>
      </c>
      <c r="G195" s="326">
        <f t="shared" si="15"/>
        <v>295</v>
      </c>
      <c r="H195" s="123" t="s">
        <v>693</v>
      </c>
    </row>
    <row r="196" spans="1:13" ht="11.25" customHeight="1">
      <c r="B196" s="565" t="s">
        <v>1479</v>
      </c>
      <c r="E196" s="326">
        <f>SUM(E180,E182:E187)</f>
        <v>125</v>
      </c>
      <c r="F196" s="326">
        <f t="shared" ref="F196:G196" si="16">SUM(F180,F182:F187)</f>
        <v>135</v>
      </c>
      <c r="G196" s="326">
        <f t="shared" si="16"/>
        <v>215</v>
      </c>
      <c r="H196" s="579" t="s">
        <v>1480</v>
      </c>
    </row>
    <row r="197" spans="1:13" ht="11.25" customHeight="1">
      <c r="B197" t="s">
        <v>694</v>
      </c>
      <c r="E197" s="326">
        <f>MAX(0,capEmp1FTERemaining+0)</f>
        <v>0</v>
      </c>
      <c r="F197" s="326">
        <f>MAX(0,capEmp1FTERemaining+0)</f>
        <v>279</v>
      </c>
      <c r="G197" s="326">
        <f>MAX(0,capEmp1FTERemaining+0)</f>
        <v>0</v>
      </c>
      <c r="H197" s="579" t="s">
        <v>1481</v>
      </c>
    </row>
    <row r="198" spans="1:13" ht="4.5" customHeight="1">
      <c r="B198" s="185"/>
      <c r="C198" s="185"/>
      <c r="D198" s="185"/>
      <c r="E198" s="215"/>
      <c r="F198" s="215"/>
      <c r="G198" s="215"/>
    </row>
    <row r="199" spans="1:13" ht="11.25" customHeight="1">
      <c r="A199" s="3"/>
      <c r="B199" s="3" t="s">
        <v>237</v>
      </c>
      <c r="C199" s="3"/>
      <c r="D199" s="3"/>
      <c r="E199" s="17">
        <f>SUM(E194:E198)</f>
        <v>660</v>
      </c>
      <c r="F199" s="17">
        <f>SUM(F194:F198)</f>
        <v>924</v>
      </c>
      <c r="G199" s="17">
        <f>SUM(G194:G198)</f>
        <v>920</v>
      </c>
      <c r="H199" s="123" t="s">
        <v>1070</v>
      </c>
    </row>
    <row r="200" spans="1:13" ht="11.25" customHeight="1"/>
    <row r="201" spans="1:13" ht="11.25" customHeight="1">
      <c r="B201" t="str">
        <f>DataNameEmp1 &amp; " Recruited"</f>
        <v>Engineers Recruited</v>
      </c>
      <c r="E201" s="783">
        <f>MAX(0,decEmp1Change+0)</f>
        <v>100</v>
      </c>
      <c r="F201" s="783">
        <f>MAX(0,decEmp1Change+0)</f>
        <v>500</v>
      </c>
      <c r="G201" s="783">
        <f>MAX(0,decEmp1Change+0)</f>
        <v>500</v>
      </c>
      <c r="H201" s="579" t="s">
        <v>1994</v>
      </c>
    </row>
    <row r="202" spans="1:13" ht="11.25" customHeight="1">
      <c r="B202" t="str">
        <f>DataNameEmp1&amp;" Dismissed"</f>
        <v>Engineers Dismissed</v>
      </c>
      <c r="E202" s="11">
        <f>-MIN(0,decEmp1Change+0)</f>
        <v>0</v>
      </c>
      <c r="F202" s="11">
        <f>-MIN(0,decEmp1Change+0)</f>
        <v>0</v>
      </c>
      <c r="G202" s="11">
        <f>-MIN(0,decEmp1Change+0)</f>
        <v>0</v>
      </c>
      <c r="H202" s="579" t="s">
        <v>1995</v>
      </c>
    </row>
    <row r="203" spans="1:13" ht="11.25" customHeight="1">
      <c r="B203" t="str">
        <f>DataNameEmp1&amp;" Attrition"</f>
        <v>Engineers Attrition</v>
      </c>
      <c r="E203" s="11">
        <f>ROUNDUP(obalEmp1*paramEmp1AttRate,0)</f>
        <v>100</v>
      </c>
      <c r="F203" s="11">
        <f>ROUNDUP(obalEmp1*paramEmp1AttRate,0)</f>
        <v>100</v>
      </c>
      <c r="G203" s="11">
        <f>ROUNDUP(obalEmp1*paramEmp1AttRate,0)</f>
        <v>100</v>
      </c>
      <c r="H203" s="123" t="s">
        <v>365</v>
      </c>
    </row>
    <row r="204" spans="1:13" ht="11.25" customHeight="1">
      <c r="B204" s="3" t="str">
        <f>DataNameEmp1 &amp; " Ending"</f>
        <v>Engineers Ending</v>
      </c>
      <c r="C204" s="3"/>
      <c r="D204" s="3"/>
      <c r="E204" s="784">
        <f>obalEmp1+E201-E202-E203</f>
        <v>1000</v>
      </c>
      <c r="F204" s="13">
        <f>obalEmp1+F201-F202-F203</f>
        <v>1400</v>
      </c>
      <c r="G204" s="13">
        <f>obalEmp1+G201-G202-G203</f>
        <v>1400</v>
      </c>
      <c r="H204" s="123" t="s">
        <v>1049</v>
      </c>
    </row>
    <row r="205" spans="1:13" ht="11.25" customHeight="1">
      <c r="B205" t="str">
        <f>DataNameEmp1&amp;" Utilization"</f>
        <v>Engineers Utilization</v>
      </c>
      <c r="E205" s="505">
        <f>IF(Controls!$F$6&gt;=E$2,IF(E204=0,0,E190/E204),0)</f>
        <v>1</v>
      </c>
      <c r="F205" s="505">
        <f>IF(Controls!$F$6&gt;=F$2,IF(F204=0,0,F190/F204),0)</f>
        <v>0</v>
      </c>
      <c r="G205" s="505">
        <f>IF(Controls!$F$6&gt;=G$2,IF(G204=0,0,G190/G204),0)</f>
        <v>0</v>
      </c>
      <c r="H205" s="123" t="s">
        <v>942</v>
      </c>
    </row>
    <row r="206" spans="1:13" ht="11.25" customHeight="1">
      <c r="B206" t="str">
        <f>DataNameEmp1&amp;" Base Expense"</f>
        <v>Engineers Base Expense</v>
      </c>
      <c r="E206" s="11">
        <f>E204*paramEmp1Exp</f>
        <v>250000000</v>
      </c>
      <c r="F206" s="11">
        <f>F204*paramEmp1Exp</f>
        <v>350000000</v>
      </c>
      <c r="G206" s="11">
        <f>G204*paramEmp1Exp</f>
        <v>350000000</v>
      </c>
    </row>
    <row r="207" spans="1:13" ht="11.25" customHeight="1">
      <c r="B207" t="str">
        <f>DataNameEmp1&amp;" Overtime Expense"</f>
        <v>Engineers Overtime Expense</v>
      </c>
      <c r="E207" s="11">
        <v>0</v>
      </c>
      <c r="F207" s="11">
        <v>0</v>
      </c>
      <c r="G207" s="11">
        <v>0</v>
      </c>
      <c r="M207" s="1128"/>
    </row>
    <row r="208" spans="1:13" ht="11.25" customHeight="1">
      <c r="B208" s="3" t="str">
        <f>DataNameEmp1 &amp; " Total Expense"</f>
        <v>Engineers Total Expense</v>
      </c>
      <c r="C208" s="3"/>
      <c r="D208" s="3"/>
      <c r="E208" s="13">
        <f>SUM(E206:E207)</f>
        <v>250000000</v>
      </c>
      <c r="F208" s="13">
        <f>SUM(F206:F207)</f>
        <v>350000000</v>
      </c>
      <c r="G208" s="13">
        <f>SUM(G206:G207)</f>
        <v>350000000</v>
      </c>
      <c r="H208" s="123" t="s">
        <v>1072</v>
      </c>
      <c r="M208" s="1128"/>
    </row>
    <row r="209" spans="2:13" ht="11.25" customHeight="1">
      <c r="B209" t="str">
        <f>DataNameEmp1&amp;" Excess Capacity Cost"</f>
        <v>Engineers Excess Capacity Cost</v>
      </c>
      <c r="E209" s="11">
        <f>(E205&lt;1)*(1-E205)*E208</f>
        <v>0</v>
      </c>
      <c r="F209" s="11">
        <f>(F205&lt;1)*(1-F205)*F208</f>
        <v>350000000</v>
      </c>
      <c r="G209" s="11">
        <f>(G205&lt;1)*(1-G205)*G208</f>
        <v>350000000</v>
      </c>
      <c r="H209" s="123" t="s">
        <v>1028</v>
      </c>
      <c r="M209" s="1128"/>
    </row>
    <row r="210" spans="2:13" ht="11.25" customHeight="1">
      <c r="B210" s="3"/>
    </row>
    <row r="211" spans="2:13" ht="11.25" customHeight="1">
      <c r="B211" t="str">
        <f>DataNameEmp1&amp;" Recruitment/Dismissal Costs"</f>
        <v>Engineers Recruitment/Dismissal Costs</v>
      </c>
      <c r="E211" s="135">
        <f>ABS(paramEmp1RecDismCost*paramEmp1Exp*(paramEmp1Recruitment+paramEmp1Dismissal))</f>
        <v>12500000</v>
      </c>
      <c r="F211" s="135">
        <f>ABS(paramEmp1RecDismCost*paramEmp1Exp*(paramEmp1Recruitment+paramEmp1Dismissal))</f>
        <v>12500000</v>
      </c>
      <c r="G211" s="135">
        <f>ABS(paramEmp1RecDismCost*paramEmp1Exp*(paramEmp1Recruitment+paramEmp1Dismissal))</f>
        <v>12500000</v>
      </c>
      <c r="H211" s="123" t="s">
        <v>1073</v>
      </c>
    </row>
    <row r="212" spans="2:13" ht="11.25" customHeight="1">
      <c r="B212" t="str">
        <f>DataNameEmp1&amp;" Admin Cost"</f>
        <v>Engineers Admin Cost</v>
      </c>
      <c r="E212" s="217">
        <f>cap!E208*paramEmp1AdminCostPct</f>
        <v>12500000</v>
      </c>
      <c r="F212" s="217">
        <f>cap!F208*paramEmp1AdminCostPct</f>
        <v>17500000</v>
      </c>
      <c r="G212" s="217">
        <f>cap!G208*paramEmp1AdminCostPct</f>
        <v>17500000</v>
      </c>
      <c r="H212" s="123" t="s">
        <v>150</v>
      </c>
    </row>
    <row r="213" spans="2:13" ht="11.25" customHeight="1"/>
    <row r="214" spans="2:13" ht="11.25" customHeight="1">
      <c r="B214" s="3" t="str">
        <f>DataNameEmp1 &amp; " % Product Allocation"</f>
        <v>Engineers % Product Allocation</v>
      </c>
    </row>
    <row r="215" spans="2:13" ht="11.25" customHeight="1">
      <c r="B215" t="str">
        <f>DataNameProd1 &amp; " " &amp; DataNameEmp1 &amp; " Product Dev. Allocation"</f>
        <v>Growth Engineers Product Dev. Allocation</v>
      </c>
      <c r="E215" s="410">
        <f>((capProd1Ftr1Emp1Req+capProd1Ftr1TTMEmp1Req)+(capContentEmp1Req*(finPNLProd1Rev/finPNLRev)))/capEmp1HoursDelivered</f>
        <v>0.47808492362564831</v>
      </c>
      <c r="F215" s="410">
        <f>((capProd1Ftr1Emp1Req+capProd1Ftr1TTMEmp1Req)+(capContentEmp1Req*(finPNLProd1Rev/finPNLRev)))/capEmp1HoursDelivered</f>
        <v>0.23383649765222619</v>
      </c>
      <c r="G215" s="410">
        <f>((capProd1Ftr1Emp1Req+capProd1Ftr1TTMEmp1Req)+(capContentEmp1Req*(finPNLProd1Rev/finPNLRev)))/capEmp1HoursDelivered</f>
        <v>0.54469354708733519</v>
      </c>
      <c r="H215" s="579" t="s">
        <v>1558</v>
      </c>
    </row>
    <row r="216" spans="2:13" ht="11.25" customHeight="1">
      <c r="B216" t="str">
        <f>DataNameProd2 &amp; " " &amp; DataNameEmp1 &amp; " Product Dev. Allocation"</f>
        <v>Transform Engineers Product Dev. Allocation</v>
      </c>
      <c r="E216" s="410">
        <f>((capProd2Ftr1Emp1Req+capProd2Ftr1TTMEmp1Req)+(capContentEmp1Req*(finPNLProd2Rev/finPNLRev)))/capEmp1HoursDelivered</f>
        <v>0.48403628849556379</v>
      </c>
      <c r="F216" s="410">
        <f>((capProd2Ftr1Emp1Req+capProd2Ftr1TTMEmp1Req)+(capContentEmp1Req*(finPNLProd2Rev/finPNLRev)))/capEmp1HoursDelivered</f>
        <v>0.426336662520934</v>
      </c>
      <c r="G216" s="410">
        <f>((capProd2Ftr1Emp1Req+capProd2Ftr1TTMEmp1Req)+(capContentEmp1Req*(finPNLProd2Rev/finPNLRev)))/capEmp1HoursDelivered</f>
        <v>0.43900210508657778</v>
      </c>
      <c r="H216" s="579" t="s">
        <v>1559</v>
      </c>
    </row>
    <row r="217" spans="2:13" ht="11.25" customHeight="1">
      <c r="B217" t="str">
        <f>DataNameProd1 &amp; " " &amp; DataNameEmp1 &amp; " Allocation"</f>
        <v>Growth Engineers Allocation</v>
      </c>
      <c r="E217" s="410">
        <f>(finPNLProd1Rev/finPNLRev*(capCorporateEmp1Req-capContentEmp1Req+capUnallocatedEmp1Req)+capInitsProd1Emp1Req)/capEmp1HoursDelivered</f>
        <v>1.7248503633684808E-2</v>
      </c>
      <c r="F217" s="410">
        <f>(finPNLProd1Rev/finPNLRev*(capCorporateEmp1Req-capContentEmp1Req+capUnallocatedEmp1Req)+capInitsProd1Emp1Req)/capEmp1HoursDelivered</f>
        <v>0.15654097492236255</v>
      </c>
      <c r="G217" s="410">
        <f>(finPNLProd1Rev/finPNLRev*(capCorporateEmp1Req-capContentEmp1Req+capUnallocatedEmp1Req)+capInitsProd1Emp1Req)/capEmp1HoursDelivered</f>
        <v>7.4281029880718837E-3</v>
      </c>
      <c r="H217" s="123" t="s">
        <v>1048</v>
      </c>
    </row>
    <row r="218" spans="2:13" ht="11.25" customHeight="1">
      <c r="B218" t="str">
        <f>DataNameProd2 &amp; " " &amp; DataNameEmp1 &amp; " Allocation"</f>
        <v>Transform Engineers Allocation</v>
      </c>
      <c r="E218" s="410">
        <f>(finPNLProd2Rev/finPNLRev*(capCorporateEmp1Req-capContentEmp1Req+capUnallocatedEmp1Req)+capInitsProd2Emp1Req)/capEmp1HoursDelivered</f>
        <v>2.0630284245103065E-2</v>
      </c>
      <c r="F218" s="410">
        <f>(finPNLProd2Rev/finPNLRev*(capCorporateEmp1Req-capContentEmp1Req+capUnallocatedEmp1Req)+capInitsProd2Emp1Req)/capEmp1HoursDelivered</f>
        <v>0.18328586490447729</v>
      </c>
      <c r="G218" s="410">
        <f>(finPNLProd2Rev/finPNLRev*(capCorporateEmp1Req-capContentEmp1Req+capUnallocatedEmp1Req)+capInitsProd2Emp1Req)/capEmp1HoursDelivered</f>
        <v>8.8762448380150759E-3</v>
      </c>
      <c r="H218" s="123" t="s">
        <v>795</v>
      </c>
    </row>
    <row r="219" spans="2:13" ht="4.5" customHeight="1">
      <c r="B219" s="119"/>
      <c r="C219" s="119"/>
      <c r="D219" s="119"/>
      <c r="E219" s="119"/>
      <c r="F219" s="119"/>
      <c r="G219" s="119"/>
    </row>
    <row r="220" spans="2:13" ht="11.25" customHeight="1"/>
    <row r="221" spans="2:13" ht="11.25" customHeight="1">
      <c r="B221" t="str">
        <f>DataNameProd1 &amp; " " &amp; DataNameEmp1 &amp; " Non Capitalized FTEs"</f>
        <v>Growth Engineers Non Capitalized FTEs</v>
      </c>
      <c r="E221">
        <f>ROUND((capCorporateEmp1Req-capContentEmp1Req+capUnallocatedEmp1Req)*(finPNLProd1Rev/finPNLRev),0)+capInitsProd1Emp1Req</f>
        <v>11</v>
      </c>
      <c r="F221">
        <f>ROUND((capCorporateEmp1Req-capContentEmp1Req+capUnallocatedEmp1Req)*(finPNLProd1Rev/finPNLRev),0)+capInitsProd1Emp1Req</f>
        <v>145</v>
      </c>
      <c r="G221">
        <f>ROUND((capCorporateEmp1Req-capContentEmp1Req+capUnallocatedEmp1Req)*(finPNLProd1Rev/finPNLRev),0)+capInitsProd1Emp1Req</f>
        <v>7</v>
      </c>
      <c r="H221" s="579" t="s">
        <v>4475</v>
      </c>
    </row>
    <row r="222" spans="2:13" ht="11.25" customHeight="1">
      <c r="B222" t="str">
        <f>DataNameProd2 &amp; " " &amp; DataNameEmp1 &amp; " Non Capitalized FTEs"</f>
        <v>Transform Engineers Non Capitalized FTEs</v>
      </c>
      <c r="E222">
        <f>ROUND((capCorporateEmp1Req-capContentEmp1Req+capUnallocatedEmp1Req)*(finPNLProd2Rev/finPNLRev),0)+capInitsProd2Emp1Req</f>
        <v>14</v>
      </c>
      <c r="F222">
        <f>ROUND((capCorporateEmp1Req-capContentEmp1Req+capUnallocatedEmp1Req)*(finPNLProd2Rev/finPNLRev),0)+capInitsProd2Emp1Req</f>
        <v>169</v>
      </c>
      <c r="G222">
        <f>ROUND((capCorporateEmp1Req-capContentEmp1Req+capUnallocatedEmp1Req)*(finPNLProd2Rev/finPNLRev),0)+capInitsProd2Emp1Req</f>
        <v>8</v>
      </c>
      <c r="H222" s="579" t="s">
        <v>4476</v>
      </c>
    </row>
    <row r="223" spans="2:13" ht="11.25" customHeight="1">
      <c r="B223" t="str">
        <f>DataNameProd1 &amp; " " &amp; DataNameEmp1 &amp; " Non Capitalized Allocation"</f>
        <v>Growth Engineers Non Capitalized Allocation</v>
      </c>
      <c r="E223" s="410">
        <f>IF((capProd1Emp1NonCapFTEs+capProd2Emp1NonCapFTEs)=0,0,capProd1Emp1NonCapFTEs/(capProd1Emp1NonCapFTEs+capProd2Emp1NonCapFTEs))</f>
        <v>0.44</v>
      </c>
      <c r="F223" s="410">
        <f>IF((capProd1Emp1NonCapFTEs+capProd2Emp1NonCapFTEs)=0,0,capProd1Emp1NonCapFTEs/(capProd1Emp1NonCapFTEs+capProd2Emp1NonCapFTEs))</f>
        <v>0.46178343949044587</v>
      </c>
      <c r="G223" s="410">
        <f>IF((capProd1Emp1NonCapFTEs+capProd2Emp1NonCapFTEs)=0,0,capProd1Emp1NonCapFTEs/(capProd1Emp1NonCapFTEs+capProd2Emp1NonCapFTEs))</f>
        <v>0.46666666666666667</v>
      </c>
      <c r="H223" s="579" t="s">
        <v>4477</v>
      </c>
    </row>
    <row r="224" spans="2:13" ht="11.25" customHeight="1">
      <c r="B224" t="str">
        <f>DataNameProd2 &amp; " " &amp; DataNameEmp1 &amp; " Non Capitalized Allocation"</f>
        <v>Transform Engineers Non Capitalized Allocation</v>
      </c>
      <c r="E224" s="410">
        <f>IF((capProd1Emp1NonCapFTEs+capProd2Emp1NonCapFTEs)=0,0,capProd2Emp1NonCapFTEs/(capProd1Emp1NonCapFTEs+capProd2Emp1NonCapFTEs))</f>
        <v>0.56000000000000005</v>
      </c>
      <c r="F224" s="410">
        <f>IF((capProd1Emp1NonCapFTEs+capProd2Emp1NonCapFTEs)=0,0,capProd2Emp1NonCapFTEs/(capProd1Emp1NonCapFTEs+capProd2Emp1NonCapFTEs))</f>
        <v>0.53821656050955413</v>
      </c>
      <c r="G224" s="410">
        <f>IF((capProd1Emp1NonCapFTEs+capProd2Emp1NonCapFTEs)=0,0,capProd2Emp1NonCapFTEs/(capProd1Emp1NonCapFTEs+capProd2Emp1NonCapFTEs))</f>
        <v>0.53333333333333333</v>
      </c>
      <c r="H224" s="579" t="s">
        <v>4478</v>
      </c>
    </row>
    <row r="225" spans="2:12" ht="4.5" customHeight="1">
      <c r="B225" s="119"/>
      <c r="C225" s="119"/>
      <c r="D225" s="119"/>
      <c r="E225" s="119"/>
      <c r="F225" s="119"/>
      <c r="G225" s="119"/>
    </row>
    <row r="226" spans="2:12" ht="11.25" customHeight="1"/>
    <row r="227" spans="2:12" ht="11.25" customHeight="1">
      <c r="B227" s="3" t="str">
        <f>DataNameEmp1 &amp; " Expense Allocation"</f>
        <v>Engineers Expense Allocation</v>
      </c>
    </row>
    <row r="228" spans="2:12" ht="11.25" customHeight="1">
      <c r="B228" t="str">
        <f>DataNameProd1 &amp; " " &amp; DataNameEmp1 &amp; " Prod. Dev. Salary Expense"</f>
        <v>Growth Engineers Prod. Dev. Salary Expense</v>
      </c>
      <c r="E228" s="11">
        <f>(ROUND(capProd1Ftr1Emp1Req+capProd1Ftr1TTMEmp1Req+(capContentEmp1Req*(finPNLProd1Rev/finPNLRev)),0)/paramEmp1FTECoefficient)*paramEmp1Exp</f>
        <v>119624470.0181708</v>
      </c>
      <c r="F228" s="11">
        <f>(ROUND(capProd1Ftr1Emp1Req+capProd1Ftr1TTMEmp1Req+(capContentEmp1Req*(finPNLProd1Rev/finPNLRev)),0)/paramEmp1FTECoefficient)*paramEmp1Exp</f>
        <v>81768625.075711697</v>
      </c>
      <c r="G228" s="11">
        <f>(ROUND(capProd1Ftr1Emp1Req+capProd1Ftr1TTMEmp1Req+(capContentEmp1Req*(finPNLProd1Rev/finPNLRev)),0)/paramEmp1FTECoefficient)*paramEmp1Exp</f>
        <v>190407418.6682882</v>
      </c>
      <c r="H228" s="579" t="s">
        <v>1560</v>
      </c>
      <c r="I228" s="1300"/>
      <c r="L228" s="14"/>
    </row>
    <row r="229" spans="2:12" ht="11.25" customHeight="1">
      <c r="B229" t="str">
        <f>DataNameProd2 &amp; " " &amp; DataNameEmp1 &amp; " Prod Dev. Salary Expense"</f>
        <v>Transform Engineers Prod Dev. Salary Expense</v>
      </c>
      <c r="E229" s="11">
        <f>(ROUND(capProd2Ftr1Emp1Req+capProd2Ftr1TTMEmp1Req+(capContentEmp1Req*(finPNLProd2Rev/finPNLRev)),0)/paramEmp1FTECoefficient)*paramEmp1Exp</f>
        <v>120760145.36644457</v>
      </c>
      <c r="F229" s="11">
        <f>(ROUND(capProd2Ftr1Emp1Req+capProd2Ftr1TTMEmp1Req+(capContentEmp1Req*(finPNLProd2Rev/finPNLRev)),0)/paramEmp1FTECoefficient)*paramEmp1Exp</f>
        <v>149152029.07328892</v>
      </c>
      <c r="G229" s="11">
        <f>(ROUND(capProd2Ftr1Emp1Req+capProd2Ftr1TTMEmp1Req+(capContentEmp1Req*(finPNLProd2Rev/finPNLRev)),0)/paramEmp1FTECoefficient)*paramEmp1Exp</f>
        <v>153542110.06384918</v>
      </c>
      <c r="H229" s="579" t="s">
        <v>1561</v>
      </c>
      <c r="L229" s="14"/>
    </row>
    <row r="230" spans="2:12" ht="11.25" customHeight="1">
      <c r="B230" t="str">
        <f>DataNameProd1 &amp; " " &amp; DataNameEmp1 &amp; " Salary Expense"</f>
        <v>Growth Engineers Salary Expense</v>
      </c>
      <c r="E230" s="11">
        <f>MAX(0,(capEmp1Exp-(capProd1Emp1DevExp+capProd2Emp1DevExp))*capProd1Emp1NonCapAllocProd1)</f>
        <v>4230769.2307692412</v>
      </c>
      <c r="F230" s="11">
        <f>MAX(0,(capEmp1Exp-(capProd1Emp1DevExp+capProd2Emp1DevExp))*capProd1Emp1NonCapAllocProd1)</f>
        <v>54988869.899346851</v>
      </c>
      <c r="G230" s="11">
        <f>MAX(0,(capEmp1Exp-(capProd1Emp1DevExp+capProd2Emp1DevExp))*capProd1Emp1NonCapAllocProd1)</f>
        <v>2823553.2583358884</v>
      </c>
      <c r="H230" s="123" t="s">
        <v>1304</v>
      </c>
      <c r="I230" s="14"/>
      <c r="L230" s="14"/>
    </row>
    <row r="231" spans="2:12" ht="11.25" customHeight="1">
      <c r="B231" t="str">
        <f>DataNameProd2 &amp; " " &amp; DataNameEmp1 &amp; " Salary Expense"</f>
        <v>Transform Engineers Salary Expense</v>
      </c>
      <c r="E231" s="11">
        <f>MAX(0,(capEmp1Exp-(capProd1Emp1DevExp+capProd2Emp1DevExp))*capProd2Emp1NonCapAllocProd1)</f>
        <v>5384615.384615398</v>
      </c>
      <c r="F231" s="11">
        <f>MAX(0,(capEmp1Exp-(capProd1Emp1DevExp+capProd2Emp1DevExp))*capProd2Emp1NonCapAllocProd1)</f>
        <v>64090475.951652534</v>
      </c>
      <c r="G231" s="11">
        <f>MAX(0,(capEmp1Exp-(capProd1Emp1DevExp+capProd2Emp1DevExp))*capProd2Emp1NonCapAllocProd1)</f>
        <v>3226918.0095267296</v>
      </c>
      <c r="H231" s="123" t="s">
        <v>796</v>
      </c>
      <c r="L231" s="14"/>
    </row>
    <row r="232" spans="2:12" ht="4.5" customHeight="1">
      <c r="B232" s="119"/>
      <c r="C232" s="119"/>
      <c r="D232" s="119"/>
      <c r="E232" s="283"/>
      <c r="F232" s="283"/>
      <c r="G232" s="283"/>
      <c r="L232" s="14"/>
    </row>
    <row r="233" spans="2:12" ht="11.25" customHeight="1">
      <c r="E233" s="11"/>
      <c r="F233" s="11"/>
      <c r="G233" s="11"/>
    </row>
    <row r="234" spans="2:12" ht="11.25" customHeight="1">
      <c r="B234" t="str">
        <f>DataNameProd1 &amp; " " &amp; DataNameEmp1 &amp; " Recruit/Dismissal Expense"</f>
        <v>Growth Engineers Recruit/Dismissal Expense</v>
      </c>
      <c r="E234" s="11">
        <f>(capEmp1AllocDevProd1+capEmp1AllocProd1)*capEmp1RecDismExp</f>
        <v>6191667.8407416642</v>
      </c>
      <c r="F234" s="11">
        <f>(capEmp1AllocDevProd1+capEmp1AllocProd1)*capEmp1RecDismExp</f>
        <v>4879718.4071823601</v>
      </c>
      <c r="G234" s="11">
        <f>(capEmp1AllocDevProd1+capEmp1AllocProd1)*capEmp1RecDismExp</f>
        <v>6901520.6259425879</v>
      </c>
      <c r="H234" s="123" t="s">
        <v>1305</v>
      </c>
    </row>
    <row r="235" spans="2:12" ht="11.25" customHeight="1">
      <c r="B235" t="str">
        <f>DataNameProd2 &amp; " " &amp; DataNameEmp1 &amp; " Recruit/Dismissal Expense"</f>
        <v>Transform Engineers Recruit/Dismissal Expense</v>
      </c>
      <c r="E235" s="11">
        <f>(capEmp1AllocDevProd2+capEmp1AllocProd2)*capEmp1RecDismExp</f>
        <v>6308332.1592583358</v>
      </c>
      <c r="F235" s="11">
        <f>(capEmp1AllocDevProd2+capEmp1AllocProd2)*capEmp1RecDismExp</f>
        <v>7620281.5928176399</v>
      </c>
      <c r="G235" s="11">
        <f>(capEmp1AllocDevProd2+capEmp1AllocProd2)*capEmp1RecDismExp</f>
        <v>5598479.3740574103</v>
      </c>
      <c r="H235" s="123" t="s">
        <v>144</v>
      </c>
    </row>
    <row r="236" spans="2:12" ht="4.5" customHeight="1">
      <c r="B236" s="225"/>
      <c r="C236" s="119"/>
      <c r="D236" s="119"/>
      <c r="E236" s="119"/>
      <c r="F236" s="119"/>
      <c r="G236" s="119"/>
    </row>
    <row r="237" spans="2:12" ht="11.25" customHeight="1">
      <c r="B237" s="3"/>
    </row>
    <row r="238" spans="2:12" ht="11.25" customHeight="1">
      <c r="B238" t="str">
        <f>DataNameProd1&amp;" "&amp;DataNameEmp1&amp;" Admin Expense"</f>
        <v>Growth Engineers Admin Expense</v>
      </c>
      <c r="E238" s="11">
        <f>(capEmp1AllocDevProd1+capEmp1AllocProd1)*capEmp1AdminExp</f>
        <v>6191667.8407416642</v>
      </c>
      <c r="F238" s="11">
        <f>(capEmp1AllocDevProd1+capEmp1AllocProd1)*capEmp1AdminExp</f>
        <v>6831605.7700553034</v>
      </c>
      <c r="G238" s="11">
        <f>(capEmp1AllocDevProd1+capEmp1AllocProd1)*capEmp1AdminExp</f>
        <v>9662128.8763196226</v>
      </c>
      <c r="H238" s="123" t="s">
        <v>618</v>
      </c>
    </row>
    <row r="239" spans="2:12" ht="11.25" customHeight="1">
      <c r="B239" t="str">
        <f>DataNameProd2&amp;" "&amp;DataNameEmp1&amp;" Admin Expense"</f>
        <v>Transform Engineers Admin Expense</v>
      </c>
      <c r="E239" s="11">
        <f>(capEmp1AllocDevProd2+capEmp1AllocProd2)*capEmp1AdminExp</f>
        <v>6308332.1592583358</v>
      </c>
      <c r="F239" s="11">
        <f>(capEmp1AllocDevProd2+capEmp1AllocProd2)*capEmp1AdminExp</f>
        <v>10668394.229944697</v>
      </c>
      <c r="G239" s="11">
        <f>(capEmp1AllocDevProd2+capEmp1AllocProd2)*capEmp1AdminExp</f>
        <v>7837871.1236803746</v>
      </c>
      <c r="H239" s="123" t="s">
        <v>145</v>
      </c>
    </row>
    <row r="240" spans="2:12" ht="4.5" customHeight="1">
      <c r="B240" s="119"/>
      <c r="C240" s="119"/>
      <c r="D240" s="119"/>
      <c r="E240" s="283"/>
      <c r="F240" s="283"/>
      <c r="G240" s="283"/>
    </row>
    <row r="241" spans="1:11" ht="11.25" customHeight="1"/>
    <row r="242" spans="1:11" ht="11.25" customHeight="1">
      <c r="B242" s="565" t="s">
        <v>1960</v>
      </c>
      <c r="E242" s="326">
        <f>E180:G180/capEmp1HoursDelivered*capEmp1Exp</f>
        <v>37878787.878787883</v>
      </c>
      <c r="F242" s="326">
        <f>F180:H180/capEmp1HoursDelivered*capEmp1Exp</f>
        <v>37878787.878787875</v>
      </c>
      <c r="G242" s="326">
        <f>G180:I180/capEmp1HoursDelivered*capEmp1Exp</f>
        <v>76086956.521739125</v>
      </c>
      <c r="H242" s="579" t="s">
        <v>1961</v>
      </c>
    </row>
    <row r="243" spans="1:11" ht="11.25" customHeight="1">
      <c r="B243" s="565" t="s">
        <v>1985</v>
      </c>
      <c r="E243" s="326">
        <f>capTrainingEmp1Req/capEmp1HoursDelivered*capEmp1Exp</f>
        <v>5681818.1818181816</v>
      </c>
      <c r="F243" s="326">
        <f>capTrainingEmp1Req/capEmp1HoursDelivered*capEmp1Exp</f>
        <v>5681818.1818181816</v>
      </c>
      <c r="G243" s="326">
        <f>capTrainingEmp1Req/capEmp1HoursDelivered*capEmp1Exp</f>
        <v>1902173.9130434783</v>
      </c>
      <c r="H243" s="579" t="s">
        <v>1980</v>
      </c>
    </row>
    <row r="244" spans="1:11" ht="11.25" customHeight="1">
      <c r="B244" s="565" t="str">
        <f>DataNameProd1 &amp; " Training Expense"</f>
        <v>Growth Training Expense</v>
      </c>
      <c r="E244" s="326">
        <f>decEmp1TrainingLvl*paramTrainingExpPLvl*(finPNLProd1Rev/finPNLRev)</f>
        <v>6830407.438939184</v>
      </c>
      <c r="F244" s="326">
        <f>decEmp1TrainingLvl*paramTrainingExpPLvl*(finPNLProd1Rev/finPNLRev)</f>
        <v>6909738.5745985508</v>
      </c>
      <c r="G244" s="326">
        <f>decEmp1TrainingLvl*paramTrainingExpPLvl*(finPNLProd1Rev/finPNLRev)</f>
        <v>2277951.5830087112</v>
      </c>
      <c r="H244" s="579" t="s">
        <v>1986</v>
      </c>
    </row>
    <row r="245" spans="1:11" ht="11.25" customHeight="1">
      <c r="B245" s="565" t="str">
        <f>DataNameProd2 &amp; " Training Expense"</f>
        <v>Transform Training Expense</v>
      </c>
      <c r="E245" s="326">
        <f>decEmp1TrainingLvl*paramTrainingExpPLvl*(finPNLProd2Rev/finPNLRev)</f>
        <v>8169592.5610608142</v>
      </c>
      <c r="F245" s="326">
        <f>decEmp1TrainingLvl*paramTrainingExpPLvl*(finPNLProd2Rev/finPNLRev)</f>
        <v>8090261.4254014501</v>
      </c>
      <c r="G245" s="326">
        <f>decEmp1TrainingLvl*paramTrainingExpPLvl*(finPNLProd2Rev/finPNLRev)</f>
        <v>2722048.4169912897</v>
      </c>
      <c r="H245" s="579" t="s">
        <v>1987</v>
      </c>
    </row>
    <row r="246" spans="1:11" ht="11.25" customHeight="1"/>
    <row r="247" spans="1:11" ht="11.25" customHeight="1">
      <c r="A247" s="290" t="str">
        <f>DataNameEmp2 &amp; " Required"</f>
        <v>Staff Required</v>
      </c>
      <c r="B247" s="290"/>
      <c r="C247" s="290"/>
      <c r="D247" s="290"/>
      <c r="E247" s="290"/>
      <c r="F247" s="290"/>
      <c r="G247" s="290"/>
    </row>
    <row r="248" spans="1:11" ht="11.25" customHeight="1">
      <c r="K248" s="10"/>
    </row>
    <row r="249" spans="1:11" ht="11.25" customHeight="1">
      <c r="B249" s="3" t="str">
        <f>DataNameEmp2 &amp; " Labor Required"</f>
        <v>Staff Labor Required</v>
      </c>
      <c r="K249" s="18"/>
    </row>
    <row r="250" spans="1:11" ht="11.25" customHeight="1">
      <c r="B250" t="str">
        <f>DataNameProd1 &amp; " " &amp; DataNameEmp2&amp; " Required"</f>
        <v>Growth Staff Required</v>
      </c>
      <c r="E250" s="14">
        <f>ROUNDUP((capProd1EndSubs*paramProd1LabHrsReqPSub)/paramEmp2HoursPYear,0)</f>
        <v>490</v>
      </c>
      <c r="F250" s="14">
        <f>ROUNDUP((capProd1EndSubs*paramProd1LabHrsReqPSub)/paramEmp2HoursPYear,0)</f>
        <v>416</v>
      </c>
      <c r="G250" s="14">
        <f>ROUNDUP((capProd1EndSubs*paramProd1LabHrsReqPSub)/paramEmp2HoursPYear,0)</f>
        <v>319</v>
      </c>
      <c r="H250" s="579" t="s">
        <v>1501</v>
      </c>
    </row>
    <row r="251" spans="1:11" ht="11.25" customHeight="1">
      <c r="B251" t="str">
        <f>DataNameProd2 &amp; " " &amp; DataNameEmp2&amp; " Required"</f>
        <v>Transform Staff Required</v>
      </c>
      <c r="E251" s="14">
        <f>ROUNDUP((capProd2EndSubs*paramProd2LabHrsReqPSub)/paramEmp2HoursPYear,0)</f>
        <v>365</v>
      </c>
      <c r="F251" s="14">
        <f>ROUNDUP((capProd2EndSubs*paramProd2LabHrsReqPSub)/paramEmp2HoursPYear,0)</f>
        <v>309</v>
      </c>
      <c r="G251" s="14">
        <f>ROUNDUP((capProd2EndSubs*paramProd2LabHrsReqPSub)/paramEmp2HoursPYear,0)</f>
        <v>237</v>
      </c>
      <c r="H251" s="579" t="s">
        <v>1502</v>
      </c>
    </row>
    <row r="252" spans="1:11" ht="11.25" customHeight="1">
      <c r="B252" t="str">
        <f>DataNamePlant1 &amp; " " &amp; DataNameEmp2&amp; " Required"</f>
        <v>Data Center Staff Required</v>
      </c>
      <c r="E252" s="14">
        <f>cbalPlant1Units*paramPlant1LaborPUnit+capPlant1ConsolidateLabor</f>
        <v>6750</v>
      </c>
      <c r="F252" s="14">
        <f>cbalPlant1Units*paramPlant1LaborPUnit+capPlant1ConsolidateLabor</f>
        <v>4050</v>
      </c>
      <c r="G252" s="14">
        <f>cbalPlant1Units*paramPlant1LaborPUnit+capPlant1ConsolidateLabor</f>
        <v>3375</v>
      </c>
      <c r="H252" s="579" t="s">
        <v>1503</v>
      </c>
    </row>
    <row r="253" spans="1:11" ht="11.25" customHeight="1">
      <c r="B253" s="565" t="s">
        <v>1488</v>
      </c>
      <c r="E253" s="14">
        <f>obalGlobalExpansionLvl*paramGlobalExpansionLaborPLvl</f>
        <v>300</v>
      </c>
      <c r="F253" s="14">
        <f>obalGlobalExpansionLvl*paramGlobalExpansionLaborPLvl</f>
        <v>300</v>
      </c>
      <c r="G253" s="14">
        <f>obalGlobalExpansionLvl*paramGlobalExpansionLaborPLvl</f>
        <v>300</v>
      </c>
      <c r="H253" s="579" t="s">
        <v>1504</v>
      </c>
    </row>
    <row r="254" spans="1:11" ht="11.25" customHeight="1">
      <c r="B254" s="565" t="s">
        <v>841</v>
      </c>
      <c r="E254" s="14">
        <f>paramCorporateLabor</f>
        <v>5000</v>
      </c>
      <c r="F254" s="14">
        <f>paramCorporateLabor</f>
        <v>5000</v>
      </c>
      <c r="G254" s="14">
        <f>paramCorporateLabor</f>
        <v>5000</v>
      </c>
      <c r="H254" s="579" t="s">
        <v>1505</v>
      </c>
    </row>
    <row r="255" spans="1:11" ht="3.75" customHeight="1">
      <c r="B255" s="185"/>
      <c r="C255" s="185"/>
      <c r="D255" s="185"/>
      <c r="E255" s="215"/>
      <c r="F255" s="215"/>
      <c r="G255" s="215"/>
    </row>
    <row r="256" spans="1:11" ht="11.25" customHeight="1">
      <c r="B256" s="3" t="str">
        <f>DataNameEmp2 &amp; " Required"</f>
        <v>Staff Required</v>
      </c>
      <c r="E256" s="13">
        <f>ROUNDUP(SUM(E250:E255),0)</f>
        <v>12905</v>
      </c>
      <c r="F256" s="13">
        <f t="shared" ref="F256:G256" si="17">ROUNDUP(SUM(F250:F255),0)</f>
        <v>10075</v>
      </c>
      <c r="G256" s="13">
        <f t="shared" si="17"/>
        <v>9231</v>
      </c>
      <c r="H256" s="123" t="s">
        <v>835</v>
      </c>
    </row>
    <row r="257" spans="2:10" ht="11.25" customHeight="1">
      <c r="B257" s="3"/>
      <c r="E257" s="13"/>
      <c r="F257" s="13"/>
      <c r="G257" s="13"/>
    </row>
    <row r="258" spans="2:10" ht="11.25" customHeight="1">
      <c r="B258" t="str">
        <f>DataNameEmp2 &amp; " Recruited"</f>
        <v>Staff Recruited</v>
      </c>
      <c r="E258" s="326">
        <f>MAX(0,(E256-obalEmp2+capEmp2Att))</f>
        <v>3205</v>
      </c>
      <c r="F258" s="326">
        <f>MAX(0,(F256-obalEmp2+capEmp2Att))</f>
        <v>375</v>
      </c>
      <c r="G258" s="326">
        <f>MAX(0,(G256-obalEmp2+capEmp2Att))</f>
        <v>0</v>
      </c>
      <c r="H258" s="579" t="s">
        <v>1529</v>
      </c>
    </row>
    <row r="259" spans="2:10" ht="11.25" customHeight="1">
      <c r="B259" t="str">
        <f>DataNameEmp2&amp;" Dismissed"</f>
        <v>Staff Dismissed</v>
      </c>
      <c r="E259" s="326">
        <f>MAX(0,(obalEmp2-capEmp2Att-E256))</f>
        <v>0</v>
      </c>
      <c r="F259" s="326">
        <f>MAX(0,(obalEmp2-capEmp2Att-F256))</f>
        <v>0</v>
      </c>
      <c r="G259" s="326">
        <f>MAX(0,(obalEmp2-capEmp2Att-G256))</f>
        <v>469</v>
      </c>
      <c r="H259" s="579" t="s">
        <v>1530</v>
      </c>
      <c r="J259" s="14"/>
    </row>
    <row r="260" spans="2:10" ht="11.25" customHeight="1">
      <c r="B260" t="str">
        <f>DataNameEmp2&amp;" Attrition"</f>
        <v>Staff Attrition</v>
      </c>
      <c r="E260" s="11">
        <f>ROUNDUP(obalEmp2*paramEmp2AttRate,0)</f>
        <v>2425</v>
      </c>
      <c r="F260" s="11">
        <f>ROUNDUP(obalEmp2*paramEmp2AttRate,0)</f>
        <v>2425</v>
      </c>
      <c r="G260" s="11">
        <f>ROUNDUP(obalEmp2*paramEmp2AttRate,0)</f>
        <v>2425</v>
      </c>
      <c r="H260" s="123" t="s">
        <v>943</v>
      </c>
      <c r="J260" s="14"/>
    </row>
    <row r="261" spans="2:10" ht="11.25" customHeight="1">
      <c r="B261" s="3" t="str">
        <f>DataNameEmp2 &amp; " Ending"</f>
        <v>Staff Ending</v>
      </c>
      <c r="E261" s="13">
        <f>obalEmp2+E258-E259-E260</f>
        <v>12905</v>
      </c>
      <c r="F261" s="13">
        <f>obalEmp2+F258-F259-F260</f>
        <v>10075</v>
      </c>
      <c r="G261" s="13">
        <f>obalEmp2+G258-G259-G260</f>
        <v>9231</v>
      </c>
      <c r="H261" s="123" t="s">
        <v>1051</v>
      </c>
      <c r="I261" s="3"/>
      <c r="J261" s="14"/>
    </row>
    <row r="262" spans="2:10" ht="11.25" customHeight="1">
      <c r="B262" t="str">
        <f>DataNameEmp2&amp;" Utilization"</f>
        <v>Staff Utilization</v>
      </c>
      <c r="E262" s="15">
        <f>E256/E261</f>
        <v>1</v>
      </c>
      <c r="F262" s="15">
        <f t="shared" ref="F262:G262" si="18">F256/F261</f>
        <v>1</v>
      </c>
      <c r="G262" s="15">
        <f t="shared" si="18"/>
        <v>1</v>
      </c>
      <c r="H262" s="123" t="s">
        <v>944</v>
      </c>
    </row>
    <row r="263" spans="2:10" ht="11.25" customHeight="1">
      <c r="B263" t="str">
        <f>DataNameEmp2&amp;" Base Expense"</f>
        <v>Staff Base Expense</v>
      </c>
      <c r="E263" s="11">
        <f>E261*paramEmp2Exp</f>
        <v>1445360000</v>
      </c>
      <c r="F263" s="11">
        <f>F261*paramEmp2Exp</f>
        <v>1128400000</v>
      </c>
      <c r="G263" s="11">
        <f>G261*paramEmp2Exp</f>
        <v>1033872000</v>
      </c>
    </row>
    <row r="264" spans="2:10" ht="11.25" customHeight="1">
      <c r="B264" t="str">
        <f>DataNameEmp2&amp;" Overtime Expense"</f>
        <v>Staff Overtime Expense</v>
      </c>
      <c r="E264" s="11">
        <f>MAX(0,E262-1)*E263*paramEmp2OTRate</f>
        <v>0</v>
      </c>
      <c r="F264" s="11">
        <f>MAX(0,F262-1)*F263*paramEmp2OTRate</f>
        <v>0</v>
      </c>
      <c r="G264" s="11">
        <f>MAX(0,G262-1)*G263*paramEmp2OTRate</f>
        <v>0</v>
      </c>
      <c r="H264" s="123" t="s">
        <v>946</v>
      </c>
    </row>
    <row r="265" spans="2:10" ht="11.25" customHeight="1">
      <c r="B265" s="3" t="str">
        <f>DataNameEmp2 &amp; " Total Expense"</f>
        <v>Staff Total Expense</v>
      </c>
      <c r="C265" s="3"/>
      <c r="D265" s="3"/>
      <c r="E265" s="13">
        <f>SUM(E263:E264)</f>
        <v>1445360000</v>
      </c>
      <c r="F265" s="13">
        <f>SUM(F263:F264)</f>
        <v>1128400000</v>
      </c>
      <c r="G265" s="13">
        <f>SUM(G263:G264)</f>
        <v>1033872000</v>
      </c>
      <c r="H265" s="123" t="s">
        <v>536</v>
      </c>
      <c r="I265" s="3"/>
    </row>
    <row r="266" spans="2:10" ht="11.25" customHeight="1">
      <c r="B266" t="str">
        <f>DataNameEmp2&amp;" Excess Capacity Cost"</f>
        <v>Staff Excess Capacity Cost</v>
      </c>
      <c r="E266" s="11">
        <f>(paramEmp2OTRate&gt;0)*(E262&lt;1)*(1-E262)*E265</f>
        <v>0</v>
      </c>
      <c r="F266" s="11">
        <f>(paramEmp2OTRate&gt;0)*(F262&lt;1)*(1-F262)*F265</f>
        <v>0</v>
      </c>
      <c r="G266" s="11">
        <f>(paramEmp2OTRate&gt;0)*(G262&lt;1)*(1-G262)*G265</f>
        <v>0</v>
      </c>
      <c r="H266" s="123" t="s">
        <v>945</v>
      </c>
    </row>
    <row r="267" spans="2:10" ht="11.25" customHeight="1">
      <c r="B267" s="3"/>
      <c r="E267" s="10"/>
      <c r="F267" s="10"/>
      <c r="G267" s="10"/>
      <c r="I267" s="3"/>
    </row>
    <row r="268" spans="2:10" ht="11.25" customHeight="1">
      <c r="B268" t="str">
        <f>DataNameEmp2&amp;" Recruitment/Dismissal Costs"</f>
        <v>Staff Recruitment/Dismissal Costs</v>
      </c>
      <c r="E268" s="135">
        <f>paramEmp2RecDismCost*paramEmp2Exp*(capEmp2Recruit+capEmp2Dismiss)</f>
        <v>28716800</v>
      </c>
      <c r="F268" s="135">
        <f>paramEmp2RecDismCost*paramEmp2Exp*(capEmp2Recruit+capEmp2Dismiss)</f>
        <v>3360000</v>
      </c>
      <c r="G268" s="135">
        <f>paramEmp2RecDismCost*paramEmp2Exp*(capEmp2Recruit+capEmp2Dismiss)</f>
        <v>4202240</v>
      </c>
      <c r="H268" s="123" t="s">
        <v>538</v>
      </c>
    </row>
    <row r="269" spans="2:10" ht="11.25" customHeight="1">
      <c r="B269" t="str">
        <f>DataNameEmp2&amp;" Admin Cost"</f>
        <v>Staff Admin Cost</v>
      </c>
      <c r="E269" s="217">
        <f>E265*paramEmp2AdminCostPct</f>
        <v>72268000</v>
      </c>
      <c r="F269" s="217">
        <f>F265*paramEmp2AdminCostPct</f>
        <v>56420000</v>
      </c>
      <c r="G269" s="217">
        <f>G265*paramEmp2AdminCostPct</f>
        <v>51693600</v>
      </c>
      <c r="H269" s="123" t="s">
        <v>537</v>
      </c>
    </row>
    <row r="270" spans="2:10" ht="11.25" customHeight="1">
      <c r="E270" s="217"/>
      <c r="F270" s="217"/>
      <c r="G270" s="217"/>
    </row>
    <row r="271" spans="2:10" ht="11.25" customHeight="1">
      <c r="B271" s="3" t="str">
        <f>DataNameEmp2 &amp; " % Product Allocation"</f>
        <v>Staff % Product Allocation</v>
      </c>
      <c r="E271" s="10"/>
      <c r="F271" s="10"/>
      <c r="G271" s="10"/>
      <c r="I271" s="3"/>
    </row>
    <row r="272" spans="2:10" ht="11.25" customHeight="1">
      <c r="B272" t="str">
        <f>DataNameProd1 &amp; " " &amp; DataNameEmp2 &amp; " Allocation"</f>
        <v>Growth Staff Allocation</v>
      </c>
      <c r="E272" s="778">
        <f>(capProd1Emp2Req+finPNLProd1Rev/finPNLRev*(capDCEmp2Req+capGlobalEmp2Req+capCorporateEmp2Req))/capEmp2Req</f>
        <v>0.46316109848491366</v>
      </c>
      <c r="F272" s="15">
        <f>(capProd1Emp2Req+finPNLProd1Rev/finPNLRev*(capDCEmp2Req+capGlobalEmp2Req+capCorporateEmp2Req))/capEmp2Req</f>
        <v>0.46879110453264811</v>
      </c>
      <c r="G272" s="15">
        <f>(capProd1Emp2Req+finPNLProd1Rev/finPNLRev*(capDCEmp2Req+capGlobalEmp2Req+capCorporateEmp2Req))/capEmp2Req</f>
        <v>0.4627067486209635</v>
      </c>
      <c r="H272" s="123" t="s">
        <v>1050</v>
      </c>
    </row>
    <row r="273" spans="2:9" ht="11.25" customHeight="1">
      <c r="B273" t="str">
        <f>DataNameProd2 &amp; " " &amp; DataNameEmp2 &amp; " Allocation"</f>
        <v>Transform Staff Allocation</v>
      </c>
      <c r="E273" s="778">
        <f>(capProd2Emp2Req+finPNLProd2Rev/finPNLRev*(capDCEmp2Req+capGlobalEmp2Req+capCorporateEmp2Req))/capEmp2Req</f>
        <v>0.53683890151508618</v>
      </c>
      <c r="F273" s="15">
        <f>(capProd2Emp2Req+finPNLProd2Rev/finPNLRev*(capDCEmp2Req+capGlobalEmp2Req+capCorporateEmp2Req))/capEmp2Req</f>
        <v>0.53120889546735184</v>
      </c>
      <c r="G273" s="15">
        <f>(capProd2Emp2Req+finPNLProd2Rev/finPNLRev*(capDCEmp2Req+capGlobalEmp2Req+capCorporateEmp2Req))/capEmp2Req</f>
        <v>0.53729325137903672</v>
      </c>
      <c r="H273" s="123" t="s">
        <v>791</v>
      </c>
    </row>
    <row r="274" spans="2:9" ht="4.5" customHeight="1">
      <c r="B274" s="119"/>
      <c r="C274" s="119"/>
      <c r="D274" s="119"/>
      <c r="E274" s="282"/>
      <c r="F274" s="282"/>
      <c r="G274" s="282"/>
    </row>
    <row r="275" spans="2:9" ht="11.25" customHeight="1">
      <c r="E275" s="10"/>
      <c r="F275" s="10"/>
      <c r="G275" s="10"/>
    </row>
    <row r="276" spans="2:9" ht="11.25" customHeight="1">
      <c r="B276" s="3" t="str">
        <f>DataNameEmp2 &amp; " Expense Allocation"</f>
        <v>Staff Expense Allocation</v>
      </c>
      <c r="E276" s="10"/>
      <c r="F276" s="10"/>
      <c r="G276" s="10"/>
      <c r="I276" s="3"/>
    </row>
    <row r="277" spans="2:9" ht="11.25" customHeight="1">
      <c r="B277" t="str">
        <f>DataNameProd1 &amp; " " &amp; DataNameEmp2 &amp; " Slary Expense"</f>
        <v>Growth Staff Slary Expense</v>
      </c>
      <c r="E277" s="19">
        <f t="shared" ref="E277:G278" si="19">capEmp2Exp*E272</f>
        <v>669434525.30615485</v>
      </c>
      <c r="F277" s="19">
        <f t="shared" si="19"/>
        <v>528983882.35464013</v>
      </c>
      <c r="G277" s="19">
        <f t="shared" si="19"/>
        <v>478379551.6102528</v>
      </c>
      <c r="H277" s="123" t="s">
        <v>619</v>
      </c>
    </row>
    <row r="278" spans="2:9" ht="11.25" customHeight="1">
      <c r="B278" t="str">
        <f>DataNameProd2 &amp; " " &amp; DataNameEmp2 &amp; " Slary Expense"</f>
        <v>Transform Staff Slary Expense</v>
      </c>
      <c r="E278" s="19">
        <f t="shared" si="19"/>
        <v>775925474.69384491</v>
      </c>
      <c r="F278" s="19">
        <f t="shared" si="19"/>
        <v>599416117.64535975</v>
      </c>
      <c r="G278" s="19">
        <f t="shared" si="19"/>
        <v>555492448.3897475</v>
      </c>
      <c r="H278" s="123" t="s">
        <v>792</v>
      </c>
    </row>
    <row r="279" spans="2:9" ht="4.5" customHeight="1">
      <c r="B279" s="119"/>
      <c r="C279" s="119"/>
      <c r="D279" s="119"/>
      <c r="E279" s="286"/>
      <c r="F279" s="286"/>
      <c r="G279" s="286"/>
    </row>
    <row r="280" spans="2:9" ht="11.25" customHeight="1">
      <c r="E280" s="10"/>
      <c r="F280" s="10"/>
      <c r="G280" s="10"/>
    </row>
    <row r="281" spans="2:9" ht="11.25" customHeight="1">
      <c r="B281" t="str">
        <f>DataNameProd1 &amp; " " &amp; DataNameEmp2 &amp; " Recruit/Dismissal Expense"</f>
        <v>Growth Staff Recruit/Dismissal Expense</v>
      </c>
      <c r="E281" s="11">
        <f t="shared" ref="E281:G282" si="20">capEmp2RecDismExp*E272</f>
        <v>13300504.632971568</v>
      </c>
      <c r="F281" s="11">
        <f t="shared" si="20"/>
        <v>1575138.1112296977</v>
      </c>
      <c r="G281" s="11">
        <f t="shared" si="20"/>
        <v>1944404.8073249576</v>
      </c>
      <c r="H281" s="123" t="s">
        <v>616</v>
      </c>
    </row>
    <row r="282" spans="2:9" ht="11.25" customHeight="1">
      <c r="B282" t="str">
        <f>DataNameProd2 &amp; " " &amp; DataNameEmp2 &amp; " Recruit/Dismissal Expense"</f>
        <v>Transform Staff Recruit/Dismissal Expense</v>
      </c>
      <c r="E282" s="11">
        <f t="shared" si="20"/>
        <v>15416295.367028426</v>
      </c>
      <c r="F282" s="11">
        <f t="shared" si="20"/>
        <v>1784861.8887703023</v>
      </c>
      <c r="G282" s="11">
        <f t="shared" si="20"/>
        <v>2257835.1926750434</v>
      </c>
      <c r="H282" s="123" t="s">
        <v>793</v>
      </c>
    </row>
    <row r="283" spans="2:9" ht="4.5" customHeight="1">
      <c r="B283" s="119"/>
      <c r="C283" s="119"/>
      <c r="D283" s="119"/>
      <c r="E283" s="119"/>
      <c r="F283" s="119"/>
      <c r="G283" s="119"/>
    </row>
    <row r="284" spans="2:9" ht="11.25" customHeight="1">
      <c r="B284" s="3"/>
      <c r="E284" s="34"/>
      <c r="F284" s="34"/>
      <c r="G284" s="34"/>
      <c r="I284" s="3"/>
    </row>
    <row r="285" spans="2:9" ht="11.25" customHeight="1">
      <c r="B285" t="str">
        <f>DataNameProd1&amp;" "&amp;DataNameEmp2&amp;" Admin Expense"</f>
        <v>Growth Staff Admin Expense</v>
      </c>
      <c r="E285" s="14">
        <f t="shared" ref="E285:G286" si="21">capEmp2AdminExp*E272</f>
        <v>33471726.265307739</v>
      </c>
      <c r="F285" s="14">
        <f t="shared" si="21"/>
        <v>26449194.117732007</v>
      </c>
      <c r="G285" s="14">
        <f t="shared" si="21"/>
        <v>23918977.580512639</v>
      </c>
      <c r="H285" s="123" t="s">
        <v>617</v>
      </c>
    </row>
    <row r="286" spans="2:9" ht="11.25" customHeight="1">
      <c r="B286" t="str">
        <f>DataNameProd2&amp;" "&amp;DataNameEmp2&amp;" Admin Expense"</f>
        <v>Transform Staff Admin Expense</v>
      </c>
      <c r="E286" s="14">
        <f t="shared" si="21"/>
        <v>38796273.734692246</v>
      </c>
      <c r="F286" s="14">
        <f t="shared" si="21"/>
        <v>29970805.882267989</v>
      </c>
      <c r="G286" s="14">
        <f t="shared" si="21"/>
        <v>27774622.419487372</v>
      </c>
      <c r="H286" s="123" t="s">
        <v>794</v>
      </c>
    </row>
    <row r="287" spans="2:9" ht="4.5" customHeight="1">
      <c r="B287" s="225"/>
      <c r="C287" s="119"/>
      <c r="D287" s="119"/>
      <c r="E287" s="119"/>
      <c r="F287" s="119"/>
      <c r="G287" s="119"/>
      <c r="I287" s="3"/>
    </row>
    <row r="288" spans="2:9" ht="11.25" customHeight="1">
      <c r="E288" s="19"/>
      <c r="F288" s="19"/>
      <c r="G288" s="19"/>
    </row>
    <row r="289" spans="1:13" ht="11.25" customHeight="1">
      <c r="B289" s="4"/>
      <c r="C289" s="4"/>
      <c r="D289" s="4"/>
      <c r="E289" s="120"/>
      <c r="F289" s="120"/>
      <c r="G289" s="120"/>
    </row>
    <row r="290" spans="1:13" ht="11.25" customHeight="1">
      <c r="A290" s="290" t="str">
        <f>DataNameEmp3 &amp; " Required"</f>
        <v>Services Personnel Required</v>
      </c>
      <c r="B290" s="290"/>
      <c r="C290" s="290"/>
      <c r="D290" s="290"/>
      <c r="E290" s="290"/>
      <c r="F290" s="290"/>
      <c r="G290" s="290"/>
    </row>
    <row r="291" spans="1:13" ht="11.25" customHeight="1">
      <c r="K291" s="326"/>
    </row>
    <row r="292" spans="1:13" ht="11.25" customHeight="1">
      <c r="B292" s="3" t="str">
        <f>DataNameEmp3 &amp; " Labor Hours Required"</f>
        <v>Services Personnel Labor Hours Required</v>
      </c>
      <c r="J292" s="99"/>
      <c r="K292" s="326"/>
      <c r="L292" s="565"/>
    </row>
    <row r="293" spans="1:13" ht="11.25" customHeight="1">
      <c r="B293" s="3"/>
      <c r="K293" s="326"/>
      <c r="L293" s="565"/>
    </row>
    <row r="294" spans="1:13" ht="11.25" customHeight="1">
      <c r="B294" t="str">
        <f>DataNameProd1&amp;" "&amp;DataNameEmp3&amp;" Hours"</f>
        <v>Growth Services Personnel Hours</v>
      </c>
      <c r="E294" s="326">
        <f>capProd1ServiceContracts*paramProd1ServiceHoursPContract</f>
        <v>2071440.0000000002</v>
      </c>
      <c r="F294" s="326">
        <f>capProd1ServiceContracts*paramProd1ServiceHoursPContract</f>
        <v>1760760.0000000002</v>
      </c>
      <c r="G294" s="326">
        <f>capProd1ServiceContracts*paramProd1ServiceHoursPContract</f>
        <v>1346400</v>
      </c>
      <c r="H294" s="579" t="s">
        <v>1512</v>
      </c>
      <c r="K294" s="326"/>
      <c r="L294" s="565"/>
      <c r="M294" s="565"/>
    </row>
    <row r="295" spans="1:13" ht="11.25" customHeight="1">
      <c r="B295" t="str">
        <f>DataNameProd2&amp;" "&amp;DataNameEmp3&amp;" Hours"</f>
        <v>Transform Services Personnel Hours</v>
      </c>
      <c r="E295" s="326">
        <f>capProd2ServiceContracts*paramProd2ServiceHoursPContract</f>
        <v>744960</v>
      </c>
      <c r="F295" s="326">
        <f>capProd2ServiceContracts*paramProd2ServiceHoursPContract</f>
        <v>633120.00000000012</v>
      </c>
      <c r="G295" s="326">
        <f>capProd2ServiceContracts*paramProd2ServiceHoursPContract</f>
        <v>484160.00000000006</v>
      </c>
      <c r="H295" s="579" t="s">
        <v>1513</v>
      </c>
    </row>
    <row r="296" spans="1:13" ht="4.5" customHeight="1">
      <c r="B296" s="185"/>
      <c r="C296" s="185"/>
      <c r="D296" s="185"/>
      <c r="E296" s="215"/>
      <c r="F296" s="215"/>
      <c r="G296" s="215"/>
    </row>
    <row r="297" spans="1:13" ht="11.25" customHeight="1">
      <c r="A297" s="3"/>
      <c r="B297" s="3" t="s">
        <v>237</v>
      </c>
      <c r="C297" s="3"/>
      <c r="D297" s="3"/>
      <c r="E297" s="17">
        <f>SUM(E294:E296)</f>
        <v>2816400</v>
      </c>
      <c r="F297" s="17">
        <f t="shared" ref="F297:G297" si="22">SUM(F294:F296)</f>
        <v>2393880.0000000005</v>
      </c>
      <c r="G297" s="17">
        <f t="shared" si="22"/>
        <v>1830560</v>
      </c>
      <c r="H297" s="123" t="s">
        <v>412</v>
      </c>
    </row>
    <row r="298" spans="1:13" ht="11.25" customHeight="1">
      <c r="E298" s="14"/>
      <c r="F298" s="14"/>
      <c r="G298" s="14"/>
    </row>
    <row r="299" spans="1:13" ht="11.25" customHeight="1">
      <c r="B299" s="3" t="str">
        <f>DataNameEmp3 &amp; " Required"</f>
        <v>Services Personnel Required</v>
      </c>
      <c r="E299" s="518">
        <f>ROUNDUP(capEmp3HoursReq/paramEmp3HoursPYear,0)</f>
        <v>1409</v>
      </c>
      <c r="F299" s="518">
        <f>ROUNDUP(capEmp3HoursReq/paramEmp3HoursPYear,0)</f>
        <v>1197</v>
      </c>
      <c r="G299" s="518">
        <f>ROUNDUP(capEmp3HoursReq/paramEmp3HoursPYear,0)</f>
        <v>916</v>
      </c>
    </row>
    <row r="300" spans="1:13" ht="11.25" customHeight="1">
      <c r="B300" s="3"/>
      <c r="E300" s="13"/>
      <c r="F300" s="13"/>
      <c r="G300" s="13"/>
    </row>
    <row r="301" spans="1:13" ht="11.25" customHeight="1">
      <c r="B301" t="str">
        <f>DataNameEmp3 &amp; " Recruited"</f>
        <v>Services Personnel Recruited</v>
      </c>
      <c r="E301" s="326">
        <f>MAX(0,(E299-obalEmp3+capEmp3Att))</f>
        <v>0</v>
      </c>
      <c r="F301" s="326">
        <f>MAX(0,(F299-obalEmp3+capEmp3Att))</f>
        <v>0</v>
      </c>
      <c r="G301" s="326">
        <f>MAX(0,(G299-obalEmp3+capEmp3Att))</f>
        <v>0</v>
      </c>
      <c r="H301" s="579" t="s">
        <v>1531</v>
      </c>
    </row>
    <row r="302" spans="1:13" ht="11.25" customHeight="1">
      <c r="B302" t="str">
        <f>DataNameEmp3&amp;" Dismissed"</f>
        <v>Services Personnel Dismissed</v>
      </c>
      <c r="E302" s="326">
        <f>MAX(0,(obalEmp3-capEmp3Att-E299))</f>
        <v>184</v>
      </c>
      <c r="F302" s="326">
        <f>MAX(0,(obalEmp3-capEmp3Att-F299))</f>
        <v>396</v>
      </c>
      <c r="G302" s="326">
        <f>MAX(0,(obalEmp3-capEmp3Att-G299))</f>
        <v>677</v>
      </c>
      <c r="H302" s="579" t="s">
        <v>1532</v>
      </c>
    </row>
    <row r="303" spans="1:13" ht="11.25" customHeight="1">
      <c r="B303" t="str">
        <f>DataNameEmp3&amp;" Attrition"</f>
        <v>Services Personnel Attrition</v>
      </c>
      <c r="E303" s="11">
        <f>ROUNDUP(obalEmp3*paramEmp3AttRate,0)</f>
        <v>282</v>
      </c>
      <c r="F303" s="11">
        <f>ROUNDUP(obalEmp3*paramEmp3AttRate,0)</f>
        <v>282</v>
      </c>
      <c r="G303" s="11">
        <f>ROUNDUP(obalEmp3*paramEmp3AttRate,0)</f>
        <v>282</v>
      </c>
      <c r="H303" s="123" t="s">
        <v>413</v>
      </c>
    </row>
    <row r="304" spans="1:13" ht="11.25" customHeight="1">
      <c r="B304" s="3" t="str">
        <f>DataNameEmp3 &amp; " Ending"</f>
        <v>Services Personnel Ending</v>
      </c>
      <c r="E304" s="13">
        <f>obalEmp3+E301-E302-E303</f>
        <v>1409</v>
      </c>
      <c r="F304" s="13">
        <f>obalEmp3+F301-F302-F303</f>
        <v>1197</v>
      </c>
      <c r="G304" s="13">
        <f>obalEmp3+G301-G302-G303</f>
        <v>916</v>
      </c>
      <c r="H304" s="123" t="s">
        <v>414</v>
      </c>
      <c r="I304" s="3"/>
    </row>
    <row r="305" spans="2:9" ht="11.25" customHeight="1">
      <c r="B305" t="str">
        <f>DataNameEmp3&amp;" Utilization"</f>
        <v>Services Personnel Utilization</v>
      </c>
      <c r="E305" s="15">
        <f>IF(E299=0,0,E299/E304)</f>
        <v>1</v>
      </c>
      <c r="F305" s="15">
        <f t="shared" ref="F305:G305" si="23">IF(F299=0,0,F299/F304)</f>
        <v>1</v>
      </c>
      <c r="G305" s="15">
        <f t="shared" si="23"/>
        <v>1</v>
      </c>
      <c r="H305" s="123" t="s">
        <v>415</v>
      </c>
    </row>
    <row r="306" spans="2:9" ht="11.25" customHeight="1">
      <c r="B306" t="str">
        <f>DataNameEmp3&amp;" Base Expense"</f>
        <v>Services Personnel Base Expense</v>
      </c>
      <c r="E306" s="11">
        <f>E304*paramEmp3Exp</f>
        <v>211350000</v>
      </c>
      <c r="F306" s="11">
        <f>F304*paramEmp3Exp</f>
        <v>179550000</v>
      </c>
      <c r="G306" s="11">
        <f>G304*paramEmp3Exp</f>
        <v>137400000</v>
      </c>
    </row>
    <row r="307" spans="2:9" ht="11.25" customHeight="1">
      <c r="B307" t="str">
        <f>DataNameEmp3&amp;" Overtime Expense"</f>
        <v>Services Personnel Overtime Expense</v>
      </c>
      <c r="E307" s="11">
        <f>MAX(0,E305-1)*E306*paramEmp3OTRate</f>
        <v>0</v>
      </c>
      <c r="F307" s="11">
        <f>MAX(0,F305-1)*F306*paramEmp3OTRate</f>
        <v>0</v>
      </c>
      <c r="G307" s="11">
        <f>MAX(0,G305-1)*G306*paramEmp3OTRate</f>
        <v>0</v>
      </c>
      <c r="H307" s="123" t="s">
        <v>416</v>
      </c>
    </row>
    <row r="308" spans="2:9" ht="11.25" customHeight="1">
      <c r="B308" s="3" t="str">
        <f>DataNameEmp3 &amp; " Total Expense"</f>
        <v>Services Personnel Total Expense</v>
      </c>
      <c r="C308" s="3"/>
      <c r="D308" s="3"/>
      <c r="E308" s="13">
        <f>SUM(E306:E307)</f>
        <v>211350000</v>
      </c>
      <c r="F308" s="13">
        <f>SUM(F306:F307)</f>
        <v>179550000</v>
      </c>
      <c r="G308" s="13">
        <f>SUM(G306:G307)</f>
        <v>137400000</v>
      </c>
      <c r="H308" s="123" t="s">
        <v>417</v>
      </c>
      <c r="I308" s="3"/>
    </row>
    <row r="309" spans="2:9" ht="11.25" customHeight="1">
      <c r="B309" t="str">
        <f>DataNameEmp3&amp;" Excess Capacity Cost"</f>
        <v>Services Personnel Excess Capacity Cost</v>
      </c>
      <c r="E309" s="11">
        <f>(paramEmp3OTRate&gt;0)*(E305&lt;1)*(1-E305)*E308</f>
        <v>0</v>
      </c>
      <c r="F309" s="11">
        <f>(paramEmp3OTRate&gt;0)*(F305&lt;1)*(1-F305)*F308</f>
        <v>0</v>
      </c>
      <c r="G309" s="11">
        <f>(paramEmp3OTRate&gt;0)*(G305&lt;1)*(1-G305)*G308</f>
        <v>0</v>
      </c>
      <c r="H309" s="123" t="s">
        <v>418</v>
      </c>
    </row>
    <row r="310" spans="2:9" ht="11.25" customHeight="1">
      <c r="B310" s="3"/>
      <c r="E310" s="10"/>
      <c r="F310" s="10"/>
      <c r="G310" s="10"/>
      <c r="I310" s="3"/>
    </row>
    <row r="311" spans="2:9" ht="11.25" customHeight="1">
      <c r="B311" t="str">
        <f>DataNameEmp3&amp;" Recruitment/Dismissal Costs"</f>
        <v>Services Personnel Recruitment/Dismissal Costs</v>
      </c>
      <c r="E311" s="135">
        <f>paramEmp3RecDismCost*paramEmp3Exp*(capEmp3Recruit+capEmp3Dismiss)</f>
        <v>2208000</v>
      </c>
      <c r="F311" s="135">
        <f>paramEmp3RecDismCost*paramEmp3Exp*(capEmp3Recruit+capEmp3Dismiss)</f>
        <v>4752000</v>
      </c>
      <c r="G311" s="135">
        <f>paramEmp3RecDismCost*paramEmp3Exp*(capEmp3Recruit+capEmp3Dismiss)</f>
        <v>8124000</v>
      </c>
      <c r="H311" s="123" t="s">
        <v>419</v>
      </c>
    </row>
    <row r="312" spans="2:9" ht="11.25" customHeight="1">
      <c r="B312" t="str">
        <f>DataNameEmp3&amp;" Admin Cost"</f>
        <v>Services Personnel Admin Cost</v>
      </c>
      <c r="E312" s="217">
        <f>E308*paramEmp3AdminCostPct</f>
        <v>10567500</v>
      </c>
      <c r="F312" s="217">
        <f>F308*paramEmp3AdminCostPct</f>
        <v>8977500</v>
      </c>
      <c r="G312" s="217">
        <f>G308*paramEmp3AdminCostPct</f>
        <v>6870000</v>
      </c>
      <c r="H312" s="123" t="s">
        <v>420</v>
      </c>
    </row>
    <row r="313" spans="2:9" ht="11.25" customHeight="1">
      <c r="E313" s="217"/>
      <c r="F313" s="217"/>
      <c r="G313" s="217"/>
    </row>
    <row r="314" spans="2:9" ht="11.25" customHeight="1">
      <c r="B314" s="3" t="str">
        <f>DataNameEmp3 &amp; " % Product Allocation"</f>
        <v>Services Personnel % Product Allocation</v>
      </c>
      <c r="E314" s="10"/>
      <c r="F314" s="10"/>
      <c r="G314" s="10"/>
      <c r="I314" s="3"/>
    </row>
    <row r="315" spans="2:9" ht="11.25" customHeight="1">
      <c r="B315" t="str">
        <f>DataNameProd1 &amp; " " &amp; DataNameEmp3 &amp; " Allocation"</f>
        <v>Growth Services Personnel Allocation</v>
      </c>
      <c r="E315" s="15">
        <f>IF(capEmp3HoursReq=0,0,capProd1Emp3HoursReq/capEmp3HoursReq)</f>
        <v>0.73549211759693234</v>
      </c>
      <c r="F315" s="15">
        <f>IF(capEmp3HoursReq=0,0,capProd1Emp3HoursReq/capEmp3HoursReq)</f>
        <v>0.73552559025515063</v>
      </c>
      <c r="G315" s="15">
        <f>IF(capEmp3HoursReq=0,0,capProd1Emp3HoursReq/capEmp3HoursReq)</f>
        <v>0.73551263001485889</v>
      </c>
      <c r="H315" s="123" t="s">
        <v>1521</v>
      </c>
    </row>
    <row r="316" spans="2:9" ht="11.25" customHeight="1">
      <c r="B316" t="str">
        <f>DataNameProd2 &amp; " " &amp; DataNameEmp3 &amp; " Allocation"</f>
        <v>Transform Services Personnel Allocation</v>
      </c>
      <c r="E316" s="15">
        <f>IF(capEmp3HoursReq=0,0,capProd2Emp3HoursReq/capEmp3HoursReq)</f>
        <v>0.26450788240306777</v>
      </c>
      <c r="F316" s="15">
        <f>IF(capEmp3HoursReq=0,0,capProd2Emp3HoursReq/capEmp3HoursReq)</f>
        <v>0.26447440974484937</v>
      </c>
      <c r="G316" s="15">
        <f>IF(capEmp3HoursReq=0,0,capProd2Emp3HoursReq/capEmp3HoursReq)</f>
        <v>0.26448736998514122</v>
      </c>
      <c r="H316" s="123" t="s">
        <v>1522</v>
      </c>
    </row>
    <row r="317" spans="2:9" ht="4.5" customHeight="1">
      <c r="B317" s="119"/>
      <c r="C317" s="119"/>
      <c r="D317" s="119"/>
      <c r="E317" s="282"/>
      <c r="F317" s="282"/>
      <c r="G317" s="282"/>
    </row>
    <row r="318" spans="2:9" ht="11.25" customHeight="1">
      <c r="E318" s="10"/>
      <c r="F318" s="10"/>
      <c r="G318" s="10"/>
    </row>
    <row r="319" spans="2:9" ht="11.25" customHeight="1">
      <c r="B319" s="3" t="str">
        <f>DataNameEmp3 &amp; " Expense Allocation"</f>
        <v>Services Personnel Expense Allocation</v>
      </c>
      <c r="E319" s="10"/>
      <c r="F319" s="10"/>
      <c r="G319" s="10"/>
      <c r="I319" s="3"/>
    </row>
    <row r="320" spans="2:9" ht="11.25" customHeight="1">
      <c r="B320" t="str">
        <f>DataNameProd1 &amp; " " &amp; DataNameEmp3 &amp; " Slary Expense"</f>
        <v>Growth Services Personnel Slary Expense</v>
      </c>
      <c r="E320" s="19">
        <f t="shared" ref="E320:E321" si="24">capEmp3Exp*E315</f>
        <v>155446259.05411166</v>
      </c>
      <c r="F320" s="19">
        <f t="shared" ref="F320:G320" si="25">capEmp3Exp*F315</f>
        <v>132063619.7303123</v>
      </c>
      <c r="G320" s="19">
        <f t="shared" si="25"/>
        <v>101059435.36404161</v>
      </c>
      <c r="H320" s="123" t="s">
        <v>1523</v>
      </c>
    </row>
    <row r="321" spans="1:9" ht="11.25" customHeight="1">
      <c r="B321" t="str">
        <f>DataNameProd2 &amp; " " &amp; DataNameEmp3 &amp; " Slary Expense"</f>
        <v>Transform Services Personnel Slary Expense</v>
      </c>
      <c r="E321" s="19">
        <f t="shared" si="24"/>
        <v>55903740.94588837</v>
      </c>
      <c r="F321" s="19">
        <f t="shared" ref="F321:G321" si="26">capEmp3Exp*F316</f>
        <v>47486380.269687705</v>
      </c>
      <c r="G321" s="19">
        <f t="shared" si="26"/>
        <v>36340564.635958403</v>
      </c>
      <c r="H321" s="123" t="s">
        <v>1524</v>
      </c>
    </row>
    <row r="322" spans="1:9" ht="4.5" customHeight="1">
      <c r="B322" s="119"/>
      <c r="C322" s="119"/>
      <c r="D322" s="119"/>
      <c r="E322" s="286"/>
      <c r="F322" s="286"/>
      <c r="G322" s="286"/>
    </row>
    <row r="323" spans="1:9" ht="11.25" customHeight="1">
      <c r="E323" s="10"/>
      <c r="F323" s="10"/>
      <c r="G323" s="10"/>
    </row>
    <row r="324" spans="1:9" ht="11.25" customHeight="1">
      <c r="B324" t="str">
        <f>DataNameProd1 &amp; " " &amp; DataNameEmp3 &amp; " Recruit/Dismissal Expense"</f>
        <v>Growth Services Personnel Recruit/Dismissal Expense</v>
      </c>
      <c r="E324" s="11">
        <f t="shared" ref="E324:E325" si="27">capEmp3RecDismExp*E315</f>
        <v>1623966.5956540266</v>
      </c>
      <c r="F324" s="11">
        <f t="shared" ref="F324:G324" si="28">capEmp3RecDismExp*F315</f>
        <v>3495217.604892476</v>
      </c>
      <c r="G324" s="11">
        <f t="shared" si="28"/>
        <v>5975304.606240714</v>
      </c>
      <c r="H324" s="123" t="s">
        <v>1525</v>
      </c>
    </row>
    <row r="325" spans="1:9" ht="11.25" customHeight="1">
      <c r="B325" t="str">
        <f>DataNameProd2 &amp; " " &amp; DataNameEmp3 &amp; " Recruit/Dismissal Expense"</f>
        <v>Transform Services Personnel Recruit/Dismissal Expense</v>
      </c>
      <c r="E325" s="11">
        <f t="shared" si="27"/>
        <v>584033.40434597363</v>
      </c>
      <c r="F325" s="11">
        <f t="shared" ref="F325:G325" si="29">capEmp3RecDismExp*F316</f>
        <v>1256782.3951075242</v>
      </c>
      <c r="G325" s="11">
        <f t="shared" si="29"/>
        <v>2148695.3937592874</v>
      </c>
      <c r="H325" s="123" t="s">
        <v>1526</v>
      </c>
    </row>
    <row r="326" spans="1:9" ht="4.5" customHeight="1">
      <c r="B326" s="119"/>
      <c r="C326" s="119"/>
      <c r="D326" s="119"/>
      <c r="E326" s="119"/>
      <c r="F326" s="119"/>
      <c r="G326" s="119"/>
    </row>
    <row r="327" spans="1:9" ht="11.25" customHeight="1">
      <c r="B327" s="3"/>
      <c r="E327" s="34"/>
      <c r="F327" s="34"/>
      <c r="G327" s="34"/>
      <c r="I327" s="3"/>
    </row>
    <row r="328" spans="1:9" ht="11.25" customHeight="1">
      <c r="B328" t="str">
        <f>DataNameProd1&amp;" "&amp;DataNameEmp3&amp;" Admin Expense"</f>
        <v>Growth Services Personnel Admin Expense</v>
      </c>
      <c r="E328" s="14">
        <f t="shared" ref="E328:E329" si="30">capEmp3AdminExp*E315</f>
        <v>7772312.9527055826</v>
      </c>
      <c r="F328" s="14">
        <f t="shared" ref="F328:G328" si="31">capEmp3AdminExp*F315</f>
        <v>6603180.9865156151</v>
      </c>
      <c r="G328" s="14">
        <f t="shared" si="31"/>
        <v>5052971.7682020804</v>
      </c>
      <c r="H328" s="123" t="s">
        <v>1527</v>
      </c>
    </row>
    <row r="329" spans="1:9" ht="11.25" customHeight="1">
      <c r="B329" t="str">
        <f>DataNameProd2&amp;" "&amp;DataNameEmp3&amp;" Admin Expense"</f>
        <v>Transform Services Personnel Admin Expense</v>
      </c>
      <c r="E329" s="14">
        <f t="shared" si="30"/>
        <v>2795187.0472944188</v>
      </c>
      <c r="F329" s="14">
        <f t="shared" ref="F329:G329" si="32">capEmp3AdminExp*F316</f>
        <v>2374319.0134843853</v>
      </c>
      <c r="G329" s="14">
        <f t="shared" si="32"/>
        <v>1817028.2317979201</v>
      </c>
      <c r="H329" s="123" t="s">
        <v>1528</v>
      </c>
    </row>
    <row r="330" spans="1:9" ht="4.5" customHeight="1">
      <c r="B330" s="225"/>
      <c r="C330" s="119"/>
      <c r="D330" s="119"/>
      <c r="E330" s="119"/>
      <c r="F330" s="119"/>
      <c r="G330" s="119"/>
      <c r="I330" s="3"/>
    </row>
    <row r="331" spans="1:9" ht="11.25" customHeight="1">
      <c r="E331" s="19"/>
      <c r="F331" s="19"/>
      <c r="G331" s="19"/>
    </row>
    <row r="332" spans="1:9">
      <c r="E332" s="11"/>
      <c r="F332" s="11"/>
      <c r="G332" s="11"/>
    </row>
    <row r="333" spans="1:9" ht="15.75" customHeight="1">
      <c r="A333" s="25" t="s">
        <v>161</v>
      </c>
      <c r="B333" s="26"/>
      <c r="C333" s="26"/>
      <c r="D333" s="26"/>
      <c r="E333" s="26"/>
      <c r="F333" s="26"/>
      <c r="G333" s="26"/>
    </row>
    <row r="334" spans="1:9" ht="11.25" customHeight="1"/>
    <row r="335" spans="1:9" ht="11.25" customHeight="1">
      <c r="B335" s="3" t="str">
        <f>DataNameProd1</f>
        <v>Growth</v>
      </c>
    </row>
    <row r="336" spans="1:9" ht="11.25" customHeight="1">
      <c r="B336" s="565" t="s">
        <v>3695</v>
      </c>
      <c r="E336">
        <f>IF(decProd1ProdTechLvl=4,0.009,IF(decProd1ProdTechLvl=5,0.008,0.01))</f>
        <v>0.01</v>
      </c>
      <c r="F336">
        <f>IF(decProd1ProdTechLvl=4,0.009,IF(decProd1ProdTechLvl=5,0.008,0.01))</f>
        <v>0.01</v>
      </c>
      <c r="G336">
        <f>IF(decProd1ProdTechLvl=4,0.009,IF(decProd1ProdTechLvl=5,0.008,0.01))</f>
        <v>0.01</v>
      </c>
    </row>
    <row r="337" spans="1:12" ht="11.25" customHeight="1">
      <c r="B337" t="s">
        <v>163</v>
      </c>
      <c r="E337">
        <f>paramProd1BaseTTM</f>
        <v>366</v>
      </c>
      <c r="F337">
        <f>paramProd1BaseTTM</f>
        <v>366</v>
      </c>
      <c r="G337">
        <f>paramProd1BaseTTM</f>
        <v>366</v>
      </c>
    </row>
    <row r="338" spans="1:12" ht="11.25" customHeight="1">
      <c r="B338" s="565" t="s">
        <v>1772</v>
      </c>
      <c r="E338" s="385">
        <f>(decProd1ProdTechLvl)^1.1*0.15</f>
        <v>0.32153203876088793</v>
      </c>
      <c r="F338" s="385">
        <f>(decProd1ProdTechLvl)^1.1*0.15</f>
        <v>0.15</v>
      </c>
      <c r="G338" s="385">
        <f>(decProd1ProdTechLvl)^1.1*0.15</f>
        <v>0.50225542831525705</v>
      </c>
    </row>
    <row r="339" spans="1:12" ht="11.25" customHeight="1">
      <c r="B339" t="s">
        <v>954</v>
      </c>
      <c r="E339" s="385">
        <f>MAX((-((decProd1ProdTechLvl*(decProd1TTMIntFTEs))^0.65)*E336)+1,0.1)</f>
        <v>0.62869339378236033</v>
      </c>
      <c r="F339" s="385">
        <f>MAX((-((decProd1ProdTechLvl*(decProd1TTMIntFTEs))^0.65)*F336)+1,0.1)</f>
        <v>0.80047376850311192</v>
      </c>
      <c r="G339" s="385">
        <f>MAX((-((decProd1ProdTechLvl*(decProd1TTMIntFTEs))^0.65)*G336)+1,0.1)</f>
        <v>0.36056218971583054</v>
      </c>
    </row>
    <row r="340" spans="1:12" ht="11.25" customHeight="1">
      <c r="B340" s="565" t="s">
        <v>1773</v>
      </c>
      <c r="E340" s="385">
        <f>MAX((-((decProd1ProdTechLvl*(decProd1TTMConFTEs))^0.65)*E336)+1,0.1)</f>
        <v>0.68690978330855179</v>
      </c>
      <c r="F340" s="385">
        <f>MAX((-((decProd1ProdTechLvl*(decProd1TTMConFTEs))^0.65)*F336)+1,0.1)</f>
        <v>1</v>
      </c>
      <c r="G340" s="385">
        <f>MAX((-((decProd1ProdTechLvl*(decProd1TTMConFTEs))^0.65)*G336)+1,0.1)</f>
        <v>1</v>
      </c>
    </row>
    <row r="341" spans="1:12" ht="11.25" customHeight="1">
      <c r="B341" t="s">
        <v>162</v>
      </c>
      <c r="E341" s="514">
        <f>IF(AND(xxYear=1,xxInd1Team0=1),100,MIN(MAX(PRODUCT(E337:E340),1),365))</f>
        <v>50.821085663092326</v>
      </c>
      <c r="F341" s="514">
        <f>IF(AND(xxYear=1,xxInd1Team0=1),100,MIN(MAX(PRODUCT(F337:F340),1),365))</f>
        <v>43.946009890820847</v>
      </c>
      <c r="G341" s="514">
        <f>IF(AND(xxYear=1,xxInd1Team0=1),100,MIN(MAX(PRODUCT(G337:G340),1),365))</f>
        <v>66.280520032984185</v>
      </c>
      <c r="H341" s="123" t="s">
        <v>166</v>
      </c>
    </row>
    <row r="342" spans="1:12" ht="11.25" customHeight="1"/>
    <row r="343" spans="1:12" ht="11.25" customHeight="1">
      <c r="B343" s="3" t="str">
        <f>DataNameProd2</f>
        <v>Transform</v>
      </c>
    </row>
    <row r="344" spans="1:12" ht="11.25" customHeight="1">
      <c r="B344" s="565" t="s">
        <v>3695</v>
      </c>
      <c r="E344">
        <f>IF(decProd2ProdTechLvl=4,0.009,IF(decProd2ProdTechLvl=5,0.008,0.01))</f>
        <v>0.01</v>
      </c>
      <c r="F344">
        <f>IF(decProd2ProdTechLvl=4,0.009,IF(decProd2ProdTechLvl=5,0.008,0.01))</f>
        <v>0.01</v>
      </c>
      <c r="G344">
        <f>IF(decProd2ProdTechLvl=4,0.009,IF(decProd2ProdTechLvl=5,0.008,0.01))</f>
        <v>0.01</v>
      </c>
    </row>
    <row r="345" spans="1:12" ht="11.25" customHeight="1">
      <c r="B345" t="s">
        <v>163</v>
      </c>
      <c r="E345">
        <f>paramProd2BaseTTM</f>
        <v>366</v>
      </c>
      <c r="F345">
        <f>paramProd2BaseTTM</f>
        <v>366</v>
      </c>
      <c r="G345">
        <f>paramProd2BaseTTM</f>
        <v>366</v>
      </c>
    </row>
    <row r="346" spans="1:12" ht="11.25" customHeight="1">
      <c r="B346" s="565" t="s">
        <v>1772</v>
      </c>
      <c r="E346" s="385">
        <f>(decProd2ProdTechLvl)^1.1*0.15</f>
        <v>0.32153203876088793</v>
      </c>
      <c r="F346" s="385">
        <f>(decProd2ProdTechLvl)^1.1*0.15</f>
        <v>0.32153203876088793</v>
      </c>
      <c r="G346" s="385">
        <f>(decProd2ProdTechLvl)^1.1*0.15</f>
        <v>0.32153203876088793</v>
      </c>
    </row>
    <row r="347" spans="1:12" ht="11.25" customHeight="1">
      <c r="B347" t="s">
        <v>954</v>
      </c>
      <c r="E347" s="385">
        <f>MAX((-((decProd2ProdTechLvl*(decProd2TTMIntFTEs))^0.65)*E344)+1,0.1)</f>
        <v>0.63803964487306108</v>
      </c>
      <c r="F347" s="385">
        <f>MAX((-((decProd2ProdTechLvl*(decProd2TTMIntFTEs))^0.65)*F344)+1,0.1)</f>
        <v>0.5087087895536837</v>
      </c>
      <c r="G347" s="385">
        <f>MAX((-((decProd2ProdTechLvl*(decProd2TTMIntFTEs))^0.65)*G344)+1,0.1)</f>
        <v>0.58372042644289901</v>
      </c>
    </row>
    <row r="348" spans="1:12" ht="11.25" customHeight="1">
      <c r="B348" s="565" t="s">
        <v>1773</v>
      </c>
      <c r="E348" s="385">
        <f>MAX((-((decProd2ProdTechLvl*(decProd2TTMConFTEs))^0.65)*E344)+1,0.1)</f>
        <v>0.68690978330855179</v>
      </c>
      <c r="F348" s="385">
        <f>MAX((-((decProd2ProdTechLvl*(decProd2TTMConFTEs))^0.65)*F344)+1,0.1)</f>
        <v>1</v>
      </c>
      <c r="G348" s="385">
        <f>MAX((-((decProd2ProdTechLvl*(decProd2TTMConFTEs))^0.65)*G344)+1,0.1)</f>
        <v>1</v>
      </c>
    </row>
    <row r="349" spans="1:12" ht="11.25" customHeight="1">
      <c r="B349" t="s">
        <v>162</v>
      </c>
      <c r="E349" s="514">
        <f>IF(AND(xxYear=1,xxInd1Team0=1),100,MIN(MAX(PRODUCT(E345:E348),1),365))</f>
        <v>51.576599609964973</v>
      </c>
      <c r="F349" s="514">
        <f>IF(AND(xxYear=1,xxInd1Team0=1),100,MIN(MAX(PRODUCT(F345:F348),1),365))</f>
        <v>59.865219772125258</v>
      </c>
      <c r="G349" s="514">
        <f>IF(AND(xxYear=1,xxInd1Team0=1),100,MIN(MAX(PRODUCT(G345:G348),1),365))</f>
        <v>68.692643673685041</v>
      </c>
      <c r="H349" s="123" t="s">
        <v>167</v>
      </c>
    </row>
    <row r="350" spans="1:12" ht="11.25" customHeight="1"/>
    <row r="351" spans="1:12" ht="15.75" customHeight="1">
      <c r="A351" s="25" t="s">
        <v>78</v>
      </c>
      <c r="B351" s="26"/>
      <c r="C351" s="26"/>
      <c r="D351" s="26"/>
      <c r="E351" s="26"/>
      <c r="F351" s="26"/>
      <c r="G351" s="26"/>
      <c r="L351" s="565" t="s">
        <v>531</v>
      </c>
    </row>
    <row r="352" spans="1:12" ht="11.25" customHeight="1"/>
    <row r="353" spans="1:18" ht="11.25" customHeight="1">
      <c r="B353" t="s">
        <v>2564</v>
      </c>
      <c r="D353">
        <v>12</v>
      </c>
      <c r="E353">
        <f>paramPlant1ShutDownTrigger</f>
        <v>0</v>
      </c>
      <c r="F353">
        <f>paramPlant1ShutDownTrigger</f>
        <v>0</v>
      </c>
      <c r="G353">
        <f>paramPlant1ShutDownTrigger</f>
        <v>0</v>
      </c>
      <c r="H353" s="579" t="s">
        <v>3106</v>
      </c>
    </row>
    <row r="354" spans="1:18" ht="11.25" customHeight="1">
      <c r="B354" s="565" t="s">
        <v>4480</v>
      </c>
      <c r="E354">
        <f>IF(capDC3rdPartyTrigger=1,-0.03,0)*IF(obalSpecProg12Year=0,1,0)</f>
        <v>0</v>
      </c>
      <c r="F354">
        <f>IF(capDC3rdPartyTrigger=1,-0.03,0)*IF(obalSpecProg12Year=0,1,0)</f>
        <v>0</v>
      </c>
      <c r="G354">
        <f>IF(capDC3rdPartyTrigger=1,-0.03,0)*IF(obalSpecProg12Year=0,1,0)</f>
        <v>0</v>
      </c>
      <c r="H354" s="579" t="s">
        <v>4481</v>
      </c>
    </row>
    <row r="355" spans="1:18" ht="11.25" customHeight="1">
      <c r="B355" s="565" t="s">
        <v>3156</v>
      </c>
      <c r="E355">
        <f>obalProd1ProdTechLvl+obalProd2ProdTechLvl</f>
        <v>2</v>
      </c>
      <c r="F355">
        <f>obalProd1ProdTechLvl+obalProd2ProdTechLvl</f>
        <v>2</v>
      </c>
      <c r="G355">
        <f>obalProd1ProdTechLvl+obalProd2ProdTechLvl</f>
        <v>2</v>
      </c>
      <c r="H355" s="579" t="s">
        <v>3157</v>
      </c>
    </row>
    <row r="356" spans="1:18" ht="11.25" customHeight="1">
      <c r="B356" s="565" t="s">
        <v>2177</v>
      </c>
      <c r="E356">
        <f>cbalProd1ProdTechLvl+cbalProd2ProdTechLvl</f>
        <v>6</v>
      </c>
      <c r="F356">
        <f>cbalProd1ProdTechLvl+cbalProd2ProdTechLvl</f>
        <v>5</v>
      </c>
      <c r="G356">
        <f>cbalProd1ProdTechLvl+cbalProd2ProdTechLvl</f>
        <v>7</v>
      </c>
      <c r="H356" s="579" t="s">
        <v>2178</v>
      </c>
    </row>
    <row r="357" spans="1:18" ht="11.25" customHeight="1">
      <c r="B357" s="565" t="str">
        <f>DataNameProd1 &amp; " Price Increase"</f>
        <v>Growth Price Increase</v>
      </c>
      <c r="E357" s="713">
        <f>(decProd1Price/obalProd1Price)-1</f>
        <v>0</v>
      </c>
      <c r="F357" s="713">
        <f>(decProd1Price/obalProd1Price)-1</f>
        <v>0.10000000000000009</v>
      </c>
      <c r="G357" s="713">
        <f>(decProd1Price/obalProd1Price)-1</f>
        <v>-3.0000000000000027E-2</v>
      </c>
      <c r="H357" s="579"/>
    </row>
    <row r="358" spans="1:18" ht="11.25" customHeight="1">
      <c r="B358" s="565" t="str">
        <f>DataNameProd2 &amp; " Price Increase"</f>
        <v>Transform Price Increase</v>
      </c>
      <c r="E358" s="713">
        <f>(decProd2Price/obalProd2Price)-1</f>
        <v>0</v>
      </c>
      <c r="F358" s="713">
        <f>(decProd2Price/obalProd2Price)-1</f>
        <v>5.0000000000000044E-2</v>
      </c>
      <c r="G358" s="713">
        <f>(decProd2Price/obalProd2Price)-1</f>
        <v>-3.0000000000000027E-2</v>
      </c>
      <c r="H358" s="579"/>
    </row>
    <row r="359" spans="1:18" ht="11.25" customHeight="1">
      <c r="B359" s="565" t="str">
        <f>DataNameProd1 &amp; " Price Increase"</f>
        <v>Growth Price Increase</v>
      </c>
      <c r="E359" s="578">
        <f>IF((decProd1Price/obalProd1Price)-1&gt;3%,1,0)</f>
        <v>0</v>
      </c>
      <c r="F359" s="578">
        <f>IF((decProd1Price/obalProd1Price)-1&gt;3%,1,0)</f>
        <v>1</v>
      </c>
      <c r="G359" s="578">
        <f>IF((decProd1Price/obalProd1Price)-1&gt;3%,1,0)</f>
        <v>0</v>
      </c>
      <c r="H359" s="579" t="s">
        <v>3360</v>
      </c>
    </row>
    <row r="360" spans="1:18" ht="11.25" customHeight="1">
      <c r="B360" s="565" t="str">
        <f>DataNameProd2 &amp; " Price Increase"</f>
        <v>Transform Price Increase</v>
      </c>
      <c r="E360" s="578">
        <f>IF((decProd2Price/obalProd2Price)-1&gt;3%,1,0)</f>
        <v>0</v>
      </c>
      <c r="F360" s="578">
        <f>IF((decProd2Price/obalProd2Price)-1&gt;3%,1,0)</f>
        <v>1</v>
      </c>
      <c r="G360" s="578">
        <f>IF((decProd2Price/obalProd2Price)-1&gt;3%,1,0)</f>
        <v>0</v>
      </c>
      <c r="H360" s="579" t="s">
        <v>3361</v>
      </c>
    </row>
    <row r="361" spans="1:18" ht="11.25" customHeight="1"/>
    <row r="362" spans="1:18" ht="11.25" customHeight="1">
      <c r="B362" t="s">
        <v>950</v>
      </c>
      <c r="E362" s="325">
        <f>CHOOSE(xxYear+1,0.63,0.95,0.95,0.95)</f>
        <v>0.63</v>
      </c>
      <c r="F362" s="325">
        <f>CHOOSE(xxYear+1,0.63,0.95,0.95,0.95)</f>
        <v>0.63</v>
      </c>
      <c r="G362" s="325">
        <f>CHOOSE(xxYear+1,0.63,0.95,0.95,0.95)</f>
        <v>0.63</v>
      </c>
      <c r="H362" s="123" t="s">
        <v>952</v>
      </c>
    </row>
    <row r="363" spans="1:18" ht="11.25" customHeight="1">
      <c r="B363" s="3" t="s">
        <v>450</v>
      </c>
      <c r="K363" s="565" t="s">
        <v>2036</v>
      </c>
      <c r="L363" s="565" t="s">
        <v>101</v>
      </c>
      <c r="M363" s="565" t="s">
        <v>102</v>
      </c>
      <c r="N363" s="565" t="s">
        <v>103</v>
      </c>
      <c r="O363" s="565" t="s">
        <v>2036</v>
      </c>
      <c r="P363" s="565" t="s">
        <v>101</v>
      </c>
      <c r="Q363" s="565" t="s">
        <v>102</v>
      </c>
      <c r="R363" s="565" t="s">
        <v>103</v>
      </c>
    </row>
    <row r="364" spans="1:18" ht="11.25" customHeight="1" thickBot="1">
      <c r="B364" s="3" t="s">
        <v>1037</v>
      </c>
      <c r="E364" s="402">
        <f>obalCSAT/100</f>
        <v>0.63</v>
      </c>
      <c r="F364" s="402">
        <f>obalCSAT/100</f>
        <v>0.63</v>
      </c>
      <c r="G364" s="402">
        <f>obalCSAT/100</f>
        <v>0.63</v>
      </c>
      <c r="I364" t="str">
        <f>INDEX(decTeamName,2)</f>
        <v>Bloomfield</v>
      </c>
      <c r="J364" t="str">
        <f>INDEX(decTeamName,3)</f>
        <v>Nextus</v>
      </c>
      <c r="K364" t="str">
        <f>INDEX(decTeamName,2)</f>
        <v>Bloomfield</v>
      </c>
      <c r="L364" t="str">
        <f>INDEX(decTeamName,2)</f>
        <v>Bloomfield</v>
      </c>
      <c r="M364" t="str">
        <f>INDEX(decTeamName,2)</f>
        <v>Bloomfield</v>
      </c>
      <c r="N364" t="str">
        <f>INDEX(decTeamName,2)</f>
        <v>Bloomfield</v>
      </c>
      <c r="O364" t="str">
        <f>INDEX(decTeamName,3)</f>
        <v>Nextus</v>
      </c>
      <c r="P364" t="str">
        <f>INDEX(decTeamName,3)</f>
        <v>Nextus</v>
      </c>
      <c r="Q364" t="str">
        <f>INDEX(decTeamName,3)</f>
        <v>Nextus</v>
      </c>
      <c r="R364" t="str">
        <f>INDEX(decTeamName,3)</f>
        <v>Nextus</v>
      </c>
    </row>
    <row r="365" spans="1:18" ht="11.25" customHeight="1">
      <c r="A365" s="175">
        <v>1</v>
      </c>
      <c r="B365" s="175" t="s">
        <v>1274</v>
      </c>
      <c r="C365" s="176"/>
      <c r="D365" s="1051">
        <v>0.03</v>
      </c>
      <c r="E365" s="705">
        <f>((capCSATTechnology/capCSATTechnologyLastYr)-1)*$D365</f>
        <v>0.06</v>
      </c>
      <c r="F365" s="1287">
        <f>(((capCSATTechnology/capCSATTechnologyLastYr)-1)*$D365)+I365</f>
        <v>4.4999999999999998E-2</v>
      </c>
      <c r="G365" s="1284">
        <f>((capCSATTechnology/capCSATTechnologyLastYr)-1)*$D365+J365</f>
        <v>7.4999999999999997E-2</v>
      </c>
      <c r="I365" s="1279">
        <f t="shared" ref="I365:I373" si="33">INDEX(K365:N365,xxYear+1)</f>
        <v>0</v>
      </c>
      <c r="J365" s="1286">
        <f t="shared" ref="J365:J373" si="34">INDEX(O365:R365,xxYear+1)</f>
        <v>0</v>
      </c>
      <c r="K365" s="1278"/>
      <c r="L365" s="1278"/>
      <c r="M365" s="1278"/>
      <c r="N365" s="1278">
        <v>0.03</v>
      </c>
      <c r="O365" s="1276"/>
      <c r="P365" s="1281">
        <v>0</v>
      </c>
      <c r="Q365" s="1281">
        <v>0</v>
      </c>
      <c r="R365" s="1281">
        <v>0</v>
      </c>
    </row>
    <row r="366" spans="1:18" ht="11.25" customHeight="1">
      <c r="A366" s="129">
        <v>2</v>
      </c>
      <c r="B366" s="129" t="s">
        <v>1038</v>
      </c>
      <c r="C366" s="21"/>
      <c r="D366" s="702">
        <v>0.25</v>
      </c>
      <c r="E366" s="551">
        <f>IF(E357&lt;0,-E357*$D366,-E357*capCSATProd1Pricing*$D366)+IF(E358&lt;0,-E358*$D366,-E358*capCSATProd2Pricing*$D366)</f>
        <v>0</v>
      </c>
      <c r="F366" s="551">
        <f>IF(F357&lt;0,-F357*$D366,-F357*capCSATProd1Pricing*$D366)+IF(F358&lt;0,-F358*$D366,-F358*capCSATProd2Pricing*$D366)</f>
        <v>-3.7500000000000033E-2</v>
      </c>
      <c r="G366" s="551">
        <f>IF(G357&lt;0,-G357*$D366,-G357*capCSATProd1Pricing*$D366)+IF(G358&lt;0,-G358*$D366,-G358*capCSATProd2Pricing*$D366)</f>
        <v>1.5000000000000013E-2</v>
      </c>
      <c r="I366" s="505">
        <f t="shared" si="33"/>
        <v>0</v>
      </c>
      <c r="J366" s="385">
        <f t="shared" si="34"/>
        <v>0</v>
      </c>
      <c r="K366" s="1278"/>
      <c r="L366" s="1278"/>
      <c r="M366" s="1278"/>
      <c r="N366" s="1278"/>
      <c r="O366" s="1276"/>
      <c r="P366" s="1281"/>
      <c r="Q366" s="1281"/>
      <c r="R366" s="1281"/>
    </row>
    <row r="367" spans="1:18" ht="11.25" customHeight="1">
      <c r="A367" s="129">
        <v>3</v>
      </c>
      <c r="B367" s="1017" t="s">
        <v>1759</v>
      </c>
      <c r="C367" s="21"/>
      <c r="D367" s="100">
        <v>0.01</v>
      </c>
      <c r="E367" s="551">
        <f>((cbalContentLvl/obalContentLvl)-1)*$D367</f>
        <v>0.01</v>
      </c>
      <c r="F367" s="551">
        <f>((cbalContentLvl/obalContentLvl)-1)*$D367</f>
        <v>0.01</v>
      </c>
      <c r="G367" s="703">
        <f>((cbalContentLvl/obalContentLvl)-1)*$D367</f>
        <v>0.02</v>
      </c>
      <c r="I367" s="505">
        <f t="shared" si="33"/>
        <v>0</v>
      </c>
      <c r="J367" s="1285">
        <f t="shared" si="34"/>
        <v>0</v>
      </c>
      <c r="K367" s="1278"/>
      <c r="L367" s="1278"/>
      <c r="M367" s="1278"/>
      <c r="N367" s="1278"/>
      <c r="O367" s="1277"/>
      <c r="P367" s="1281"/>
      <c r="Q367" s="1281"/>
      <c r="R367" s="1281"/>
    </row>
    <row r="368" spans="1:18" ht="11.25" customHeight="1">
      <c r="A368" s="129">
        <v>4</v>
      </c>
      <c r="B368" s="129" t="s">
        <v>1279</v>
      </c>
      <c r="C368" s="21"/>
      <c r="D368" s="100">
        <v>0.02</v>
      </c>
      <c r="E368" s="551">
        <f>((cbalGlobalExpansionLvl/obalGlobalExpansionLvl)-1)*$D368</f>
        <v>0.01</v>
      </c>
      <c r="F368" s="551">
        <f>(((cbalGlobalExpansionLvl/obalGlobalExpansionLvl)-1)*$D368)+N368</f>
        <v>0.04</v>
      </c>
      <c r="G368" s="1282">
        <f>(((cbalGlobalExpansionLvl/obalGlobalExpansionLvl)-1)*$D368)+J368</f>
        <v>0.01</v>
      </c>
      <c r="I368" s="1279">
        <f t="shared" si="33"/>
        <v>0</v>
      </c>
      <c r="J368" s="1280">
        <f t="shared" si="34"/>
        <v>0</v>
      </c>
      <c r="K368" s="1278"/>
      <c r="L368" s="1278"/>
      <c r="M368" s="1278"/>
      <c r="N368" s="1278">
        <v>0.02</v>
      </c>
      <c r="O368" s="1276"/>
      <c r="P368" s="1281">
        <v>0</v>
      </c>
      <c r="Q368" s="1281">
        <v>-2.5000000000000001E-3</v>
      </c>
      <c r="R368" s="1281">
        <v>-2.5000000000000001E-3</v>
      </c>
    </row>
    <row r="369" spans="1:18" ht="11.25" customHeight="1">
      <c r="A369" s="129">
        <v>5</v>
      </c>
      <c r="B369" s="129" t="s">
        <v>748</v>
      </c>
      <c r="C369" s="21"/>
      <c r="D369" s="100">
        <v>0.01</v>
      </c>
      <c r="E369" s="551">
        <f>((cbalGlobalSalesCoverage/obalGlobalSalesCoverage)-1)*$D369</f>
        <v>0.01</v>
      </c>
      <c r="F369" s="551">
        <f>(((cbalGlobalSalesCoverage/obalGlobalSalesCoverage)-1)*$D369)+N369</f>
        <v>0.04</v>
      </c>
      <c r="G369" s="1283">
        <f>((cbalGlobalSalesCoverage/obalGlobalSalesCoverage)-1)*$D369+J369</f>
        <v>0.01</v>
      </c>
      <c r="I369" s="1279">
        <f t="shared" si="33"/>
        <v>0</v>
      </c>
      <c r="J369" s="1280">
        <f t="shared" si="34"/>
        <v>0</v>
      </c>
      <c r="K369" s="1278"/>
      <c r="L369" s="1278"/>
      <c r="M369" s="1278"/>
      <c r="N369" s="1278">
        <v>0.02</v>
      </c>
      <c r="O369" s="1276"/>
      <c r="P369" s="1281">
        <v>-0.01</v>
      </c>
      <c r="Q369" s="1281">
        <v>-2.5000000000000001E-3</v>
      </c>
      <c r="R369" s="1281">
        <v>-2.5000000000000001E-3</v>
      </c>
    </row>
    <row r="370" spans="1:18" ht="11.25" customHeight="1">
      <c r="A370" s="129">
        <v>6</v>
      </c>
      <c r="B370" s="1017" t="s">
        <v>2135</v>
      </c>
      <c r="C370" s="21"/>
      <c r="D370" s="702">
        <v>0.03</v>
      </c>
      <c r="E370" s="551">
        <f>((capCustomerService/obalCustomerService)-1)*$D$370</f>
        <v>0</v>
      </c>
      <c r="F370" s="1283">
        <f>(((capCustomerService/obalCustomerService)-1)*$D$370)+I370</f>
        <v>0</v>
      </c>
      <c r="G370" s="703">
        <f>((capCustomerService/obalCustomerService)-1)*$D$370</f>
        <v>-1.4999999999999999E-2</v>
      </c>
      <c r="H370" s="708" t="s">
        <v>2180</v>
      </c>
      <c r="I370" s="1280">
        <f t="shared" si="33"/>
        <v>0</v>
      </c>
      <c r="J370" s="1285">
        <f t="shared" si="34"/>
        <v>0</v>
      </c>
      <c r="K370" s="1278"/>
      <c r="L370" s="1278">
        <v>-0.03</v>
      </c>
      <c r="M370" s="1278">
        <v>-0.03</v>
      </c>
      <c r="N370" s="1278">
        <v>-0.03</v>
      </c>
      <c r="O370" s="1276"/>
      <c r="P370" s="1281"/>
      <c r="Q370" s="1281"/>
      <c r="R370" s="1281"/>
    </row>
    <row r="371" spans="1:18" ht="11.25" customHeight="1">
      <c r="A371" s="129">
        <v>7</v>
      </c>
      <c r="B371" s="1017" t="s">
        <v>2170</v>
      </c>
      <c r="C371" s="21"/>
      <c r="D371" s="100">
        <v>0.05</v>
      </c>
      <c r="E371" s="551">
        <f>((capESAT/obalESAT)-1)*$D371</f>
        <v>0</v>
      </c>
      <c r="F371" s="551">
        <f>((capESAT/obalESAT)-1)*$D371</f>
        <v>0</v>
      </c>
      <c r="G371" s="1282">
        <f>((capESAT/obalESAT)-1)*$D371+J371</f>
        <v>0</v>
      </c>
      <c r="I371" s="1285">
        <f t="shared" si="33"/>
        <v>0</v>
      </c>
      <c r="J371" s="1280">
        <f t="shared" si="34"/>
        <v>0</v>
      </c>
      <c r="K371" s="1278"/>
      <c r="L371" s="1278"/>
      <c r="M371" s="1278"/>
      <c r="N371" s="1278"/>
      <c r="O371" s="1276"/>
      <c r="P371" s="1281">
        <v>-5.0000000000000001E-3</v>
      </c>
      <c r="Q371" s="1281">
        <v>-1E-3</v>
      </c>
      <c r="R371" s="1281">
        <v>-1E-3</v>
      </c>
    </row>
    <row r="372" spans="1:18" ht="11.25" customHeight="1">
      <c r="A372" s="129">
        <v>8</v>
      </c>
      <c r="B372" s="1017" t="s">
        <v>1226</v>
      </c>
      <c r="C372" s="21"/>
      <c r="D372" s="100">
        <v>0.05</v>
      </c>
      <c r="E372" s="551">
        <f>((decMarketing/obalMkt)-1)*$D372</f>
        <v>0</v>
      </c>
      <c r="F372" s="551">
        <f>(((decMarketing/obalMkt)-1)*$D372)+I372</f>
        <v>0</v>
      </c>
      <c r="G372" s="1282">
        <f>(((decMarketing/obalMkt)-1)*$D372)+J372</f>
        <v>0</v>
      </c>
      <c r="I372" s="1279">
        <f t="shared" si="33"/>
        <v>0</v>
      </c>
      <c r="J372" s="1280">
        <f t="shared" si="34"/>
        <v>0</v>
      </c>
      <c r="K372" s="1278"/>
      <c r="L372" s="1278"/>
      <c r="M372" s="1278"/>
      <c r="N372" s="1278">
        <v>0.03</v>
      </c>
      <c r="O372" s="1276"/>
      <c r="P372" s="1281">
        <v>-5.0000000000000001E-3</v>
      </c>
      <c r="Q372" s="1281">
        <v>-1E-3</v>
      </c>
      <c r="R372" s="1281">
        <v>-1E-3</v>
      </c>
    </row>
    <row r="373" spans="1:18" ht="11.25" customHeight="1">
      <c r="A373" s="129">
        <v>9</v>
      </c>
      <c r="B373" s="1017" t="s">
        <v>2976</v>
      </c>
      <c r="C373" s="21"/>
      <c r="D373" s="702"/>
      <c r="E373" s="551">
        <f>IF(capPlant1Utiliz&gt;=0.9,-8%,0)*IF(paramPlant1ShutDownTrigger=0,1,0)</f>
        <v>0</v>
      </c>
      <c r="F373" s="551">
        <f>IF(capPlant1Utiliz&gt;=0.9,-8%,0)*IF(paramPlant1ShutDownTrigger=0,1,0)</f>
        <v>0</v>
      </c>
      <c r="G373" s="703">
        <f>IF(capPlant1Utiliz&gt;=0.9,-8%,0)*IF(paramPlant1ShutDownTrigger=0,1,0)</f>
        <v>0</v>
      </c>
      <c r="I373" s="1285">
        <f t="shared" si="33"/>
        <v>0</v>
      </c>
      <c r="J373" s="1285">
        <f t="shared" si="34"/>
        <v>0</v>
      </c>
      <c r="K373" s="1278"/>
      <c r="L373" s="1278"/>
      <c r="M373" s="1278"/>
      <c r="N373" s="1278"/>
      <c r="O373" s="1276"/>
      <c r="P373" s="1281"/>
      <c r="Q373" s="1281"/>
      <c r="R373" s="1281"/>
    </row>
    <row r="374" spans="1:18" ht="11.25" customHeight="1">
      <c r="A374" s="129">
        <v>10</v>
      </c>
      <c r="B374" s="129" t="s">
        <v>1040</v>
      </c>
      <c r="C374" s="21"/>
      <c r="D374" s="21"/>
      <c r="E374" s="551">
        <f>paramCSATAdj</f>
        <v>0</v>
      </c>
      <c r="F374" s="551">
        <f>paramCSATAdj</f>
        <v>0</v>
      </c>
      <c r="G374" s="703">
        <f>paramCSATAdj</f>
        <v>0</v>
      </c>
      <c r="K374" s="1278"/>
      <c r="L374" s="1278"/>
      <c r="M374" s="1278"/>
      <c r="N374" s="1278"/>
      <c r="O374" s="1276"/>
      <c r="P374" s="1281"/>
      <c r="Q374" s="1281"/>
      <c r="R374" s="1281"/>
    </row>
    <row r="375" spans="1:18" ht="11.25" customHeight="1" thickBot="1">
      <c r="A375" s="131">
        <v>10</v>
      </c>
      <c r="B375" s="131" t="s">
        <v>1039</v>
      </c>
      <c r="C375" s="132"/>
      <c r="D375" s="132"/>
      <c r="E375" s="701"/>
      <c r="F375" s="701"/>
      <c r="G375" s="700"/>
    </row>
    <row r="376" spans="1:18" ht="11.25" customHeight="1">
      <c r="B376" s="403" t="s">
        <v>681</v>
      </c>
      <c r="E376" s="404"/>
      <c r="F376" s="404"/>
      <c r="G376" s="404"/>
    </row>
    <row r="377" spans="1:18" ht="11.25" customHeight="1">
      <c r="B377" s="3" t="s">
        <v>450</v>
      </c>
      <c r="E377" s="1263">
        <f>MIN(capCSATMax,MAX(0.6,IF(xxYear=0,0.63,SUM(E364:E376))))*100</f>
        <v>63</v>
      </c>
      <c r="F377" s="1263">
        <f>MIN(capCSATMax,MAX(0.6,IF(xxYear=0,0.63,SUM(F364:F376))))*100</f>
        <v>63</v>
      </c>
      <c r="G377" s="1263">
        <f>MIN(capCSATMax,MAX(0.6,IF(xxYear=0,0.63,SUM(G364:G376))))*100</f>
        <v>63</v>
      </c>
      <c r="H377" s="123" t="s">
        <v>1041</v>
      </c>
    </row>
    <row r="378" spans="1:18" ht="11.25" customHeight="1"/>
    <row r="379" spans="1:18" ht="11.25" customHeight="1">
      <c r="B379" t="s">
        <v>951</v>
      </c>
      <c r="E379">
        <f>CHOOSE(xxYear+1,0.63,0.95,0.95,0.95)</f>
        <v>0.63</v>
      </c>
      <c r="F379">
        <f>CHOOSE(xxYear+1,0.63,0.95,0.95,0.95)</f>
        <v>0.63</v>
      </c>
      <c r="G379">
        <f>CHOOSE(xxYear+1,0.63,0.95,0.95,0.95)</f>
        <v>0.63</v>
      </c>
      <c r="H379" s="123" t="s">
        <v>301</v>
      </c>
    </row>
    <row r="380" spans="1:18" ht="11.25" customHeight="1">
      <c r="B380" s="3" t="s">
        <v>447</v>
      </c>
      <c r="K380" s="565" t="s">
        <v>2036</v>
      </c>
      <c r="L380" s="565" t="s">
        <v>101</v>
      </c>
      <c r="M380" s="565" t="s">
        <v>102</v>
      </c>
      <c r="N380" s="565" t="s">
        <v>103</v>
      </c>
      <c r="O380" s="565" t="s">
        <v>2036</v>
      </c>
      <c r="P380" s="565" t="s">
        <v>101</v>
      </c>
      <c r="Q380" s="565" t="s">
        <v>102</v>
      </c>
      <c r="R380" s="565" t="s">
        <v>103</v>
      </c>
    </row>
    <row r="381" spans="1:18" ht="11.25" customHeight="1" thickBot="1">
      <c r="B381" s="3" t="s">
        <v>1042</v>
      </c>
      <c r="E381" s="385">
        <f>obalESAT/100</f>
        <v>0.63</v>
      </c>
      <c r="F381" s="385">
        <f>obalESAT/100</f>
        <v>0.63</v>
      </c>
      <c r="G381" s="385">
        <f>obalESAT/100</f>
        <v>0.63</v>
      </c>
      <c r="I381" t="str">
        <f>INDEX(decTeamName,2)</f>
        <v>Bloomfield</v>
      </c>
      <c r="J381" t="str">
        <f>INDEX(decTeamName,3)</f>
        <v>Nextus</v>
      </c>
      <c r="K381" t="str">
        <f>INDEX(decTeamName,2)</f>
        <v>Bloomfield</v>
      </c>
      <c r="L381" t="str">
        <f>INDEX(decTeamName,2)</f>
        <v>Bloomfield</v>
      </c>
      <c r="M381" t="str">
        <f>INDEX(decTeamName,2)</f>
        <v>Bloomfield</v>
      </c>
      <c r="N381" t="str">
        <f>INDEX(decTeamName,2)</f>
        <v>Bloomfield</v>
      </c>
      <c r="O381" t="str">
        <f>INDEX(decTeamName,3)</f>
        <v>Nextus</v>
      </c>
      <c r="P381" t="str">
        <f>INDEX(decTeamName,3)</f>
        <v>Nextus</v>
      </c>
      <c r="Q381" t="str">
        <f>INDEX(decTeamName,3)</f>
        <v>Nextus</v>
      </c>
      <c r="R381" t="str">
        <f>INDEX(decTeamName,3)</f>
        <v>Nextus</v>
      </c>
    </row>
    <row r="382" spans="1:18" ht="11.25" customHeight="1" thickBot="1">
      <c r="A382" s="175">
        <v>1</v>
      </c>
      <c r="B382" s="175" t="s">
        <v>79</v>
      </c>
      <c r="C382" s="176"/>
      <c r="D382" s="705">
        <v>0.2</v>
      </c>
      <c r="E382" s="705">
        <f>((obalPNLRev/obalRevenueY0)-1)*$D382</f>
        <v>0</v>
      </c>
      <c r="F382" s="705">
        <f>(1-(obalPNLRev/obalRevenueY0))*$D382</f>
        <v>-2.5496060395224163E-2</v>
      </c>
      <c r="G382" s="704">
        <f>(1-(obalPNLRev/obalRevenueY0))*$D382</f>
        <v>-0.10013635303994128</v>
      </c>
      <c r="I382" s="1285">
        <f t="shared" ref="I382:I386" si="35">INDEX(K382:N382,xxYear+1)</f>
        <v>0</v>
      </c>
      <c r="J382" s="505">
        <f t="shared" ref="J382:J386" si="36">INDEX(O382:R382,xxYear+1)</f>
        <v>0</v>
      </c>
      <c r="K382" s="1278"/>
      <c r="L382" s="1278"/>
      <c r="M382" s="1278"/>
      <c r="N382" s="1278"/>
      <c r="O382" s="1276"/>
      <c r="P382" s="1277"/>
      <c r="Q382" s="1277"/>
      <c r="R382" s="1277"/>
    </row>
    <row r="383" spans="1:18" ht="11.25" customHeight="1">
      <c r="A383" s="129">
        <v>2</v>
      </c>
      <c r="B383" s="175" t="s">
        <v>80</v>
      </c>
      <c r="C383" s="176"/>
      <c r="D383" s="705">
        <v>0.1</v>
      </c>
      <c r="E383" s="705">
        <f>((obalPNLCashOI/obalCashOIY0)-1)*$D383</f>
        <v>2.8584125590613851E-3</v>
      </c>
      <c r="F383" s="705">
        <f>(1-(obalPNLCashOI/obalCashOIY0))*$D383</f>
        <v>-2.8584125590613851E-3</v>
      </c>
      <c r="G383" s="704">
        <f>(1-(obalPNLCashOI/obalCashOIY0))*$D383</f>
        <v>-2.8584125590613851E-3</v>
      </c>
      <c r="I383" s="505">
        <f t="shared" si="35"/>
        <v>0</v>
      </c>
      <c r="J383" s="505">
        <f t="shared" si="36"/>
        <v>0</v>
      </c>
      <c r="K383" s="1278"/>
      <c r="L383" s="1278"/>
      <c r="M383" s="1278"/>
      <c r="N383" s="1278"/>
      <c r="O383" s="1276"/>
      <c r="P383" s="1276"/>
      <c r="Q383" s="1276"/>
      <c r="R383" s="1276"/>
    </row>
    <row r="384" spans="1:18" ht="11.25" customHeight="1">
      <c r="A384" s="129">
        <v>3</v>
      </c>
      <c r="B384" s="1017" t="s">
        <v>1974</v>
      </c>
      <c r="C384" s="21"/>
      <c r="D384" s="551">
        <v>0.03</v>
      </c>
      <c r="E384" s="551">
        <f>((cbalEmp1TrainingLvl/obalEmp1TrainingLvl)-1)*$D384</f>
        <v>0.09</v>
      </c>
      <c r="F384" s="551">
        <f>((cbalEmp1TrainingLvl/obalEmp1TrainingLvl)-1)*$D384</f>
        <v>0.09</v>
      </c>
      <c r="G384" s="1282">
        <f>(((cbalEmp1TrainingLvl/obalEmp1TrainingLvl)-1)*$D384)+J384</f>
        <v>0.03</v>
      </c>
      <c r="I384" s="505">
        <f t="shared" si="35"/>
        <v>0</v>
      </c>
      <c r="J384" s="1280">
        <f t="shared" si="36"/>
        <v>0</v>
      </c>
      <c r="K384" s="1278"/>
      <c r="L384" s="1278"/>
      <c r="M384" s="1278"/>
      <c r="N384" s="1278"/>
      <c r="O384" s="1277"/>
      <c r="P384" s="1281">
        <v>-5.0000000000000001E-3</v>
      </c>
      <c r="Q384" s="1281">
        <v>-1E-3</v>
      </c>
      <c r="R384" s="1281">
        <v>-1E-3</v>
      </c>
    </row>
    <row r="385" spans="1:18" ht="11.25" customHeight="1">
      <c r="A385" s="129">
        <v>4</v>
      </c>
      <c r="B385" s="1017" t="s">
        <v>3046</v>
      </c>
      <c r="C385" s="21"/>
      <c r="D385" s="551">
        <v>0.2</v>
      </c>
      <c r="E385" s="551">
        <f>IF(capDC3rdPartyESATImpact=0,IF(cbalEmp1&lt;obalEmp1,((cbalEmp1-obalEmp1)/obalEmp1)*$D385,0.02)/2+capPlant1Consolidate/1000,capDC3rdPartyESATImpact)</f>
        <v>0.01</v>
      </c>
      <c r="F385" s="551">
        <f>IF(capDC3rdPartyESATImpact=0,IF(cbalEmp1&lt;obalEmp1,((cbalEmp1-obalEmp1)/obalEmp1)*$D385,0.02)/2+capPlant1Consolidate/1000,capDC3rdPartyESATImpact)</f>
        <v>0.01</v>
      </c>
      <c r="G385" s="703">
        <f>IF(capDC3rdPartyESATImpact=0,IF(cbalEmp1&lt;obalEmp1,((cbalEmp1-obalEmp1)/obalEmp1)*$D385,0.02)/2+capPlant1Consolidate/1000,capDC3rdPartyESATImpact)</f>
        <v>0.01</v>
      </c>
      <c r="I385" s="1285">
        <f t="shared" si="35"/>
        <v>0</v>
      </c>
      <c r="J385" s="1285">
        <f t="shared" si="36"/>
        <v>0</v>
      </c>
      <c r="K385" s="1278"/>
      <c r="L385" s="1278"/>
      <c r="M385" s="1278"/>
      <c r="N385" s="1278"/>
      <c r="O385" s="1276"/>
      <c r="P385" s="1281"/>
      <c r="Q385" s="1281"/>
      <c r="R385" s="1281"/>
    </row>
    <row r="386" spans="1:18" ht="11.25" customHeight="1">
      <c r="A386" s="129">
        <v>5</v>
      </c>
      <c r="B386" s="1017" t="s">
        <v>1226</v>
      </c>
      <c r="C386" s="21"/>
      <c r="D386" s="551">
        <v>0.05</v>
      </c>
      <c r="E386" s="551">
        <f>((decMarketing/obalMkt)-1)*$D386</f>
        <v>0</v>
      </c>
      <c r="F386" s="551">
        <f>((decMarketing/obalMkt)-1)*$D386</f>
        <v>0</v>
      </c>
      <c r="G386" s="1282">
        <f>(((decMarketing/obalMkt)-1)*$D386)+J386</f>
        <v>0</v>
      </c>
      <c r="I386" s="1285">
        <f t="shared" si="35"/>
        <v>0</v>
      </c>
      <c r="J386" s="1280">
        <f t="shared" si="36"/>
        <v>0</v>
      </c>
      <c r="K386" s="1278"/>
      <c r="L386" s="1278"/>
      <c r="M386" s="1278"/>
      <c r="N386" s="1278"/>
      <c r="O386" s="1276"/>
      <c r="P386" s="1281">
        <v>-5.0000000000000001E-3</v>
      </c>
      <c r="Q386" s="1281">
        <v>-4.0000000000000001E-3</v>
      </c>
      <c r="R386" s="1281">
        <v>-4.0000000000000001E-3</v>
      </c>
    </row>
    <row r="387" spans="1:18" ht="11.25" customHeight="1">
      <c r="A387" s="129">
        <v>6</v>
      </c>
      <c r="B387" s="129" t="s">
        <v>1039</v>
      </c>
      <c r="C387" s="21"/>
      <c r="D387" s="21"/>
      <c r="E387" s="1052"/>
      <c r="F387" s="1052"/>
      <c r="G387" s="1053"/>
    </row>
    <row r="388" spans="1:18" ht="11.25" customHeight="1" thickBot="1">
      <c r="A388" s="131">
        <v>7</v>
      </c>
      <c r="B388" s="131" t="s">
        <v>1040</v>
      </c>
      <c r="C388" s="132"/>
      <c r="D388" s="132"/>
      <c r="E388" s="1054">
        <f>paramESATAdj</f>
        <v>0</v>
      </c>
      <c r="F388" s="1054">
        <f>paramESATAdj</f>
        <v>0</v>
      </c>
      <c r="G388" s="1055">
        <f>paramESATAdj</f>
        <v>0</v>
      </c>
    </row>
    <row r="389" spans="1:18" ht="11.25" customHeight="1">
      <c r="B389" s="403" t="s">
        <v>681</v>
      </c>
      <c r="E389" s="287"/>
      <c r="F389" s="287"/>
      <c r="G389" s="287"/>
    </row>
    <row r="390" spans="1:18" ht="11.25" customHeight="1">
      <c r="B390" s="3" t="s">
        <v>447</v>
      </c>
      <c r="E390" s="998">
        <f>MIN(capESATMax,MAX(0.6,IF(xxYear=0,0.63,SUM(E381:E389))))*100</f>
        <v>63</v>
      </c>
      <c r="F390" s="998">
        <f>MIN(capESATMax,MAX(0.6,IF(xxYear=0,0.63,SUM(F381:F389))))*100</f>
        <v>63</v>
      </c>
      <c r="G390" s="998">
        <f>MIN(capESATMax,MAX(0.6,IF(xxYear=0,0.63,SUM(G381:G389))))*100</f>
        <v>63</v>
      </c>
      <c r="H390" s="565" t="s">
        <v>1043</v>
      </c>
    </row>
    <row r="391" spans="1:18" ht="11.25" customHeight="1"/>
    <row r="392" spans="1:18" ht="15.75" customHeight="1">
      <c r="A392" s="25" t="s">
        <v>2145</v>
      </c>
      <c r="B392" s="26"/>
      <c r="C392" s="26"/>
      <c r="D392" s="26"/>
      <c r="E392" s="26"/>
      <c r="F392" s="26"/>
      <c r="G392" s="26"/>
    </row>
    <row r="393" spans="1:18" ht="11.25" customHeight="1"/>
    <row r="394" spans="1:18" ht="11.25" customHeight="1">
      <c r="B394" s="565" t="s">
        <v>1207</v>
      </c>
      <c r="E394" s="18"/>
      <c r="F394" s="18"/>
      <c r="G394" s="18"/>
    </row>
    <row r="395" spans="1:18" ht="11.25" customHeight="1">
      <c r="B395" s="565" t="s">
        <v>2146</v>
      </c>
      <c r="E395" s="385">
        <f>obalProd1ThirdPartyPerc</f>
        <v>0.25</v>
      </c>
      <c r="F395" s="385">
        <f>obalProd1ThirdPartyPerc</f>
        <v>0.25</v>
      </c>
      <c r="G395" s="385">
        <f>obalProd1ThirdPartyPerc</f>
        <v>0.25</v>
      </c>
    </row>
    <row r="396" spans="1:18" ht="11.25" customHeight="1">
      <c r="B396" s="565" t="s">
        <v>2147</v>
      </c>
      <c r="D396">
        <v>75</v>
      </c>
      <c r="E396" s="749">
        <f>IF(decContentMethod=0,0,(decContentLvl/50)*decContentMethod/100)</f>
        <v>0</v>
      </c>
      <c r="F396" s="749">
        <f>IF(decContentMethod=0,0,(decContentLvl/50)*decContentMethod/100)</f>
        <v>0</v>
      </c>
      <c r="G396" s="749">
        <f>IF(decContentMethod=0,0,(decContentLvl/50)*decContentMethod/100)</f>
        <v>0</v>
      </c>
    </row>
    <row r="397" spans="1:18" ht="11.25" customHeight="1">
      <c r="B397" s="565" t="s">
        <v>1998</v>
      </c>
      <c r="E397" s="385">
        <f>paramProd1ThirdPartyPerc</f>
        <v>0</v>
      </c>
      <c r="F397" s="385">
        <f>paramProd1ThirdPartyPerc</f>
        <v>0</v>
      </c>
      <c r="G397" s="385">
        <f>paramProd1ThirdPartyPerc</f>
        <v>0</v>
      </c>
    </row>
    <row r="398" spans="1:18" ht="4.5" customHeight="1">
      <c r="B398" s="225"/>
      <c r="C398" s="119"/>
      <c r="D398" s="119"/>
      <c r="E398" s="119"/>
      <c r="F398" s="119"/>
      <c r="G398" s="119"/>
      <c r="I398" s="3"/>
    </row>
    <row r="399" spans="1:18" ht="11.25" customHeight="1">
      <c r="B399" s="565" t="s">
        <v>2148</v>
      </c>
      <c r="E399" s="402">
        <f>SUM(E395:E398)</f>
        <v>0.25</v>
      </c>
      <c r="F399" s="402">
        <f t="shared" ref="F399:G399" si="37">SUM(F395:F398)</f>
        <v>0.25</v>
      </c>
      <c r="G399" s="402">
        <f t="shared" si="37"/>
        <v>0.25</v>
      </c>
      <c r="H399" s="579" t="s">
        <v>2149</v>
      </c>
    </row>
    <row r="400" spans="1:18" ht="11.25" customHeight="1">
      <c r="B400" s="565"/>
      <c r="E400" s="18"/>
      <c r="F400" s="18"/>
      <c r="G400" s="18"/>
    </row>
    <row r="401" spans="1:9" ht="11.25" customHeight="1">
      <c r="B401" s="565" t="s">
        <v>1207</v>
      </c>
      <c r="E401" s="18"/>
      <c r="F401" s="18"/>
      <c r="G401" s="18"/>
    </row>
    <row r="402" spans="1:9" ht="11.25" customHeight="1">
      <c r="B402" s="565" t="s">
        <v>2146</v>
      </c>
      <c r="E402" s="385">
        <f>obalProd2ThirdPartyPerc</f>
        <v>0.2</v>
      </c>
      <c r="F402" s="385">
        <f>obalProd2ThirdPartyPerc</f>
        <v>0.2</v>
      </c>
      <c r="G402" s="385">
        <f>obalProd2ThirdPartyPerc</f>
        <v>0.2</v>
      </c>
    </row>
    <row r="403" spans="1:9" ht="11.25" customHeight="1">
      <c r="B403" s="565" t="s">
        <v>2147</v>
      </c>
      <c r="D403">
        <v>75</v>
      </c>
      <c r="E403" s="749">
        <f>IF(decContentMethod=0,0,(decContentLvl/50)*decContentMethod/100)</f>
        <v>0</v>
      </c>
      <c r="F403" s="749">
        <f>IF(decContentMethod=0,0,(decContentLvl/50)*decContentMethod/100)</f>
        <v>0</v>
      </c>
      <c r="G403" s="749">
        <f>IF(decContentMethod=0,0,(decContentLvl/50)*decContentMethod/100)</f>
        <v>0</v>
      </c>
    </row>
    <row r="404" spans="1:9" ht="11.25" customHeight="1">
      <c r="B404" s="565" t="s">
        <v>1998</v>
      </c>
      <c r="E404" s="385">
        <f>paramProd2ThirdPartyPerc</f>
        <v>0</v>
      </c>
      <c r="F404" s="385">
        <f>paramProd2ThirdPartyPerc</f>
        <v>0</v>
      </c>
      <c r="G404" s="385">
        <f>paramProd2ThirdPartyPerc</f>
        <v>0</v>
      </c>
    </row>
    <row r="405" spans="1:9" ht="4.5" customHeight="1">
      <c r="B405" s="225"/>
      <c r="C405" s="119"/>
      <c r="D405" s="119"/>
      <c r="E405" s="119"/>
      <c r="F405" s="119"/>
      <c r="G405" s="119"/>
      <c r="I405" s="3"/>
    </row>
    <row r="406" spans="1:9" ht="11.25" customHeight="1">
      <c r="B406" s="565" t="s">
        <v>2148</v>
      </c>
      <c r="E406" s="402">
        <f>SUM(E402:E405)</f>
        <v>0.2</v>
      </c>
      <c r="F406" s="402">
        <f t="shared" ref="F406" si="38">SUM(F402:F405)</f>
        <v>0.2</v>
      </c>
      <c r="G406" s="402">
        <f t="shared" ref="G406" si="39">SUM(G402:G405)</f>
        <v>0.2</v>
      </c>
      <c r="H406" s="579" t="s">
        <v>2150</v>
      </c>
    </row>
    <row r="407" spans="1:9" ht="11.25" customHeight="1">
      <c r="B407" s="565"/>
      <c r="E407" s="18"/>
      <c r="F407" s="18"/>
      <c r="G407" s="18"/>
    </row>
    <row r="408" spans="1:9" ht="15.75" customHeight="1">
      <c r="A408" s="25" t="s">
        <v>2989</v>
      </c>
      <c r="B408" s="26"/>
      <c r="C408" s="26"/>
      <c r="D408" s="26"/>
      <c r="E408" s="26"/>
      <c r="F408" s="26"/>
      <c r="G408" s="26"/>
    </row>
    <row r="409" spans="1:9" ht="11.25" customHeight="1"/>
    <row r="410" spans="1:9" ht="11.25" customHeight="1">
      <c r="B410" s="565" t="s">
        <v>1356</v>
      </c>
      <c r="E410" s="18"/>
      <c r="F410" s="18"/>
      <c r="G410" s="18"/>
    </row>
    <row r="411" spans="1:9" ht="11.25" customHeight="1">
      <c r="B411" s="565" t="s">
        <v>2990</v>
      </c>
      <c r="E411" s="551">
        <f>decSalesNewPerc</f>
        <v>0.5</v>
      </c>
      <c r="F411" s="551">
        <f>decSalesNewPerc</f>
        <v>0.35</v>
      </c>
      <c r="G411" s="551">
        <f>decSalesNewPerc</f>
        <v>0.55000000000000004</v>
      </c>
    </row>
    <row r="412" spans="1:9" ht="11.25" customHeight="1">
      <c r="B412" s="565" t="s">
        <v>1354</v>
      </c>
      <c r="D412" s="385"/>
      <c r="E412" s="992">
        <f>cbalEmp1TrainingLvl/100</f>
        <v>0.04</v>
      </c>
      <c r="F412" s="992">
        <f>cbalEmp1TrainingLvl/100</f>
        <v>0.04</v>
      </c>
      <c r="G412" s="992">
        <f>cbalEmp1TrainingLvl/100</f>
        <v>0.02</v>
      </c>
    </row>
    <row r="413" spans="1:9" ht="11.25" customHeight="1">
      <c r="B413" s="565" t="s">
        <v>313</v>
      </c>
      <c r="D413" s="385"/>
      <c r="E413" s="992">
        <f>1-paramSalesForceProductivity</f>
        <v>0</v>
      </c>
      <c r="F413" s="992">
        <f>1-paramSalesForceProductivity</f>
        <v>0</v>
      </c>
      <c r="G413" s="992">
        <f>1-paramSalesForceProductivity</f>
        <v>0</v>
      </c>
    </row>
    <row r="414" spans="1:9" ht="4.5" customHeight="1">
      <c r="B414" s="225"/>
      <c r="C414" s="119"/>
      <c r="D414" s="119"/>
      <c r="E414" s="119"/>
      <c r="F414" s="119"/>
      <c r="G414" s="119"/>
      <c r="I414" s="3"/>
    </row>
    <row r="415" spans="1:9" ht="11.25" customHeight="1">
      <c r="B415" s="565" t="s">
        <v>2991</v>
      </c>
      <c r="E415" s="402">
        <f>SUM(E411:E414)</f>
        <v>0.54</v>
      </c>
      <c r="F415" s="402">
        <f t="shared" ref="F415:G415" si="40">SUM(F411:F414)</f>
        <v>0.38999999999999996</v>
      </c>
      <c r="G415" s="402">
        <f t="shared" si="40"/>
        <v>0.57000000000000006</v>
      </c>
      <c r="H415" s="579" t="s">
        <v>2992</v>
      </c>
    </row>
    <row r="416" spans="1:9" ht="11.25" customHeight="1">
      <c r="B416" s="565"/>
      <c r="E416" s="713"/>
      <c r="F416" s="713"/>
      <c r="G416" s="713"/>
      <c r="H416" s="579"/>
    </row>
    <row r="417" spans="1:9" ht="11.25" customHeight="1">
      <c r="B417" s="565" t="s">
        <v>1357</v>
      </c>
      <c r="E417" s="18"/>
      <c r="F417" s="18"/>
      <c r="G417" s="18"/>
    </row>
    <row r="418" spans="1:9" ht="11.25" customHeight="1">
      <c r="B418" s="565" t="s">
        <v>2990</v>
      </c>
      <c r="E418" s="551">
        <f>1-decSalesNewPerc</f>
        <v>0.5</v>
      </c>
      <c r="F418" s="551">
        <f>1-decSalesNewPerc</f>
        <v>0.65</v>
      </c>
      <c r="G418" s="551">
        <f>1-decSalesNewPerc</f>
        <v>0.44999999999999996</v>
      </c>
    </row>
    <row r="419" spans="1:9" ht="11.25" customHeight="1">
      <c r="B419" s="565" t="s">
        <v>1354</v>
      </c>
      <c r="D419" s="385"/>
      <c r="E419" s="992">
        <f>cbalEmp1TrainingLvl/100</f>
        <v>0.04</v>
      </c>
      <c r="F419" s="992">
        <f>cbalEmp1TrainingLvl/100</f>
        <v>0.04</v>
      </c>
      <c r="G419" s="992">
        <f>cbalEmp1TrainingLvl/100</f>
        <v>0.02</v>
      </c>
    </row>
    <row r="420" spans="1:9" ht="11.25" customHeight="1">
      <c r="B420" s="565" t="s">
        <v>313</v>
      </c>
      <c r="D420" s="385"/>
      <c r="E420" s="992">
        <f>1-paramSalesForceProductivity</f>
        <v>0</v>
      </c>
      <c r="F420" s="992">
        <f>1-paramSalesForceProductivity</f>
        <v>0</v>
      </c>
      <c r="G420" s="992">
        <f>1-paramSalesForceProductivity</f>
        <v>0</v>
      </c>
    </row>
    <row r="421" spans="1:9" ht="4.5" customHeight="1">
      <c r="B421" s="225"/>
      <c r="C421" s="119"/>
      <c r="D421" s="119"/>
      <c r="E421" s="119"/>
      <c r="F421" s="119"/>
      <c r="G421" s="119"/>
      <c r="I421" s="3"/>
    </row>
    <row r="422" spans="1:9" ht="11.25" customHeight="1">
      <c r="B422" s="565" t="s">
        <v>2991</v>
      </c>
      <c r="E422" s="402">
        <f>SUM(E418:E421)</f>
        <v>0.54</v>
      </c>
      <c r="F422" s="402">
        <f t="shared" ref="F422" si="41">SUM(F418:F421)</f>
        <v>0.69000000000000006</v>
      </c>
      <c r="G422" s="402">
        <f t="shared" ref="G422" si="42">SUM(G418:G421)</f>
        <v>0.47</v>
      </c>
      <c r="H422" s="579" t="s">
        <v>2993</v>
      </c>
    </row>
    <row r="423" spans="1:9" ht="11.25" customHeight="1">
      <c r="B423" s="565"/>
      <c r="E423" s="18"/>
      <c r="F423" s="18"/>
      <c r="G423" s="18"/>
    </row>
    <row r="424" spans="1:9" ht="15.75" customHeight="1">
      <c r="A424" s="25" t="s">
        <v>2135</v>
      </c>
      <c r="B424" s="26"/>
      <c r="C424" s="26"/>
      <c r="D424" s="26"/>
      <c r="E424" s="26"/>
      <c r="F424" s="26"/>
      <c r="G424" s="26"/>
    </row>
    <row r="425" spans="1:9" ht="11.25" customHeight="1"/>
    <row r="426" spans="1:9" ht="11.25" customHeight="1">
      <c r="B426" s="565" t="s">
        <v>1354</v>
      </c>
      <c r="E426" s="799">
        <f>cbalEmp1TrainingLvl</f>
        <v>4</v>
      </c>
      <c r="F426" s="799">
        <f>cbalEmp1TrainingLvl</f>
        <v>4</v>
      </c>
      <c r="G426" s="799">
        <f>cbalEmp1TrainingLvl</f>
        <v>2</v>
      </c>
    </row>
    <row r="427" spans="1:9" ht="11.25" customHeight="1">
      <c r="B427" s="565" t="s">
        <v>2998</v>
      </c>
      <c r="D427" s="12"/>
      <c r="E427" s="551">
        <f>obalCSAT/100</f>
        <v>0.63</v>
      </c>
      <c r="F427" s="551">
        <f>obalCSAT/100</f>
        <v>0.63</v>
      </c>
      <c r="G427" s="551">
        <f>obalCSAT/100</f>
        <v>0.63</v>
      </c>
      <c r="I427" s="18"/>
    </row>
    <row r="428" spans="1:9" ht="11.25" customHeight="1">
      <c r="B428" s="565" t="s">
        <v>2999</v>
      </c>
      <c r="D428" s="385"/>
      <c r="E428" s="992">
        <f>obalESAT/100</f>
        <v>0.63</v>
      </c>
      <c r="F428" s="992">
        <f>obalESAT/100</f>
        <v>0.63</v>
      </c>
      <c r="G428" s="992">
        <f>obalESAT/100</f>
        <v>0.63</v>
      </c>
      <c r="I428" s="18"/>
    </row>
    <row r="429" spans="1:9" ht="4.5" customHeight="1">
      <c r="B429" s="225"/>
      <c r="C429" s="119"/>
      <c r="D429" s="119"/>
      <c r="E429" s="119"/>
      <c r="F429" s="119"/>
      <c r="G429" s="119"/>
      <c r="I429" s="3"/>
    </row>
    <row r="430" spans="1:9" ht="11.25" customHeight="1">
      <c r="B430" s="565" t="s">
        <v>2135</v>
      </c>
      <c r="E430" s="10">
        <f>E426*E427+E426*E428</f>
        <v>5.04</v>
      </c>
      <c r="F430" s="10">
        <f t="shared" ref="F430:G430" si="43">F426*F427+F426*F428</f>
        <v>5.04</v>
      </c>
      <c r="G430" s="10">
        <f t="shared" si="43"/>
        <v>2.52</v>
      </c>
      <c r="H430" s="579" t="s">
        <v>3000</v>
      </c>
    </row>
    <row r="431" spans="1:9" ht="11.25" customHeight="1">
      <c r="B431" s="565"/>
      <c r="E431" s="713"/>
      <c r="F431" s="713"/>
      <c r="G431" s="713"/>
      <c r="H431" s="579"/>
    </row>
    <row r="432" spans="1:9" ht="15.75" customHeight="1">
      <c r="A432" s="25" t="s">
        <v>2151</v>
      </c>
      <c r="B432" s="26"/>
      <c r="C432" s="26"/>
      <c r="D432" s="26"/>
      <c r="E432" s="26"/>
      <c r="F432" s="26"/>
      <c r="G432" s="26"/>
    </row>
    <row r="433" spans="2:9" ht="11.25" customHeight="1"/>
    <row r="434" spans="2:9" ht="11.25" customHeight="1">
      <c r="B434" s="565" t="str">
        <f>DataNameProd1</f>
        <v>Growth</v>
      </c>
      <c r="E434" s="18"/>
      <c r="F434" s="18"/>
      <c r="G434" s="18"/>
    </row>
    <row r="435" spans="2:9" ht="11.25" customHeight="1">
      <c r="B435" s="565" t="s">
        <v>2152</v>
      </c>
      <c r="E435" s="618">
        <f>obalProd1CancellationRate</f>
        <v>0.05</v>
      </c>
      <c r="F435" s="618">
        <f>obalProd1CancellationRate</f>
        <v>0.05</v>
      </c>
      <c r="G435" s="618">
        <f>obalProd1CancellationRate</f>
        <v>0.05</v>
      </c>
    </row>
    <row r="436" spans="2:9" ht="11.25" customHeight="1">
      <c r="B436" s="565" t="s">
        <v>2153</v>
      </c>
      <c r="D436" s="385">
        <v>1</v>
      </c>
      <c r="E436" s="385">
        <f>(decProd1Price/obalProd1Price-1)*$D$436</f>
        <v>0</v>
      </c>
      <c r="F436" s="385">
        <f>(decProd1Price/obalProd1Price-1)*$D$436</f>
        <v>0.10000000000000009</v>
      </c>
      <c r="G436" s="385">
        <f>(decProd1Price/obalProd1Price-1)*$D$436</f>
        <v>-3.0000000000000027E-2</v>
      </c>
    </row>
    <row r="437" spans="2:9" ht="11.25" customHeight="1">
      <c r="B437" s="565" t="s">
        <v>2154</v>
      </c>
      <c r="D437" s="385">
        <v>0.3</v>
      </c>
      <c r="E437" s="385">
        <f>-(capSalesForceExistingAccounts-obalSalesForceExistingAccounts)*$D$437</f>
        <v>-4.5000000000000019E-2</v>
      </c>
      <c r="F437" s="385">
        <f>-(capSalesForceExistingAccounts-obalSalesForceExistingAccounts)*$D$437</f>
        <v>-9.0000000000000024E-2</v>
      </c>
      <c r="G437" s="385">
        <f>-(capSalesForceExistingAccounts-obalSalesForceExistingAccounts)*$D$437</f>
        <v>-2.4000000000000004E-2</v>
      </c>
    </row>
    <row r="438" spans="2:9" ht="11.25" customHeight="1">
      <c r="B438" s="565" t="s">
        <v>1274</v>
      </c>
      <c r="D438" s="385">
        <v>5.0000000000000001E-3</v>
      </c>
      <c r="E438" s="385">
        <f>-(decProd1ProdTechLvl)*$D$438</f>
        <v>-0.01</v>
      </c>
      <c r="F438" s="385">
        <f>-(decProd1ProdTechLvl)*$D$438</f>
        <v>-5.0000000000000001E-3</v>
      </c>
      <c r="G438" s="385">
        <f>-(decProd1ProdTechLvl)*$D$438</f>
        <v>-1.4999999999999999E-2</v>
      </c>
    </row>
    <row r="439" spans="2:9" ht="11.25" customHeight="1">
      <c r="B439" s="565" t="s">
        <v>447</v>
      </c>
      <c r="D439" s="385">
        <v>5.0000000000000001E-3</v>
      </c>
      <c r="E439" s="385">
        <f>-(capESAT/100)*$D$439</f>
        <v>-3.15E-3</v>
      </c>
      <c r="F439" s="385">
        <f>-(capESAT/100)*$D$439</f>
        <v>-3.15E-3</v>
      </c>
      <c r="G439" s="385">
        <f>-(capESAT/100)*$D$439</f>
        <v>-3.15E-3</v>
      </c>
    </row>
    <row r="440" spans="2:9" ht="11.25" customHeight="1">
      <c r="B440" s="565" t="s">
        <v>1998</v>
      </c>
      <c r="E440" s="385">
        <f>paramProd1CancellationRate-1</f>
        <v>0</v>
      </c>
      <c r="F440" s="385">
        <f>paramProd1CancellationRate-1</f>
        <v>0</v>
      </c>
      <c r="G440" s="385">
        <f>paramProd1CancellationRate-1</f>
        <v>0</v>
      </c>
    </row>
    <row r="441" spans="2:9" ht="4.5" customHeight="1">
      <c r="B441" s="225"/>
      <c r="C441" s="119"/>
      <c r="D441" s="119"/>
      <c r="E441" s="119"/>
      <c r="F441" s="119"/>
      <c r="G441" s="119"/>
      <c r="I441" s="3"/>
    </row>
    <row r="442" spans="2:9" ht="11.25" customHeight="1">
      <c r="B442" s="565" t="s">
        <v>2157</v>
      </c>
      <c r="E442" s="402">
        <f>SUM(E436:E441)</f>
        <v>-5.8150000000000021E-2</v>
      </c>
      <c r="F442" s="402">
        <f>SUM(F436:F441)</f>
        <v>1.8500000000000643E-3</v>
      </c>
      <c r="G442" s="402">
        <f>SUM(G436:G441)</f>
        <v>-7.2150000000000034E-2</v>
      </c>
      <c r="H442" s="579"/>
    </row>
    <row r="443" spans="2:9" ht="11.25" customHeight="1">
      <c r="B443" s="565" t="s">
        <v>2158</v>
      </c>
      <c r="E443" s="618">
        <f>obalProd1CancellationRate*(1+E442)</f>
        <v>4.7092500000000002E-2</v>
      </c>
      <c r="F443" s="618">
        <f>obalProd1CancellationRate*(1+F442)</f>
        <v>5.0092500000000012E-2</v>
      </c>
      <c r="G443" s="618">
        <f>obalProd1CancellationRate*(1+G442)</f>
        <v>4.6392500000000003E-2</v>
      </c>
      <c r="H443" s="579" t="s">
        <v>2159</v>
      </c>
    </row>
    <row r="444" spans="2:9" ht="11.25" customHeight="1">
      <c r="B444" s="565"/>
      <c r="E444" s="18"/>
      <c r="F444" s="18"/>
      <c r="G444" s="18"/>
    </row>
    <row r="445" spans="2:9" ht="11.25" customHeight="1">
      <c r="B445" s="565" t="str">
        <f>DataNameProd2</f>
        <v>Transform</v>
      </c>
      <c r="E445" s="18"/>
      <c r="F445" s="18"/>
      <c r="G445" s="18"/>
    </row>
    <row r="446" spans="2:9" ht="11.25" customHeight="1">
      <c r="B446" s="565" t="s">
        <v>2152</v>
      </c>
      <c r="E446" s="618">
        <f>obalProd2CancellationRate</f>
        <v>0.12</v>
      </c>
      <c r="F446" s="618">
        <f>obalProd2CancellationRate</f>
        <v>0.12</v>
      </c>
      <c r="G446" s="618">
        <f>obalProd2CancellationRate</f>
        <v>0.12</v>
      </c>
    </row>
    <row r="447" spans="2:9" ht="11.25" customHeight="1">
      <c r="B447" s="565" t="s">
        <v>2153</v>
      </c>
      <c r="D447" s="385">
        <v>1</v>
      </c>
      <c r="E447" s="385">
        <f>(decProd2Price/obalProd2Price-1)*$D$436</f>
        <v>0</v>
      </c>
      <c r="F447" s="385">
        <f>(decProd2Price/obalProd2Price-1)*$D$436</f>
        <v>5.0000000000000044E-2</v>
      </c>
      <c r="G447" s="385">
        <f>(decProd2Price/obalProd2Price-1)*$D$436</f>
        <v>-3.0000000000000027E-2</v>
      </c>
    </row>
    <row r="448" spans="2:9" ht="11.25" customHeight="1">
      <c r="B448" s="565" t="s">
        <v>2154</v>
      </c>
      <c r="D448" s="385">
        <v>0.4</v>
      </c>
      <c r="E448" s="385">
        <f>-((1-decSalesNewPerc)-obalSalesExistingPerc)*$D$448</f>
        <v>0</v>
      </c>
      <c r="F448" s="385">
        <f>-((1-decSalesNewPerc)-obalSalesExistingPerc)*$D$448</f>
        <v>-6.0000000000000012E-2</v>
      </c>
      <c r="G448" s="385">
        <f>-((1-decSalesNewPerc)-obalSalesExistingPerc)*$D$448</f>
        <v>2.0000000000000018E-2</v>
      </c>
    </row>
    <row r="449" spans="1:9" ht="11.25" customHeight="1">
      <c r="B449" s="565" t="s">
        <v>1274</v>
      </c>
      <c r="D449" s="385">
        <v>0.02</v>
      </c>
      <c r="E449" s="385">
        <f>-(decProd2ProdTechLvl)*$D$449</f>
        <v>-0.04</v>
      </c>
      <c r="F449" s="385">
        <f>-(decProd2ProdTechLvl)*$D$438</f>
        <v>-0.01</v>
      </c>
      <c r="G449" s="385">
        <f>-(decProd2ProdTechLvl)*$D$438</f>
        <v>-0.01</v>
      </c>
    </row>
    <row r="450" spans="1:9" ht="11.25" customHeight="1">
      <c r="B450" s="565" t="s">
        <v>447</v>
      </c>
      <c r="D450" s="385">
        <v>0.01</v>
      </c>
      <c r="E450" s="385">
        <f>-(capESAT/100)*$D$450</f>
        <v>-6.3E-3</v>
      </c>
      <c r="F450" s="385">
        <f>-(capESAT/100)*$D$439</f>
        <v>-3.15E-3</v>
      </c>
      <c r="G450" s="385">
        <f>-(capESAT/100)*$D$439</f>
        <v>-3.15E-3</v>
      </c>
    </row>
    <row r="451" spans="1:9" ht="11.25" customHeight="1">
      <c r="B451" s="565" t="s">
        <v>1998</v>
      </c>
      <c r="E451" s="385">
        <f>paramProd2CancellationRate-1</f>
        <v>0</v>
      </c>
      <c r="F451" s="385">
        <f>paramProd2CancellationRate-1</f>
        <v>0</v>
      </c>
      <c r="G451" s="385">
        <f>paramProd2CancellationRate-1</f>
        <v>0</v>
      </c>
    </row>
    <row r="452" spans="1:9" ht="4.5" customHeight="1">
      <c r="B452" s="225"/>
      <c r="C452" s="119"/>
      <c r="D452" s="119"/>
      <c r="E452" s="119"/>
      <c r="F452" s="119"/>
      <c r="G452" s="119"/>
      <c r="I452" s="3"/>
    </row>
    <row r="453" spans="1:9" ht="11.25" customHeight="1">
      <c r="B453" s="565" t="s">
        <v>2157</v>
      </c>
      <c r="E453" s="402">
        <f>SUM(E447:E452)</f>
        <v>-4.6300000000000001E-2</v>
      </c>
      <c r="F453" s="402">
        <f>SUM(F447:F452)</f>
        <v>-2.3149999999999969E-2</v>
      </c>
      <c r="G453" s="402">
        <f t="shared" ref="G453" si="44">SUM(G447:G452)</f>
        <v>-2.3150000000000011E-2</v>
      </c>
      <c r="H453" s="579"/>
    </row>
    <row r="454" spans="1:9" ht="11.25" customHeight="1">
      <c r="B454" s="565" t="s">
        <v>2158</v>
      </c>
      <c r="E454" s="618">
        <f>obalProd2CancellationRate*(1+E453)</f>
        <v>0.11444399999999999</v>
      </c>
      <c r="F454" s="618">
        <f>obalProd2CancellationRate*(1+F453)</f>
        <v>0.11722199999999999</v>
      </c>
      <c r="G454" s="618">
        <f>obalProd2CancellationRate*(1+G453)</f>
        <v>0.11722199999999999</v>
      </c>
      <c r="H454" s="579" t="s">
        <v>2160</v>
      </c>
    </row>
    <row r="455" spans="1:9" ht="11.25" customHeight="1">
      <c r="B455" s="565"/>
      <c r="E455" s="18"/>
      <c r="F455" s="18"/>
      <c r="G455" s="18"/>
    </row>
    <row r="456" spans="1:9">
      <c r="E456" s="11"/>
      <c r="F456" s="11"/>
      <c r="G456" s="11"/>
    </row>
    <row r="457" spans="1:9" ht="15.75" customHeight="1">
      <c r="A457" s="25" t="s">
        <v>0</v>
      </c>
      <c r="B457" s="26"/>
      <c r="C457" s="26"/>
      <c r="D457" s="26"/>
      <c r="E457" s="26"/>
      <c r="F457" s="26"/>
      <c r="G457" s="26"/>
    </row>
    <row r="458" spans="1:9" ht="11.25" customHeight="1"/>
    <row r="459" spans="1:9" ht="11.25" customHeight="1">
      <c r="B459" t="str">
        <f>DataNameProd1&amp;" Special Programs Expense"</f>
        <v>Growth Special Programs Expense</v>
      </c>
      <c r="E459" s="18">
        <f>finPNLProd1Rev/finPNLRev*paramSpecProgExp+paramSpecProgProd1Exp</f>
        <v>27321629.755756736</v>
      </c>
      <c r="F459" s="18">
        <f>finPNLProd1Rev/finPNLRev*paramSpecProgExp+paramSpecProgProd1Exp</f>
        <v>27638954.298394203</v>
      </c>
      <c r="G459" s="18">
        <f>finPNLProd1Rev/finPNLRev*paramSpecProgExp+paramSpecProgProd1Exp</f>
        <v>27335418.996104531</v>
      </c>
      <c r="H459" s="123" t="s">
        <v>667</v>
      </c>
    </row>
    <row r="460" spans="1:9" ht="11.25" customHeight="1">
      <c r="B460" t="str">
        <f>DataNameProd2&amp;" Special Programs Expense"</f>
        <v>Transform Special Programs Expense</v>
      </c>
      <c r="E460" s="18">
        <f>finPNLProd2Rev/finPNLRev*paramSpecProgExp+paramSpecProgProd2Exp</f>
        <v>32678370.244243257</v>
      </c>
      <c r="F460" s="18">
        <f>finPNLProd2Rev/finPNLRev*paramSpecProgExp+paramSpecProgProd2Exp</f>
        <v>32361045.701605801</v>
      </c>
      <c r="G460" s="18">
        <f>finPNLProd2Rev/finPNLRev*paramSpecProgExp+paramSpecProgProd2Exp</f>
        <v>32664581.003895473</v>
      </c>
      <c r="H460" s="123" t="s">
        <v>668</v>
      </c>
    </row>
    <row r="461" spans="1:9">
      <c r="E461" s="11"/>
      <c r="F461" s="11"/>
      <c r="G461" s="11"/>
    </row>
    <row r="462" spans="1:9" ht="15.75" customHeight="1">
      <c r="A462" s="25" t="s">
        <v>3072</v>
      </c>
      <c r="B462" s="26"/>
      <c r="C462" s="26"/>
      <c r="D462" s="26"/>
      <c r="E462" s="26"/>
      <c r="F462" s="26"/>
      <c r="G462" s="26"/>
    </row>
    <row r="463" spans="1:9" ht="11.25" customHeight="1"/>
    <row r="464" spans="1:9" ht="11.25" customHeight="1">
      <c r="B464" t="str">
        <f>DataNameProd1&amp;" Special Programs Expense"</f>
        <v>Growth Special Programs Expense</v>
      </c>
      <c r="E464" s="18">
        <f>finPNLProd1Rev/finPNLRev*paramNetOutsideServiceBaseExp</f>
        <v>2276802.4796463945</v>
      </c>
      <c r="F464" s="18">
        <f>finPNLProd1Rev/finPNLRev*paramNetOutsideServiceBaseExp</f>
        <v>2303246.1915328503</v>
      </c>
      <c r="G464" s="18">
        <f>finPNLProd1Rev/finPNLRev*paramNetOutsideServiceBaseExp</f>
        <v>2277951.5830087112</v>
      </c>
      <c r="H464" s="579" t="s">
        <v>3073</v>
      </c>
    </row>
    <row r="465" spans="1:8" ht="11.25" customHeight="1">
      <c r="B465" t="str">
        <f>DataNameProd2&amp;" Special Programs Expense"</f>
        <v>Transform Special Programs Expense</v>
      </c>
      <c r="E465" s="18">
        <f>finPNLProd2Rev/finPNLRev*paramNetOutsideServiceBaseExp</f>
        <v>2723197.5203536046</v>
      </c>
      <c r="F465" s="18">
        <f>finPNLProd2Rev/finPNLRev*paramNetOutsideServiceBaseExp</f>
        <v>2696753.8084671497</v>
      </c>
      <c r="G465" s="18">
        <f>finPNLProd2Rev/finPNLRev*paramNetOutsideServiceBaseExp</f>
        <v>2722048.4169912897</v>
      </c>
      <c r="H465" s="579" t="s">
        <v>3074</v>
      </c>
    </row>
    <row r="466" spans="1:8">
      <c r="E466" s="11"/>
      <c r="F466" s="11"/>
      <c r="G466" s="11"/>
    </row>
    <row r="467" spans="1:8" ht="15.75" customHeight="1">
      <c r="A467" s="25" t="s">
        <v>4451</v>
      </c>
      <c r="B467" s="26"/>
      <c r="C467" s="26"/>
      <c r="D467" s="26"/>
      <c r="E467" s="26"/>
      <c r="F467" s="26"/>
      <c r="G467" s="26"/>
    </row>
    <row r="468" spans="1:8" ht="11.25" customHeight="1"/>
    <row r="469" spans="1:8" ht="11.25" customHeight="1">
      <c r="B469" t="str">
        <f>DataNameProd1&amp;" Special Programs Expense"</f>
        <v>Growth Special Programs Expense</v>
      </c>
      <c r="E469" s="18">
        <f>finPNLProd1Rev/finPNLRev*paramInternalDevelopmentBaseExp</f>
        <v>68304074.38939184</v>
      </c>
      <c r="F469" s="18">
        <f>finPNLProd1Rev/finPNLRev*paramInternalDevelopmentBaseExp</f>
        <v>69097385.745985508</v>
      </c>
      <c r="G469" s="18">
        <f>finPNLProd1Rev/finPNLRev*paramInternalDevelopmentBaseExp</f>
        <v>68338547.490261331</v>
      </c>
      <c r="H469" s="579" t="s">
        <v>4452</v>
      </c>
    </row>
    <row r="470" spans="1:8" ht="11.25" customHeight="1">
      <c r="B470" t="str">
        <f>DataNameProd2&amp;" Special Programs Expense"</f>
        <v>Transform Special Programs Expense</v>
      </c>
      <c r="E470" s="18">
        <f>finPNLProd2Rev/finPNLRev*paramInternalDevelopmentBaseExp</f>
        <v>81695925.610608146</v>
      </c>
      <c r="F470" s="18">
        <f>finPNLProd2Rev/finPNLRev*paramInternalDevelopmentBaseExp</f>
        <v>80902614.254014492</v>
      </c>
      <c r="G470" s="18">
        <f>finPNLProd2Rev/finPNLRev*paramInternalDevelopmentBaseExp</f>
        <v>81661452.509738684</v>
      </c>
      <c r="H470" s="579" t="s">
        <v>4453</v>
      </c>
    </row>
    <row r="471" spans="1:8">
      <c r="E471" s="11"/>
      <c r="F471" s="11"/>
      <c r="G471" s="11"/>
    </row>
    <row r="472" spans="1:8" ht="15.75" customHeight="1">
      <c r="A472" s="25" t="s">
        <v>3062</v>
      </c>
      <c r="B472" s="26"/>
      <c r="C472" s="26"/>
      <c r="D472" s="26"/>
      <c r="E472" s="26"/>
      <c r="F472" s="26"/>
      <c r="G472" s="26"/>
    </row>
    <row r="473" spans="1:8" ht="11.25" customHeight="1"/>
    <row r="474" spans="1:8" ht="11.25" customHeight="1">
      <c r="B474" t="str">
        <f>DataNameProd1&amp;" GGO Revenue"</f>
        <v>Growth GGO Revenue</v>
      </c>
      <c r="E474" s="18">
        <f>paramGGORevenue*(finPNLProd1ExistSubRev/finPNLExistSubRev)</f>
        <v>141889637.33477581</v>
      </c>
      <c r="F474" s="18">
        <f>paramGGORevenue*(finPNLProd1ExistSubRev/finPNLExistSubRev)</f>
        <v>145150541.99880993</v>
      </c>
      <c r="G474" s="18">
        <f>paramGGORevenue*(finPNLProd1ExistSubRev/finPNLExistSubRev)</f>
        <v>142200580.17273182</v>
      </c>
      <c r="H474" s="579" t="s">
        <v>3063</v>
      </c>
    </row>
    <row r="475" spans="1:8" ht="11.25" customHeight="1">
      <c r="B475" t="str">
        <f>DataNameProd2 &amp;" GGO Revenue"</f>
        <v>Transform GGO Revenue</v>
      </c>
      <c r="E475" s="18">
        <f>paramGGORevenue*(finPNLProd2ExistSubRev/finPNLExistSubRev)</f>
        <v>184448149.40512156</v>
      </c>
      <c r="F475" s="18">
        <f>paramGGORevenue*(finPNLProd2ExistSubRev/finPNLExistSubRev)</f>
        <v>184196660.32819372</v>
      </c>
      <c r="G475" s="18">
        <f>paramGGORevenue*(finPNLProd2ExistSubRev/finPNLExistSubRev)</f>
        <v>184137206.56716555</v>
      </c>
      <c r="H475" s="579" t="s">
        <v>3064</v>
      </c>
    </row>
    <row r="476" spans="1:8">
      <c r="E476" s="11"/>
      <c r="F476" s="11"/>
      <c r="G476" s="11"/>
    </row>
    <row r="477" spans="1:8" ht="11.25" customHeight="1">
      <c r="A477" s="565" t="s">
        <v>3335</v>
      </c>
    </row>
    <row r="478" spans="1:8" ht="11.25" customHeight="1">
      <c r="C478" s="565" t="s">
        <v>101</v>
      </c>
      <c r="E478">
        <f>COUNTIF(cbal!E248:E255,"&gt;0")</f>
        <v>0</v>
      </c>
      <c r="F478">
        <f>COUNTIF(cbal!F248:F255,"&gt;0")</f>
        <v>0</v>
      </c>
      <c r="G478">
        <f>COUNTIF(cbal!G248:G255,"&gt;0")</f>
        <v>0</v>
      </c>
      <c r="H478" s="579" t="s">
        <v>3336</v>
      </c>
    </row>
    <row r="479" spans="1:8" ht="11.25" customHeight="1">
      <c r="C479" s="565" t="s">
        <v>102</v>
      </c>
      <c r="E479">
        <f>COUNTIF(cbal!E256:E263,"&gt;0")</f>
        <v>0</v>
      </c>
      <c r="F479">
        <f>COUNTIF(cbal!F256:F263,"&gt;0")</f>
        <v>0</v>
      </c>
      <c r="G479">
        <f>COUNTIF(cbal!G256:G263,"&gt;0")</f>
        <v>0</v>
      </c>
      <c r="H479" s="579" t="s">
        <v>3337</v>
      </c>
    </row>
    <row r="480" spans="1:8" ht="11.25" customHeight="1">
      <c r="C480" s="565" t="s">
        <v>103</v>
      </c>
      <c r="E480">
        <f>COUNTIF(cbal!E264:E271,"&gt;0")</f>
        <v>0</v>
      </c>
      <c r="F480">
        <f>COUNTIF(cbal!F264:F271,"&gt;0")</f>
        <v>0</v>
      </c>
      <c r="G480">
        <f>COUNTIF(cbal!G264:G271,"&gt;0")</f>
        <v>0</v>
      </c>
      <c r="H480" s="579" t="s">
        <v>3338</v>
      </c>
    </row>
    <row r="481" spans="1:8" ht="11.25" customHeight="1">
      <c r="E481">
        <f>COUNTIF(dec!$D41:$D64, TRUE)</f>
        <v>0</v>
      </c>
      <c r="F481">
        <f>COUNTIF(dec!$D41:$D64, TRUE)</f>
        <v>0</v>
      </c>
      <c r="G481">
        <f>COUNTIF(dec!$D41:$D64, TRUE)</f>
        <v>0</v>
      </c>
      <c r="H481" s="579" t="s">
        <v>3369</v>
      </c>
    </row>
    <row r="482" spans="1:8" ht="11.25" customHeight="1">
      <c r="H482" s="579"/>
    </row>
    <row r="483" spans="1:8" ht="11.25" customHeight="1">
      <c r="E483">
        <f>3-E481</f>
        <v>3</v>
      </c>
      <c r="F483">
        <f t="shared" ref="F483:G483" si="45">3-F481</f>
        <v>3</v>
      </c>
      <c r="G483">
        <f t="shared" si="45"/>
        <v>3</v>
      </c>
      <c r="H483" s="579" t="s">
        <v>3368</v>
      </c>
    </row>
    <row r="484" spans="1:8" ht="11.25" customHeight="1"/>
    <row r="485" spans="1:8" ht="15.75" customHeight="1">
      <c r="A485" s="25" t="s">
        <v>4484</v>
      </c>
      <c r="B485" s="26"/>
      <c r="C485" s="26"/>
      <c r="D485" s="26"/>
      <c r="E485" s="26"/>
      <c r="F485" s="26"/>
      <c r="G485" s="26"/>
    </row>
    <row r="486" spans="1:8" ht="11.25" customHeight="1">
      <c r="D486" s="578"/>
    </row>
    <row r="487" spans="1:8" ht="11.25" customHeight="1">
      <c r="A487">
        <v>4</v>
      </c>
      <c r="B487">
        <v>1</v>
      </c>
      <c r="C487" s="617" t="str">
        <f t="shared" ref="C487:C511" si="46">VLOOKUP(B487,dataTableEventTitles,A487,FALSE)</f>
        <v>Acquire</v>
      </c>
      <c r="D487" s="1119">
        <f>IF(INDEX(decEvent101Chosen,xxIndexTeam)=TRUE,101,0)</f>
        <v>0</v>
      </c>
      <c r="E487" s="873">
        <f>IF(INDEX(obalEvent101Year,xxIndexTeam)&gt;0,0,IF(D487=0,0,INDEX(DataPage!$N$309:$N$335,MATCH(D487,DataPage!$L$309:$L$335,0))))</f>
        <v>0</v>
      </c>
    </row>
    <row r="488" spans="1:8" ht="11.25" customHeight="1">
      <c r="A488">
        <v>5</v>
      </c>
      <c r="B488">
        <v>1</v>
      </c>
      <c r="C488" s="617" t="str">
        <f t="shared" si="46"/>
        <v>Invest</v>
      </c>
      <c r="D488" s="1119">
        <f>IF(INDEX(decEvent102Chosen,xxIndexTeam)=TRUE,102,0)</f>
        <v>0</v>
      </c>
      <c r="E488" s="873">
        <f>IF(INDEX(obalEvent102Year,xxIndexTeam)&gt;0,0,IF(D488=0,0,INDEX(DataPage!$N$309:$N$335,MATCH(D488,DataPage!$L$309:$L$335,0))))</f>
        <v>0</v>
      </c>
    </row>
    <row r="489" spans="1:8" ht="11.25" customHeight="1">
      <c r="A489">
        <v>6</v>
      </c>
      <c r="B489">
        <v>1</v>
      </c>
      <c r="C489" s="617" t="str">
        <f t="shared" si="46"/>
        <v>Due Diligence</v>
      </c>
      <c r="D489" s="1119">
        <f>IF(INDEX(decEvent103Chosen,xxIndexTeam)=TRUE,103,0)</f>
        <v>0</v>
      </c>
      <c r="E489" s="873">
        <f>IF(INDEX(obalEvent103Year,xxIndexTeam)&gt;0,0,IF(D489=0,0,INDEX(DataPage!$N$309:$N$335,MATCH(D489,DataPage!$L$309:$L$335,0))))</f>
        <v>0</v>
      </c>
    </row>
    <row r="490" spans="1:8" ht="11.25" customHeight="1">
      <c r="A490">
        <v>4</v>
      </c>
      <c r="B490">
        <v>2</v>
      </c>
      <c r="C490" s="617" t="str">
        <f t="shared" si="46"/>
        <v>One-on-one Coaching</v>
      </c>
      <c r="D490" s="1119">
        <f>IF(INDEX(decEvent201Chosen,xxIndexTeam)=TRUE,201,0)</f>
        <v>0</v>
      </c>
      <c r="E490" s="873">
        <f>IF(INDEX(obalEvent201Year,xxIndexTeam)&gt;0,0,IF(D490=0,0,INDEX(DataPage!$N$309:$N$335,MATCH(D490,DataPage!$L$309:$L$335,0))))</f>
        <v>0</v>
      </c>
    </row>
    <row r="491" spans="1:8" ht="11.25" customHeight="1">
      <c r="A491">
        <v>5</v>
      </c>
      <c r="B491">
        <v>2</v>
      </c>
      <c r="C491" s="617" t="str">
        <f t="shared" si="46"/>
        <v>Ideation</v>
      </c>
      <c r="D491" s="1119">
        <f>IF(INDEX(decEvent202Chosen,xxIndexTeam)=TRUE,202,0)</f>
        <v>0</v>
      </c>
      <c r="E491" s="873">
        <f>IF(INDEX(obalEvent202Year,xxIndexTeam)&gt;0,0,IF(D491=0,0,INDEX(DataPage!$N$309:$N$335,MATCH(D491,DataPage!$L$309:$L$335,0))))</f>
        <v>0</v>
      </c>
    </row>
    <row r="492" spans="1:8" ht="11.25" customHeight="1">
      <c r="A492">
        <v>6</v>
      </c>
      <c r="B492">
        <v>2</v>
      </c>
      <c r="C492" s="617" t="str">
        <f t="shared" si="46"/>
        <v>Innovation Workshop</v>
      </c>
      <c r="D492" s="1119">
        <f>IF(INDEX(decEvent203Chosen,xxIndexTeam)=TRUE,203,0)</f>
        <v>0</v>
      </c>
      <c r="E492" s="873">
        <f>IF(INDEX(obalEvent203Year,xxIndexTeam)&gt;0,0,IF(D492=0,0,INDEX(DataPage!$N$309:$N$335,MATCH(D492,DataPage!$L$309:$L$335,0))))</f>
        <v>0</v>
      </c>
    </row>
    <row r="493" spans="1:8" ht="11.25" customHeight="1">
      <c r="A493">
        <v>4</v>
      </c>
      <c r="B493">
        <v>3</v>
      </c>
      <c r="C493" s="617" t="str">
        <f t="shared" si="46"/>
        <v>No Service</v>
      </c>
      <c r="D493" s="1119">
        <f>IF(INDEX(decEvent301Chosen,xxIndexTeam)=TRUE,301,0)</f>
        <v>0</v>
      </c>
      <c r="E493" s="873">
        <f>IF(INDEX(obalEvent301Year,xxIndexTeam)&gt;0,0,IF(D493=0,0,INDEX(DataPage!$N$309:$N$335,MATCH(D493,DataPage!$L$309:$L$335,0))))</f>
        <v>0</v>
      </c>
    </row>
    <row r="494" spans="1:8" ht="11.25" customHeight="1">
      <c r="A494">
        <v>5</v>
      </c>
      <c r="B494">
        <v>3</v>
      </c>
      <c r="C494" s="617" t="str">
        <f t="shared" si="46"/>
        <v>Service</v>
      </c>
      <c r="D494" s="1119">
        <f>IF(INDEX(decEvent302Chosen,xxIndexTeam)=TRUE,302,0)</f>
        <v>0</v>
      </c>
      <c r="E494" s="873">
        <f>IF(INDEX(obalEvent302Year,xxIndexTeam)&gt;0,0,IF(D494=0,0,INDEX(DataPage!$N$309:$N$335,MATCH(D494,DataPage!$L$309:$L$335,0))))</f>
        <v>0</v>
      </c>
    </row>
    <row r="495" spans="1:8" ht="11.25" customHeight="1">
      <c r="A495">
        <v>4</v>
      </c>
      <c r="B495">
        <v>4</v>
      </c>
      <c r="C495" s="617" t="str">
        <f t="shared" si="46"/>
        <v>Build</v>
      </c>
      <c r="D495" s="1119">
        <f>IF(INDEX(decEvent401Chosen,xxIndexTeam)=TRUE,401,0)</f>
        <v>0</v>
      </c>
      <c r="E495" s="873">
        <f>IF(INDEX(obalEvent401Year,xxIndexTeam)&gt;0,0,IF(D495=0,0,INDEX(DataPage!$N$309:$N$335,MATCH(D495,DataPage!$L$309:$L$335,0))))</f>
        <v>0</v>
      </c>
    </row>
    <row r="496" spans="1:8" ht="11.25" customHeight="1">
      <c r="A496">
        <v>5</v>
      </c>
      <c r="B496">
        <v>4</v>
      </c>
      <c r="C496" s="617" t="str">
        <f t="shared" si="46"/>
        <v>Innovation Process</v>
      </c>
      <c r="D496" s="1119">
        <f>IF(INDEX(decEvent402Chosen,xxIndexTeam)=TRUE,402,0)</f>
        <v>0</v>
      </c>
      <c r="E496" s="873">
        <f>IF(INDEX(obalEvent402Year,xxIndexTeam)&gt;0,0,IF(D496=0,0,INDEX(DataPage!$N$309:$N$335,MATCH(D496,DataPage!$L$309:$L$335,0))))</f>
        <v>0</v>
      </c>
    </row>
    <row r="497" spans="1:9" ht="11.25" customHeight="1">
      <c r="A497">
        <v>6</v>
      </c>
      <c r="B497">
        <v>4</v>
      </c>
      <c r="C497" s="617" t="str">
        <f t="shared" si="46"/>
        <v>No Build</v>
      </c>
      <c r="D497" s="1119">
        <f>IF(INDEX(decEvent403Chosen,xxIndexTeam)=TRUE,403,0)</f>
        <v>0</v>
      </c>
      <c r="E497" s="873">
        <f>IF(INDEX(obalEvent403Year,xxIndexTeam)&gt;0,0,IF(D497=0,0,INDEX(DataPage!$N$309:$N$335,MATCH(D497,DataPage!$L$309:$L$335,0))))</f>
        <v>0</v>
      </c>
    </row>
    <row r="498" spans="1:9" ht="11.25" customHeight="1">
      <c r="A498">
        <v>4</v>
      </c>
      <c r="B498">
        <v>5</v>
      </c>
      <c r="C498" s="617" t="str">
        <f t="shared" si="46"/>
        <v>Leverage 3rd Party</v>
      </c>
      <c r="D498" s="1119">
        <f>IF(INDEX(decEvent501Chosen,xxIndexTeam)=TRUE,501,0)</f>
        <v>0</v>
      </c>
      <c r="E498" s="873">
        <f>IF(INDEX(obalEvent501Year,xxIndexTeam)&gt;0,0,IF(D498=0,0,INDEX(DataPage!$N$309:$N$335,MATCH(D498,DataPage!$L$309:$L$335,0))))</f>
        <v>0</v>
      </c>
    </row>
    <row r="499" spans="1:9" ht="11.25" customHeight="1">
      <c r="A499">
        <v>5</v>
      </c>
      <c r="B499">
        <v>5</v>
      </c>
      <c r="C499" s="617" t="str">
        <f t="shared" si="46"/>
        <v>Build and Charge</v>
      </c>
      <c r="D499" s="1119">
        <f>IF(INDEX(decEvent502Chosen,xxIndexTeam)=TRUE,502,0)</f>
        <v>0</v>
      </c>
      <c r="E499" s="873">
        <f>IF(INDEX(obalEvent502Year,xxIndexTeam)&gt;0,0,IF(D499=0,0,INDEX(DataPage!$N$309:$N$335,MATCH(D499,DataPage!$L$309:$L$335,0))))</f>
        <v>0</v>
      </c>
    </row>
    <row r="500" spans="1:9" ht="11.25" customHeight="1">
      <c r="A500">
        <v>6</v>
      </c>
      <c r="B500">
        <v>5</v>
      </c>
      <c r="C500" s="617" t="str">
        <f t="shared" si="46"/>
        <v>Build and no Charge</v>
      </c>
      <c r="D500" s="1119">
        <f>IF(INDEX(decEvent503Chosen,xxIndexTeam)=TRUE,503,0)</f>
        <v>0</v>
      </c>
      <c r="E500" s="873">
        <f>IF(INDEX(obalEvent503Year,xxIndexTeam)&gt;0,0,IF(D500=0,0,INDEX(DataPage!$N$309:$N$335,MATCH(D500,DataPage!$L$309:$L$335,0))))</f>
        <v>0</v>
      </c>
    </row>
    <row r="501" spans="1:9" ht="11.25" customHeight="1">
      <c r="A501">
        <v>4</v>
      </c>
      <c r="B501">
        <v>6</v>
      </c>
      <c r="C501" s="617" t="str">
        <f t="shared" si="46"/>
        <v>Buy</v>
      </c>
      <c r="D501" s="1119">
        <f>IF(INDEX(decEvent601Chosen,xxIndexTeam)=TRUE,601,0)</f>
        <v>0</v>
      </c>
      <c r="E501" s="873">
        <f>IF(INDEX(obalEvent601Year,xxIndexTeam)&gt;0,0,IF(D501=0,0,INDEX(DataPage!$N$309:$N$335,MATCH(D501,DataPage!$L$309:$L$335,0))))</f>
        <v>0</v>
      </c>
    </row>
    <row r="502" spans="1:9" ht="11.25" customHeight="1">
      <c r="A502">
        <v>5</v>
      </c>
      <c r="B502">
        <v>6</v>
      </c>
      <c r="C502" s="617" t="str">
        <f t="shared" si="46"/>
        <v>Create</v>
      </c>
      <c r="D502" s="1119">
        <f>IF(INDEX(decEvent602Chosen,xxIndexTeam)=TRUE,602,0)</f>
        <v>0</v>
      </c>
      <c r="E502" s="873">
        <f>IF(INDEX(obalEvent602Year,xxIndexTeam)&gt;0,0,IF(D502=0,0,INDEX(DataPage!$N$309:$N$335,MATCH(D502,DataPage!$L$309:$L$335,0))))</f>
        <v>0</v>
      </c>
    </row>
    <row r="503" spans="1:9" ht="11.25" customHeight="1">
      <c r="A503">
        <v>6</v>
      </c>
      <c r="B503">
        <v>6</v>
      </c>
      <c r="C503" s="617" t="str">
        <f t="shared" si="46"/>
        <v>Partner</v>
      </c>
      <c r="D503" s="1119">
        <f>IF(INDEX(decEvent603Chosen,xxIndexTeam)=TRUE,603,0)</f>
        <v>0</v>
      </c>
      <c r="E503" s="873">
        <f>IF(INDEX(obalEvent603Year,xxIndexTeam)&gt;0,0,IF(D503=0,0,INDEX(DataPage!$N$309:$N$335,MATCH(D503,DataPage!$L$309:$L$335,0))))</f>
        <v>0</v>
      </c>
    </row>
    <row r="504" spans="1:9" ht="11.25" customHeight="1">
      <c r="A504">
        <v>4</v>
      </c>
      <c r="B504">
        <v>7</v>
      </c>
      <c r="C504" s="617" t="str">
        <f t="shared" si="46"/>
        <v>Hire More</v>
      </c>
      <c r="D504" s="1119">
        <f>IF(INDEX(decEvent701Chosen,xxIndexTeam)=TRUE,701,0)</f>
        <v>0</v>
      </c>
      <c r="E504" s="873">
        <f>IF(INDEX(obalEvent701Year,xxIndexTeam)&gt;0,0,IF(D504=0,0,INDEX(DataPage!$N$309:$N$335,MATCH(D504,DataPage!$L$309:$L$335,0))))</f>
        <v>0</v>
      </c>
    </row>
    <row r="505" spans="1:9" ht="11.25" customHeight="1">
      <c r="A505">
        <v>5</v>
      </c>
      <c r="B505">
        <v>7</v>
      </c>
      <c r="C505" s="617" t="str">
        <f t="shared" si="46"/>
        <v>Leverage Tech</v>
      </c>
      <c r="D505" s="1119">
        <f>IF(INDEX(decEvent702Chosen,xxIndexTeam)=TRUE,702,0)</f>
        <v>0</v>
      </c>
      <c r="E505" s="873">
        <f>IF(INDEX(obalEvent702Year,xxIndexTeam)&gt;0,0,IF(D505=0,0,INDEX(DataPage!$N$309:$N$335,MATCH(D505,DataPage!$L$309:$L$335,0))))</f>
        <v>0</v>
      </c>
    </row>
    <row r="506" spans="1:9" ht="11.25" customHeight="1">
      <c r="A506">
        <v>6</v>
      </c>
      <c r="B506">
        <v>7</v>
      </c>
      <c r="C506" s="617" t="str">
        <f t="shared" si="46"/>
        <v>Status Quo</v>
      </c>
      <c r="D506" s="1119">
        <f>IF(INDEX(decEvent702Chosen,xxIndexTeam)=TRUE,703,0)</f>
        <v>0</v>
      </c>
      <c r="E506" s="873">
        <f>IF(INDEX(obalEvent703Year,xxIndexTeam)&gt;0,0,IF(D506=0,0,INDEX(DataPage!$N$309:$N$335,MATCH(D506,DataPage!$L$309:$L$335,0))))</f>
        <v>0</v>
      </c>
    </row>
    <row r="507" spans="1:9" ht="11.25" customHeight="1">
      <c r="A507">
        <v>4</v>
      </c>
      <c r="B507">
        <v>8</v>
      </c>
      <c r="C507" s="617" t="str">
        <f t="shared" si="46"/>
        <v>Full Integrate</v>
      </c>
      <c r="D507" s="1119">
        <f>IF(INDEX(decEvent801Chosen,xxIndexTeam)=TRUE,801,0)</f>
        <v>0</v>
      </c>
      <c r="E507" s="873">
        <f>IF(INDEX(obalEvent801Year,xxIndexTeam)&gt;0,0,IF(D507=0,0,INDEX(DataPage!$N$309:$N$335,MATCH(D507,DataPage!$L$309:$L$335,0))))</f>
        <v>0</v>
      </c>
    </row>
    <row r="508" spans="1:9" ht="11.25" customHeight="1">
      <c r="A508">
        <v>5</v>
      </c>
      <c r="B508">
        <v>8</v>
      </c>
      <c r="C508" s="617" t="str">
        <f t="shared" si="46"/>
        <v>Status Quo</v>
      </c>
      <c r="D508" s="1119">
        <f>IF(INDEX(decEvent802Chosen,xxIndexTeam)=TRUE,802,0)</f>
        <v>0</v>
      </c>
      <c r="E508" s="873">
        <f>IF(INDEX(obalEvent802Year,xxIndexTeam)&gt;0,0,IF(D508=0,0,INDEX(DataPage!$N$309:$N$335,MATCH(D508,DataPage!$L$309:$L$335,0))))</f>
        <v>0</v>
      </c>
    </row>
    <row r="509" spans="1:9" ht="11.25" customHeight="1">
      <c r="A509">
        <v>6</v>
      </c>
      <c r="B509">
        <v>8</v>
      </c>
      <c r="C509" s="617" t="str">
        <f t="shared" si="46"/>
        <v>Partial Integrate</v>
      </c>
      <c r="D509" s="1119">
        <f>IF(INDEX(decEvent803Chosen,xxIndexTeam)=TRUE,803,0)</f>
        <v>0</v>
      </c>
      <c r="E509" s="873">
        <f>IF(INDEX(obalEvent803Year,xxIndexTeam)&gt;0,0,IF(D509=0,0,INDEX(DataPage!$N$309:$N$335,MATCH(D509,DataPage!$L$309:$L$335,0))))</f>
        <v>0</v>
      </c>
    </row>
    <row r="510" spans="1:9" ht="11.25" customHeight="1">
      <c r="A510">
        <v>4</v>
      </c>
      <c r="B510">
        <v>9</v>
      </c>
      <c r="C510" s="617" t="str">
        <f t="shared" si="46"/>
        <v>Not Open Platform</v>
      </c>
      <c r="D510" s="1119">
        <f>IF(INDEX(decEvent901Chosen,xxIndexTeam)=TRUE,901,0)</f>
        <v>0</v>
      </c>
      <c r="E510" s="873">
        <f>IF(INDEX(obalEvent901Year,xxIndexTeam)&gt;0,0,IF(D510=0,0,INDEX(DataPage!$N$309:$N$335,MATCH(D510,DataPage!$L$309:$L$335,0))))</f>
        <v>0</v>
      </c>
    </row>
    <row r="511" spans="1:9" ht="11.25" customHeight="1">
      <c r="A511">
        <v>5</v>
      </c>
      <c r="B511">
        <v>9</v>
      </c>
      <c r="C511" s="617" t="str">
        <f t="shared" si="46"/>
        <v>Open Platform</v>
      </c>
      <c r="D511" s="1119">
        <f>IF(INDEX(decEvent902Chosen,xxIndexTeam)=TRUE,902,0)</f>
        <v>0</v>
      </c>
      <c r="E511" s="873">
        <f>IF(INDEX(obalEvent902Year,xxIndexTeam)&gt;0,0,IF(D511=0,0,INDEX(DataPage!$N$309:$N$335,MATCH(D511,DataPage!$L$309:$L$335,0))))</f>
        <v>0</v>
      </c>
    </row>
    <row r="512" spans="1:9" ht="4.5" customHeight="1">
      <c r="B512" s="225"/>
      <c r="C512" s="119"/>
      <c r="D512" s="1308"/>
      <c r="E512" s="119"/>
      <c r="F512" s="119"/>
      <c r="G512" s="119"/>
      <c r="I512" s="3"/>
    </row>
    <row r="513" spans="3:8" ht="11.25" customHeight="1">
      <c r="C513" s="617" t="s">
        <v>4485</v>
      </c>
      <c r="D513" s="578"/>
      <c r="E513" s="327">
        <f>SUM(E487:E512)</f>
        <v>0</v>
      </c>
      <c r="F513" s="327">
        <f t="shared" ref="F513:G513" si="47">SUM(F487:F512)</f>
        <v>0</v>
      </c>
      <c r="G513" s="327">
        <f t="shared" si="47"/>
        <v>0</v>
      </c>
      <c r="H513" s="579" t="s">
        <v>4486</v>
      </c>
    </row>
    <row r="514" spans="3:8" ht="11.25" customHeight="1"/>
    <row r="515" spans="3:8" ht="11.25" customHeight="1"/>
    <row r="516" spans="3:8" ht="11.25" customHeight="1"/>
    <row r="517" spans="3:8" ht="11.25" customHeight="1"/>
    <row r="518" spans="3:8" ht="11.25" customHeight="1"/>
    <row r="519" spans="3:8" ht="11.25" customHeight="1"/>
    <row r="520" spans="3:8" ht="11.25" customHeight="1"/>
    <row r="521" spans="3:8" ht="11.25" customHeight="1"/>
    <row r="522" spans="3:8" ht="11.25" customHeight="1"/>
    <row r="523" spans="3:8" ht="11.25" customHeight="1"/>
    <row r="524" spans="3:8" ht="11.25" customHeight="1"/>
    <row r="525" spans="3:8" ht="11.25" customHeight="1"/>
    <row r="526" spans="3:8" ht="11.25" customHeight="1"/>
    <row r="527" spans="3:8" ht="11.25" customHeight="1"/>
    <row r="528" spans="3:8" ht="11.25" customHeight="1"/>
    <row r="529" ht="11.25" customHeight="1"/>
    <row r="530" ht="11.25" customHeight="1"/>
    <row r="531" ht="11.25" customHeight="1"/>
    <row r="532" ht="11.25" customHeight="1"/>
    <row r="533" ht="11.25" customHeight="1"/>
    <row r="534" ht="11.25" customHeight="1"/>
    <row r="535" ht="11.25" customHeight="1"/>
    <row r="536" ht="11.25" customHeight="1"/>
    <row r="537" ht="11.25" customHeight="1"/>
    <row r="538" ht="11.25" customHeight="1"/>
    <row r="539" ht="11.25" customHeight="1"/>
    <row r="540" ht="11.25" customHeight="1"/>
    <row r="541" ht="11.25" customHeight="1"/>
    <row r="542" ht="11.25" customHeight="1"/>
    <row r="543" ht="11.25" customHeight="1"/>
    <row r="544" ht="11.25" customHeight="1"/>
    <row r="545" ht="11.25" customHeight="1"/>
    <row r="546" ht="11.25" customHeight="1"/>
    <row r="547" ht="11.25" customHeight="1"/>
    <row r="548" ht="11.25" customHeight="1"/>
  </sheetData>
  <phoneticPr fontId="0" type="noConversion"/>
  <pageMargins left="0.75" right="0.75" top="1" bottom="1" header="0.5" footer="0.5"/>
  <pageSetup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alc">
    <tabColor indexed="11"/>
  </sheetPr>
  <dimension ref="A1:O224"/>
  <sheetViews>
    <sheetView workbookViewId="0">
      <pane xSplit="4" ySplit="1" topLeftCell="E2" activePane="bottomRight" state="frozen"/>
      <selection pane="topRight"/>
      <selection pane="bottomLeft"/>
      <selection pane="bottomRight" activeCell="M77" sqref="M77"/>
    </sheetView>
  </sheetViews>
  <sheetFormatPr defaultRowHeight="11.25"/>
  <cols>
    <col min="1" max="1" width="4.5" customWidth="1"/>
    <col min="2" max="2" width="4.1640625" customWidth="1"/>
    <col min="3" max="3" width="17" customWidth="1"/>
    <col min="5" max="7" width="29.1640625" customWidth="1"/>
    <col min="8" max="8" width="25" style="123" customWidth="1"/>
    <col min="13" max="13" width="17.83203125" bestFit="1" customWidth="1"/>
  </cols>
  <sheetData>
    <row r="1" spans="1:13" s="140" customFormat="1" ht="15.75">
      <c r="A1" s="138" t="s">
        <v>298</v>
      </c>
      <c r="E1" s="138">
        <v>1</v>
      </c>
      <c r="F1" s="138">
        <v>2</v>
      </c>
      <c r="G1" s="138">
        <v>3</v>
      </c>
      <c r="H1" s="512"/>
    </row>
    <row r="2" spans="1:13">
      <c r="E2" s="413">
        <v>1</v>
      </c>
      <c r="F2" s="413">
        <v>2</v>
      </c>
      <c r="G2" s="413">
        <v>3</v>
      </c>
    </row>
    <row r="3" spans="1:13" ht="15.75">
      <c r="A3" s="25" t="s">
        <v>507</v>
      </c>
      <c r="B3" s="26"/>
      <c r="C3" s="26"/>
      <c r="D3" s="26"/>
      <c r="E3" s="26"/>
      <c r="F3" s="26"/>
      <c r="G3" s="26"/>
    </row>
    <row r="5" spans="1:13" ht="12.75">
      <c r="A5" s="22" t="str">
        <f>DataNameProd1</f>
        <v>Growth</v>
      </c>
      <c r="E5" s="326"/>
      <c r="F5" s="326"/>
      <c r="G5" s="327"/>
      <c r="M5" s="326"/>
    </row>
    <row r="6" spans="1:13" ht="12.75">
      <c r="A6" s="22"/>
      <c r="B6" s="3" t="s">
        <v>807</v>
      </c>
      <c r="M6" s="327"/>
    </row>
    <row r="7" spans="1:13" ht="12.75">
      <c r="A7" s="22"/>
      <c r="C7" s="565" t="s">
        <v>1423</v>
      </c>
      <c r="E7" s="326">
        <f>((capProd1OpenSubs-capProd1Cancellations)*obalProd1Price)/2+((capProd1OpenSubs-capProd1Cancellations)*decProd1Price)/2</f>
        <v>1639034251.7625</v>
      </c>
      <c r="F7" s="326">
        <f>((capProd1OpenSubs-capProd1Cancellations)*obalProd1Price)/2+((capProd1OpenSubs-capProd1Cancellations)*decProd1Price)/2</f>
        <v>1458232675.9855313</v>
      </c>
      <c r="G7" s="326">
        <f>((capProd1OpenSubs-capProd1Cancellations)*obalProd1Price)/2+((capProd1OpenSubs-capProd1Cancellations)*decProd1Price)/2</f>
        <v>1050162556.3770657</v>
      </c>
      <c r="H7" s="579" t="s">
        <v>1572</v>
      </c>
      <c r="I7" s="587" t="s">
        <v>1426</v>
      </c>
      <c r="M7" s="326"/>
    </row>
    <row r="8" spans="1:13" ht="12.75">
      <c r="A8" s="22"/>
      <c r="C8" s="565" t="s">
        <v>1424</v>
      </c>
      <c r="E8" s="326">
        <f>(capProd1NewSubs*decProd1Price)/2</f>
        <v>62143200</v>
      </c>
      <c r="F8" s="326">
        <f>(capProd1NewSubs*decProd1Price)/2</f>
        <v>58105080.000000007</v>
      </c>
      <c r="G8" s="326">
        <f>(capProd1NewSubs*decProd1Price)/2</f>
        <v>39180240</v>
      </c>
      <c r="H8" s="579" t="s">
        <v>1571</v>
      </c>
    </row>
    <row r="9" spans="1:13" ht="12.75">
      <c r="A9" s="22"/>
      <c r="C9" s="565" t="s">
        <v>1425</v>
      </c>
      <c r="E9" s="326">
        <f>capProd1ServiceSales</f>
        <v>165715200</v>
      </c>
      <c r="F9" s="326">
        <f>capProd1ServiceSales</f>
        <v>140860800.00000003</v>
      </c>
      <c r="G9" s="326">
        <f>capProd1ServiceSales</f>
        <v>107712000</v>
      </c>
      <c r="H9" s="579" t="s">
        <v>1573</v>
      </c>
    </row>
    <row r="10" spans="1:13" ht="12.75">
      <c r="A10" s="22"/>
      <c r="C10" s="565" t="s">
        <v>3065</v>
      </c>
      <c r="E10" s="326">
        <f>capProd1GGORevenue</f>
        <v>141889637.33477581</v>
      </c>
      <c r="F10" s="326">
        <f>capProd1GGORevenue</f>
        <v>145150541.99880993</v>
      </c>
      <c r="G10" s="326">
        <f>capProd1GGORevenue</f>
        <v>142200580.17273182</v>
      </c>
      <c r="H10" s="579" t="s">
        <v>3066</v>
      </c>
    </row>
    <row r="11" spans="1:13" ht="5.0999999999999996" customHeight="1">
      <c r="C11" s="185"/>
      <c r="D11" s="185"/>
      <c r="E11" s="215"/>
      <c r="F11" s="215"/>
      <c r="G11" s="215"/>
      <c r="J11" s="385"/>
      <c r="K11" s="385"/>
    </row>
    <row r="12" spans="1:13">
      <c r="C12" s="3" t="str">
        <f>DataNameProd1 &amp; " Revenues"</f>
        <v>Growth Revenues</v>
      </c>
      <c r="D12" s="3"/>
      <c r="E12" s="17">
        <f>SUM(E7:E11)</f>
        <v>2008782289.0972757</v>
      </c>
      <c r="F12" s="17">
        <f t="shared" ref="F12:G12" si="0">SUM(F7:F11)</f>
        <v>1802349097.9843411</v>
      </c>
      <c r="G12" s="17">
        <f t="shared" si="0"/>
        <v>1339255376.5497975</v>
      </c>
      <c r="H12" s="123" t="s">
        <v>578</v>
      </c>
    </row>
    <row r="13" spans="1:13" ht="12.75">
      <c r="A13" s="22"/>
      <c r="B13" s="3" t="s">
        <v>723</v>
      </c>
      <c r="J13" s="589"/>
      <c r="K13" s="589"/>
      <c r="L13" s="590"/>
      <c r="M13" s="589"/>
    </row>
    <row r="14" spans="1:13" ht="12.75">
      <c r="A14" s="22"/>
      <c r="B14" s="3" t="s">
        <v>1427</v>
      </c>
      <c r="J14" s="589"/>
      <c r="K14" s="589"/>
      <c r="L14" s="590"/>
      <c r="M14" s="591"/>
    </row>
    <row r="15" spans="1:13" ht="12.75">
      <c r="A15" s="22"/>
      <c r="B15" s="3"/>
      <c r="C15" t="str">
        <f>DataNameEmp1</f>
        <v>Engineers</v>
      </c>
      <c r="E15" s="578">
        <f>capProd1Emp1Exp+capProd1Emp1RecDismExp+capProd1Emp1AdminExp</f>
        <v>16614104.91225257</v>
      </c>
      <c r="F15" s="578">
        <f>capProd1Emp1Exp+capProd1Emp1RecDismExp+capProd1Emp1AdminExp</f>
        <v>66700194.076584511</v>
      </c>
      <c r="G15" s="578">
        <f>capProd1Emp1Exp+capProd1Emp1RecDismExp+capProd1Emp1AdminExp</f>
        <v>19387202.760598101</v>
      </c>
      <c r="H15" s="579" t="s">
        <v>1574</v>
      </c>
      <c r="J15" s="589"/>
      <c r="K15" s="589"/>
      <c r="L15" s="590"/>
      <c r="M15" s="591"/>
    </row>
    <row r="16" spans="1:13" ht="12.75">
      <c r="A16" s="22"/>
      <c r="B16" s="3"/>
      <c r="C16" t="str">
        <f>DataNameEmp2</f>
        <v>Staff</v>
      </c>
      <c r="E16" s="578">
        <f>capProd1Emp2Exp+capProd1Emp2RecDismExp+capProd1Emp2AdminExp</f>
        <v>716206756.20443416</v>
      </c>
      <c r="F16" s="578">
        <f>capProd1Emp2Exp+capProd1Emp2RecDismExp+capProd1Emp2AdminExp</f>
        <v>557008214.58360183</v>
      </c>
      <c r="G16" s="578">
        <f>capProd1Emp2Exp+capProd1Emp2RecDismExp+capProd1Emp2AdminExp</f>
        <v>504242933.99809039</v>
      </c>
      <c r="H16" s="579" t="s">
        <v>1575</v>
      </c>
      <c r="J16" s="589"/>
      <c r="K16" s="589"/>
      <c r="L16" s="590"/>
      <c r="M16" s="591"/>
    </row>
    <row r="17" spans="1:13" ht="12.75">
      <c r="A17" s="22"/>
      <c r="B17" s="3"/>
      <c r="C17" t="str">
        <f>DataNameEmp3</f>
        <v>Services Personnel</v>
      </c>
      <c r="E17" s="578">
        <f>capProd1Emp3Exp+capProd1Emp3RecDismExp+capProd1Emp3AdminExp</f>
        <v>164842538.60247129</v>
      </c>
      <c r="F17" s="578">
        <f>capProd1Emp3Exp+capProd1Emp3RecDismExp+capProd1Emp3AdminExp</f>
        <v>142162018.32172039</v>
      </c>
      <c r="G17" s="578">
        <f>capProd1Emp3Exp+capProd1Emp3RecDismExp+capProd1Emp3AdminExp</f>
        <v>112087711.73848441</v>
      </c>
      <c r="H17" s="579" t="s">
        <v>1576</v>
      </c>
      <c r="J17" s="589"/>
      <c r="K17" s="589"/>
      <c r="L17" s="590"/>
      <c r="M17" s="591"/>
    </row>
    <row r="18" spans="1:13" ht="12.75">
      <c r="A18" s="22"/>
      <c r="C18" s="565" t="s">
        <v>3075</v>
      </c>
      <c r="E18" s="326">
        <f>capProd1Emp1DevExp*(1-paramCapitalizedPerc)+capProd1InternalDevelopmentBaseExp</f>
        <v>104191415.39484309</v>
      </c>
      <c r="F18" s="326">
        <f>capProd1Emp1DevExp*(1-paramCapitalizedPerc)+capProd1InternalDevelopmentBaseExp</f>
        <v>93627973.26869902</v>
      </c>
      <c r="G18" s="326">
        <f>capProd1Emp1DevExp*(1-paramCapitalizedPerc)+capProd1InternalDevelopmentBaseExp</f>
        <v>125460773.0907478</v>
      </c>
      <c r="H18" s="579" t="s">
        <v>1581</v>
      </c>
    </row>
    <row r="19" spans="1:13" ht="5.0999999999999996" customHeight="1">
      <c r="C19" s="185"/>
      <c r="D19" s="185"/>
      <c r="E19" s="215"/>
      <c r="F19" s="215"/>
      <c r="G19" s="215"/>
      <c r="J19" s="385"/>
      <c r="K19" s="385"/>
    </row>
    <row r="20" spans="1:13" ht="12.75">
      <c r="A20" s="22"/>
      <c r="C20" s="3" t="s">
        <v>1427</v>
      </c>
      <c r="E20" s="424">
        <f>SUM(E15:E19)</f>
        <v>1001854815.114001</v>
      </c>
      <c r="F20" s="600">
        <f t="shared" ref="F20:G20" si="1">SUM(F15:F19)</f>
        <v>859498400.2506057</v>
      </c>
      <c r="G20" s="600">
        <f t="shared" si="1"/>
        <v>761178621.58792078</v>
      </c>
      <c r="H20" s="579" t="s">
        <v>1577</v>
      </c>
      <c r="I20" s="18">
        <f>E20/E$12</f>
        <v>0.49873737963123088</v>
      </c>
      <c r="J20" s="18">
        <f t="shared" ref="J20:K20" si="2">F20/F$12</f>
        <v>0.47687676111793581</v>
      </c>
      <c r="K20" s="18">
        <f t="shared" si="2"/>
        <v>0.56835957870027476</v>
      </c>
    </row>
    <row r="21" spans="1:13" ht="12.75">
      <c r="A21" s="22"/>
      <c r="B21" s="3" t="s">
        <v>1533</v>
      </c>
      <c r="C21" s="565"/>
      <c r="E21" s="326"/>
      <c r="F21" s="326"/>
      <c r="G21" s="326"/>
    </row>
    <row r="22" spans="1:13" ht="12.75">
      <c r="A22" s="22"/>
      <c r="C22" s="565" t="s">
        <v>1542</v>
      </c>
      <c r="E22" s="326">
        <f>capProd1EndSubs*capProd1ThirdPartyPerc*paramProd1RoyaltyPSub</f>
        <v>114289301.503125</v>
      </c>
      <c r="F22" s="326">
        <f>capProd1EndSubs*capProd1ThirdPartyPerc*paramProd1RoyaltyPSub</f>
        <v>96861762.715156242</v>
      </c>
      <c r="G22" s="326">
        <f>capProd1EndSubs*capProd1ThirdPartyPerc*paramProd1RoyaltyPSub</f>
        <v>74338631.083281249</v>
      </c>
      <c r="H22" s="579" t="s">
        <v>1578</v>
      </c>
    </row>
    <row r="23" spans="1:13" ht="12.75">
      <c r="A23" s="22"/>
      <c r="C23" s="565" t="s">
        <v>1551</v>
      </c>
      <c r="E23" s="326">
        <f>capProd1EndSubs*paramProd1PrintPerc*paramProd1PrintCostPSub</f>
        <v>62042763.673124991</v>
      </c>
      <c r="F23" s="326">
        <f>capProd1EndSubs*paramProd1PrintPerc*paramProd1PrintCostPSub</f>
        <v>52582099.75965625</v>
      </c>
      <c r="G23" s="326">
        <f>capProd1EndSubs*paramProd1PrintPerc*paramProd1PrintCostPSub</f>
        <v>40355256.873781256</v>
      </c>
      <c r="H23" s="579" t="s">
        <v>1579</v>
      </c>
    </row>
    <row r="24" spans="1:13" ht="12.75">
      <c r="A24" s="22"/>
      <c r="C24" s="565" t="s">
        <v>1226</v>
      </c>
      <c r="E24" s="326">
        <f>(decMarketing*1000)*(finPNLProd1Rev/finPNLRev)+cbalGlobalSalesMktLvl*(finPNLProd1Rev/finPNLRev)</f>
        <v>90616738.689926505</v>
      </c>
      <c r="F24" s="326">
        <f>(decMarketing*1000)*(finPNLProd1Rev/finPNLRev)+cbalGlobalSalesMktLvl*(finPNLProd1Rev/finPNLRev)</f>
        <v>94893743.091153428</v>
      </c>
      <c r="G24" s="326">
        <f>(decMarketing*1000)*(finPNLProd1Rev/finPNLRev)+cbalGlobalSalesMktLvl*(finPNLProd1Rev/finPNLRev)</f>
        <v>70160908.756668299</v>
      </c>
      <c r="H24" s="579" t="s">
        <v>1580</v>
      </c>
    </row>
    <row r="25" spans="1:13" ht="12.75">
      <c r="A25" s="22"/>
      <c r="C25" s="565" t="s">
        <v>722</v>
      </c>
      <c r="E25" s="326">
        <f>capProd1EndSubs*paramProd1OtherRevCostPSub</f>
        <v>0</v>
      </c>
      <c r="F25" s="326">
        <f>capProd1EndSubs*paramProd1OtherRevCostPSub</f>
        <v>0</v>
      </c>
      <c r="G25" s="326">
        <f>capProd1EndSubs*paramProd1OtherRevCostPSub</f>
        <v>0</v>
      </c>
      <c r="H25" s="579" t="s">
        <v>478</v>
      </c>
    </row>
    <row r="26" spans="1:13" ht="5.0999999999999996" customHeight="1">
      <c r="C26" s="185"/>
      <c r="D26" s="185"/>
      <c r="E26" s="215"/>
      <c r="F26" s="215"/>
      <c r="G26" s="215"/>
      <c r="J26" s="385"/>
      <c r="K26" s="385"/>
    </row>
    <row r="27" spans="1:13" ht="12.75">
      <c r="A27" s="22"/>
      <c r="C27" s="3" t="s">
        <v>1533</v>
      </c>
      <c r="E27" s="593">
        <f>SUM(E22:E26)</f>
        <v>266948803.86617649</v>
      </c>
      <c r="F27" s="593">
        <f t="shared" ref="F27:G27" si="3">SUM(F22:F26)</f>
        <v>244337605.56596595</v>
      </c>
      <c r="G27" s="593">
        <f t="shared" si="3"/>
        <v>184854796.71373081</v>
      </c>
      <c r="H27" s="588" t="s">
        <v>1616</v>
      </c>
      <c r="I27" s="18">
        <f>E27/E$12</f>
        <v>0.1328908589621926</v>
      </c>
      <c r="J27" s="18">
        <f t="shared" ref="J27" si="4">F27/F$12</f>
        <v>0.13556619294187855</v>
      </c>
      <c r="K27" s="18">
        <f t="shared" ref="K27" si="5">G27/G$12</f>
        <v>0.13802804151509587</v>
      </c>
    </row>
    <row r="28" spans="1:13" ht="12.75">
      <c r="A28" s="22"/>
      <c r="B28" s="3" t="s">
        <v>1556</v>
      </c>
    </row>
    <row r="29" spans="1:13" ht="12.75">
      <c r="A29" s="22"/>
      <c r="C29" s="565" t="s">
        <v>1565</v>
      </c>
      <c r="E29" s="326">
        <f>(decProd1TTMConFTEs*paramCostPExternalFTE)*(1-paramCapitalizedPerc)+capProd1OutsideServiceBaseExp</f>
        <v>9026802.4796463959</v>
      </c>
      <c r="F29" s="326">
        <f>(decProd1TTMConFTEs*paramCostPExternalFTE)*(1-paramCapitalizedPerc)+capProd1OutsideServiceBaseExp</f>
        <v>2303246.1915328503</v>
      </c>
      <c r="G29" s="326">
        <f>(decProd1TTMConFTEs*paramCostPExternalFTE)*(1-paramCapitalizedPerc)+capProd1OutsideServiceBaseExp</f>
        <v>2277951.5830087112</v>
      </c>
      <c r="H29" s="579" t="s">
        <v>1582</v>
      </c>
    </row>
    <row r="30" spans="1:13" ht="5.0999999999999996" customHeight="1">
      <c r="C30" s="185"/>
      <c r="D30" s="185"/>
      <c r="E30" s="215"/>
      <c r="F30" s="215"/>
      <c r="G30" s="215"/>
      <c r="J30" s="385"/>
      <c r="K30" s="385"/>
    </row>
    <row r="31" spans="1:13" ht="12.75">
      <c r="A31" s="22"/>
      <c r="C31" s="3" t="s">
        <v>1556</v>
      </c>
      <c r="E31" s="593">
        <f>SUM(E29:E30)</f>
        <v>9026802.4796463959</v>
      </c>
      <c r="F31" s="593">
        <f t="shared" ref="F31:G31" si="6">SUM(F29:F30)</f>
        <v>2303246.1915328503</v>
      </c>
      <c r="G31" s="593">
        <f t="shared" si="6"/>
        <v>2277951.5830087112</v>
      </c>
      <c r="H31" s="579" t="s">
        <v>1583</v>
      </c>
      <c r="I31" s="18">
        <f>E31/E$12</f>
        <v>4.4936688901727325E-3</v>
      </c>
      <c r="J31" s="18">
        <f t="shared" ref="J31" si="7">F31/F$12</f>
        <v>1.2779134708745868E-3</v>
      </c>
      <c r="K31" s="18">
        <f t="shared" ref="K31" si="8">G31/G$12</f>
        <v>1.7009090446044666E-3</v>
      </c>
    </row>
    <row r="32" spans="1:13" ht="12.75">
      <c r="A32" s="22"/>
      <c r="B32" s="3" t="s">
        <v>1557</v>
      </c>
    </row>
    <row r="33" spans="1:11" ht="12.75">
      <c r="A33" s="22"/>
      <c r="C33" s="565" t="s">
        <v>1428</v>
      </c>
      <c r="E33" s="326">
        <f>capPlant1Prod1FixedExp+capPlant1Prod1FixedExp3rdParty</f>
        <v>219754140.51922289</v>
      </c>
      <c r="F33" s="326">
        <f>capPlant1Prod1FixedExp+capPlant1Prod1FixedExp3rdParty</f>
        <v>131861957.0386392</v>
      </c>
      <c r="G33" s="326">
        <f>capPlant1Prod1FixedExp+capPlant1Prod1FixedExp3rdParty</f>
        <v>110094152.26982856</v>
      </c>
      <c r="H33" s="579" t="s">
        <v>1584</v>
      </c>
    </row>
    <row r="34" spans="1:11" ht="12.75">
      <c r="A34" s="22"/>
      <c r="C34" s="565" t="s">
        <v>291</v>
      </c>
      <c r="E34" s="326">
        <f>capProd1TrainingExp</f>
        <v>6830407.438939184</v>
      </c>
      <c r="F34" s="326">
        <f>capProd1TrainingExp</f>
        <v>6909738.5745985508</v>
      </c>
      <c r="G34" s="326">
        <f>capProd1TrainingExp</f>
        <v>2277951.5830087112</v>
      </c>
      <c r="H34" s="579" t="s">
        <v>1585</v>
      </c>
    </row>
    <row r="35" spans="1:11" ht="5.0999999999999996" customHeight="1">
      <c r="C35" s="185"/>
      <c r="D35" s="185"/>
      <c r="E35" s="215"/>
      <c r="F35" s="215"/>
      <c r="G35" s="215"/>
      <c r="J35" s="385"/>
      <c r="K35" s="385"/>
    </row>
    <row r="36" spans="1:11" ht="12.75">
      <c r="A36" s="22"/>
      <c r="C36" s="3" t="s">
        <v>1557</v>
      </c>
      <c r="E36" s="593">
        <f>SUM(E33:E35)</f>
        <v>226584547.95816207</v>
      </c>
      <c r="F36" s="593">
        <f t="shared" ref="F36" si="9">SUM(F33:F35)</f>
        <v>138771695.61323774</v>
      </c>
      <c r="G36" s="593">
        <f t="shared" ref="G36" si="10">SUM(G33:G35)</f>
        <v>112372103.85283726</v>
      </c>
      <c r="H36" s="579" t="s">
        <v>1617</v>
      </c>
      <c r="I36" s="18">
        <f>E36/E$12</f>
        <v>0.11279696619586717</v>
      </c>
      <c r="J36" s="18">
        <f t="shared" ref="J36" si="11">F36/F$12</f>
        <v>7.6994903910920037E-2</v>
      </c>
      <c r="K36" s="18">
        <f t="shared" ref="K36" si="12">G36/G$12</f>
        <v>8.3906404872781878E-2</v>
      </c>
    </row>
    <row r="37" spans="1:11">
      <c r="B37" s="3" t="s">
        <v>957</v>
      </c>
      <c r="E37" s="385"/>
      <c r="F37" s="385"/>
      <c r="G37" s="385"/>
    </row>
    <row r="38" spans="1:11">
      <c r="C38" s="565" t="s">
        <v>686</v>
      </c>
      <c r="E38" s="11">
        <f>paramProd1OtherCost+capPlant2Prod1FixedExp</f>
        <v>57637291.918796688</v>
      </c>
      <c r="F38" s="11">
        <f>paramProd1OtherCost+capPlant2Prod1FixedExp</f>
        <v>57886665.135615103</v>
      </c>
      <c r="G38" s="11">
        <f>paramProd1OtherCost+capPlant2Prod1FixedExp</f>
        <v>57110813.579862729</v>
      </c>
      <c r="H38" s="123" t="s">
        <v>478</v>
      </c>
    </row>
    <row r="39" spans="1:11">
      <c r="C39" s="565" t="s">
        <v>406</v>
      </c>
      <c r="E39">
        <f>capProd1SpecProgExp</f>
        <v>27321629.755756736</v>
      </c>
      <c r="F39">
        <f>capProd1SpecProgExp</f>
        <v>27638954.298394203</v>
      </c>
      <c r="G39">
        <f>capProd1SpecProgExp</f>
        <v>27335418.996104531</v>
      </c>
      <c r="H39" s="123" t="s">
        <v>184</v>
      </c>
    </row>
    <row r="40" spans="1:11" ht="4.5" customHeight="1">
      <c r="C40" s="185"/>
      <c r="D40" s="185"/>
      <c r="E40" s="185"/>
      <c r="F40" s="185"/>
      <c r="G40" s="185"/>
    </row>
    <row r="41" spans="1:11">
      <c r="A41" s="3"/>
      <c r="C41" s="3" t="s">
        <v>957</v>
      </c>
      <c r="E41" s="13">
        <f>SUM(E38:E40)</f>
        <v>84958921.674553424</v>
      </c>
      <c r="F41" s="13">
        <f>SUM(F38:F40)</f>
        <v>85525619.434009314</v>
      </c>
      <c r="G41" s="13">
        <f>SUM(G38:G40)</f>
        <v>84446232.575967252</v>
      </c>
      <c r="H41" s="516" t="s">
        <v>958</v>
      </c>
      <c r="I41" s="18">
        <f>E41/E$12</f>
        <v>4.2293742898705571E-2</v>
      </c>
      <c r="J41" s="18">
        <f t="shared" ref="J41" si="13">F41/F$12</f>
        <v>4.7452305177535792E-2</v>
      </c>
      <c r="K41" s="18">
        <f t="shared" ref="K41" si="14">G41/G$12</f>
        <v>6.3054615314308796E-2</v>
      </c>
    </row>
    <row r="42" spans="1:11">
      <c r="A42" s="3"/>
      <c r="B42" s="3" t="s">
        <v>186</v>
      </c>
      <c r="C42" s="3"/>
      <c r="E42" s="13">
        <f>finPNLProd1EmpExp+finPNLProd1RevExp+finPNLProd1ProdDevExp+finPNLProd1AdminInfraExp+finPNLProd1OtherOpExp</f>
        <v>1589373891.0925393</v>
      </c>
      <c r="F42" s="13">
        <f>finPNLProd1EmpExp+finPNLProd1RevExp+finPNLProd1ProdDevExp+finPNLProd1AdminInfraExp+finPNLProd1OtherOpExp</f>
        <v>1330436567.0553515</v>
      </c>
      <c r="G42" s="13">
        <f>finPNLProd1EmpExp+finPNLProd1RevExp+finPNLProd1ProdDevExp+finPNLProd1AdminInfraExp+finPNLProd1OtherOpExp</f>
        <v>1145129706.3134649</v>
      </c>
      <c r="H42" s="579" t="s">
        <v>1618</v>
      </c>
      <c r="J42" s="385"/>
    </row>
    <row r="43" spans="1:11" ht="12.75">
      <c r="A43" s="22"/>
      <c r="B43" s="3" t="s">
        <v>1615</v>
      </c>
      <c r="E43" s="424">
        <f>finPNLProd1Rev-finPNLProd1OperatingExp</f>
        <v>419408398.00473642</v>
      </c>
      <c r="F43" s="424">
        <f>finPNLProd1Rev-finPNLProd1OperatingExp</f>
        <v>471912530.92898965</v>
      </c>
      <c r="G43" s="424">
        <f>finPNLProd1Rev-finPNLProd1OperatingExp</f>
        <v>194125670.23633265</v>
      </c>
      <c r="H43" s="579" t="s">
        <v>1620</v>
      </c>
    </row>
    <row r="44" spans="1:11" ht="12.75">
      <c r="A44" s="22"/>
      <c r="B44" s="565" t="s">
        <v>1621</v>
      </c>
      <c r="E44" s="385">
        <f>finPNLProd1EBITDA/finPNLProd1Rev</f>
        <v>0.20878738342183106</v>
      </c>
      <c r="F44" s="385">
        <f>finPNLProd1EBITDA/finPNLProd1Rev</f>
        <v>0.26183192338085531</v>
      </c>
      <c r="G44" s="385">
        <f>finPNLProd1EBITDA/finPNLProd1Rev</f>
        <v>0.14495045055293418</v>
      </c>
      <c r="H44" s="579" t="s">
        <v>1901</v>
      </c>
    </row>
    <row r="45" spans="1:11" ht="12.75">
      <c r="A45" s="22"/>
      <c r="B45" s="3" t="s">
        <v>1623</v>
      </c>
    </row>
    <row r="46" spans="1:11" ht="12.75">
      <c r="A46" s="22"/>
      <c r="C46" s="565" t="s">
        <v>1622</v>
      </c>
      <c r="E46" s="326">
        <f>capPlant1Prod1DepExp+capPlant2Prod1DepExp</f>
        <v>74443574.253257036</v>
      </c>
      <c r="F46" s="326">
        <f>capPlant1Prod1DepExp+capPlant2Prod1DepExp</f>
        <v>51601688.470588699</v>
      </c>
      <c r="G46" s="326">
        <f>capPlant1Prod1DepExp+capPlant2Prod1DepExp</f>
        <v>45097138.034617223</v>
      </c>
      <c r="H46" s="588" t="s">
        <v>1709</v>
      </c>
    </row>
    <row r="47" spans="1:11" ht="12.75">
      <c r="A47" s="22"/>
      <c r="C47" s="565" t="s">
        <v>1624</v>
      </c>
      <c r="E47" s="326">
        <f>capProd1SoftwareAmortization</f>
        <v>65647825.802543916</v>
      </c>
      <c r="F47" s="326">
        <f>capProd1SoftwareAmortization</f>
        <v>57198007.510599643</v>
      </c>
      <c r="G47" s="326">
        <f>capProd1SoftwareAmortization</f>
        <v>72407438.613560349</v>
      </c>
      <c r="H47" s="579" t="s">
        <v>1710</v>
      </c>
    </row>
    <row r="48" spans="1:11" ht="5.0999999999999996" customHeight="1">
      <c r="C48" s="185"/>
      <c r="D48" s="185"/>
      <c r="E48" s="215"/>
      <c r="F48" s="215"/>
      <c r="G48" s="215"/>
      <c r="J48" s="385"/>
      <c r="K48" s="385"/>
    </row>
    <row r="49" spans="1:15" ht="12.75">
      <c r="A49" s="22"/>
      <c r="C49" s="3" t="s">
        <v>1623</v>
      </c>
      <c r="E49" s="327">
        <f>SUM(E46:E48)</f>
        <v>140091400.05580094</v>
      </c>
      <c r="F49" s="327">
        <f t="shared" ref="F49:G49" si="15">SUM(F46:F48)</f>
        <v>108799695.98118834</v>
      </c>
      <c r="G49" s="327">
        <f t="shared" si="15"/>
        <v>117504576.64817756</v>
      </c>
      <c r="H49" s="579" t="s">
        <v>1711</v>
      </c>
      <c r="I49" s="18">
        <f>E49/E$12</f>
        <v>6.9739463960903622E-2</v>
      </c>
      <c r="J49" s="18">
        <f t="shared" ref="J49" si="16">F49/F$12</f>
        <v>6.0365495287713455E-2</v>
      </c>
      <c r="K49" s="18">
        <f t="shared" ref="K49" si="17">G49/G$12</f>
        <v>8.7738738037321878E-2</v>
      </c>
    </row>
    <row r="50" spans="1:15" ht="12.75">
      <c r="A50" s="22"/>
      <c r="B50" s="3" t="s">
        <v>1625</v>
      </c>
      <c r="C50" s="3"/>
      <c r="E50" s="596">
        <f>finPNLProd1EBITDA-finPNLProd1DeprAmortExp</f>
        <v>279316997.94893551</v>
      </c>
      <c r="F50" s="596">
        <f>finPNLProd1EBITDA-finPNLProd1DeprAmortExp</f>
        <v>363112834.94780129</v>
      </c>
      <c r="G50" s="596">
        <f>finPNLProd1EBITDA-finPNLProd1DeprAmortExp</f>
        <v>76621093.588155091</v>
      </c>
      <c r="H50" s="579" t="s">
        <v>1626</v>
      </c>
      <c r="I50" s="565"/>
    </row>
    <row r="51" spans="1:15" ht="12.75">
      <c r="A51" s="22"/>
      <c r="B51" s="565" t="s">
        <v>403</v>
      </c>
      <c r="E51" s="385">
        <f>finPNLProd1OperatingIncome/finPNLProd1Rev</f>
        <v>0.13904791946092745</v>
      </c>
      <c r="F51" s="385">
        <f>finPNLProd1OperatingIncome/finPNLProd1Rev</f>
        <v>0.20146642809314183</v>
      </c>
      <c r="G51" s="385">
        <f>finPNLProd1OperatingIncome/finPNLProd1Rev</f>
        <v>5.721171251561228E-2</v>
      </c>
      <c r="H51" s="579" t="s">
        <v>1627</v>
      </c>
    </row>
    <row r="52" spans="1:15" ht="12.75">
      <c r="A52" s="22"/>
      <c r="O52" s="565" t="s">
        <v>531</v>
      </c>
    </row>
    <row r="53" spans="1:15" ht="12.75">
      <c r="A53" s="22" t="str">
        <f>DataNameProd2</f>
        <v>Transform</v>
      </c>
    </row>
    <row r="54" spans="1:15" ht="12.75">
      <c r="A54" s="22"/>
      <c r="B54" s="3" t="s">
        <v>807</v>
      </c>
    </row>
    <row r="55" spans="1:15" ht="12.75">
      <c r="A55" s="22"/>
      <c r="C55" s="565" t="s">
        <v>1423</v>
      </c>
      <c r="E55" s="326">
        <f>((capProd2OpenSubs-capProd2Cancellations)*obalProd2Price)/2+((capProd2OpenSubs-capProd2Cancellations)*decProd2Price)/2</f>
        <v>2130647736.0000005</v>
      </c>
      <c r="F55" s="326">
        <f>((capProd2OpenSubs-capProd2Cancellations)*obalProd2Price)/2+((capProd2OpenSubs-capProd2Cancellations)*decProd2Price)/2</f>
        <v>1850503519.9950004</v>
      </c>
      <c r="G55" s="326">
        <f>((capProd2OpenSubs-capProd2Cancellations)*obalProd2Price)/2+((capProd2OpenSubs-capProd2Cancellations)*decProd2Price)/2</f>
        <v>1359867866.487</v>
      </c>
      <c r="H55" s="579" t="s">
        <v>1586</v>
      </c>
      <c r="I55" s="587" t="s">
        <v>1426</v>
      </c>
    </row>
    <row r="56" spans="1:15" ht="12.75">
      <c r="A56" s="22"/>
      <c r="C56" s="565" t="s">
        <v>1424</v>
      </c>
      <c r="E56" s="326">
        <f>(capProd2NewSubs*decProd2Price)/2</f>
        <v>27936000</v>
      </c>
      <c r="F56" s="326">
        <f>(capProd2NewSubs*decProd2Price)/2</f>
        <v>24929100</v>
      </c>
      <c r="G56" s="326">
        <f>(capProd2NewSubs*decProd2Price)/2</f>
        <v>17611320</v>
      </c>
      <c r="H56" s="579" t="s">
        <v>1587</v>
      </c>
    </row>
    <row r="57" spans="1:15" ht="12.75">
      <c r="A57" s="22"/>
      <c r="C57" s="565" t="s">
        <v>1425</v>
      </c>
      <c r="E57" s="326">
        <f>capProd2ServiceSales</f>
        <v>59596800</v>
      </c>
      <c r="F57" s="326">
        <f>capProd2ServiceSales</f>
        <v>50649600.000000007</v>
      </c>
      <c r="G57" s="326">
        <f>capProd2ServiceSales</f>
        <v>38732800</v>
      </c>
      <c r="H57" s="579" t="s">
        <v>1588</v>
      </c>
    </row>
    <row r="58" spans="1:15" ht="12.75">
      <c r="A58" s="22"/>
      <c r="C58" s="565" t="s">
        <v>3065</v>
      </c>
      <c r="E58" s="326">
        <f>capProd2GGORevenue</f>
        <v>184448149.40512156</v>
      </c>
      <c r="F58" s="326">
        <f>capProd2GGORevenue</f>
        <v>184196660.32819372</v>
      </c>
      <c r="G58" s="326">
        <f>capProd2GGORevenue</f>
        <v>184137206.56716555</v>
      </c>
      <c r="H58" s="579" t="s">
        <v>3067</v>
      </c>
    </row>
    <row r="59" spans="1:15" ht="5.0999999999999996" customHeight="1">
      <c r="C59" s="185"/>
      <c r="D59" s="185"/>
      <c r="E59" s="215"/>
      <c r="F59" s="215"/>
      <c r="G59" s="215"/>
      <c r="J59" s="385"/>
      <c r="K59" s="385"/>
    </row>
    <row r="60" spans="1:15">
      <c r="C60" s="3" t="str">
        <f>DataNameProd2 &amp; " Revenues"</f>
        <v>Transform Revenues</v>
      </c>
      <c r="D60" s="3"/>
      <c r="E60" s="17">
        <f>SUM(E55:E59)</f>
        <v>2402628685.4051218</v>
      </c>
      <c r="F60" s="17">
        <f t="shared" ref="F60" si="18">SUM(F55:F59)</f>
        <v>2110278880.323194</v>
      </c>
      <c r="G60" s="17">
        <f t="shared" ref="G60" si="19">SUM(G55:G59)</f>
        <v>1600349193.0541656</v>
      </c>
      <c r="H60" s="123" t="s">
        <v>200</v>
      </c>
      <c r="J60" s="385"/>
      <c r="K60" s="385"/>
      <c r="L60" t="s">
        <v>531</v>
      </c>
    </row>
    <row r="61" spans="1:15" ht="12.75">
      <c r="A61" s="22"/>
      <c r="B61" s="3" t="s">
        <v>723</v>
      </c>
    </row>
    <row r="62" spans="1:15" ht="12.75">
      <c r="A62" s="22"/>
      <c r="B62" s="3" t="s">
        <v>1427</v>
      </c>
    </row>
    <row r="63" spans="1:15" ht="12.75">
      <c r="A63" s="22"/>
      <c r="B63" s="3"/>
      <c r="C63" t="str">
        <f>DataNameEmp1</f>
        <v>Engineers</v>
      </c>
      <c r="E63" s="578">
        <f>capProd2Emp1Exp+capProd2Emp1RecDismExp+capProd2Emp1AdminExp</f>
        <v>18001279.703132071</v>
      </c>
      <c r="F63" s="578">
        <f>capProd2Emp1Exp+capProd2Emp1RecDismExp+capProd2Emp1AdminExp</f>
        <v>82379151.774414867</v>
      </c>
      <c r="G63" s="578">
        <f>capProd2Emp1Exp+capProd2Emp1RecDismExp+capProd2Emp1AdminExp</f>
        <v>16663268.507264514</v>
      </c>
      <c r="H63" s="579" t="s">
        <v>1589</v>
      </c>
      <c r="M63" s="326">
        <v>24447097.154623099</v>
      </c>
    </row>
    <row r="64" spans="1:15" ht="12.75">
      <c r="A64" s="22"/>
      <c r="B64" s="3"/>
      <c r="C64" t="str">
        <f>DataNameEmp2</f>
        <v>Staff</v>
      </c>
      <c r="E64" s="578">
        <f>capProd2Emp2Exp+capProd2Emp2RecDismExp+capProd2Emp2AdminExp</f>
        <v>830138043.79556561</v>
      </c>
      <c r="F64" s="578">
        <f>capProd2Emp2Exp+capProd2Emp2RecDismExp+capProd2Emp2AdminExp</f>
        <v>631171785.41639805</v>
      </c>
      <c r="G64" s="578">
        <f>capProd2Emp2Exp+capProd2Emp2RecDismExp+capProd2Emp2AdminExp</f>
        <v>585524906.00190985</v>
      </c>
      <c r="H64" s="579" t="s">
        <v>1590</v>
      </c>
      <c r="M64" s="326">
        <v>686152299.84070861</v>
      </c>
    </row>
    <row r="65" spans="1:13" ht="12.75">
      <c r="A65" s="22"/>
      <c r="B65" s="3"/>
      <c r="C65" t="str">
        <f>DataNameEmp3</f>
        <v>Services Personnel</v>
      </c>
      <c r="E65" s="578">
        <f>capProd2Emp3Exp+capProd2Emp3RecDismExp+capProd2Emp3AdminExp</f>
        <v>59282961.39752876</v>
      </c>
      <c r="F65" s="578">
        <f>capProd2Emp3Exp+capProd2Emp3RecDismExp+capProd2Emp3AdminExp</f>
        <v>51117481.678279616</v>
      </c>
      <c r="G65" s="578">
        <f>capProd2Emp3Exp+capProd2Emp3RecDismExp+capProd2Emp3AdminExp</f>
        <v>40306288.26151561</v>
      </c>
      <c r="H65" s="579" t="s">
        <v>1591</v>
      </c>
      <c r="M65" s="326">
        <v>309495019.23771137</v>
      </c>
    </row>
    <row r="66" spans="1:13" ht="12.75">
      <c r="A66" s="22"/>
      <c r="C66" s="565" t="s">
        <v>3075</v>
      </c>
      <c r="E66" s="326">
        <f>capProd2Emp1DevExp*(1-paramCapitalizedPerc)+capProd2InternalDevelopmentBaseExp</f>
        <v>117923969.22054152</v>
      </c>
      <c r="F66" s="326">
        <f>capProd2Emp1DevExp*(1-paramCapitalizedPerc)+capProd2InternalDevelopmentBaseExp</f>
        <v>125648222.97600117</v>
      </c>
      <c r="G66" s="326">
        <f>capProd2Emp1DevExp*(1-paramCapitalizedPerc)+capProd2InternalDevelopmentBaseExp</f>
        <v>127724085.52889344</v>
      </c>
      <c r="H66" s="579" t="s">
        <v>1596</v>
      </c>
    </row>
    <row r="67" spans="1:13" ht="5.0999999999999996" customHeight="1">
      <c r="C67" s="185"/>
      <c r="D67" s="185"/>
      <c r="E67" s="215"/>
      <c r="F67" s="215"/>
      <c r="G67" s="215"/>
      <c r="J67" s="385"/>
      <c r="K67" s="385"/>
      <c r="M67" s="326"/>
    </row>
    <row r="68" spans="1:13" ht="12.75">
      <c r="A68" s="22"/>
      <c r="C68" s="3" t="s">
        <v>1427</v>
      </c>
      <c r="E68" s="326">
        <f>SUM(E63:E67)</f>
        <v>1025346254.1167679</v>
      </c>
      <c r="F68" s="326">
        <f t="shared" ref="F68:G68" si="20">SUM(F63:F67)</f>
        <v>890316641.84509373</v>
      </c>
      <c r="G68" s="326">
        <f t="shared" si="20"/>
        <v>770218548.29958344</v>
      </c>
      <c r="H68" s="579" t="s">
        <v>1592</v>
      </c>
      <c r="I68" s="385"/>
      <c r="J68" s="385">
        <f>E68/$E$60</f>
        <v>0.42676018160662144</v>
      </c>
      <c r="M68" s="326">
        <v>1020094416.2330432</v>
      </c>
    </row>
    <row r="69" spans="1:13" ht="12.75">
      <c r="A69" s="22"/>
      <c r="B69" s="3" t="s">
        <v>1533</v>
      </c>
      <c r="C69" s="565"/>
      <c r="E69" s="326"/>
      <c r="F69" s="326"/>
      <c r="G69" s="326"/>
    </row>
    <row r="70" spans="1:13" ht="12.75">
      <c r="A70" s="22"/>
      <c r="C70" s="565" t="s">
        <v>1542</v>
      </c>
      <c r="E70" s="326">
        <f>capProd2EndSubs*capProd2ThirdPartyPerc*paramProd2RoyaltyPSub</f>
        <v>72883991.200000018</v>
      </c>
      <c r="F70" s="326">
        <f>capProd2EndSubs*capProd2ThirdPartyPerc*paramProd2RoyaltyPSub</f>
        <v>61761776.260000013</v>
      </c>
      <c r="G70" s="326">
        <f>capProd2EndSubs*capProd2ThirdPartyPerc*paramProd2RoyaltyPSub</f>
        <v>47229617.140000001</v>
      </c>
      <c r="H70" s="579" t="s">
        <v>1593</v>
      </c>
    </row>
    <row r="71" spans="1:13" ht="12.75">
      <c r="A71" s="22"/>
      <c r="C71" s="565" t="s">
        <v>1551</v>
      </c>
      <c r="E71" s="326">
        <f>capProd2EndSubs*paramProd2PrintPerc*paramProd2PrintCostPSub</f>
        <v>106592837.13000003</v>
      </c>
      <c r="F71" s="326">
        <f>capProd2EndSubs*paramProd2PrintPerc*paramProd2PrintCostPSub</f>
        <v>90326597.780250028</v>
      </c>
      <c r="G71" s="326">
        <f>capProd2EndSubs*paramProd2PrintPerc*paramProd2PrintCostPSub</f>
        <v>69073315.067249998</v>
      </c>
      <c r="H71" s="579" t="s">
        <v>1594</v>
      </c>
    </row>
    <row r="72" spans="1:13" ht="12.75">
      <c r="A72" s="22"/>
      <c r="C72" s="565" t="s">
        <v>1226</v>
      </c>
      <c r="E72" s="326">
        <f>(decMarketing*1000)*(finPNLProd2Rev/finPNLRev)+cbalGlobalSalesMktLvl*(finPNLProd1Rev/finPNLRev)</f>
        <v>108026145.27750769</v>
      </c>
      <c r="F72" s="326">
        <f>(decMarketing*1000)*(finPNLProd2Rev/finPNLRev)+cbalGlobalSalesMktLvl*(finPNLProd1Rev/finPNLRev)</f>
        <v>110634047.76852542</v>
      </c>
      <c r="G72" s="326">
        <f>(decMarketing*1000)*(finPNLProd2Rev/finPNLRev)+cbalGlobalSalesMktLvl*(finPNLProd1Rev/finPNLRev)</f>
        <v>83483813.776145652</v>
      </c>
      <c r="H72" s="579" t="s">
        <v>1595</v>
      </c>
    </row>
    <row r="73" spans="1:13" ht="12.75">
      <c r="A73" s="22"/>
      <c r="C73" s="565" t="s">
        <v>722</v>
      </c>
      <c r="E73" s="326">
        <f>capProd2EndSubs*paramProd2OtherRevCostPSub</f>
        <v>0</v>
      </c>
      <c r="F73" s="326">
        <f>capProd2EndSubs*paramProd2OtherRevCostPSub</f>
        <v>0</v>
      </c>
      <c r="G73" s="326">
        <f>capProd2EndSubs*paramProd2OtherRevCostPSub</f>
        <v>0</v>
      </c>
      <c r="H73" s="579" t="s">
        <v>542</v>
      </c>
    </row>
    <row r="74" spans="1:13" ht="5.0999999999999996" customHeight="1">
      <c r="C74" s="185"/>
      <c r="D74" s="185"/>
      <c r="E74" s="215"/>
      <c r="F74" s="215"/>
      <c r="G74" s="215"/>
      <c r="I74" s="385"/>
      <c r="J74" s="385"/>
      <c r="K74" s="385"/>
    </row>
    <row r="75" spans="1:13" ht="12.75">
      <c r="A75" s="22"/>
      <c r="C75" s="3" t="s">
        <v>1533</v>
      </c>
      <c r="E75" s="327">
        <f>SUM(E70:E74)</f>
        <v>287502973.60750771</v>
      </c>
      <c r="F75" s="327">
        <f t="shared" ref="F75:G75" si="21">SUM(F70:F74)</f>
        <v>262722421.80877545</v>
      </c>
      <c r="G75" s="327">
        <f t="shared" si="21"/>
        <v>199786745.98339564</v>
      </c>
      <c r="H75" s="579" t="s">
        <v>1628</v>
      </c>
      <c r="I75" s="385"/>
      <c r="J75" s="385">
        <f>E75/$E$60</f>
        <v>0.11966184177936345</v>
      </c>
    </row>
    <row r="76" spans="1:13" ht="12.75">
      <c r="A76" s="22"/>
      <c r="B76" s="3" t="s">
        <v>1556</v>
      </c>
    </row>
    <row r="77" spans="1:13" ht="12.75">
      <c r="A77" s="22"/>
      <c r="C77" s="565" t="s">
        <v>1565</v>
      </c>
      <c r="E77" s="326">
        <f>(decProd2TTMConFTEs*paramCostPExternalFTE)*(1-paramCapitalizedPerc)+capProd2OutsideServiceBaseExp</f>
        <v>9473197.520353606</v>
      </c>
      <c r="F77" s="326">
        <f>(decProd2TTMConFTEs*paramCostPExternalFTE)*(1-paramCapitalizedPerc)+capProd2OutsideServiceBaseExp</f>
        <v>2696753.8084671497</v>
      </c>
      <c r="G77" s="326">
        <f>(decProd2TTMConFTEs*paramCostPExternalFTE)*(1-paramCapitalizedPerc)+capProd2OutsideServiceBaseExp</f>
        <v>2722048.4169912897</v>
      </c>
      <c r="H77" s="579" t="s">
        <v>1597</v>
      </c>
    </row>
    <row r="78" spans="1:13" ht="5.0999999999999996" customHeight="1">
      <c r="C78" s="185"/>
      <c r="D78" s="185"/>
      <c r="E78" s="215"/>
      <c r="F78" s="215"/>
      <c r="G78" s="215"/>
      <c r="I78" s="385"/>
      <c r="J78" s="385"/>
      <c r="K78" s="385"/>
    </row>
    <row r="79" spans="1:13" ht="12.75">
      <c r="A79" s="22"/>
      <c r="C79" s="3" t="s">
        <v>1556</v>
      </c>
      <c r="E79" s="327">
        <f>SUM(E77:E78)</f>
        <v>9473197.520353606</v>
      </c>
      <c r="F79" s="327">
        <f t="shared" ref="F79:G79" si="22">SUM(F77:F78)</f>
        <v>2696753.8084671497</v>
      </c>
      <c r="G79" s="327">
        <f t="shared" si="22"/>
        <v>2722048.4169912897</v>
      </c>
      <c r="H79" s="579" t="s">
        <v>1598</v>
      </c>
      <c r="J79" s="385">
        <f>E79/$E$60</f>
        <v>3.9428470898974022E-3</v>
      </c>
    </row>
    <row r="80" spans="1:13" ht="12.75">
      <c r="A80" s="22"/>
      <c r="B80" s="3" t="s">
        <v>1557</v>
      </c>
    </row>
    <row r="81" spans="1:11" ht="12.75">
      <c r="A81" s="22"/>
      <c r="C81" s="565" t="s">
        <v>1428</v>
      </c>
      <c r="E81" s="326">
        <f>capPlant1Prod2FixedExp+capPlant1Prod1FixedExp3rdParty</f>
        <v>245245859.48077711</v>
      </c>
      <c r="F81" s="326">
        <f>capPlant1Prod2FixedExp+capPlant1Prod1FixedExp3rdParty</f>
        <v>147138042.96136081</v>
      </c>
      <c r="G81" s="326">
        <f>capPlant1Prod2FixedExp+capPlant1Prod1FixedExp3rdParty</f>
        <v>122405847.73017143</v>
      </c>
      <c r="H81" s="579" t="s">
        <v>1599</v>
      </c>
    </row>
    <row r="82" spans="1:11" ht="12.75">
      <c r="A82" s="22"/>
      <c r="C82" s="565" t="s">
        <v>291</v>
      </c>
      <c r="E82" s="326">
        <f>capProd2TrainingExp</f>
        <v>8169592.5610608142</v>
      </c>
      <c r="F82" s="326">
        <f>capProd2TrainingExp</f>
        <v>8090261.4254014501</v>
      </c>
      <c r="G82" s="326">
        <f>capProd2TrainingExp</f>
        <v>2722048.4169912897</v>
      </c>
      <c r="H82" s="579" t="s">
        <v>1600</v>
      </c>
    </row>
    <row r="83" spans="1:11" ht="5.0999999999999996" customHeight="1">
      <c r="C83" s="185"/>
      <c r="D83" s="185"/>
      <c r="E83" s="215"/>
      <c r="F83" s="215"/>
      <c r="G83" s="215"/>
      <c r="I83" s="385"/>
      <c r="J83" s="385"/>
      <c r="K83" s="385"/>
    </row>
    <row r="84" spans="1:11" ht="12.75">
      <c r="A84" s="22"/>
      <c r="C84" s="3" t="s">
        <v>1557</v>
      </c>
      <c r="E84" s="327">
        <f>SUM(E81:E83)</f>
        <v>253415452.04183793</v>
      </c>
      <c r="F84" s="327">
        <f t="shared" ref="F84:G84" si="23">SUM(F81:F83)</f>
        <v>155228304.38676226</v>
      </c>
      <c r="G84" s="327">
        <f t="shared" si="23"/>
        <v>125127896.14716272</v>
      </c>
      <c r="H84" s="579" t="s">
        <v>1629</v>
      </c>
      <c r="I84" s="385"/>
      <c r="J84" s="385">
        <f>E84/$E$60</f>
        <v>0.10547424726143566</v>
      </c>
    </row>
    <row r="85" spans="1:11">
      <c r="B85" s="3" t="s">
        <v>957</v>
      </c>
      <c r="E85" s="385"/>
      <c r="F85" s="385"/>
      <c r="G85" s="385"/>
    </row>
    <row r="86" spans="1:11">
      <c r="C86" s="565" t="s">
        <v>686</v>
      </c>
      <c r="E86" s="11">
        <f>paramProd2OtherCost+capPlant2Prod2FixedExp</f>
        <v>63362708.081203312</v>
      </c>
      <c r="F86" s="11">
        <f>paramProd2OtherCost+capPlant2Prod2FixedExp</f>
        <v>63113334.86438489</v>
      </c>
      <c r="G86" s="11">
        <f>paramProd2OtherCost+capPlant2Prod2FixedExp</f>
        <v>63889186.420137279</v>
      </c>
      <c r="H86" s="123" t="s">
        <v>542</v>
      </c>
    </row>
    <row r="87" spans="1:11">
      <c r="C87" s="565" t="s">
        <v>406</v>
      </c>
      <c r="E87">
        <f>capProd2SpecProgExp</f>
        <v>32678370.244243257</v>
      </c>
      <c r="F87">
        <f>capProd2SpecProgExp</f>
        <v>32361045.701605801</v>
      </c>
      <c r="G87">
        <f>capProd2SpecProgExp</f>
        <v>32664581.003895473</v>
      </c>
      <c r="H87" s="123" t="s">
        <v>185</v>
      </c>
    </row>
    <row r="88" spans="1:11" ht="5.0999999999999996" customHeight="1">
      <c r="C88" s="185"/>
      <c r="D88" s="185"/>
      <c r="E88" s="185"/>
      <c r="F88" s="185"/>
      <c r="G88" s="185"/>
    </row>
    <row r="89" spans="1:11">
      <c r="A89" s="3"/>
      <c r="C89" s="3" t="s">
        <v>957</v>
      </c>
      <c r="E89" s="13">
        <f>SUM(E86:E88)</f>
        <v>96041078.325446576</v>
      </c>
      <c r="F89" s="13">
        <f>SUM(F86:F88)</f>
        <v>95474380.565990686</v>
      </c>
      <c r="G89" s="13">
        <f>SUM(G86:G88)</f>
        <v>96553767.424032748</v>
      </c>
      <c r="H89" s="516" t="s">
        <v>543</v>
      </c>
      <c r="J89" s="385">
        <f>E89/$E$60</f>
        <v>3.9973333752673694E-2</v>
      </c>
    </row>
    <row r="90" spans="1:11">
      <c r="A90" s="3"/>
      <c r="B90" s="3" t="s">
        <v>186</v>
      </c>
      <c r="C90" s="3"/>
      <c r="E90" s="13">
        <f>finPNLProd2EmpExp+finPNLProd2RevExp+finPNLProd2ProdDevExp+finPNLProd2AdminInfraExp+finPNLProd2OtherOpExp</f>
        <v>1671778955.6119137</v>
      </c>
      <c r="F90" s="13">
        <f>finPNLProd2EmpExp+finPNLProd2RevExp+finPNLProd2ProdDevExp+finPNLProd2AdminInfraExp+finPNLProd2OtherOpExp</f>
        <v>1406438502.4150894</v>
      </c>
      <c r="G90" s="13">
        <f>finPNLProd2EmpExp+finPNLProd2RevExp+finPNLProd2ProdDevExp+finPNLProd2AdminInfraExp+finPNLProd2OtherOpExp</f>
        <v>1194409006.2711656</v>
      </c>
      <c r="H90" s="579" t="s">
        <v>1630</v>
      </c>
      <c r="J90" s="385"/>
    </row>
    <row r="91" spans="1:11" ht="12.75">
      <c r="A91" s="22"/>
      <c r="B91" s="3" t="s">
        <v>1615</v>
      </c>
      <c r="E91" s="424">
        <f>finPNLProd2Rev-finPNLProd2OperatingExp</f>
        <v>730849729.79320812</v>
      </c>
      <c r="F91" s="424">
        <f>finPNLProd2Rev-finPNLProd2OperatingExp</f>
        <v>703840377.90810466</v>
      </c>
      <c r="G91" s="424">
        <f>finPNLProd2Rev-finPNLProd2OperatingExp</f>
        <v>405940186.78299999</v>
      </c>
      <c r="H91" s="579" t="s">
        <v>1631</v>
      </c>
    </row>
    <row r="92" spans="1:11" ht="12.75">
      <c r="A92" s="22"/>
      <c r="B92" s="565" t="s">
        <v>1621</v>
      </c>
      <c r="E92" s="385">
        <f>finPNLProd2EBITDA/finPNLProd2Rev</f>
        <v>0.30418754851000834</v>
      </c>
      <c r="F92" s="385">
        <f>finPNLProd2EBITDA/finPNLProd2Rev</f>
        <v>0.33352955596101586</v>
      </c>
      <c r="G92" s="385">
        <f>finPNLProd2EBITDA/finPNLProd2Rev</f>
        <v>0.25365725714416659</v>
      </c>
      <c r="H92" s="579" t="s">
        <v>1902</v>
      </c>
    </row>
    <row r="93" spans="1:11" ht="12.75">
      <c r="A93" s="22"/>
      <c r="B93" s="3" t="s">
        <v>1623</v>
      </c>
    </row>
    <row r="94" spans="1:11" ht="12.75">
      <c r="A94" s="22"/>
      <c r="C94" s="565" t="s">
        <v>1622</v>
      </c>
      <c r="E94" s="326">
        <f>capPlant1Prod2DepExp+capPlant2Prod2DepExp</f>
        <v>83306425.746742964</v>
      </c>
      <c r="F94" s="326">
        <f>capPlant1Prod2DepExp+capPlant2Prod2DepExp</f>
        <v>57648311.529411301</v>
      </c>
      <c r="G94" s="326">
        <f>capPlant1Prod2DepExp+capPlant2Prod2DepExp</f>
        <v>50777861.965382777</v>
      </c>
      <c r="H94" s="588" t="s">
        <v>1712</v>
      </c>
    </row>
    <row r="95" spans="1:11" ht="12.75">
      <c r="A95" s="22"/>
      <c r="C95" s="565" t="s">
        <v>1624</v>
      </c>
      <c r="E95" s="326">
        <f>capProd2SoftwareAmortization</f>
        <v>88682020.351302251</v>
      </c>
      <c r="F95" s="326">
        <f>capProd2SoftwareAmortization</f>
        <v>89506884.070260465</v>
      </c>
      <c r="G95" s="326">
        <f>capProd2SoftwareAmortization</f>
        <v>90121495.408938885</v>
      </c>
      <c r="H95" s="579" t="s">
        <v>1713</v>
      </c>
    </row>
    <row r="96" spans="1:11" ht="5.0999999999999996" customHeight="1">
      <c r="C96" s="185"/>
      <c r="D96" s="185"/>
      <c r="E96" s="215"/>
      <c r="F96" s="215"/>
      <c r="G96" s="215"/>
      <c r="J96" s="385"/>
      <c r="K96" s="385"/>
    </row>
    <row r="97" spans="1:13" ht="12.75">
      <c r="A97" s="22"/>
      <c r="C97" s="3" t="s">
        <v>1623</v>
      </c>
      <c r="E97" s="327">
        <f>SUM(E94:E96)</f>
        <v>171988446.09804523</v>
      </c>
      <c r="F97" s="327">
        <f t="shared" ref="F97" si="24">SUM(F94:F96)</f>
        <v>147155195.59967178</v>
      </c>
      <c r="G97" s="327">
        <f t="shared" ref="G97" si="25">SUM(G94:G96)</f>
        <v>140899357.37432167</v>
      </c>
      <c r="H97" s="579" t="s">
        <v>1714</v>
      </c>
    </row>
    <row r="98" spans="1:13" ht="12.75">
      <c r="A98" s="22"/>
      <c r="B98" s="3" t="s">
        <v>1625</v>
      </c>
      <c r="C98" s="3"/>
      <c r="E98" s="596">
        <f>finPNLProd2EBITDA-finPNLProd2DeprAmortExp</f>
        <v>558861283.69516289</v>
      </c>
      <c r="F98" s="596">
        <f>finPNLProd2EBITDA-finPNLProd2DeprAmortExp</f>
        <v>556685182.30843282</v>
      </c>
      <c r="G98" s="596">
        <f>finPNLProd2EBITDA-finPNLProd2DeprAmortExp</f>
        <v>265040829.40867832</v>
      </c>
      <c r="H98" s="579" t="s">
        <v>1632</v>
      </c>
      <c r="I98" s="565"/>
    </row>
    <row r="99" spans="1:13" ht="12.75">
      <c r="A99" s="22"/>
      <c r="B99" s="565" t="s">
        <v>403</v>
      </c>
      <c r="E99" s="385">
        <f>finPNLProd2OperatingIncome/finPNLProd2Rev</f>
        <v>0.23260410028815165</v>
      </c>
      <c r="F99" s="385">
        <f>finPNLProd2OperatingIncome/finPNLProd2Rev</f>
        <v>0.26379697370765293</v>
      </c>
      <c r="G99" s="385">
        <f>finPNLProd2OperatingIncome/finPNLProd2Rev</f>
        <v>0.16561437376230659</v>
      </c>
      <c r="H99" s="579" t="s">
        <v>1633</v>
      </c>
    </row>
    <row r="100" spans="1:13" ht="12.75">
      <c r="A100" s="22"/>
    </row>
    <row r="101" spans="1:13" ht="12.75">
      <c r="A101" s="22"/>
    </row>
    <row r="102" spans="1:13" ht="12.75">
      <c r="A102" s="22" t="s">
        <v>1229</v>
      </c>
      <c r="B102" s="3"/>
    </row>
    <row r="103" spans="1:13" ht="12.75">
      <c r="A103" s="22"/>
      <c r="B103" s="3" t="s">
        <v>807</v>
      </c>
    </row>
    <row r="104" spans="1:13" ht="12.75">
      <c r="A104" s="22"/>
      <c r="C104" s="565" t="s">
        <v>1423</v>
      </c>
      <c r="E104" s="326">
        <f>finPNLProd1ExistSubRev+finPNLProd2ExistSubRev</f>
        <v>3769681987.7625008</v>
      </c>
      <c r="F104" s="326">
        <f>finPNLProd1ExistSubRev+finPNLProd2ExistSubRev</f>
        <v>3308736195.9805317</v>
      </c>
      <c r="G104" s="326">
        <f>finPNLProd1ExistSubRev+finPNLProd2ExistSubRev</f>
        <v>2410030422.8640656</v>
      </c>
      <c r="H104" s="579" t="s">
        <v>1601</v>
      </c>
      <c r="I104" s="587"/>
      <c r="M104" s="327"/>
    </row>
    <row r="105" spans="1:13" ht="12.75">
      <c r="A105" s="22"/>
      <c r="C105" s="565" t="s">
        <v>1424</v>
      </c>
      <c r="E105" s="326">
        <f>finPNLProd1NewSubRev+finPNLProd2NewSubRev</f>
        <v>90079200</v>
      </c>
      <c r="F105" s="326">
        <f>finPNLProd1NewSubRev+finPNLProd2NewSubRev</f>
        <v>83034180</v>
      </c>
      <c r="G105" s="326">
        <f>finPNLProd1NewSubRev+finPNLProd2NewSubRev</f>
        <v>56791560</v>
      </c>
      <c r="H105" s="579" t="s">
        <v>1602</v>
      </c>
      <c r="M105" s="14"/>
    </row>
    <row r="106" spans="1:13" ht="12.75">
      <c r="A106" s="22"/>
      <c r="C106" s="565" t="s">
        <v>1425</v>
      </c>
      <c r="E106" s="326">
        <f>finPNLProd1ServiceRev+finPNLProd2ServiceRev</f>
        <v>225312000</v>
      </c>
      <c r="F106" s="326">
        <f>finPNLProd1ServiceRev+finPNLProd2ServiceRev</f>
        <v>191510400.00000003</v>
      </c>
      <c r="G106" s="326">
        <f>finPNLProd1ServiceRev+finPNLProd2ServiceRev</f>
        <v>146444800</v>
      </c>
      <c r="H106" s="579" t="s">
        <v>1603</v>
      </c>
    </row>
    <row r="107" spans="1:13" ht="12.75">
      <c r="A107" s="22"/>
      <c r="C107" s="565" t="s">
        <v>3065</v>
      </c>
      <c r="E107" s="326">
        <f>finPNLProd1GGORev+finPNLProd2GGORev</f>
        <v>326337786.73989737</v>
      </c>
      <c r="F107" s="326">
        <f>finPNLProd1GGORev+finPNLProd2GGORev</f>
        <v>329347202.32700366</v>
      </c>
      <c r="G107" s="326">
        <f>finPNLProd1GGORev+finPNLProd2GGORev</f>
        <v>326337786.73989737</v>
      </c>
      <c r="H107" s="579" t="s">
        <v>3068</v>
      </c>
    </row>
    <row r="108" spans="1:13" ht="5.0999999999999996" customHeight="1">
      <c r="C108" s="185"/>
      <c r="D108" s="185"/>
      <c r="E108" s="215"/>
      <c r="F108" s="215"/>
      <c r="G108" s="215"/>
      <c r="J108" s="385"/>
      <c r="K108" s="385"/>
    </row>
    <row r="109" spans="1:13">
      <c r="B109" s="3" t="s">
        <v>243</v>
      </c>
      <c r="C109" s="3"/>
      <c r="D109" s="3"/>
      <c r="E109" s="17">
        <f>SUM(E104:E108)</f>
        <v>4411410974.5023985</v>
      </c>
      <c r="F109" s="17">
        <f t="shared" ref="F109:G109" si="26">SUM(F104:F108)</f>
        <v>3912627978.3075352</v>
      </c>
      <c r="G109" s="17">
        <f t="shared" si="26"/>
        <v>2939604569.6039629</v>
      </c>
      <c r="H109" s="579" t="s">
        <v>579</v>
      </c>
      <c r="M109" s="385"/>
    </row>
    <row r="110" spans="1:13" ht="12.75">
      <c r="A110" s="22"/>
      <c r="B110" s="3" t="s">
        <v>723</v>
      </c>
      <c r="J110" s="385"/>
      <c r="K110" s="385"/>
    </row>
    <row r="111" spans="1:13" ht="12.75">
      <c r="A111" s="22"/>
      <c r="B111" s="3" t="s">
        <v>1427</v>
      </c>
    </row>
    <row r="112" spans="1:13" ht="12.75">
      <c r="A112" s="22"/>
      <c r="B112" s="3"/>
      <c r="C112" t="str">
        <f>DataNameEmp1</f>
        <v>Engineers</v>
      </c>
      <c r="E112" s="578">
        <f>finPNLProd1Emp1Exp+finPNLProd2Emp1Exp</f>
        <v>34615384.615384638</v>
      </c>
      <c r="F112" s="578">
        <f>finPNLProd1Emp1Exp+finPNLProd2Emp1Exp</f>
        <v>149079345.85099939</v>
      </c>
      <c r="G112" s="578">
        <f>finPNLProd1Emp1Exp+finPNLProd2Emp1Exp</f>
        <v>36050471.267862618</v>
      </c>
      <c r="H112" s="579" t="s">
        <v>1604</v>
      </c>
      <c r="J112" s="385"/>
      <c r="K112" s="385"/>
    </row>
    <row r="113" spans="1:11" ht="12.75">
      <c r="A113" s="22"/>
      <c r="B113" s="3"/>
      <c r="C113" t="str">
        <f>DataNameEmp2</f>
        <v>Staff</v>
      </c>
      <c r="E113" s="578">
        <f>finPNLProd1Emp2Exp+finPNLProd2Emp2Exp</f>
        <v>1546344799.9999998</v>
      </c>
      <c r="F113" s="578">
        <f>finPNLProd1Emp2Exp+finPNLProd2Emp2Exp</f>
        <v>1188180000</v>
      </c>
      <c r="G113" s="578">
        <f>finPNLProd1Emp2Exp+finPNLProd2Emp2Exp</f>
        <v>1089767840.0000002</v>
      </c>
      <c r="H113" s="579" t="s">
        <v>1605</v>
      </c>
    </row>
    <row r="114" spans="1:11" ht="12.75">
      <c r="A114" s="22"/>
      <c r="B114" s="3"/>
      <c r="C114" t="str">
        <f>DataNameEmp3</f>
        <v>Services Personnel</v>
      </c>
      <c r="E114" s="578">
        <f>finPNLProd1Emp3Exp+finPNLProd2Emp3Exp</f>
        <v>224125500.00000006</v>
      </c>
      <c r="F114" s="578">
        <f>finPNLProd1Emp3Exp+finPNLProd2Emp3Exp</f>
        <v>193279500</v>
      </c>
      <c r="G114" s="578">
        <f>finPNLProd1Emp3Exp+finPNLProd2Emp3Exp</f>
        <v>152394000.00000003</v>
      </c>
      <c r="H114" s="579" t="s">
        <v>1606</v>
      </c>
      <c r="J114" s="385"/>
      <c r="K114" s="385"/>
    </row>
    <row r="115" spans="1:11" ht="12.75">
      <c r="A115" s="22"/>
      <c r="C115" s="565" t="s">
        <v>1562</v>
      </c>
      <c r="E115" s="326">
        <f>finPNLProd1Emp1ProdDevExp+finPNLProd2Emp1ProdDevExp</f>
        <v>222115384.61538461</v>
      </c>
      <c r="F115" s="326">
        <f>finPNLProd1Emp1ProdDevExp+finPNLProd2Emp1ProdDevExp</f>
        <v>219276196.24470019</v>
      </c>
      <c r="G115" s="326">
        <f>finPNLProd1Emp1ProdDevExp+finPNLProd2Emp1ProdDevExp</f>
        <v>253184858.61964124</v>
      </c>
      <c r="H115" s="579" t="s">
        <v>1611</v>
      </c>
    </row>
    <row r="116" spans="1:11" ht="5.0999999999999996" customHeight="1">
      <c r="C116" s="185"/>
      <c r="D116" s="185"/>
      <c r="E116" s="215"/>
      <c r="F116" s="215"/>
      <c r="G116" s="215"/>
    </row>
    <row r="117" spans="1:11" ht="12.75">
      <c r="A117" s="22"/>
      <c r="C117" s="3" t="s">
        <v>1427</v>
      </c>
      <c r="E117" s="424">
        <f>SUM(E112:E116)</f>
        <v>2027201069.2307689</v>
      </c>
      <c r="F117" s="600">
        <f t="shared" ref="F117:G117" si="27">SUM(F112:F116)</f>
        <v>1749815042.0956995</v>
      </c>
      <c r="G117" s="600">
        <f t="shared" si="27"/>
        <v>1531397169.8875041</v>
      </c>
      <c r="H117" s="579" t="s">
        <v>1607</v>
      </c>
      <c r="J117" s="385"/>
      <c r="K117" s="385"/>
    </row>
    <row r="118" spans="1:11" ht="12.75">
      <c r="A118" s="22"/>
      <c r="B118" s="3" t="s">
        <v>1533</v>
      </c>
      <c r="C118" s="565"/>
      <c r="E118" s="326"/>
      <c r="F118" s="326"/>
      <c r="G118" s="326"/>
    </row>
    <row r="119" spans="1:11" ht="12.75">
      <c r="A119" s="22"/>
      <c r="C119" s="565" t="s">
        <v>1542</v>
      </c>
      <c r="E119" s="326">
        <f>finPNLProd1RoyalityExp+finPNLProd2RoyalityExp</f>
        <v>187173292.703125</v>
      </c>
      <c r="F119" s="326">
        <f>finPNLProd1RoyalityExp+finPNLProd2RoyalityExp</f>
        <v>158623538.97515625</v>
      </c>
      <c r="G119" s="326">
        <f>finPNLProd1RoyalityExp+finPNLProd2RoyalityExp</f>
        <v>121568248.22328125</v>
      </c>
      <c r="H119" s="579" t="s">
        <v>1608</v>
      </c>
      <c r="J119" s="385"/>
      <c r="K119" s="385"/>
    </row>
    <row r="120" spans="1:11" ht="12.75">
      <c r="A120" s="22"/>
      <c r="C120" s="565" t="s">
        <v>1551</v>
      </c>
      <c r="E120" s="326">
        <f>finPNLProd1PrintExp+finPNLProd2PrintExp</f>
        <v>168635600.80312502</v>
      </c>
      <c r="F120" s="326">
        <f>finPNLProd1PrintExp+finPNLProd2PrintExp</f>
        <v>142908697.53990626</v>
      </c>
      <c r="G120" s="326">
        <f>finPNLProd1PrintExp+finPNLProd2PrintExp</f>
        <v>109428571.94103125</v>
      </c>
      <c r="H120" s="579" t="s">
        <v>1609</v>
      </c>
    </row>
    <row r="121" spans="1:11" ht="12.75">
      <c r="A121" s="22"/>
      <c r="C121" s="565" t="s">
        <v>1226</v>
      </c>
      <c r="E121" s="326">
        <f>finPNLProd1MktExp+finPNLProd2MktExp</f>
        <v>198642883.9674342</v>
      </c>
      <c r="F121" s="326">
        <f>finPNLProd1MktExp+finPNLProd2MktExp</f>
        <v>205527790.85967886</v>
      </c>
      <c r="G121" s="326">
        <f>finPNLProd1MktExp+finPNLProd2MktExp</f>
        <v>153644722.53281397</v>
      </c>
      <c r="H121" s="579" t="s">
        <v>1610</v>
      </c>
      <c r="J121" s="385"/>
      <c r="K121" s="385"/>
    </row>
    <row r="122" spans="1:11" ht="12.75">
      <c r="A122" s="22"/>
      <c r="C122" s="565" t="s">
        <v>722</v>
      </c>
      <c r="E122" s="326">
        <f>E25:G25+E73:G73</f>
        <v>0</v>
      </c>
      <c r="F122" s="326">
        <f>F25:H25+F73:H73</f>
        <v>0</v>
      </c>
      <c r="G122" s="326">
        <f>G25:I25+G73:I73</f>
        <v>0</v>
      </c>
      <c r="H122" s="579" t="s">
        <v>479</v>
      </c>
    </row>
    <row r="123" spans="1:11" ht="5.0999999999999996" customHeight="1">
      <c r="C123" s="185"/>
      <c r="D123" s="185"/>
      <c r="E123" s="215"/>
      <c r="F123" s="215"/>
      <c r="G123" s="215"/>
      <c r="J123" s="385"/>
      <c r="K123" s="385"/>
    </row>
    <row r="124" spans="1:11" ht="12.75">
      <c r="A124" s="22"/>
      <c r="C124" s="3" t="s">
        <v>1533</v>
      </c>
      <c r="E124" s="593">
        <f>SUM(E119:E123)</f>
        <v>554451777.47368419</v>
      </c>
      <c r="F124" s="593">
        <f t="shared" ref="F124:G124" si="28">SUM(F119:F123)</f>
        <v>507060027.37474138</v>
      </c>
      <c r="G124" s="593">
        <f t="shared" si="28"/>
        <v>384641542.69712645</v>
      </c>
      <c r="H124" s="579" t="s">
        <v>1637</v>
      </c>
    </row>
    <row r="125" spans="1:11" ht="12.75">
      <c r="A125" s="22"/>
      <c r="B125" s="3" t="s">
        <v>1556</v>
      </c>
      <c r="J125" s="385"/>
      <c r="K125" s="385"/>
    </row>
    <row r="126" spans="1:11" ht="12.75">
      <c r="A126" s="22"/>
      <c r="C126" s="565" t="s">
        <v>1565</v>
      </c>
      <c r="E126" s="326">
        <f>finPNLProd1ExtFTEProdDevExp+finPNLProd2ExtFTEProdDevExp</f>
        <v>18500000</v>
      </c>
      <c r="F126" s="326">
        <f>finPNLProd1ExtFTEProdDevExp+finPNLProd2ExtFTEProdDevExp</f>
        <v>5000000</v>
      </c>
      <c r="G126" s="326">
        <f>finPNLProd1ExtFTEProdDevExp+finPNLProd2ExtFTEProdDevExp</f>
        <v>5000000.0000000009</v>
      </c>
      <c r="H126" s="579" t="s">
        <v>1612</v>
      </c>
      <c r="J126" s="385"/>
      <c r="K126" s="385"/>
    </row>
    <row r="127" spans="1:11" ht="5.0999999999999996" customHeight="1">
      <c r="C127" s="185"/>
      <c r="D127" s="185"/>
      <c r="E127" s="215"/>
      <c r="F127" s="215"/>
      <c r="G127" s="215"/>
    </row>
    <row r="128" spans="1:11" ht="12.75">
      <c r="A128" s="22"/>
      <c r="C128" s="3" t="s">
        <v>1556</v>
      </c>
      <c r="E128" s="593">
        <f>SUM(E126:E127)</f>
        <v>18500000</v>
      </c>
      <c r="F128" s="593">
        <f t="shared" ref="F128:G128" si="29">SUM(F126:F127)</f>
        <v>5000000</v>
      </c>
      <c r="G128" s="593">
        <f t="shared" si="29"/>
        <v>5000000.0000000009</v>
      </c>
      <c r="H128" s="579" t="s">
        <v>1613</v>
      </c>
      <c r="J128" s="385"/>
      <c r="K128" s="385"/>
    </row>
    <row r="129" spans="1:11" ht="12.75">
      <c r="A129" s="22"/>
      <c r="B129" s="3" t="s">
        <v>1557</v>
      </c>
    </row>
    <row r="130" spans="1:11" ht="12.75">
      <c r="A130" s="22"/>
      <c r="C130" s="565" t="s">
        <v>1428</v>
      </c>
      <c r="E130" s="326">
        <f>finPNLProd1Plant1Exp+finPNLProd2Plant1Exp</f>
        <v>465000000</v>
      </c>
      <c r="F130" s="326">
        <f>finPNLProd1Plant1Exp+finPNLProd2Plant1Exp</f>
        <v>279000000</v>
      </c>
      <c r="G130" s="326">
        <f>finPNLProd1Plant1Exp+finPNLProd2Plant1Exp</f>
        <v>232500000</v>
      </c>
      <c r="H130" s="579" t="s">
        <v>1614</v>
      </c>
      <c r="J130" s="385"/>
      <c r="K130" s="385"/>
    </row>
    <row r="131" spans="1:11" ht="12.75">
      <c r="A131" s="22"/>
      <c r="C131" s="565" t="s">
        <v>291</v>
      </c>
      <c r="E131" s="326">
        <f>finPNLProd1AdminExp+finPNLProd2AdminExp</f>
        <v>14999999.999999998</v>
      </c>
      <c r="F131" s="326">
        <f>finPNLProd1AdminExp+finPNLProd2AdminExp</f>
        <v>15000000</v>
      </c>
      <c r="G131" s="326">
        <f>finPNLProd1AdminExp+finPNLProd2AdminExp</f>
        <v>5000000.0000000009</v>
      </c>
      <c r="H131" s="579" t="s">
        <v>477</v>
      </c>
    </row>
    <row r="132" spans="1:11" ht="5.0999999999999996" customHeight="1">
      <c r="C132" s="185"/>
      <c r="D132" s="185"/>
      <c r="E132" s="215"/>
      <c r="F132" s="215"/>
      <c r="G132" s="215"/>
      <c r="J132" s="385"/>
      <c r="K132" s="385"/>
    </row>
    <row r="133" spans="1:11" ht="12.75">
      <c r="A133" s="22"/>
      <c r="C133" s="3" t="s">
        <v>1557</v>
      </c>
      <c r="E133" s="593">
        <f>SUM(E130:E132)</f>
        <v>480000000</v>
      </c>
      <c r="F133" s="593">
        <f t="shared" ref="F133:G133" si="30">SUM(F130:F132)</f>
        <v>294000000</v>
      </c>
      <c r="G133" s="593">
        <f t="shared" si="30"/>
        <v>237500000</v>
      </c>
      <c r="H133" s="579" t="s">
        <v>1638</v>
      </c>
    </row>
    <row r="134" spans="1:11">
      <c r="B134" s="3" t="s">
        <v>957</v>
      </c>
      <c r="E134" s="385"/>
      <c r="F134" s="385"/>
      <c r="G134" s="385"/>
      <c r="J134" s="385"/>
      <c r="K134" s="385"/>
    </row>
    <row r="135" spans="1:11">
      <c r="C135" s="565" t="s">
        <v>686</v>
      </c>
      <c r="E135" s="11">
        <f>finPNLProd1OtherExp+finPNLProd2OtherExp</f>
        <v>121000000</v>
      </c>
      <c r="F135" s="11">
        <f>finPNLProd1OtherExp+finPNLProd2OtherExp</f>
        <v>121000000</v>
      </c>
      <c r="G135" s="11">
        <f>finPNLProd1OtherExp+finPNLProd2OtherExp</f>
        <v>121000000</v>
      </c>
      <c r="H135" s="123" t="s">
        <v>479</v>
      </c>
    </row>
    <row r="136" spans="1:11">
      <c r="C136" s="565" t="s">
        <v>406</v>
      </c>
      <c r="E136">
        <f>finPNLProd1SpecProgExp+finPNLProd2SpecProgExp</f>
        <v>59999999.999999993</v>
      </c>
      <c r="F136">
        <f>finPNLProd1SpecProgExp+finPNLProd2SpecProgExp</f>
        <v>60000000</v>
      </c>
      <c r="G136">
        <f>finPNLProd1SpecProgExp+finPNLProd2SpecProgExp</f>
        <v>60000000</v>
      </c>
      <c r="H136" s="123" t="s">
        <v>687</v>
      </c>
      <c r="J136" s="385"/>
      <c r="K136" s="385"/>
    </row>
    <row r="137" spans="1:11" ht="4.5" customHeight="1">
      <c r="C137" s="185"/>
      <c r="D137" s="185"/>
      <c r="E137" s="185"/>
      <c r="F137" s="185"/>
      <c r="G137" s="185"/>
    </row>
    <row r="138" spans="1:11">
      <c r="A138" s="3"/>
      <c r="C138" s="3" t="s">
        <v>957</v>
      </c>
      <c r="E138" s="13">
        <f>SUM(E135:E137)</f>
        <v>181000000</v>
      </c>
      <c r="F138" s="13">
        <f t="shared" ref="F138:G138" si="31">SUM(F135:F137)</f>
        <v>181000000</v>
      </c>
      <c r="G138" s="13">
        <f t="shared" si="31"/>
        <v>181000000</v>
      </c>
      <c r="H138" s="516" t="s">
        <v>959</v>
      </c>
      <c r="J138" s="385"/>
      <c r="K138" s="385"/>
    </row>
    <row r="139" spans="1:11">
      <c r="A139" s="3"/>
      <c r="B139" s="3" t="s">
        <v>186</v>
      </c>
      <c r="C139" s="3"/>
      <c r="E139" s="13">
        <f>finPNLEmpExp+finPNLRevExp+finPNLProdDevExp+finPNLAdminInfraExp+finPNLOtherOpExp</f>
        <v>3261152846.704453</v>
      </c>
      <c r="F139" s="13">
        <f>finPNLEmpExp+finPNLRevExp+finPNLProdDevExp+finPNLAdminInfraExp+finPNLOtherOpExp</f>
        <v>2736875069.4704409</v>
      </c>
      <c r="G139" s="13">
        <f>finPNLEmpExp+finPNLRevExp+finPNLProdDevExp+finPNLAdminInfraExp+finPNLOtherOpExp</f>
        <v>2339538712.5846305</v>
      </c>
      <c r="H139" s="579" t="s">
        <v>1634</v>
      </c>
      <c r="J139" s="385"/>
    </row>
    <row r="140" spans="1:11" ht="12.75">
      <c r="A140" s="22"/>
      <c r="B140" s="3" t="s">
        <v>1615</v>
      </c>
      <c r="E140" s="424">
        <f>finPNLRev-finPNLOperatingExp</f>
        <v>1150258127.7979455</v>
      </c>
      <c r="F140" s="424">
        <f>finPNLRev-finPNLOperatingExp</f>
        <v>1175752908.8370943</v>
      </c>
      <c r="G140" s="424">
        <f>finPNLRev-finPNLOperatingExp</f>
        <v>600065857.01933241</v>
      </c>
      <c r="H140" s="579" t="s">
        <v>1619</v>
      </c>
    </row>
    <row r="141" spans="1:11" ht="12.75">
      <c r="A141" s="22"/>
      <c r="B141" s="565" t="s">
        <v>1621</v>
      </c>
      <c r="E141" s="385">
        <f>finPNLEBITDA/finPNLRev</f>
        <v>0.26074608202372102</v>
      </c>
      <c r="F141" s="385">
        <f>finPNLEBITDA/finPNLRev</f>
        <v>0.30050209612458056</v>
      </c>
      <c r="G141" s="385">
        <f>finPNLEBITDA/finPNLRev</f>
        <v>0.20413148871250258</v>
      </c>
      <c r="H141" s="579" t="s">
        <v>1903</v>
      </c>
    </row>
    <row r="142" spans="1:11" ht="12.75">
      <c r="A142" s="22"/>
      <c r="B142" s="3" t="s">
        <v>1623</v>
      </c>
    </row>
    <row r="143" spans="1:11" ht="12.75">
      <c r="A143" s="22"/>
      <c r="C143" s="565" t="s">
        <v>1622</v>
      </c>
      <c r="E143" s="412">
        <f>finPNLProd1DeprExp+finPNLProd2DeprExp</f>
        <v>157750000</v>
      </c>
      <c r="F143" s="412">
        <f>finPNLProd1DeprExp+finPNLProd2DeprExp</f>
        <v>109250000</v>
      </c>
      <c r="G143" s="412">
        <f>finPNLProd1DeprExp+finPNLProd2DeprExp</f>
        <v>95875000</v>
      </c>
      <c r="H143" s="579" t="s">
        <v>1715</v>
      </c>
    </row>
    <row r="144" spans="1:11" ht="12.75">
      <c r="A144" s="22"/>
      <c r="C144" s="565" t="s">
        <v>1624</v>
      </c>
      <c r="E144" s="412">
        <f>finPNLProd1AmortExp+finPNLProd2AmortExp</f>
        <v>154329846.15384617</v>
      </c>
      <c r="F144" s="412">
        <f>finPNLProd1AmortExp+finPNLProd2AmortExp</f>
        <v>146704891.58086011</v>
      </c>
      <c r="G144" s="412">
        <f>finPNLProd1AmortExp+finPNLProd2AmortExp</f>
        <v>162528934.02249923</v>
      </c>
      <c r="H144" s="579" t="s">
        <v>1716</v>
      </c>
    </row>
    <row r="145" spans="1:11" ht="5.0999999999999996" customHeight="1">
      <c r="C145" s="185"/>
      <c r="D145" s="185"/>
      <c r="E145" s="215"/>
      <c r="F145" s="215"/>
      <c r="G145" s="215"/>
      <c r="J145" s="385"/>
      <c r="K145" s="385"/>
    </row>
    <row r="146" spans="1:11" ht="12.75">
      <c r="A146" s="22"/>
      <c r="C146" s="3" t="s">
        <v>1623</v>
      </c>
      <c r="E146" s="327">
        <f>SUM(E143:E145)</f>
        <v>312079846.15384614</v>
      </c>
      <c r="F146" s="327">
        <f t="shared" ref="F146" si="32">SUM(F143:F145)</f>
        <v>255954891.58086011</v>
      </c>
      <c r="G146" s="327">
        <f t="shared" ref="G146" si="33">SUM(G143:G145)</f>
        <v>258403934.02249923</v>
      </c>
      <c r="H146" s="579" t="s">
        <v>1717</v>
      </c>
    </row>
    <row r="147" spans="1:11" ht="12.75">
      <c r="A147" s="22"/>
      <c r="B147" s="3" t="s">
        <v>1625</v>
      </c>
      <c r="C147" s="3"/>
      <c r="E147" s="596">
        <f>finPNLEBITDA-finPNLDeprAmortExp</f>
        <v>838178281.64409935</v>
      </c>
      <c r="F147" s="596">
        <f>finPNLEBITDA-finPNLDeprAmortExp</f>
        <v>919798017.25623417</v>
      </c>
      <c r="G147" s="596">
        <f>finPNLEBITDA-finPNLDeprAmortExp</f>
        <v>341661922.99683321</v>
      </c>
      <c r="H147" s="579" t="s">
        <v>1635</v>
      </c>
      <c r="I147" s="565"/>
    </row>
    <row r="148" spans="1:11" ht="12.75">
      <c r="A148" s="22"/>
      <c r="B148" s="565" t="s">
        <v>403</v>
      </c>
      <c r="E148" s="385">
        <f>finPNLOperatingIncome/finPNLRev</f>
        <v>0.1900023113894177</v>
      </c>
      <c r="F148" s="385">
        <f>finPNLOperatingIncome/finPNLRev</f>
        <v>0.23508445534709546</v>
      </c>
      <c r="G148" s="385">
        <f>finPNLOperatingIncome/finPNLRev</f>
        <v>0.11622717100445366</v>
      </c>
      <c r="H148" s="579" t="s">
        <v>1636</v>
      </c>
    </row>
    <row r="149" spans="1:11" s="4" customFormat="1">
      <c r="A149" s="3"/>
      <c r="B149" s="3" t="s">
        <v>688</v>
      </c>
      <c r="E149" s="401"/>
      <c r="F149" s="401"/>
      <c r="G149" s="401"/>
      <c r="H149" s="516"/>
    </row>
    <row r="150" spans="1:11">
      <c r="C150" t="s">
        <v>574</v>
      </c>
      <c r="E150" s="11">
        <f>capPlant1CapitalLoss</f>
        <v>0</v>
      </c>
      <c r="F150" s="11">
        <f>capPlant1CapitalLoss</f>
        <v>0</v>
      </c>
      <c r="G150" s="11">
        <f>capPlant1CapitalLoss</f>
        <v>0</v>
      </c>
      <c r="H150" s="123" t="s">
        <v>480</v>
      </c>
    </row>
    <row r="151" spans="1:11">
      <c r="C151" t="s">
        <v>1127</v>
      </c>
      <c r="E151" s="11">
        <f>obalSpecLoansValue*paramSpecLoansIntRate</f>
        <v>0</v>
      </c>
      <c r="F151" s="11">
        <f>obalSpecLoansValue*paramSpecLoansIntRate</f>
        <v>0</v>
      </c>
      <c r="G151" s="11">
        <f>obalSpecLoansValue*paramSpecLoansIntRate</f>
        <v>0</v>
      </c>
      <c r="H151" s="123" t="s">
        <v>278</v>
      </c>
    </row>
    <row r="152" spans="1:11" ht="5.0999999999999996" customHeight="1">
      <c r="C152" s="185"/>
      <c r="D152" s="185"/>
      <c r="E152" s="216"/>
      <c r="F152" s="216"/>
      <c r="G152" s="216"/>
    </row>
    <row r="153" spans="1:11">
      <c r="A153" s="3"/>
      <c r="C153" s="3" t="s">
        <v>885</v>
      </c>
      <c r="E153" s="13">
        <f>SUM(E150:E152)</f>
        <v>0</v>
      </c>
      <c r="F153" s="13">
        <f>SUM(F150:F152)</f>
        <v>0</v>
      </c>
      <c r="G153" s="13">
        <f>SUM(G150:G152)</f>
        <v>0</v>
      </c>
      <c r="H153" s="123" t="s">
        <v>481</v>
      </c>
    </row>
    <row r="154" spans="1:11" s="4" customFormat="1">
      <c r="A154" s="3"/>
      <c r="B154" s="3" t="s">
        <v>689</v>
      </c>
      <c r="H154" s="516"/>
    </row>
    <row r="155" spans="1:11">
      <c r="C155" t="s">
        <v>886</v>
      </c>
      <c r="E155" s="11">
        <f>paramCashIntRate*obalCashValue</f>
        <v>8500838.6443741601</v>
      </c>
      <c r="F155" s="11">
        <f>paramCashIntRate*obalCashValue</f>
        <v>8500838.6443741601</v>
      </c>
      <c r="G155" s="11">
        <f>paramCashIntRate*obalCashValue</f>
        <v>8500838.6443741601</v>
      </c>
      <c r="H155" s="123" t="s">
        <v>279</v>
      </c>
    </row>
    <row r="156" spans="1:11">
      <c r="C156" t="s">
        <v>887</v>
      </c>
      <c r="E156" s="11">
        <f>((obalLTDebtValue+cbalLTDebtValue)/2)*paramLTDebtIntRate</f>
        <v>125929708.2424297</v>
      </c>
      <c r="F156" s="11">
        <f>((obalLTDebtValue+cbalLTDebtValue)/2)*paramLTDebtIntRate</f>
        <v>125929708.2424297</v>
      </c>
      <c r="G156" s="11">
        <f>((obalLTDebtValue+cbalLTDebtValue)/2)*paramLTDebtIntRate</f>
        <v>125929708.2424297</v>
      </c>
      <c r="H156" s="123" t="s">
        <v>280</v>
      </c>
    </row>
    <row r="157" spans="1:11" ht="5.0999999999999996" customHeight="1">
      <c r="C157" s="185"/>
      <c r="D157" s="185"/>
      <c r="E157" s="216"/>
      <c r="F157" s="216"/>
      <c r="G157" s="216"/>
    </row>
    <row r="158" spans="1:11">
      <c r="A158" s="3"/>
      <c r="C158" s="3" t="s">
        <v>721</v>
      </c>
      <c r="E158" s="13">
        <f>SUM(E156:E157)-E155</f>
        <v>117428869.59805554</v>
      </c>
      <c r="F158" s="13">
        <f>SUM(F156:F157)-F155</f>
        <v>117428869.59805554</v>
      </c>
      <c r="G158" s="13">
        <f>SUM(G156:G157)-G155</f>
        <v>117428869.59805554</v>
      </c>
      <c r="H158" s="123" t="s">
        <v>482</v>
      </c>
    </row>
    <row r="159" spans="1:11" s="4" customFormat="1">
      <c r="H159" s="516"/>
    </row>
    <row r="160" spans="1:11" s="4" customFormat="1">
      <c r="A160" s="3"/>
      <c r="B160" s="3" t="s">
        <v>10</v>
      </c>
      <c r="C160" s="3"/>
      <c r="E160" s="17">
        <f>E147-E153-E158</f>
        <v>720749412.04604387</v>
      </c>
      <c r="F160" s="17">
        <f t="shared" ref="F160:G160" si="34">F147-F153-F158</f>
        <v>802369147.65817857</v>
      </c>
      <c r="G160" s="17">
        <f t="shared" si="34"/>
        <v>224233053.39877766</v>
      </c>
      <c r="H160" s="516" t="s">
        <v>383</v>
      </c>
    </row>
    <row r="161" spans="1:8" s="4" customFormat="1">
      <c r="B161" s="3" t="s">
        <v>1136</v>
      </c>
      <c r="C161" s="3"/>
      <c r="E161" s="17">
        <f>IF(E160&lt;=0,0,MAX(0,E160*paramTaxRate-obalCumulativeTaxLoss))</f>
        <v>144149882.40920877</v>
      </c>
      <c r="F161" s="17">
        <f>IF(F160&lt;=0,0,MAX(0,F160*paramTaxRate-obalCumulativeTaxLoss))</f>
        <v>160473829.53163573</v>
      </c>
      <c r="G161" s="17">
        <f>IF(G160&lt;=0,0,MAX(0,G160*paramTaxRate-obalCumulativeTaxLoss))</f>
        <v>44846610.679755539</v>
      </c>
      <c r="H161" s="516" t="s">
        <v>483</v>
      </c>
    </row>
    <row r="162" spans="1:8" s="4" customFormat="1">
      <c r="A162" s="3"/>
      <c r="B162" s="3" t="s">
        <v>443</v>
      </c>
      <c r="C162" s="3"/>
      <c r="E162" s="17">
        <f>E160-E161</f>
        <v>576599529.6368351</v>
      </c>
      <c r="F162" s="17">
        <f>F160-F161</f>
        <v>641895318.12654281</v>
      </c>
      <c r="G162" s="17">
        <f>G160-G161</f>
        <v>179386442.71902213</v>
      </c>
      <c r="H162" s="516" t="s">
        <v>484</v>
      </c>
    </row>
    <row r="163" spans="1:8" s="4" customFormat="1">
      <c r="E163" s="401">
        <f>E162/finPNLRev</f>
        <v>0.13070637330539686</v>
      </c>
      <c r="F163" s="401">
        <f>F162/finPNLRev</f>
        <v>0.1640573347850475</v>
      </c>
      <c r="G163" s="401">
        <f>G162/finPNLRev</f>
        <v>6.1024004580041147E-2</v>
      </c>
      <c r="H163" s="516"/>
    </row>
    <row r="164" spans="1:8">
      <c r="A164" s="3"/>
      <c r="B164" s="3" t="s">
        <v>1060</v>
      </c>
      <c r="C164" s="3"/>
      <c r="D164" s="3"/>
      <c r="E164" s="17">
        <f>finPNLOperatingExp</f>
        <v>3261152846.704453</v>
      </c>
      <c r="F164" s="17">
        <f>finPNLOperatingExp</f>
        <v>2736875069.4704409</v>
      </c>
      <c r="G164" s="17">
        <f>finPNLOperatingExp</f>
        <v>2339538712.5846305</v>
      </c>
      <c r="H164" s="123" t="s">
        <v>331</v>
      </c>
    </row>
    <row r="166" spans="1:8" ht="15.75">
      <c r="A166" s="25" t="s">
        <v>508</v>
      </c>
      <c r="B166" s="26"/>
      <c r="C166" s="26"/>
      <c r="D166" s="26"/>
      <c r="E166" s="26"/>
      <c r="F166" s="26"/>
      <c r="G166" s="26"/>
      <c r="H166" s="520"/>
    </row>
    <row r="167" spans="1:8">
      <c r="A167" s="3" t="s">
        <v>152</v>
      </c>
      <c r="B167" s="3"/>
      <c r="C167" s="3"/>
      <c r="D167" s="3"/>
      <c r="E167" s="13">
        <f>obalCashValue</f>
        <v>425041932.21870798</v>
      </c>
      <c r="F167" s="13">
        <f>obalCashValue</f>
        <v>425041932.21870798</v>
      </c>
      <c r="G167" s="13">
        <f>obalCashValue</f>
        <v>425041932.21870798</v>
      </c>
    </row>
    <row r="168" spans="1:8">
      <c r="E168" s="11"/>
      <c r="F168" s="11"/>
      <c r="G168" s="11"/>
    </row>
    <row r="169" spans="1:8">
      <c r="B169" t="s">
        <v>443</v>
      </c>
      <c r="E169" s="11">
        <f>E162</f>
        <v>576599529.6368351</v>
      </c>
      <c r="F169" s="11">
        <f>F162</f>
        <v>641895318.12654281</v>
      </c>
      <c r="G169" s="11">
        <f>G162</f>
        <v>179386442.71902213</v>
      </c>
    </row>
    <row r="170" spans="1:8">
      <c r="B170" s="565" t="s">
        <v>350</v>
      </c>
      <c r="E170" s="11">
        <f>E150</f>
        <v>0</v>
      </c>
      <c r="F170" s="11">
        <f>F150</f>
        <v>0</v>
      </c>
      <c r="G170" s="11">
        <f>G150</f>
        <v>0</v>
      </c>
      <c r="H170" s="579" t="s">
        <v>1932</v>
      </c>
    </row>
    <row r="171" spans="1:8">
      <c r="B171" t="s">
        <v>845</v>
      </c>
      <c r="E171" s="11">
        <f>capPlant1Depreciation+capPlant2Depreciation</f>
        <v>157750000</v>
      </c>
      <c r="F171" s="11">
        <f>capPlant1Depreciation+capPlant2Depreciation</f>
        <v>109250000</v>
      </c>
      <c r="G171" s="11">
        <f>capPlant1Depreciation+capPlant2Depreciation</f>
        <v>95875000</v>
      </c>
      <c r="H171" s="123" t="s">
        <v>332</v>
      </c>
    </row>
    <row r="172" spans="1:8">
      <c r="B172" s="565" t="s">
        <v>1624</v>
      </c>
      <c r="E172" s="11">
        <f>capProd1SoftwareAmortization+capProd2SoftwareAmortization</f>
        <v>154329846.15384617</v>
      </c>
      <c r="F172" s="11">
        <f>capProd1SoftwareAmortization+capProd2SoftwareAmortization</f>
        <v>146704891.58086011</v>
      </c>
      <c r="G172" s="11">
        <f>capProd1SoftwareAmortization+capProd2SoftwareAmortization</f>
        <v>162528934.02249923</v>
      </c>
      <c r="H172" s="579" t="s">
        <v>1728</v>
      </c>
    </row>
    <row r="173" spans="1:8">
      <c r="C173" s="89"/>
      <c r="D173" s="89"/>
      <c r="E173" s="96"/>
      <c r="F173" s="96"/>
      <c r="G173" s="96"/>
    </row>
    <row r="174" spans="1:8">
      <c r="A174" s="3" t="s">
        <v>153</v>
      </c>
      <c r="B174" s="3"/>
      <c r="C174" s="3"/>
      <c r="D174" s="3"/>
      <c r="E174" s="13">
        <f>SUM(E169:E173)</f>
        <v>888679375.79068124</v>
      </c>
      <c r="F174" s="13">
        <f>SUM(F169:F173)</f>
        <v>897850209.70740294</v>
      </c>
      <c r="G174" s="13">
        <f>SUM(G169:G173)</f>
        <v>437790376.74152136</v>
      </c>
    </row>
    <row r="175" spans="1:8">
      <c r="E175" s="11"/>
      <c r="F175" s="11"/>
      <c r="G175" s="11"/>
    </row>
    <row r="176" spans="1:8">
      <c r="B176" t="s">
        <v>154</v>
      </c>
      <c r="E176" s="11">
        <f>-(cbalARValue-obalARValue)</f>
        <v>-42301201.125365496</v>
      </c>
      <c r="F176" s="11">
        <f>-(cbalARValue-obalARValue)</f>
        <v>53355811.843512177</v>
      </c>
      <c r="G176" s="11">
        <f>-(cbalARValue-obalARValue)</f>
        <v>239963040.90995061</v>
      </c>
      <c r="H176" s="123" t="s">
        <v>126</v>
      </c>
    </row>
    <row r="177" spans="1:8">
      <c r="B177" s="565" t="s">
        <v>1731</v>
      </c>
      <c r="E177" s="11">
        <f>-(cbalOtherCurrentAssets-obalOtherCurrentAssets)</f>
        <v>0</v>
      </c>
      <c r="F177" s="11">
        <f>-(cbalOtherCurrentAssets-obalOtherCurrentAssets)</f>
        <v>0</v>
      </c>
      <c r="G177" s="11">
        <f>-(cbalOtherCurrentAssets-obalOtherCurrentAssets)</f>
        <v>0</v>
      </c>
      <c r="H177" s="579" t="s">
        <v>1732</v>
      </c>
    </row>
    <row r="178" spans="1:8">
      <c r="B178" t="s">
        <v>797</v>
      </c>
      <c r="E178" s="11">
        <f>cbalAPValue-obalAPValue</f>
        <v>44673326.667184353</v>
      </c>
      <c r="F178" s="11">
        <f>cbalAPValue-obalAPValue</f>
        <v>-98964420.520216227</v>
      </c>
      <c r="G178" s="11">
        <f>cbalAPValue-obalAPValue</f>
        <v>-207823696.37934244</v>
      </c>
      <c r="H178" s="123" t="s">
        <v>325</v>
      </c>
    </row>
    <row r="179" spans="1:8">
      <c r="B179" t="s">
        <v>798</v>
      </c>
      <c r="E179" s="11">
        <f>cbalOtherCurrLiabValue-obalOtherCurrLiabValue</f>
        <v>5554461.8149999976</v>
      </c>
      <c r="F179" s="11">
        <f>cbalOtherCurrLiabValue-obalOtherCurrLiabValue</f>
        <v>5554461.8149999976</v>
      </c>
      <c r="G179" s="11">
        <f>cbalOtherCurrLiabValue-obalOtherCurrLiabValue</f>
        <v>5554461.8149999976</v>
      </c>
      <c r="H179" s="123" t="s">
        <v>326</v>
      </c>
    </row>
    <row r="180" spans="1:8">
      <c r="B180" s="565" t="s">
        <v>1733</v>
      </c>
      <c r="E180" s="11">
        <f>cbalDeferredRevValue-obalDeferredRevValue</f>
        <v>1801584</v>
      </c>
      <c r="F180" s="11">
        <f>cbalDeferredRevValue-obalDeferredRevValue</f>
        <v>-5243436</v>
      </c>
      <c r="G180" s="11">
        <f>cbalDeferredRevValue-obalDeferredRevValue</f>
        <v>-31486056</v>
      </c>
      <c r="H180" s="579" t="s">
        <v>1933</v>
      </c>
    </row>
    <row r="181" spans="1:8">
      <c r="B181" s="565" t="s">
        <v>1735</v>
      </c>
      <c r="E181" s="11">
        <f>cbalOtherLTLiabValue-obalOtherLTLiabValue</f>
        <v>44091974.767284155</v>
      </c>
      <c r="F181" s="11">
        <f>cbalOtherLTLiabValue-obalOtherLTLiabValue</f>
        <v>44091974.767284155</v>
      </c>
      <c r="G181" s="11">
        <f>cbalOtherLTLiabValue-obalOtherLTLiabValue</f>
        <v>44091974.767284155</v>
      </c>
      <c r="H181" s="579" t="s">
        <v>1934</v>
      </c>
    </row>
    <row r="182" spans="1:8">
      <c r="C182" s="89"/>
      <c r="D182" s="89"/>
      <c r="E182" s="96"/>
      <c r="F182" s="96"/>
      <c r="G182" s="96"/>
    </row>
    <row r="183" spans="1:8">
      <c r="A183" s="3" t="s">
        <v>799</v>
      </c>
      <c r="B183" s="3"/>
      <c r="C183" s="3"/>
      <c r="D183" s="3"/>
      <c r="E183" s="13">
        <f>SUM(E176:E182)</f>
        <v>53820146.12410301</v>
      </c>
      <c r="F183" s="13">
        <f>SUM(F176:F182)</f>
        <v>-1205608.0944198966</v>
      </c>
      <c r="G183" s="13">
        <f>SUM(G176:G182)</f>
        <v>50299725.11289233</v>
      </c>
      <c r="H183" s="123" t="s">
        <v>333</v>
      </c>
    </row>
    <row r="184" spans="1:8">
      <c r="A184" s="3"/>
      <c r="B184" s="3"/>
      <c r="C184" s="3"/>
      <c r="D184" s="3"/>
      <c r="E184" s="13"/>
      <c r="F184" s="13"/>
      <c r="G184" s="13"/>
    </row>
    <row r="185" spans="1:8">
      <c r="A185" s="3" t="s">
        <v>800</v>
      </c>
      <c r="B185" s="3"/>
      <c r="C185" s="3"/>
      <c r="D185" s="3"/>
      <c r="E185" s="13">
        <f>E174+E183</f>
        <v>942499521.91478419</v>
      </c>
      <c r="F185" s="13">
        <f>F174+F183</f>
        <v>896644601.61298299</v>
      </c>
      <c r="G185" s="13">
        <f>G174+G183</f>
        <v>488090101.85441369</v>
      </c>
      <c r="H185" s="588" t="s">
        <v>1935</v>
      </c>
    </row>
    <row r="186" spans="1:8">
      <c r="E186" s="11"/>
      <c r="F186" s="11"/>
      <c r="G186" s="11"/>
    </row>
    <row r="187" spans="1:8">
      <c r="B187" s="565" t="str">
        <f>DataNamePlant1 &amp; " Invest(-)"</f>
        <v>Data Center Invest(-)</v>
      </c>
      <c r="E187" s="11">
        <f>-capPlant1Investment</f>
        <v>0</v>
      </c>
      <c r="F187" s="11">
        <f>-capPlant1Investment</f>
        <v>0</v>
      </c>
      <c r="G187" s="11">
        <f>-capPlant1Investment</f>
        <v>0</v>
      </c>
      <c r="H187" s="579" t="s">
        <v>1937</v>
      </c>
    </row>
    <row r="188" spans="1:8">
      <c r="B188" s="565" t="str">
        <f>DataNamePlant2 &amp; " Invest(-)"</f>
        <v>Property Invest(-)</v>
      </c>
      <c r="E188" s="11">
        <f>-capPlant2Investment-capGlobalExpansionCapEx</f>
        <v>-10000000</v>
      </c>
      <c r="F188" s="11">
        <f>-capPlant2Investment-capGlobalExpansionCapEx</f>
        <v>-20000000</v>
      </c>
      <c r="G188" s="11">
        <f>-capPlant2Investment-capGlobalExpansionCapEx</f>
        <v>-10000000</v>
      </c>
      <c r="H188" s="579" t="s">
        <v>1938</v>
      </c>
    </row>
    <row r="189" spans="1:8">
      <c r="B189" s="565" t="s">
        <v>1729</v>
      </c>
      <c r="E189" s="11">
        <f>-(capProd1SoftwareInvestment+capProd2SoftwareInvestment)</f>
        <v>-199769230.76923075</v>
      </c>
      <c r="F189" s="11">
        <f>-(capProd1SoftwareInvestment+capProd2SoftwareInvestment)</f>
        <v>-161644457.90430042</v>
      </c>
      <c r="G189" s="11">
        <f>-(capProd1SoftwareInvestment+capProd2SoftwareInvestment)</f>
        <v>-240764670.11249614</v>
      </c>
      <c r="H189" s="579" t="s">
        <v>1939</v>
      </c>
    </row>
    <row r="190" spans="1:8">
      <c r="B190" s="565" t="s">
        <v>1936</v>
      </c>
      <c r="E190" s="11">
        <f>-paramSpecProgProd1AcqCapEx-paramSpecProgProd2AcqCapEx</f>
        <v>0</v>
      </c>
      <c r="F190" s="11">
        <f>-paramSpecProgProd1AcqCapEx-paramSpecProgProd2AcqCapEx</f>
        <v>0</v>
      </c>
      <c r="G190" s="11">
        <f>-paramSpecProgProd1AcqCapEx-paramSpecProgProd2AcqCapEx</f>
        <v>0</v>
      </c>
      <c r="H190" s="579" t="s">
        <v>1940</v>
      </c>
    </row>
    <row r="191" spans="1:8">
      <c r="B191" s="565" t="str">
        <f>DataNamePlant2 &amp; " Divest(+)"</f>
        <v>Property Divest(+)</v>
      </c>
      <c r="E191" s="11">
        <f>capPlant1Divestment</f>
        <v>0</v>
      </c>
      <c r="F191" s="11">
        <f>capPlant1Divestment</f>
        <v>0</v>
      </c>
      <c r="G191" s="11">
        <f>capPlant1Divestment</f>
        <v>0</v>
      </c>
      <c r="H191" s="579" t="s">
        <v>2024</v>
      </c>
    </row>
    <row r="192" spans="1:8">
      <c r="C192" s="89"/>
      <c r="D192" s="89"/>
      <c r="E192" s="96"/>
      <c r="F192" s="96"/>
      <c r="G192" s="96"/>
    </row>
    <row r="193" spans="1:8">
      <c r="A193" s="3" t="s">
        <v>801</v>
      </c>
      <c r="B193" s="3"/>
      <c r="C193" s="3"/>
      <c r="D193" s="3"/>
      <c r="E193" s="13">
        <f>SUM(E187:E192)</f>
        <v>-209769230.76923075</v>
      </c>
      <c r="F193" s="13">
        <f>SUM(F187:F192)</f>
        <v>-181644457.90430042</v>
      </c>
      <c r="G193" s="13">
        <f>SUM(G187:G192)</f>
        <v>-250764670.11249614</v>
      </c>
      <c r="H193" s="123" t="s">
        <v>334</v>
      </c>
    </row>
    <row r="194" spans="1:8">
      <c r="E194" s="11"/>
      <c r="F194" s="11"/>
      <c r="G194" s="11"/>
    </row>
    <row r="195" spans="1:8">
      <c r="E195" s="11">
        <f>SUM(E185,E193,E196:E198)</f>
        <v>415600549.84529412</v>
      </c>
      <c r="F195" s="11">
        <f>SUM(F185,F193,F196:F198)</f>
        <v>361957718.73908395</v>
      </c>
      <c r="G195" s="11">
        <f>SUM(G185,G193,G196:G198)</f>
        <v>-25740346.858082443</v>
      </c>
      <c r="H195" s="123" t="s">
        <v>216</v>
      </c>
    </row>
    <row r="196" spans="1:8">
      <c r="B196" t="s">
        <v>105</v>
      </c>
      <c r="E196" s="135"/>
      <c r="F196" s="135"/>
      <c r="G196" s="135"/>
    </row>
    <row r="197" spans="1:8">
      <c r="B197" t="s">
        <v>344</v>
      </c>
      <c r="E197" s="11">
        <f>IF(-MIN(obalRetEarnValue+0+obalNetEarnValue+0,cbalDividend+0)&gt;0,0,-MIN(obalRetEarnValue+0+obalNetEarnValue+0,cbalDividend+0))</f>
        <v>-317129741.30025935</v>
      </c>
      <c r="F197" s="11">
        <f>IF(-MIN(obalRetEarnValue+0+obalNetEarnValue+0,cbalDividend+0)&gt;0,0,-MIN(obalRetEarnValue+0+obalNetEarnValue+0,cbalDividend+0))</f>
        <v>-353042424.96959859</v>
      </c>
      <c r="G197" s="11">
        <f>IF(-MIN(obalRetEarnValue+0+obalNetEarnValue+0,cbalDividend+0)&gt;0,0,-MIN(obalRetEarnValue+0+obalNetEarnValue+0,cbalDividend+0))</f>
        <v>-263065778.59999999</v>
      </c>
      <c r="H197" s="123" t="s">
        <v>1125</v>
      </c>
    </row>
    <row r="198" spans="1:8">
      <c r="B198" t="s">
        <v>345</v>
      </c>
      <c r="E198" s="11">
        <f>decLTDebtChange</f>
        <v>0</v>
      </c>
      <c r="F198" s="11">
        <f>decLTDebtChange</f>
        <v>0</v>
      </c>
      <c r="G198" s="11">
        <f>decLTDebtChange</f>
        <v>0</v>
      </c>
      <c r="H198" s="579" t="s">
        <v>1941</v>
      </c>
    </row>
    <row r="199" spans="1:8">
      <c r="A199" s="4"/>
      <c r="B199" s="4" t="s">
        <v>346</v>
      </c>
      <c r="C199" s="4"/>
      <c r="D199" s="4"/>
      <c r="E199" s="24">
        <f>IF((finFinancingNotSpecLoan+obalCashValue)&lt;1000,-finFinancingNotSpecLoan-obalCashValue+1000, IF(obalSpecLoansValue&gt;0, MAX(-finFinancingNotSpecLoan,-obalSpecLoansValue),0))</f>
        <v>0</v>
      </c>
      <c r="F199" s="24">
        <f>IF((finFinancingNotSpecLoan+obalCashValue)&lt;1000,-finFinancingNotSpecLoan-obalCashValue+1000, IF(obalSpecLoansValue&gt;0, MAX(-finFinancingNotSpecLoan,-obalSpecLoansValue),0))</f>
        <v>0</v>
      </c>
      <c r="G199" s="24">
        <f>IF((finFinancingNotSpecLoan+obalCashValue)&lt;1000,-finFinancingNotSpecLoan-obalCashValue+1000, IF(obalSpecLoansValue&gt;0, MAX(-finFinancingNotSpecLoan,-obalSpecLoansValue),0))</f>
        <v>0</v>
      </c>
      <c r="H199" s="123" t="s">
        <v>1124</v>
      </c>
    </row>
    <row r="200" spans="1:8">
      <c r="A200" s="4"/>
      <c r="B200" s="4"/>
      <c r="C200" s="62"/>
      <c r="D200" s="62"/>
      <c r="E200" s="174"/>
      <c r="F200" s="174"/>
      <c r="G200" s="174"/>
    </row>
    <row r="201" spans="1:8">
      <c r="A201" s="3" t="s">
        <v>347</v>
      </c>
      <c r="B201" s="3"/>
      <c r="C201" s="3"/>
      <c r="D201" s="3"/>
      <c r="E201" s="13">
        <f>SUM(E196:E200)</f>
        <v>-317129741.30025935</v>
      </c>
      <c r="F201" s="13">
        <f>SUM(F196:F200)</f>
        <v>-353042424.96959859</v>
      </c>
      <c r="G201" s="13">
        <f>SUM(G196:G200)</f>
        <v>-263065778.59999999</v>
      </c>
      <c r="H201" s="123" t="s">
        <v>335</v>
      </c>
    </row>
    <row r="202" spans="1:8">
      <c r="A202" s="3"/>
      <c r="B202" s="3"/>
      <c r="C202" s="3"/>
      <c r="D202" s="3"/>
      <c r="E202" s="13"/>
      <c r="F202" s="13"/>
      <c r="G202" s="13"/>
    </row>
    <row r="203" spans="1:8">
      <c r="A203" t="s">
        <v>348</v>
      </c>
      <c r="E203" s="11">
        <f>E185+E193+E201</f>
        <v>415600549.84529412</v>
      </c>
      <c r="F203" s="11">
        <f>F185+F193+F201</f>
        <v>361957718.73908395</v>
      </c>
      <c r="G203" s="11">
        <f>G185+G193+G201</f>
        <v>-25740346.858082443</v>
      </c>
    </row>
    <row r="204" spans="1:8">
      <c r="E204" s="11"/>
      <c r="F204" s="11"/>
      <c r="G204" s="11"/>
    </row>
    <row r="205" spans="1:8">
      <c r="A205" s="3" t="s">
        <v>349</v>
      </c>
      <c r="B205" s="3"/>
      <c r="C205" s="3"/>
      <c r="D205" s="3"/>
      <c r="E205" s="13">
        <f>obalCashValue+E203</f>
        <v>840642482.06400204</v>
      </c>
      <c r="F205" s="13">
        <f>obalCashValue+F203</f>
        <v>786999650.95779192</v>
      </c>
      <c r="G205" s="13">
        <f>obalCashValue+G203</f>
        <v>399301585.36062551</v>
      </c>
      <c r="H205" s="123" t="s">
        <v>336</v>
      </c>
    </row>
    <row r="207" spans="1:8">
      <c r="A207" s="3" t="s">
        <v>607</v>
      </c>
    </row>
    <row r="208" spans="1:8">
      <c r="A208" s="3" t="s">
        <v>608</v>
      </c>
      <c r="B208" s="3"/>
      <c r="C208" s="3"/>
      <c r="E208" s="325">
        <f>paramCStockParValue</f>
        <v>1</v>
      </c>
      <c r="F208" s="325">
        <f>paramCStockParValue</f>
        <v>1</v>
      </c>
      <c r="G208" s="325">
        <f>paramCStockParValue</f>
        <v>1</v>
      </c>
    </row>
    <row r="209" spans="1:8">
      <c r="B209" s="4" t="s">
        <v>609</v>
      </c>
      <c r="C209" s="4"/>
      <c r="E209" s="417">
        <v>0</v>
      </c>
      <c r="F209" s="417">
        <v>0</v>
      </c>
      <c r="G209" s="417">
        <v>0</v>
      </c>
    </row>
    <row r="210" spans="1:8">
      <c r="B210" s="4" t="s">
        <v>610</v>
      </c>
      <c r="C210" s="4"/>
      <c r="E210" s="135">
        <f>MAX(-obalCStockShares+0,E209/obalCStockPricePShare)</f>
        <v>0</v>
      </c>
      <c r="F210" s="135">
        <f>MAX(-obalCStockShares+0,F209/obalCStockPricePShare)</f>
        <v>0</v>
      </c>
      <c r="G210" s="135">
        <f>MAX(-obalCStockShares+0,G209/obalCStockPricePShare)</f>
        <v>0</v>
      </c>
      <c r="H210" s="123" t="s">
        <v>613</v>
      </c>
    </row>
    <row r="211" spans="1:8">
      <c r="B211" s="4" t="s">
        <v>611</v>
      </c>
      <c r="C211" s="4"/>
      <c r="E211" s="326">
        <f>paramCStockParValue*E210</f>
        <v>0</v>
      </c>
      <c r="F211" s="326">
        <f>paramCStockParValue*F210</f>
        <v>0</v>
      </c>
      <c r="G211" s="326">
        <f>paramCStockParValue*G210</f>
        <v>0</v>
      </c>
      <c r="H211" s="123" t="s">
        <v>614</v>
      </c>
    </row>
    <row r="212" spans="1:8">
      <c r="B212" s="4" t="s">
        <v>612</v>
      </c>
      <c r="C212" s="4"/>
      <c r="E212" s="327">
        <f>E209-E211</f>
        <v>0</v>
      </c>
      <c r="F212" s="327">
        <f>F209-F211</f>
        <v>0</v>
      </c>
      <c r="G212" s="327">
        <f>G209-G211</f>
        <v>0</v>
      </c>
      <c r="H212" s="123" t="s">
        <v>615</v>
      </c>
    </row>
    <row r="213" spans="1:8">
      <c r="A213" s="3" t="s">
        <v>1308</v>
      </c>
    </row>
    <row r="215" spans="1:8">
      <c r="A215" t="s">
        <v>724</v>
      </c>
      <c r="E215" s="11">
        <f>(obalAssetsValue+cbalAssetsValue)/2</f>
        <v>12478664068.393673</v>
      </c>
      <c r="F215" s="11">
        <f>(obalAssetsValue+cbalAssetsValue)/2</f>
        <v>11923014237.210157</v>
      </c>
      <c r="G215" s="11">
        <f>(obalAssetsValue+cbalAssetsValue)/2</f>
        <v>11545447174.761633</v>
      </c>
    </row>
    <row r="216" spans="1:8">
      <c r="A216" s="3" t="s">
        <v>281</v>
      </c>
      <c r="E216" s="410">
        <f>E162/E215</f>
        <v>4.6206831634907401E-2</v>
      </c>
      <c r="F216" s="410">
        <f>F162/F215</f>
        <v>5.3836664567863388E-2</v>
      </c>
      <c r="G216" s="410">
        <f>G162/G215</f>
        <v>1.5537418343670671E-2</v>
      </c>
      <c r="H216" s="123" t="s">
        <v>337</v>
      </c>
    </row>
    <row r="217" spans="1:8">
      <c r="A217" s="4" t="s">
        <v>314</v>
      </c>
      <c r="E217" s="410">
        <f>E162/E109</f>
        <v>0.13070637330539686</v>
      </c>
      <c r="F217" s="410">
        <f>F162/F109</f>
        <v>0.1640573347850475</v>
      </c>
      <c r="G217" s="410">
        <f>G162/G109</f>
        <v>6.1024004580041147E-2</v>
      </c>
      <c r="H217" s="123" t="s">
        <v>338</v>
      </c>
    </row>
    <row r="218" spans="1:8">
      <c r="A218" t="s">
        <v>282</v>
      </c>
      <c r="E218" s="137">
        <f>E109/E215</f>
        <v>0.35351628590401352</v>
      </c>
      <c r="F218" s="137">
        <f>F109/F215</f>
        <v>0.32815762025149131</v>
      </c>
      <c r="G218" s="137">
        <f>G109/G215</f>
        <v>0.25461158196019845</v>
      </c>
      <c r="H218" s="123" t="s">
        <v>539</v>
      </c>
    </row>
    <row r="219" spans="1:8">
      <c r="A219" t="s">
        <v>1277</v>
      </c>
      <c r="E219" s="505">
        <f>finPNLNetEarn/(cbalEquity+cbalLTDebtValue+cbalSpecLoansValue)</f>
        <v>5.6502788015352814E-2</v>
      </c>
      <c r="F219" s="505">
        <f>finPNLNetEarn/(cbalEquity+cbalLTDebtValue+cbalSpecLoansValue)</f>
        <v>6.5908552385364458E-2</v>
      </c>
      <c r="G219" s="505">
        <f>finPNLNetEarn/(cbalEquity+cbalLTDebtValue+cbalSpecLoansValue)</f>
        <v>1.940802859020108E-2</v>
      </c>
      <c r="H219" s="123" t="s">
        <v>1278</v>
      </c>
    </row>
    <row r="220" spans="1:8">
      <c r="A220" s="461" t="s">
        <v>81</v>
      </c>
      <c r="E220" s="385">
        <f>((finPNLRev/obalRevenueY0)^(1/MAX(1,xxYear)))-1</f>
        <v>0</v>
      </c>
      <c r="F220" s="385">
        <f>((finPNLRev/obalRevenueY0)^(1/MAX(1,xxYear)))-1</f>
        <v>0</v>
      </c>
      <c r="G220" s="385">
        <f>((finPNLRev/obalRevenueY0)^(1/MAX(1,xxYear)))-1</f>
        <v>0</v>
      </c>
      <c r="H220" s="123" t="s">
        <v>82</v>
      </c>
    </row>
    <row r="221" spans="1:8">
      <c r="A221" s="603" t="s">
        <v>1737</v>
      </c>
      <c r="E221" s="326">
        <f>finPNLEBITDA+finCashFlowDCInvest+finCashFlowPropertyInvest+finCashFlowSoftwareInvest</f>
        <v>940488897.02871478</v>
      </c>
      <c r="F221" s="326">
        <f>finPNLEBITDA+finCashFlowDCInvest+finCashFlowPropertyInvest+finCashFlowSoftwareInvest</f>
        <v>994108450.93279386</v>
      </c>
      <c r="G221" s="326">
        <f>finPNLEBITDA+finCashFlowDCInvest+finCashFlowPropertyInvest+finCashFlowSoftwareInvest</f>
        <v>349301186.90683627</v>
      </c>
      <c r="H221" s="588" t="s">
        <v>1738</v>
      </c>
    </row>
    <row r="222" spans="1:8">
      <c r="A222" s="603" t="s">
        <v>1737</v>
      </c>
      <c r="E222" s="385">
        <f>finCashOI/finPNLRev</f>
        <v>0.21319457707855041</v>
      </c>
      <c r="F222" s="385">
        <f>finCashOI/finPNLRev</f>
        <v>0.25407691619145711</v>
      </c>
      <c r="G222" s="385">
        <f>finCashOI/finPNLRev</f>
        <v>0.11882590962018261</v>
      </c>
      <c r="H222" s="579" t="s">
        <v>2169</v>
      </c>
    </row>
    <row r="223" spans="1:8">
      <c r="A223" s="461" t="str">
        <f>DataNameProd1&amp;" Revenue CAGR"</f>
        <v>Growth Revenue CAGR</v>
      </c>
      <c r="E223" s="385">
        <f>IF(xxYear=0,0.045,(finPNLProd1Rev/cbalProd1RevY0)^(1/xxYear)-1)</f>
        <v>4.4999999999999998E-2</v>
      </c>
      <c r="F223" s="385">
        <f>IF(xxYear=0,0.045,(finPNLProd1Rev/cbalProd1RevY0)^(1/xxYear)-1)</f>
        <v>4.4999999999999998E-2</v>
      </c>
      <c r="G223" s="385">
        <f>IF(xxYear=0,0.045,(finPNLProd1Rev/cbalProd1RevY0)^(1/xxYear)-1)</f>
        <v>4.4999999999999998E-2</v>
      </c>
    </row>
    <row r="224" spans="1:8">
      <c r="A224" s="461" t="str">
        <f>DataNameProd2&amp;" Revenue CAGR"</f>
        <v>Transform Revenue CAGR</v>
      </c>
      <c r="E224" s="385">
        <f>IF(xxYear=0,0.045,(finPNLProd2Rev/cbalProd2RevY0)^(1/xxYear)-1)</f>
        <v>4.4999999999999998E-2</v>
      </c>
      <c r="F224" s="385">
        <f>IF(xxYear=0,0.045,(finPNLProd2Rev/cbalProd2RevY0)^(1/xxYear)-1)</f>
        <v>4.4999999999999998E-2</v>
      </c>
      <c r="G224" s="385">
        <f>IF(xxYear=0,0.045,(finPNLProd2Rev/cbalProd2RevY0)^(1/xxYear)-1)</f>
        <v>4.4999999999999998E-2</v>
      </c>
    </row>
  </sheetData>
  <phoneticPr fontId="0" type="noConversion"/>
  <pageMargins left="0.5" right="0.5" top="0.5" bottom="0.5"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j" enableFormatConditionsCalculation="0">
    <tabColor indexed="15"/>
  </sheetPr>
  <dimension ref="A1:AF654"/>
  <sheetViews>
    <sheetView zoomScaleNormal="100" workbookViewId="0">
      <pane xSplit="4" ySplit="1" topLeftCell="E2" activePane="bottomRight" state="frozen"/>
      <selection activeCell="L2" sqref="L2"/>
      <selection pane="topRight" activeCell="L2" sqref="L2"/>
      <selection pane="bottomLeft" activeCell="L2" sqref="L2"/>
      <selection pane="bottomRight" activeCell="H367" sqref="H367"/>
    </sheetView>
  </sheetViews>
  <sheetFormatPr defaultRowHeight="11.25"/>
  <cols>
    <col min="1" max="1" width="12" customWidth="1"/>
    <col min="2" max="2" width="15.33203125" customWidth="1"/>
    <col min="3" max="3" width="28.83203125" customWidth="1"/>
    <col min="4" max="4" width="33.1640625" customWidth="1"/>
    <col min="5" max="7" width="19.33203125" customWidth="1"/>
    <col min="8" max="8" width="11.6640625" customWidth="1"/>
    <col min="9" max="9" width="14.1640625" bestFit="1" customWidth="1"/>
    <col min="10" max="10" width="16.6640625" customWidth="1"/>
    <col min="11" max="12" width="15" customWidth="1"/>
    <col min="13" max="15" width="14.83203125" customWidth="1"/>
    <col min="16" max="16" width="13" customWidth="1"/>
    <col min="17" max="17" width="7.33203125" customWidth="1"/>
    <col min="18" max="18" width="20.5" customWidth="1"/>
    <col min="19" max="19" width="10.5" customWidth="1"/>
    <col min="20" max="20" width="32" customWidth="1"/>
    <col min="21" max="22" width="12" customWidth="1"/>
    <col min="23" max="23" width="13.33203125" customWidth="1"/>
  </cols>
  <sheetData>
    <row r="1" spans="1:32" s="139" customFormat="1" ht="15.75">
      <c r="A1" s="138" t="s">
        <v>681</v>
      </c>
      <c r="B1" s="138"/>
      <c r="C1" s="138"/>
      <c r="D1" s="138"/>
      <c r="E1" s="138"/>
      <c r="F1" s="138"/>
      <c r="G1" s="138"/>
    </row>
    <row r="2" spans="1:32">
      <c r="B2" s="3" t="s">
        <v>681</v>
      </c>
    </row>
    <row r="3" spans="1:32">
      <c r="B3" t="s">
        <v>522</v>
      </c>
      <c r="E3" s="167"/>
      <c r="F3" s="167"/>
      <c r="G3" s="167"/>
    </row>
    <row r="4" spans="1:32">
      <c r="E4" s="167"/>
      <c r="F4" s="167"/>
      <c r="G4" s="167"/>
    </row>
    <row r="5" spans="1:32">
      <c r="A5" s="3" t="s">
        <v>681</v>
      </c>
      <c r="E5" s="167"/>
      <c r="F5" s="167"/>
      <c r="G5" s="167"/>
      <c r="I5" s="565" t="s">
        <v>1280</v>
      </c>
      <c r="J5" s="565" t="s">
        <v>1988</v>
      </c>
      <c r="K5" s="565" t="s">
        <v>930</v>
      </c>
    </row>
    <row r="6" spans="1:32">
      <c r="A6" t="s">
        <v>1972</v>
      </c>
      <c r="C6" s="565" t="s">
        <v>2076</v>
      </c>
      <c r="D6" t="s">
        <v>1972</v>
      </c>
      <c r="E6" s="616">
        <f>((obalEmp1TrainingLvl*$J6)+(decEmp1TrainingLvl*$K6))/$I6</f>
        <v>1.6E-2</v>
      </c>
      <c r="F6" s="616">
        <f>((obalEmp1TrainingLvl*$J6)+(decEmp1TrainingLvl*$K6))/$I6</f>
        <v>1.6E-2</v>
      </c>
      <c r="G6" s="616">
        <f>((obalEmp1TrainingLvl*$J6)+(decEmp1TrainingLvl*$K6))/$I6</f>
        <v>1.2E-2</v>
      </c>
      <c r="I6">
        <v>50</v>
      </c>
      <c r="J6" s="12">
        <v>0.5</v>
      </c>
      <c r="K6" s="12">
        <v>0.1</v>
      </c>
      <c r="L6" s="565" t="s">
        <v>1989</v>
      </c>
    </row>
    <row r="7" spans="1:32">
      <c r="E7" s="167"/>
      <c r="F7" s="167"/>
      <c r="G7" s="167"/>
      <c r="I7" s="16"/>
      <c r="J7" s="12"/>
    </row>
    <row r="8" spans="1:32">
      <c r="A8" s="565" t="s">
        <v>2800</v>
      </c>
      <c r="C8" s="599" t="s">
        <v>2118</v>
      </c>
      <c r="D8" s="565" t="s">
        <v>1000</v>
      </c>
      <c r="E8" s="777">
        <f>IF(xxYear=0,$I$8,0)</f>
        <v>60000000</v>
      </c>
      <c r="F8" s="777">
        <f>IF(xxYear=0,$I$8,0)</f>
        <v>60000000</v>
      </c>
      <c r="G8" s="777">
        <f>IF(xxYear=0,$I$8,0)</f>
        <v>60000000</v>
      </c>
      <c r="I8" s="326">
        <f>VLOOKUP($C8,adjTableInitImpacts,4,FALSE)*6</f>
        <v>60000000</v>
      </c>
    </row>
    <row r="9" spans="1:32">
      <c r="E9" s="167"/>
      <c r="F9" s="167"/>
      <c r="G9" s="167"/>
    </row>
    <row r="10" spans="1:32">
      <c r="A10" s="565" t="s">
        <v>3050</v>
      </c>
      <c r="C10" s="599" t="s">
        <v>3048</v>
      </c>
      <c r="D10" s="565" t="s">
        <v>3522</v>
      </c>
      <c r="E10" s="777">
        <f t="shared" ref="E10:G11" si="0">xxYear*$I10</f>
        <v>0</v>
      </c>
      <c r="F10" s="777">
        <f t="shared" si="0"/>
        <v>0</v>
      </c>
      <c r="G10" s="777">
        <f t="shared" si="0"/>
        <v>0</v>
      </c>
      <c r="I10" s="385">
        <v>2.5000000000000001E-2</v>
      </c>
    </row>
    <row r="11" spans="1:32">
      <c r="A11" s="565" t="s">
        <v>3050</v>
      </c>
      <c r="C11" s="1002" t="s">
        <v>3069</v>
      </c>
      <c r="D11" s="565" t="s">
        <v>3070</v>
      </c>
      <c r="E11" s="777">
        <f t="shared" si="0"/>
        <v>0</v>
      </c>
      <c r="F11" s="777">
        <f t="shared" si="0"/>
        <v>0</v>
      </c>
      <c r="G11" s="777">
        <f t="shared" si="0"/>
        <v>0</v>
      </c>
      <c r="I11" s="385">
        <v>1.4999999999999999E-2</v>
      </c>
    </row>
    <row r="12" spans="1:32">
      <c r="E12" s="167"/>
      <c r="F12" s="167"/>
      <c r="G12" s="167"/>
    </row>
    <row r="13" spans="1:32">
      <c r="E13" s="167"/>
      <c r="F13" s="167"/>
      <c r="G13" s="167"/>
    </row>
    <row r="14" spans="1:32">
      <c r="E14" s="167"/>
      <c r="F14" s="167"/>
      <c r="G14" s="167"/>
      <c r="I14" s="1003" t="s">
        <v>2816</v>
      </c>
      <c r="J14" s="1003" t="s">
        <v>3060</v>
      </c>
      <c r="K14" s="1003" t="s">
        <v>3061</v>
      </c>
      <c r="M14">
        <v>1</v>
      </c>
      <c r="N14">
        <v>2</v>
      </c>
      <c r="O14">
        <v>3</v>
      </c>
      <c r="P14">
        <v>4</v>
      </c>
      <c r="Q14">
        <v>5</v>
      </c>
      <c r="R14">
        <v>6</v>
      </c>
      <c r="S14">
        <v>7</v>
      </c>
      <c r="T14">
        <v>8</v>
      </c>
      <c r="U14">
        <v>9</v>
      </c>
      <c r="V14">
        <v>10</v>
      </c>
      <c r="W14">
        <v>11</v>
      </c>
      <c r="X14">
        <v>12</v>
      </c>
      <c r="Y14">
        <v>13</v>
      </c>
      <c r="Z14">
        <v>14</v>
      </c>
      <c r="AA14">
        <v>15</v>
      </c>
      <c r="AB14">
        <v>16</v>
      </c>
      <c r="AC14">
        <v>17</v>
      </c>
      <c r="AD14">
        <v>18</v>
      </c>
      <c r="AE14">
        <v>19</v>
      </c>
      <c r="AF14">
        <v>20</v>
      </c>
    </row>
    <row r="15" spans="1:32">
      <c r="A15" s="565" t="s">
        <v>3058</v>
      </c>
      <c r="C15" s="599" t="s">
        <v>3057</v>
      </c>
      <c r="D15" s="565" t="s">
        <v>3058</v>
      </c>
      <c r="E15" s="616">
        <f>INDEX($M$15:$AF$15,cbalGlobalExpansionLvl)</f>
        <v>1.1331367618843411E-2</v>
      </c>
      <c r="F15" s="616">
        <f>INDEX($M$15:$AF$15,cbalGlobalExpansionLvl)</f>
        <v>1.5426876936299344E-2</v>
      </c>
      <c r="G15" s="616">
        <f>INDEX($M$15:$AF$15,cbalGlobalExpansionLvl)</f>
        <v>1.1331367618843411E-2</v>
      </c>
      <c r="I15" s="1004">
        <v>6</v>
      </c>
      <c r="J15" s="1004">
        <v>4</v>
      </c>
      <c r="K15" s="1004">
        <v>20</v>
      </c>
      <c r="M15" s="1083">
        <v>5.2824886833427627E-3</v>
      </c>
      <c r="N15" s="1083">
        <v>7.9327626965728492E-3</v>
      </c>
      <c r="O15" s="1083">
        <v>1.1331367618843411E-2</v>
      </c>
      <c r="P15" s="1083">
        <v>1.5426876936299344E-2</v>
      </c>
      <c r="Q15" s="1083">
        <v>2.0064683715853814E-2</v>
      </c>
      <c r="R15" s="1083">
        <v>2.5000000000000001E-2</v>
      </c>
      <c r="S15" s="1083">
        <v>2.9935316284146186E-2</v>
      </c>
      <c r="T15" s="1083">
        <v>3.4573123063700653E-2</v>
      </c>
      <c r="U15" s="1083">
        <v>3.8668632381156587E-2</v>
      </c>
      <c r="V15" s="1083">
        <v>4.2067237303427152E-2</v>
      </c>
      <c r="W15" s="1083">
        <v>4.4717511316657237E-2</v>
      </c>
      <c r="X15" s="1083">
        <v>4.6659639936557099E-2</v>
      </c>
      <c r="Y15" s="1083">
        <v>4.7997042156809146E-2</v>
      </c>
      <c r="Z15" s="1083">
        <v>4.8862493402591037E-2</v>
      </c>
      <c r="AA15" s="1083">
        <v>4.9388776367247769E-2</v>
      </c>
      <c r="AB15" s="1083">
        <v>4.9388776367247769E-2</v>
      </c>
      <c r="AC15" s="1083">
        <v>4.9388776367247769E-2</v>
      </c>
      <c r="AD15" s="1083">
        <v>4.9388776367247769E-2</v>
      </c>
      <c r="AE15" s="1083">
        <v>4.9388776367247769E-2</v>
      </c>
      <c r="AF15" s="1083">
        <v>4.9388776367247769E-2</v>
      </c>
    </row>
    <row r="16" spans="1:32">
      <c r="A16" s="565" t="s">
        <v>3058</v>
      </c>
      <c r="C16" s="1002" t="s">
        <v>3057</v>
      </c>
      <c r="D16" s="565" t="s">
        <v>3058</v>
      </c>
      <c r="E16" s="616">
        <f>INDEX($M$16:$AF$16,decSFCoverage+1)</f>
        <v>8.4742159433358645E-3</v>
      </c>
      <c r="F16" s="616">
        <f>INDEX($M$16:$AF$16,decSFCoverage+1)</f>
        <v>1.378313033558703E-2</v>
      </c>
      <c r="G16" s="616">
        <f>INDEX($M$16:$AF$16,decSFCoverage+1)</f>
        <v>8.4742159433358645E-3</v>
      </c>
      <c r="I16" s="1004">
        <v>3</v>
      </c>
      <c r="J16" s="1004">
        <v>2.5</v>
      </c>
      <c r="K16" s="1004">
        <v>25</v>
      </c>
      <c r="M16" s="1083">
        <v>0</v>
      </c>
      <c r="N16" s="1083">
        <v>8.4742159433358645E-3</v>
      </c>
      <c r="O16" s="1083">
        <v>1.378313033558703E-2</v>
      </c>
      <c r="P16" s="1083">
        <v>0.02</v>
      </c>
      <c r="Q16" s="1083">
        <v>2.6216869664412973E-2</v>
      </c>
      <c r="R16" s="1083">
        <v>3.1525784056664133E-2</v>
      </c>
      <c r="S16" s="1083">
        <v>3.539721319113167E-2</v>
      </c>
      <c r="T16" s="1083">
        <v>3.7808028332017678E-2</v>
      </c>
      <c r="U16" s="1083">
        <v>3.9089994722072835E-2</v>
      </c>
      <c r="V16" s="1083">
        <v>3.967209856301615E-2</v>
      </c>
      <c r="W16" s="1083">
        <v>3.9897794786782882E-2</v>
      </c>
      <c r="X16" s="1083">
        <v>3.9972514482483366E-2</v>
      </c>
      <c r="Y16" s="1083">
        <v>3.9993635656393696E-2</v>
      </c>
      <c r="Z16" s="1083">
        <v>3.9998733150326676E-2</v>
      </c>
      <c r="AA16" s="1083">
        <v>3.9999783498243693E-2</v>
      </c>
      <c r="AB16" s="1083">
        <v>3.9999968266873923E-2</v>
      </c>
      <c r="AC16" s="1083">
        <v>3.9999968266873923E-2</v>
      </c>
      <c r="AD16" s="1083">
        <v>3.9999968266873923E-2</v>
      </c>
      <c r="AE16" s="1083">
        <v>3.9999968266873923E-2</v>
      </c>
      <c r="AF16" s="1083">
        <v>3.9999968266873923E-2</v>
      </c>
    </row>
    <row r="17" spans="1:23">
      <c r="E17" s="167"/>
      <c r="F17" s="167"/>
      <c r="G17" s="167"/>
    </row>
    <row r="18" spans="1:23">
      <c r="E18" s="167"/>
      <c r="F18" s="167"/>
      <c r="G18" s="167"/>
      <c r="I18" s="1087" t="s">
        <v>2036</v>
      </c>
      <c r="J18" s="1087" t="s">
        <v>101</v>
      </c>
      <c r="K18" s="1087" t="s">
        <v>102</v>
      </c>
      <c r="L18" s="1087" t="s">
        <v>103</v>
      </c>
    </row>
    <row r="19" spans="1:23">
      <c r="A19" s="565" t="s">
        <v>3355</v>
      </c>
      <c r="C19" s="1002" t="s">
        <v>3196</v>
      </c>
      <c r="D19" s="565" t="s">
        <v>3523</v>
      </c>
      <c r="E19" s="616">
        <f>INDEX($I$19:$L$19,xxYear+1)</f>
        <v>0.2</v>
      </c>
      <c r="F19" s="616">
        <f>INDEX($I$19:$L$19,xxYear+1)</f>
        <v>0.2</v>
      </c>
      <c r="G19" s="616">
        <f>INDEX($I$19:$L$19,xxYear+1)</f>
        <v>0.2</v>
      </c>
      <c r="I19" s="1088">
        <v>0.2</v>
      </c>
      <c r="J19" s="1089">
        <v>0.3</v>
      </c>
      <c r="K19" s="1089">
        <v>0.3</v>
      </c>
      <c r="L19" s="1089">
        <v>0.35</v>
      </c>
    </row>
    <row r="20" spans="1:23">
      <c r="E20" s="167" t="str">
        <f>IF(NOT(ISBLANK($D20)),"INDEX($I"&amp;ROW($D20)&amp;":$O"&amp;ROW($D20)&amp;",cbalSpecProg" &amp; $B20 &amp;"Year +1)","")</f>
        <v/>
      </c>
      <c r="F20" s="167"/>
      <c r="G20" s="167"/>
      <c r="U20" s="326">
        <v>60</v>
      </c>
      <c r="V20" s="326">
        <v>96</v>
      </c>
      <c r="W20" s="326">
        <v>144</v>
      </c>
    </row>
    <row r="21" spans="1:23">
      <c r="A21" s="565" t="s">
        <v>3356</v>
      </c>
      <c r="E21" s="167"/>
      <c r="F21" s="167"/>
      <c r="G21" s="167"/>
      <c r="I21" s="1087" t="s">
        <v>2036</v>
      </c>
      <c r="J21" s="1087" t="s">
        <v>101</v>
      </c>
      <c r="K21" s="1087" t="s">
        <v>102</v>
      </c>
      <c r="L21" s="1087" t="s">
        <v>103</v>
      </c>
    </row>
    <row r="22" spans="1:23">
      <c r="A22" s="565" t="str">
        <f>INDEX(decTeamName,2)</f>
        <v>Bloomfield</v>
      </c>
      <c r="C22" s="1002" t="s">
        <v>2125</v>
      </c>
      <c r="D22" s="565" t="s">
        <v>3524</v>
      </c>
      <c r="E22" s="616"/>
      <c r="F22" s="616">
        <f>INDEX($I22:$L22,xxYear+1)</f>
        <v>0</v>
      </c>
      <c r="G22" s="616"/>
      <c r="I22" s="1105">
        <v>0</v>
      </c>
      <c r="J22" s="1106">
        <v>0.02</v>
      </c>
      <c r="K22" s="1106">
        <v>0.04</v>
      </c>
      <c r="L22" s="1106">
        <v>0.08</v>
      </c>
    </row>
    <row r="23" spans="1:23">
      <c r="A23" s="565" t="str">
        <f>INDEX(decTeamName,2)</f>
        <v>Bloomfield</v>
      </c>
      <c r="C23" s="1002" t="s">
        <v>2126</v>
      </c>
      <c r="D23" s="565" t="s">
        <v>3525</v>
      </c>
      <c r="E23" s="616"/>
      <c r="F23" s="616">
        <f>INDEX($I23:$L23,xxYear+1)</f>
        <v>0</v>
      </c>
      <c r="G23" s="616"/>
      <c r="I23" s="1105">
        <v>0</v>
      </c>
      <c r="J23" s="1106">
        <v>0.03</v>
      </c>
      <c r="K23" s="1106">
        <v>0.06</v>
      </c>
      <c r="L23" s="1106">
        <v>0.12</v>
      </c>
    </row>
    <row r="24" spans="1:23">
      <c r="A24" s="565" t="str">
        <f>INDEX(decTeamName,2)</f>
        <v>Bloomfield</v>
      </c>
      <c r="C24" s="1002" t="s">
        <v>2125</v>
      </c>
      <c r="D24" s="565" t="s">
        <v>3524</v>
      </c>
      <c r="E24" s="616"/>
      <c r="F24" s="616"/>
      <c r="G24" s="616">
        <f>INDEX($I24:$L24,xxYear+1)</f>
        <v>0</v>
      </c>
      <c r="I24" s="1105">
        <v>0</v>
      </c>
      <c r="J24" s="1106">
        <v>0.03</v>
      </c>
      <c r="K24" s="1106">
        <v>0.06</v>
      </c>
      <c r="L24" s="1106">
        <v>0.12</v>
      </c>
    </row>
    <row r="25" spans="1:23">
      <c r="A25" s="565" t="str">
        <f>INDEX(decTeamName,2)</f>
        <v>Bloomfield</v>
      </c>
      <c r="C25" s="1002" t="s">
        <v>2126</v>
      </c>
      <c r="D25" s="565" t="s">
        <v>3525</v>
      </c>
      <c r="E25" s="616"/>
      <c r="F25" s="616"/>
      <c r="G25" s="616">
        <f>INDEX($I25:$L25,xxYear+1)</f>
        <v>0</v>
      </c>
      <c r="I25" s="1105">
        <v>0</v>
      </c>
      <c r="J25" s="1106">
        <v>0.02</v>
      </c>
      <c r="K25" s="1106">
        <v>0.04</v>
      </c>
      <c r="L25" s="1106">
        <v>0.08</v>
      </c>
    </row>
    <row r="26" spans="1:23">
      <c r="E26" s="167"/>
      <c r="F26" s="167"/>
      <c r="G26" s="167"/>
      <c r="U26" s="326"/>
      <c r="V26" s="326"/>
      <c r="W26" s="326"/>
    </row>
    <row r="27" spans="1:23">
      <c r="E27" s="167"/>
      <c r="F27" s="167"/>
      <c r="G27" s="167"/>
      <c r="U27" s="326"/>
      <c r="V27" s="326"/>
      <c r="W27" s="326"/>
    </row>
    <row r="28" spans="1:23">
      <c r="B28" t="s">
        <v>523</v>
      </c>
      <c r="E28" s="167"/>
      <c r="F28" s="167"/>
      <c r="G28" s="167"/>
      <c r="Q28" s="997"/>
    </row>
    <row r="29" spans="1:23">
      <c r="A29" s="3" t="s">
        <v>1266</v>
      </c>
      <c r="E29" s="167"/>
      <c r="F29" s="167"/>
      <c r="G29" s="167"/>
      <c r="H29" s="3" t="s">
        <v>524</v>
      </c>
      <c r="Q29" s="3" t="s">
        <v>2753</v>
      </c>
      <c r="S29">
        <v>1</v>
      </c>
      <c r="T29">
        <v>2</v>
      </c>
      <c r="U29">
        <v>3</v>
      </c>
      <c r="V29">
        <v>4</v>
      </c>
      <c r="W29">
        <v>5</v>
      </c>
    </row>
    <row r="30" spans="1:23" ht="12" thickBot="1">
      <c r="A30" s="3"/>
      <c r="B30" t="s">
        <v>1267</v>
      </c>
      <c r="C30" t="s">
        <v>525</v>
      </c>
      <c r="D30" t="s">
        <v>526</v>
      </c>
      <c r="E30" s="167"/>
      <c r="F30" s="167"/>
      <c r="G30" s="167"/>
      <c r="I30" t="s">
        <v>527</v>
      </c>
      <c r="J30" t="s">
        <v>528</v>
      </c>
      <c r="K30" t="s">
        <v>407</v>
      </c>
      <c r="L30" t="s">
        <v>408</v>
      </c>
      <c r="M30" t="s">
        <v>409</v>
      </c>
      <c r="N30" s="733" t="s">
        <v>1280</v>
      </c>
      <c r="O30" s="5"/>
      <c r="Q30" s="565" t="s">
        <v>1109</v>
      </c>
      <c r="R30" s="565" t="s">
        <v>2734</v>
      </c>
      <c r="S30" s="565" t="s">
        <v>2735</v>
      </c>
      <c r="T30" s="565" t="s">
        <v>2736</v>
      </c>
      <c r="U30" s="566" t="s">
        <v>182</v>
      </c>
      <c r="V30" s="566" t="s">
        <v>2733</v>
      </c>
      <c r="W30" s="566" t="s">
        <v>180</v>
      </c>
    </row>
    <row r="31" spans="1:23">
      <c r="A31" s="565"/>
      <c r="B31">
        <v>1</v>
      </c>
      <c r="C31" s="3" t="s">
        <v>2557</v>
      </c>
      <c r="D31" t="s">
        <v>3526</v>
      </c>
      <c r="E31" s="167">
        <f>INDEX($I31:$O31,cbalSpecProg1Duration +1)</f>
        <v>0</v>
      </c>
      <c r="F31" s="167">
        <f>INDEX($I31:$O31,cbalSpecProg1Duration +1)</f>
        <v>0</v>
      </c>
      <c r="G31" s="167">
        <f>INDEX($I31:$O31,cbalSpecProg1Duration +1)</f>
        <v>0</v>
      </c>
      <c r="I31">
        <v>0</v>
      </c>
      <c r="J31" s="553"/>
      <c r="K31" s="554"/>
      <c r="L31" s="554"/>
      <c r="M31" s="554"/>
      <c r="N31" s="734"/>
      <c r="O31" s="5"/>
      <c r="Q31" s="565" t="s">
        <v>1001</v>
      </c>
      <c r="R31" s="565" t="s">
        <v>2737</v>
      </c>
      <c r="S31" s="728" t="s">
        <v>2118</v>
      </c>
      <c r="T31" s="729" t="s">
        <v>1000</v>
      </c>
      <c r="U31" s="741">
        <v>5000000</v>
      </c>
      <c r="V31" s="741">
        <v>10000000</v>
      </c>
      <c r="W31" s="742">
        <v>20000000</v>
      </c>
    </row>
    <row r="32" spans="1:23">
      <c r="B32">
        <v>1</v>
      </c>
      <c r="C32" s="736" t="s">
        <v>2746</v>
      </c>
      <c r="E32" s="167" t="s">
        <v>3161</v>
      </c>
      <c r="F32" s="167" t="s">
        <v>3161</v>
      </c>
      <c r="G32" s="167" t="s">
        <v>3161</v>
      </c>
      <c r="J32" s="553"/>
      <c r="K32" s="554"/>
      <c r="L32" s="554"/>
      <c r="M32" s="554"/>
      <c r="N32" s="734"/>
      <c r="O32" s="5"/>
      <c r="Q32" s="565" t="s">
        <v>1001</v>
      </c>
      <c r="R32" s="565" t="s">
        <v>2737</v>
      </c>
      <c r="S32" s="730" t="s">
        <v>2119</v>
      </c>
      <c r="T32" s="563" t="s">
        <v>3530</v>
      </c>
      <c r="U32" s="743">
        <v>2500000</v>
      </c>
      <c r="V32" s="743">
        <v>5000000</v>
      </c>
      <c r="W32" s="744">
        <v>10000000</v>
      </c>
    </row>
    <row r="33" spans="1:23">
      <c r="A33" t="str">
        <f>"Costa"&amp; B33</f>
        <v>Costa1</v>
      </c>
      <c r="B33">
        <v>1</v>
      </c>
      <c r="C33" s="599" t="s">
        <v>2120</v>
      </c>
      <c r="D33" s="565" t="s">
        <v>3527</v>
      </c>
      <c r="E33" s="167">
        <f t="shared" ref="E33:G34" si="1">INDEX($I33:$O33,cbalSpecProg1Duration +1)</f>
        <v>0</v>
      </c>
      <c r="F33" s="167">
        <f t="shared" si="1"/>
        <v>0</v>
      </c>
      <c r="G33" s="167">
        <f t="shared" si="1"/>
        <v>0</v>
      </c>
      <c r="H33" t="str">
        <f>C33&amp;"Init"&amp;B33</f>
        <v>SP-5Init1</v>
      </c>
      <c r="I33">
        <v>0</v>
      </c>
      <c r="J33" s="727">
        <v>2500000</v>
      </c>
      <c r="K33" s="554"/>
      <c r="L33" s="554"/>
      <c r="M33" s="554"/>
      <c r="N33" s="735" t="s">
        <v>182</v>
      </c>
      <c r="O33" s="5">
        <v>3</v>
      </c>
      <c r="Q33" s="565" t="s">
        <v>1001</v>
      </c>
      <c r="R33" s="565" t="s">
        <v>2737</v>
      </c>
      <c r="S33" s="730" t="s">
        <v>2120</v>
      </c>
      <c r="T33" s="563" t="s">
        <v>3527</v>
      </c>
      <c r="U33" s="743">
        <v>2500000</v>
      </c>
      <c r="V33" s="743">
        <v>5000000</v>
      </c>
      <c r="W33" s="744">
        <v>10000000</v>
      </c>
    </row>
    <row r="34" spans="1:23">
      <c r="A34" t="str">
        <f>"FTEa"&amp; B34</f>
        <v>FTEa1</v>
      </c>
      <c r="B34">
        <v>1</v>
      </c>
      <c r="C34" s="599" t="s">
        <v>3003</v>
      </c>
      <c r="D34" s="565" t="s">
        <v>3528</v>
      </c>
      <c r="E34" s="167">
        <f t="shared" si="1"/>
        <v>0</v>
      </c>
      <c r="F34" s="167">
        <f t="shared" si="1"/>
        <v>0</v>
      </c>
      <c r="G34" s="167">
        <f t="shared" si="1"/>
        <v>0</v>
      </c>
      <c r="H34" t="str">
        <f>C34&amp;"Init"&amp;B34</f>
        <v>SP-17Init1</v>
      </c>
      <c r="I34">
        <v>0</v>
      </c>
      <c r="J34" s="727">
        <v>8</v>
      </c>
      <c r="K34" s="554"/>
      <c r="L34" s="554"/>
      <c r="M34" s="554"/>
      <c r="N34" s="735" t="s">
        <v>2733</v>
      </c>
      <c r="O34" s="5">
        <v>4</v>
      </c>
      <c r="Q34" s="565" t="s">
        <v>1001</v>
      </c>
      <c r="R34" s="565" t="s">
        <v>2738</v>
      </c>
      <c r="S34" s="730" t="s">
        <v>2117</v>
      </c>
      <c r="T34" s="563" t="s">
        <v>762</v>
      </c>
      <c r="U34" s="415">
        <v>10</v>
      </c>
      <c r="V34" s="415">
        <v>16</v>
      </c>
      <c r="W34" s="745">
        <v>24</v>
      </c>
    </row>
    <row r="35" spans="1:23">
      <c r="B35">
        <v>1</v>
      </c>
      <c r="C35" s="736" t="s">
        <v>714</v>
      </c>
      <c r="E35" s="167" t="s">
        <v>3161</v>
      </c>
      <c r="F35" s="167" t="s">
        <v>3161</v>
      </c>
      <c r="G35" s="167" t="s">
        <v>3161</v>
      </c>
      <c r="J35" s="553"/>
      <c r="K35" s="554"/>
      <c r="L35" s="554"/>
      <c r="M35" s="554"/>
      <c r="N35" s="734"/>
      <c r="O35" s="5"/>
      <c r="Q35" s="565" t="s">
        <v>1001</v>
      </c>
      <c r="R35" s="565" t="s">
        <v>2738</v>
      </c>
      <c r="S35" s="730" t="s">
        <v>3002</v>
      </c>
      <c r="T35" s="563" t="s">
        <v>3531</v>
      </c>
      <c r="U35" s="415">
        <v>5</v>
      </c>
      <c r="V35" s="415">
        <v>8</v>
      </c>
      <c r="W35" s="745">
        <v>12</v>
      </c>
    </row>
    <row r="36" spans="1:23">
      <c r="B36">
        <v>1</v>
      </c>
      <c r="C36" s="599" t="s">
        <v>2126</v>
      </c>
      <c r="D36" s="565" t="s">
        <v>3525</v>
      </c>
      <c r="E36" s="167">
        <f>INDEX($I36:$O36,cbalSpecProg1Duration +1)</f>
        <v>0</v>
      </c>
      <c r="F36" s="167">
        <f>INDEX($I36:$O36,cbalSpecProg1Duration +1)</f>
        <v>0</v>
      </c>
      <c r="G36" s="167">
        <f>INDEX($I36:$O36,cbalSpecProg1Duration +1)</f>
        <v>0</v>
      </c>
      <c r="I36">
        <v>0</v>
      </c>
      <c r="J36" s="732">
        <v>0.03</v>
      </c>
      <c r="K36" s="385">
        <v>0.03</v>
      </c>
      <c r="L36" s="385">
        <v>0.03</v>
      </c>
      <c r="M36" s="385">
        <v>0.03</v>
      </c>
      <c r="N36" s="735" t="s">
        <v>2733</v>
      </c>
      <c r="O36" s="5">
        <v>4</v>
      </c>
      <c r="Q36" s="565" t="s">
        <v>1001</v>
      </c>
      <c r="R36" s="565" t="s">
        <v>2738</v>
      </c>
      <c r="S36" s="730" t="s">
        <v>3003</v>
      </c>
      <c r="T36" s="563" t="s">
        <v>3528</v>
      </c>
      <c r="U36" s="415">
        <v>5</v>
      </c>
      <c r="V36" s="415">
        <v>8</v>
      </c>
      <c r="W36" s="745">
        <v>12</v>
      </c>
    </row>
    <row r="37" spans="1:23">
      <c r="B37">
        <v>1</v>
      </c>
      <c r="C37" s="736" t="s">
        <v>450</v>
      </c>
      <c r="E37" s="167" t="s">
        <v>3161</v>
      </c>
      <c r="F37" s="167" t="s">
        <v>3161</v>
      </c>
      <c r="G37" s="167" t="s">
        <v>3161</v>
      </c>
      <c r="J37" s="553"/>
      <c r="K37" s="554"/>
      <c r="L37" s="554"/>
      <c r="M37" s="554"/>
      <c r="N37" s="734"/>
      <c r="O37" s="5"/>
      <c r="Q37" s="565" t="s">
        <v>1001</v>
      </c>
      <c r="R37" s="565" t="s">
        <v>2739</v>
      </c>
      <c r="S37" s="730" t="s">
        <v>2761</v>
      </c>
      <c r="T37" s="563" t="s">
        <v>3569</v>
      </c>
      <c r="U37" s="415">
        <v>1000</v>
      </c>
      <c r="V37" s="415">
        <v>1500</v>
      </c>
      <c r="W37" s="745">
        <v>2000</v>
      </c>
    </row>
    <row r="38" spans="1:23">
      <c r="B38">
        <v>1</v>
      </c>
      <c r="C38" s="670" t="s">
        <v>2131</v>
      </c>
      <c r="D38" s="565" t="s">
        <v>1044</v>
      </c>
      <c r="E38" s="167">
        <f>INDEX($I38:$O38,cbalSpecProg1Duration +1)</f>
        <v>0</v>
      </c>
      <c r="F38" s="167">
        <f>INDEX($I38:$O38,cbalSpecProg1Duration +1)</f>
        <v>0</v>
      </c>
      <c r="G38" s="167">
        <f>INDEX($I38:$O38,cbalSpecProg1Duration +1)</f>
        <v>0</v>
      </c>
      <c r="I38">
        <v>0</v>
      </c>
      <c r="J38" s="732">
        <v>5.0000000000000001E-3</v>
      </c>
      <c r="K38" s="385"/>
      <c r="L38" s="385"/>
      <c r="M38" s="385"/>
      <c r="N38" s="735" t="s">
        <v>182</v>
      </c>
      <c r="O38" s="5">
        <v>3</v>
      </c>
      <c r="Q38" s="565" t="s">
        <v>1001</v>
      </c>
      <c r="R38" s="565" t="s">
        <v>2739</v>
      </c>
      <c r="S38" s="730" t="s">
        <v>2763</v>
      </c>
      <c r="T38" s="563" t="s">
        <v>3580</v>
      </c>
      <c r="U38" s="415">
        <v>500</v>
      </c>
      <c r="V38" s="415">
        <v>1000</v>
      </c>
      <c r="W38" s="745">
        <v>1500</v>
      </c>
    </row>
    <row r="39" spans="1:23">
      <c r="B39">
        <f t="shared" ref="B39:B40" si="2">B38</f>
        <v>1</v>
      </c>
      <c r="C39" s="736" t="s">
        <v>2779</v>
      </c>
      <c r="E39" s="167" t="s">
        <v>3161</v>
      </c>
      <c r="F39" s="167" t="s">
        <v>3161</v>
      </c>
      <c r="G39" s="167" t="s">
        <v>3161</v>
      </c>
      <c r="J39" s="553"/>
      <c r="K39" s="554"/>
      <c r="L39" s="554"/>
      <c r="M39" s="554"/>
      <c r="N39" s="734"/>
      <c r="O39" s="5"/>
      <c r="Q39" s="565" t="s">
        <v>1001</v>
      </c>
      <c r="R39" s="565" t="s">
        <v>2739</v>
      </c>
      <c r="S39" s="730" t="s">
        <v>2765</v>
      </c>
      <c r="T39" s="563" t="s">
        <v>3546</v>
      </c>
      <c r="U39" s="415">
        <v>500</v>
      </c>
      <c r="V39" s="415">
        <v>750</v>
      </c>
      <c r="W39" s="745">
        <v>1000</v>
      </c>
    </row>
    <row r="40" spans="1:23">
      <c r="B40">
        <f t="shared" si="2"/>
        <v>1</v>
      </c>
      <c r="C40" s="670" t="s">
        <v>2743</v>
      </c>
      <c r="D40" s="565" t="s">
        <v>2744</v>
      </c>
      <c r="E40" s="167">
        <f>INDEX($I40:$O40,cbalSpecProg1Duration +1)</f>
        <v>0</v>
      </c>
      <c r="F40" s="167">
        <f>INDEX($I40:$O40,cbalSpecProg1Duration +1)</f>
        <v>0</v>
      </c>
      <c r="G40" s="167">
        <f>INDEX($I40:$O40,cbalSpecProg1Duration +1)</f>
        <v>0</v>
      </c>
      <c r="I40">
        <v>0</v>
      </c>
      <c r="J40" s="732">
        <v>0.01</v>
      </c>
      <c r="K40" s="385">
        <v>0.01</v>
      </c>
      <c r="L40" s="385">
        <v>0.01</v>
      </c>
      <c r="M40" s="385">
        <v>0.01</v>
      </c>
      <c r="N40" s="735" t="s">
        <v>182</v>
      </c>
      <c r="O40" s="5">
        <v>3</v>
      </c>
      <c r="Q40" s="565" t="s">
        <v>1001</v>
      </c>
      <c r="R40" s="565" t="s">
        <v>2739</v>
      </c>
      <c r="S40" s="730" t="s">
        <v>2767</v>
      </c>
      <c r="T40" s="563" t="s">
        <v>3547</v>
      </c>
      <c r="U40" s="415">
        <v>250</v>
      </c>
      <c r="V40" s="415">
        <v>500</v>
      </c>
      <c r="W40" s="745">
        <v>750</v>
      </c>
    </row>
    <row r="41" spans="1:23">
      <c r="D41" s="565"/>
      <c r="E41" s="167" t="s">
        <v>3161</v>
      </c>
      <c r="F41" s="167" t="s">
        <v>3161</v>
      </c>
      <c r="G41" s="167" t="s">
        <v>3161</v>
      </c>
      <c r="I41">
        <v>0</v>
      </c>
      <c r="J41" s="553"/>
      <c r="K41" s="554"/>
      <c r="L41" s="554"/>
      <c r="M41" s="554"/>
      <c r="N41" s="734"/>
      <c r="O41" s="5"/>
      <c r="Q41" s="565" t="s">
        <v>677</v>
      </c>
      <c r="R41" s="565" t="s">
        <v>2739</v>
      </c>
      <c r="S41" s="730" t="s">
        <v>1430</v>
      </c>
      <c r="T41" s="563" t="s">
        <v>3563</v>
      </c>
      <c r="U41" s="739">
        <v>0.02</v>
      </c>
      <c r="V41" s="739">
        <v>0.05</v>
      </c>
      <c r="W41" s="740">
        <v>0.1</v>
      </c>
    </row>
    <row r="42" spans="1:23">
      <c r="B42">
        <v>2</v>
      </c>
      <c r="C42" s="3" t="s">
        <v>2558</v>
      </c>
      <c r="D42" t="s">
        <v>3529</v>
      </c>
      <c r="E42" s="167">
        <f>INDEX($I42:$O42,cbalSpecProg2Duration +1)</f>
        <v>0</v>
      </c>
      <c r="F42" s="167">
        <f>INDEX($I42:$O42,cbalSpecProg2Duration +1)</f>
        <v>0</v>
      </c>
      <c r="G42" s="167">
        <f>INDEX($I42:$O42,cbalSpecProg2Duration +1)</f>
        <v>0</v>
      </c>
      <c r="I42">
        <v>0</v>
      </c>
      <c r="J42" s="553"/>
      <c r="K42" s="554"/>
      <c r="L42" s="554"/>
      <c r="M42" s="554"/>
      <c r="N42" s="734"/>
      <c r="O42" s="5"/>
      <c r="Q42" s="565" t="s">
        <v>677</v>
      </c>
      <c r="R42" s="565" t="s">
        <v>2739</v>
      </c>
      <c r="S42" s="730" t="s">
        <v>1434</v>
      </c>
      <c r="T42" s="563" t="s">
        <v>3564</v>
      </c>
      <c r="U42" s="739">
        <v>0.02</v>
      </c>
      <c r="V42" s="739">
        <v>0.05</v>
      </c>
      <c r="W42" s="740">
        <v>0.1</v>
      </c>
    </row>
    <row r="43" spans="1:23">
      <c r="B43">
        <v>2</v>
      </c>
      <c r="C43" s="736" t="s">
        <v>2746</v>
      </c>
      <c r="E43" s="167" t="s">
        <v>3161</v>
      </c>
      <c r="F43" s="167" t="s">
        <v>3161</v>
      </c>
      <c r="G43" s="167" t="s">
        <v>3161</v>
      </c>
      <c r="J43" s="553"/>
      <c r="K43" s="554"/>
      <c r="L43" s="554"/>
      <c r="M43" s="554"/>
      <c r="N43" s="734"/>
      <c r="O43" s="5"/>
      <c r="Q43" s="565" t="s">
        <v>677</v>
      </c>
      <c r="R43" s="565" t="s">
        <v>2739</v>
      </c>
      <c r="S43" s="730" t="s">
        <v>1431</v>
      </c>
      <c r="T43" s="563" t="s">
        <v>3550</v>
      </c>
      <c r="U43" s="739">
        <v>0.02</v>
      </c>
      <c r="V43" s="739">
        <v>0.05</v>
      </c>
      <c r="W43" s="740">
        <v>0.1</v>
      </c>
    </row>
    <row r="44" spans="1:23">
      <c r="A44" t="str">
        <f>"Costa"&amp; B44</f>
        <v>Costa2</v>
      </c>
      <c r="B44">
        <v>2</v>
      </c>
      <c r="C44" s="599" t="s">
        <v>2119</v>
      </c>
      <c r="D44" s="565" t="s">
        <v>3530</v>
      </c>
      <c r="E44" s="167">
        <f t="shared" ref="E44:G45" si="3">INDEX($I44:$O44,cbalSpecProg2Duration +1)</f>
        <v>0</v>
      </c>
      <c r="F44" s="167">
        <f t="shared" si="3"/>
        <v>0</v>
      </c>
      <c r="G44" s="167">
        <f t="shared" si="3"/>
        <v>0</v>
      </c>
      <c r="H44" t="str">
        <f>C44&amp;"Init"&amp;B44</f>
        <v>SP-4Init2</v>
      </c>
      <c r="I44">
        <v>0</v>
      </c>
      <c r="J44" s="727">
        <v>2500000</v>
      </c>
      <c r="K44" s="554"/>
      <c r="L44" s="554"/>
      <c r="M44" s="554"/>
      <c r="N44" s="735" t="s">
        <v>182</v>
      </c>
      <c r="O44" s="5">
        <v>3</v>
      </c>
      <c r="Q44" s="565" t="s">
        <v>677</v>
      </c>
      <c r="R44" s="565" t="s">
        <v>2739</v>
      </c>
      <c r="S44" s="730" t="s">
        <v>1435</v>
      </c>
      <c r="T44" s="563" t="s">
        <v>3551</v>
      </c>
      <c r="U44" s="739">
        <v>0.02</v>
      </c>
      <c r="V44" s="739">
        <v>0.05</v>
      </c>
      <c r="W44" s="740">
        <v>0.1</v>
      </c>
    </row>
    <row r="45" spans="1:23">
      <c r="A45" t="str">
        <f>"FTEa"&amp; B45</f>
        <v>FTEa2</v>
      </c>
      <c r="B45">
        <v>2</v>
      </c>
      <c r="C45" s="670" t="s">
        <v>3002</v>
      </c>
      <c r="D45" s="565" t="s">
        <v>3531</v>
      </c>
      <c r="E45" s="167">
        <f t="shared" si="3"/>
        <v>0</v>
      </c>
      <c r="F45" s="167">
        <f t="shared" si="3"/>
        <v>0</v>
      </c>
      <c r="G45" s="167">
        <f t="shared" si="3"/>
        <v>0</v>
      </c>
      <c r="H45" t="str">
        <f>C45&amp;"Init"&amp;B45</f>
        <v>SP-16Init2</v>
      </c>
      <c r="I45">
        <v>0</v>
      </c>
      <c r="J45" s="727">
        <v>8</v>
      </c>
      <c r="K45" s="554"/>
      <c r="L45" s="554"/>
      <c r="M45" s="554"/>
      <c r="N45" s="735" t="s">
        <v>2733</v>
      </c>
      <c r="O45" s="5">
        <v>4</v>
      </c>
      <c r="Q45" s="565" t="s">
        <v>1001</v>
      </c>
      <c r="R45" s="565" t="s">
        <v>2740</v>
      </c>
      <c r="S45" s="730" t="s">
        <v>1389</v>
      </c>
      <c r="T45" s="563" t="s">
        <v>3543</v>
      </c>
      <c r="U45" s="738">
        <v>-0.02</v>
      </c>
      <c r="V45" s="739">
        <v>-0.05</v>
      </c>
      <c r="W45" s="740">
        <v>-0.08</v>
      </c>
    </row>
    <row r="46" spans="1:23">
      <c r="B46">
        <v>2</v>
      </c>
      <c r="C46" s="736" t="s">
        <v>714</v>
      </c>
      <c r="E46" s="167" t="s">
        <v>3161</v>
      </c>
      <c r="F46" s="167" t="s">
        <v>3161</v>
      </c>
      <c r="G46" s="167" t="s">
        <v>3161</v>
      </c>
      <c r="J46" s="553"/>
      <c r="K46" s="554"/>
      <c r="L46" s="554"/>
      <c r="M46" s="554"/>
      <c r="N46" s="734"/>
      <c r="O46" s="5"/>
      <c r="Q46" s="565" t="s">
        <v>1001</v>
      </c>
      <c r="R46" s="565" t="s">
        <v>2740</v>
      </c>
      <c r="S46" s="730" t="s">
        <v>1405</v>
      </c>
      <c r="T46" s="563" t="s">
        <v>3544</v>
      </c>
      <c r="U46" s="738">
        <v>-0.02</v>
      </c>
      <c r="V46" s="739">
        <v>-0.05</v>
      </c>
      <c r="W46" s="740">
        <v>-0.08</v>
      </c>
    </row>
    <row r="47" spans="1:23">
      <c r="B47">
        <v>2</v>
      </c>
      <c r="C47" s="670" t="s">
        <v>2125</v>
      </c>
      <c r="D47" s="565" t="s">
        <v>3524</v>
      </c>
      <c r="E47" s="167">
        <f t="shared" ref="E47:G48" si="4">INDEX($I47:$O47,cbalSpecProg2Duration +1)</f>
        <v>0</v>
      </c>
      <c r="F47" s="167">
        <f t="shared" si="4"/>
        <v>0</v>
      </c>
      <c r="G47" s="167">
        <f t="shared" si="4"/>
        <v>0</v>
      </c>
      <c r="I47">
        <v>0</v>
      </c>
      <c r="J47" s="732">
        <v>0.03</v>
      </c>
      <c r="K47" s="385">
        <v>0.03</v>
      </c>
      <c r="L47" s="385">
        <v>0.03</v>
      </c>
      <c r="M47" s="385">
        <v>0.03</v>
      </c>
      <c r="N47" s="735" t="s">
        <v>2733</v>
      </c>
      <c r="O47" s="5">
        <v>4</v>
      </c>
      <c r="Q47" s="565" t="s">
        <v>1001</v>
      </c>
      <c r="R47" s="565" t="s">
        <v>714</v>
      </c>
      <c r="S47" s="730" t="s">
        <v>2125</v>
      </c>
      <c r="T47" s="563" t="s">
        <v>3524</v>
      </c>
      <c r="U47" s="738">
        <v>0.01</v>
      </c>
      <c r="V47" s="738">
        <v>0.03</v>
      </c>
      <c r="W47" s="746">
        <v>0.05</v>
      </c>
    </row>
    <row r="48" spans="1:23">
      <c r="B48">
        <v>2</v>
      </c>
      <c r="C48" s="670" t="s">
        <v>2126</v>
      </c>
      <c r="D48" s="565" t="s">
        <v>3525</v>
      </c>
      <c r="E48" s="167">
        <f t="shared" si="4"/>
        <v>0</v>
      </c>
      <c r="F48" s="167">
        <f t="shared" si="4"/>
        <v>0</v>
      </c>
      <c r="G48" s="167">
        <f t="shared" si="4"/>
        <v>0</v>
      </c>
      <c r="I48">
        <v>0</v>
      </c>
      <c r="J48" s="385">
        <v>0</v>
      </c>
      <c r="K48" s="732">
        <v>0.01</v>
      </c>
      <c r="L48" s="385">
        <v>0.01</v>
      </c>
      <c r="M48" s="385">
        <v>0.01</v>
      </c>
      <c r="N48" s="735" t="s">
        <v>182</v>
      </c>
      <c r="O48" s="5">
        <v>3</v>
      </c>
      <c r="Q48" s="565" t="s">
        <v>1001</v>
      </c>
      <c r="R48" s="565" t="s">
        <v>714</v>
      </c>
      <c r="S48" s="730" t="s">
        <v>2126</v>
      </c>
      <c r="T48" s="563" t="s">
        <v>3525</v>
      </c>
      <c r="U48" s="738">
        <v>0.01</v>
      </c>
      <c r="V48" s="738">
        <v>0.03</v>
      </c>
      <c r="W48" s="746">
        <v>0.05</v>
      </c>
    </row>
    <row r="49" spans="1:26">
      <c r="B49">
        <f t="shared" ref="B49:B50" si="5">B48</f>
        <v>2</v>
      </c>
      <c r="C49" s="736" t="s">
        <v>2779</v>
      </c>
      <c r="E49" s="167" t="s">
        <v>3161</v>
      </c>
      <c r="F49" s="167" t="s">
        <v>3161</v>
      </c>
      <c r="G49" s="167" t="s">
        <v>3161</v>
      </c>
      <c r="J49" s="553"/>
      <c r="K49" s="554"/>
      <c r="L49" s="554"/>
      <c r="M49" s="554"/>
      <c r="N49" s="734"/>
      <c r="O49" s="5"/>
      <c r="Q49" s="565" t="s">
        <v>677</v>
      </c>
      <c r="R49" s="565" t="s">
        <v>2741</v>
      </c>
      <c r="S49" s="730" t="s">
        <v>1431</v>
      </c>
      <c r="T49" s="563" t="s">
        <v>3550</v>
      </c>
      <c r="U49" s="738">
        <v>0.02</v>
      </c>
      <c r="V49" s="738">
        <v>0.05</v>
      </c>
      <c r="W49" s="746">
        <v>0.08</v>
      </c>
    </row>
    <row r="50" spans="1:26">
      <c r="B50">
        <f t="shared" si="5"/>
        <v>2</v>
      </c>
      <c r="C50" s="670" t="s">
        <v>2743</v>
      </c>
      <c r="D50" s="565" t="s">
        <v>2744</v>
      </c>
      <c r="E50" s="167">
        <f>INDEX($I50:$O50,cbalSpecProg2Duration +1)</f>
        <v>0</v>
      </c>
      <c r="F50" s="167">
        <f>INDEX($I50:$O50,cbalSpecProg2Duration +1)</f>
        <v>0</v>
      </c>
      <c r="G50" s="167">
        <f>INDEX($I50:$O50,cbalSpecProg2Duration +1)</f>
        <v>0</v>
      </c>
      <c r="I50">
        <v>0</v>
      </c>
      <c r="J50" s="732">
        <v>0.01</v>
      </c>
      <c r="K50" s="385">
        <v>0.01</v>
      </c>
      <c r="L50" s="385">
        <v>0.01</v>
      </c>
      <c r="M50" s="385">
        <v>0.01</v>
      </c>
      <c r="N50" s="735" t="s">
        <v>182</v>
      </c>
      <c r="O50" s="5">
        <v>3</v>
      </c>
      <c r="Q50" s="565" t="s">
        <v>677</v>
      </c>
      <c r="R50" s="565" t="s">
        <v>2741</v>
      </c>
      <c r="S50" s="730" t="s">
        <v>1435</v>
      </c>
      <c r="T50" s="563" t="s">
        <v>3551</v>
      </c>
      <c r="U50" s="738">
        <v>0.02</v>
      </c>
      <c r="V50" s="738">
        <v>0.05</v>
      </c>
      <c r="W50" s="746">
        <v>0.08</v>
      </c>
    </row>
    <row r="51" spans="1:26">
      <c r="D51" s="565"/>
      <c r="E51" s="167" t="s">
        <v>3161</v>
      </c>
      <c r="F51" s="167" t="s">
        <v>3161</v>
      </c>
      <c r="G51" s="167" t="s">
        <v>3161</v>
      </c>
      <c r="I51">
        <v>0</v>
      </c>
      <c r="J51" s="553"/>
      <c r="K51" s="553"/>
      <c r="L51" s="553"/>
      <c r="M51" s="553"/>
      <c r="N51" s="734"/>
      <c r="O51" s="5"/>
      <c r="Q51" s="565" t="s">
        <v>1001</v>
      </c>
      <c r="R51" s="565" t="s">
        <v>447</v>
      </c>
      <c r="S51" s="730" t="s">
        <v>2132</v>
      </c>
      <c r="T51" s="563" t="s">
        <v>44</v>
      </c>
      <c r="U51" s="739">
        <v>5.0000000000000001E-3</v>
      </c>
      <c r="V51" s="739">
        <v>1.4999999999999999E-2</v>
      </c>
      <c r="W51" s="740">
        <v>0.02</v>
      </c>
    </row>
    <row r="52" spans="1:26">
      <c r="B52">
        <v>3</v>
      </c>
      <c r="C52" s="3" t="s">
        <v>2298</v>
      </c>
      <c r="D52" t="s">
        <v>3532</v>
      </c>
      <c r="E52" s="167">
        <f>INDEX($I52:$O52,cbalSpecProg3Duration +1)</f>
        <v>0</v>
      </c>
      <c r="F52" s="167">
        <f>INDEX($I52:$O52,cbalSpecProg3Duration +1)</f>
        <v>0</v>
      </c>
      <c r="G52" s="167">
        <f>INDEX($I52:$O52,cbalSpecProg3Duration +1)</f>
        <v>0</v>
      </c>
      <c r="I52">
        <v>0</v>
      </c>
      <c r="J52" s="553"/>
      <c r="K52" s="554"/>
      <c r="L52" s="554"/>
      <c r="M52" s="554"/>
      <c r="N52" s="734"/>
      <c r="O52" s="5"/>
      <c r="Q52" s="565" t="s">
        <v>1001</v>
      </c>
      <c r="R52" s="565" t="s">
        <v>450</v>
      </c>
      <c r="S52" s="730" t="s">
        <v>2131</v>
      </c>
      <c r="T52" s="563" t="s">
        <v>1044</v>
      </c>
      <c r="U52" s="739">
        <v>5.0000000000000001E-3</v>
      </c>
      <c r="V52" s="739">
        <v>1.4999999999999999E-2</v>
      </c>
      <c r="W52" s="740">
        <v>0.02</v>
      </c>
    </row>
    <row r="53" spans="1:26">
      <c r="B53">
        <v>3</v>
      </c>
      <c r="C53" s="736" t="s">
        <v>2746</v>
      </c>
      <c r="E53" s="167" t="s">
        <v>3161</v>
      </c>
      <c r="F53" s="167" t="s">
        <v>3161</v>
      </c>
      <c r="G53" s="167" t="s">
        <v>3161</v>
      </c>
      <c r="J53" s="553"/>
      <c r="K53" s="554"/>
      <c r="L53" s="554"/>
      <c r="M53" s="554"/>
      <c r="N53" s="734"/>
      <c r="O53" s="5"/>
      <c r="Q53" s="565" t="s">
        <v>677</v>
      </c>
      <c r="R53" s="565" t="s">
        <v>2742</v>
      </c>
      <c r="S53" s="730" t="s">
        <v>1517</v>
      </c>
      <c r="T53" s="563" t="s">
        <v>3533</v>
      </c>
      <c r="U53" s="702">
        <v>-0.02</v>
      </c>
      <c r="V53" s="702">
        <v>-0.04</v>
      </c>
      <c r="W53" s="1035">
        <v>-6.0000000000000005E-2</v>
      </c>
      <c r="Z53" s="12"/>
    </row>
    <row r="54" spans="1:26">
      <c r="A54" t="str">
        <f>"Costa"&amp; B54</f>
        <v>Costa3</v>
      </c>
      <c r="B54">
        <v>3</v>
      </c>
      <c r="C54" s="599" t="s">
        <v>2119</v>
      </c>
      <c r="D54" s="565" t="s">
        <v>3530</v>
      </c>
      <c r="E54" s="167">
        <f t="shared" ref="E54:G55" si="6">INDEX($I54:$O54,cbalSpecProg3Duration +1)</f>
        <v>0</v>
      </c>
      <c r="F54" s="167">
        <f t="shared" si="6"/>
        <v>0</v>
      </c>
      <c r="G54" s="167">
        <f t="shared" si="6"/>
        <v>0</v>
      </c>
      <c r="H54" t="str">
        <f>C54&amp;"Init"&amp;B54</f>
        <v>SP-4Init3</v>
      </c>
      <c r="I54">
        <v>0</v>
      </c>
      <c r="J54" s="727">
        <v>10000000</v>
      </c>
      <c r="K54" s="554"/>
      <c r="L54" s="554"/>
      <c r="M54" s="554"/>
      <c r="N54" s="735" t="s">
        <v>180</v>
      </c>
      <c r="O54" s="5">
        <v>5</v>
      </c>
      <c r="Q54" s="565" t="s">
        <v>677</v>
      </c>
      <c r="R54" s="565" t="s">
        <v>2742</v>
      </c>
      <c r="S54" s="730" t="s">
        <v>2065</v>
      </c>
      <c r="T54" s="563" t="s">
        <v>3534</v>
      </c>
      <c r="U54" s="702">
        <v>-0.02</v>
      </c>
      <c r="V54" s="702">
        <v>-0.04</v>
      </c>
      <c r="W54" s="1035">
        <v>-6.0000000000000005E-2</v>
      </c>
    </row>
    <row r="55" spans="1:26">
      <c r="A55" t="str">
        <f>"FTEa"&amp; B55</f>
        <v>FTEa3</v>
      </c>
      <c r="B55">
        <v>3</v>
      </c>
      <c r="C55" s="599" t="s">
        <v>2117</v>
      </c>
      <c r="D55" s="565" t="s">
        <v>762</v>
      </c>
      <c r="E55" s="167">
        <f t="shared" si="6"/>
        <v>0</v>
      </c>
      <c r="F55" s="167">
        <f t="shared" si="6"/>
        <v>0</v>
      </c>
      <c r="G55" s="167">
        <f t="shared" si="6"/>
        <v>0</v>
      </c>
      <c r="H55" t="str">
        <f>C55&amp;"Init"&amp;B55</f>
        <v>SP-2Init3</v>
      </c>
      <c r="I55">
        <v>0</v>
      </c>
      <c r="J55" s="727">
        <v>24</v>
      </c>
      <c r="K55" s="554"/>
      <c r="L55" s="554"/>
      <c r="M55" s="554"/>
      <c r="N55" s="735" t="s">
        <v>180</v>
      </c>
      <c r="O55" s="5">
        <v>5</v>
      </c>
      <c r="Q55" s="565" t="s">
        <v>677</v>
      </c>
      <c r="R55" s="565" t="s">
        <v>2742</v>
      </c>
      <c r="S55" s="730" t="s">
        <v>1519</v>
      </c>
      <c r="T55" s="563" t="s">
        <v>3535</v>
      </c>
      <c r="U55" s="702">
        <v>-0.02</v>
      </c>
      <c r="V55" s="702">
        <v>-0.04</v>
      </c>
      <c r="W55" s="1035">
        <v>-6.0000000000000005E-2</v>
      </c>
    </row>
    <row r="56" spans="1:26">
      <c r="B56">
        <v>3</v>
      </c>
      <c r="C56" s="736" t="s">
        <v>2747</v>
      </c>
      <c r="E56" s="167" t="s">
        <v>3161</v>
      </c>
      <c r="F56" s="167" t="s">
        <v>3161</v>
      </c>
      <c r="G56" s="167" t="s">
        <v>3161</v>
      </c>
      <c r="J56" s="553"/>
      <c r="K56" s="554"/>
      <c r="L56" s="554"/>
      <c r="M56" s="554"/>
      <c r="N56" s="734"/>
      <c r="O56" s="5"/>
      <c r="Q56" s="565" t="s">
        <v>677</v>
      </c>
      <c r="R56" s="565" t="s">
        <v>2742</v>
      </c>
      <c r="S56" s="730" t="s">
        <v>2067</v>
      </c>
      <c r="T56" s="563" t="s">
        <v>3536</v>
      </c>
      <c r="U56" s="702">
        <v>-0.02</v>
      </c>
      <c r="V56" s="702">
        <v>-0.04</v>
      </c>
      <c r="W56" s="1035">
        <v>-6.0000000000000005E-2</v>
      </c>
    </row>
    <row r="57" spans="1:26">
      <c r="B57">
        <v>3</v>
      </c>
      <c r="C57" s="670" t="s">
        <v>1517</v>
      </c>
      <c r="D57" s="565" t="s">
        <v>3533</v>
      </c>
      <c r="E57" s="167">
        <f t="shared" ref="E57:G62" si="7">INDEX($I57:$O57,cbalSpecProg3Duration +1)</f>
        <v>0</v>
      </c>
      <c r="F57" s="167">
        <f t="shared" si="7"/>
        <v>0</v>
      </c>
      <c r="G57" s="167">
        <f t="shared" si="7"/>
        <v>0</v>
      </c>
      <c r="I57">
        <v>0</v>
      </c>
      <c r="J57" s="732">
        <v>-6.0000000000000005E-2</v>
      </c>
      <c r="K57" s="385">
        <v>-6.0000000000000005E-2</v>
      </c>
      <c r="L57" s="385">
        <v>-6.0000000000000005E-2</v>
      </c>
      <c r="M57" s="385">
        <v>-6.0000000000000005E-2</v>
      </c>
      <c r="N57" s="735" t="s">
        <v>180</v>
      </c>
      <c r="O57" s="5">
        <v>5</v>
      </c>
      <c r="Q57" s="565" t="s">
        <v>677</v>
      </c>
      <c r="R57" s="565" t="s">
        <v>2742</v>
      </c>
      <c r="S57" s="730" t="s">
        <v>1475</v>
      </c>
      <c r="T57" s="563" t="s">
        <v>1493</v>
      </c>
      <c r="U57" s="702">
        <v>-0.02</v>
      </c>
      <c r="V57" s="702">
        <v>-0.04</v>
      </c>
      <c r="W57" s="1035">
        <v>-6.0000000000000005E-2</v>
      </c>
    </row>
    <row r="58" spans="1:26">
      <c r="B58">
        <v>3</v>
      </c>
      <c r="C58" s="670" t="s">
        <v>2065</v>
      </c>
      <c r="D58" s="565" t="s">
        <v>3534</v>
      </c>
      <c r="E58" s="167">
        <f t="shared" si="7"/>
        <v>0</v>
      </c>
      <c r="F58" s="167">
        <f t="shared" si="7"/>
        <v>0</v>
      </c>
      <c r="G58" s="167">
        <f t="shared" si="7"/>
        <v>0</v>
      </c>
      <c r="I58">
        <v>0</v>
      </c>
      <c r="J58" s="732">
        <v>-6.0000000000000005E-2</v>
      </c>
      <c r="K58" s="385">
        <v>-6.0000000000000005E-2</v>
      </c>
      <c r="L58" s="385">
        <v>-6.0000000000000005E-2</v>
      </c>
      <c r="M58" s="385">
        <v>-6.0000000000000005E-2</v>
      </c>
      <c r="N58" s="735" t="s">
        <v>180</v>
      </c>
      <c r="O58" s="5">
        <v>5</v>
      </c>
      <c r="Q58" s="565" t="s">
        <v>677</v>
      </c>
      <c r="R58" s="565" t="s">
        <v>2742</v>
      </c>
      <c r="S58" s="730" t="s">
        <v>1495</v>
      </c>
      <c r="T58" s="563" t="s">
        <v>1496</v>
      </c>
      <c r="U58" s="702">
        <v>-0.02</v>
      </c>
      <c r="V58" s="702">
        <v>-0.04</v>
      </c>
      <c r="W58" s="1035">
        <v>-6.0000000000000005E-2</v>
      </c>
    </row>
    <row r="59" spans="1:26">
      <c r="B59">
        <v>3</v>
      </c>
      <c r="C59" s="670" t="s">
        <v>1519</v>
      </c>
      <c r="D59" s="565" t="s">
        <v>3535</v>
      </c>
      <c r="E59" s="167">
        <f t="shared" si="7"/>
        <v>0</v>
      </c>
      <c r="F59" s="167">
        <f t="shared" si="7"/>
        <v>0</v>
      </c>
      <c r="G59" s="167">
        <f t="shared" si="7"/>
        <v>0</v>
      </c>
      <c r="I59">
        <v>0</v>
      </c>
      <c r="J59" s="732">
        <v>-6.0000000000000005E-2</v>
      </c>
      <c r="K59" s="385">
        <v>-6.0000000000000005E-2</v>
      </c>
      <c r="L59" s="385">
        <v>-6.0000000000000005E-2</v>
      </c>
      <c r="M59" s="385">
        <v>-6.0000000000000005E-2</v>
      </c>
      <c r="N59" s="735" t="s">
        <v>180</v>
      </c>
      <c r="O59" s="5">
        <v>5</v>
      </c>
      <c r="Q59" s="565" t="s">
        <v>677</v>
      </c>
      <c r="R59" s="565" t="s">
        <v>1428</v>
      </c>
      <c r="S59" s="730" t="s">
        <v>1483</v>
      </c>
      <c r="T59" s="563" t="s">
        <v>3600</v>
      </c>
      <c r="U59" s="739">
        <v>-0.01</v>
      </c>
      <c r="V59" s="739">
        <v>-0.03</v>
      </c>
      <c r="W59" s="740">
        <v>-0.05</v>
      </c>
    </row>
    <row r="60" spans="1:26">
      <c r="B60">
        <v>3</v>
      </c>
      <c r="C60" s="670" t="s">
        <v>2067</v>
      </c>
      <c r="D60" s="565" t="s">
        <v>3536</v>
      </c>
      <c r="E60" s="167">
        <f t="shared" si="7"/>
        <v>0</v>
      </c>
      <c r="F60" s="167">
        <f t="shared" si="7"/>
        <v>0</v>
      </c>
      <c r="G60" s="167">
        <f t="shared" si="7"/>
        <v>0</v>
      </c>
      <c r="I60">
        <v>0</v>
      </c>
      <c r="J60" s="732">
        <v>-6.0000000000000005E-2</v>
      </c>
      <c r="K60" s="385">
        <v>-6.0000000000000005E-2</v>
      </c>
      <c r="L60" s="385">
        <v>-6.0000000000000005E-2</v>
      </c>
      <c r="M60" s="385">
        <v>-6.0000000000000005E-2</v>
      </c>
      <c r="N60" s="735" t="s">
        <v>180</v>
      </c>
      <c r="O60" s="5">
        <v>5</v>
      </c>
      <c r="Q60" s="565" t="s">
        <v>677</v>
      </c>
      <c r="R60" s="565" t="s">
        <v>1428</v>
      </c>
      <c r="S60" s="730" t="s">
        <v>1484</v>
      </c>
      <c r="T60" s="563" t="s">
        <v>3601</v>
      </c>
      <c r="U60" s="739">
        <v>-0.01</v>
      </c>
      <c r="V60" s="739">
        <v>-0.03</v>
      </c>
      <c r="W60" s="740">
        <v>-0.05</v>
      </c>
    </row>
    <row r="61" spans="1:26">
      <c r="B61">
        <v>3</v>
      </c>
      <c r="C61" s="670" t="s">
        <v>1475</v>
      </c>
      <c r="D61" s="565" t="s">
        <v>1493</v>
      </c>
      <c r="E61" s="167">
        <f t="shared" si="7"/>
        <v>0</v>
      </c>
      <c r="F61" s="167">
        <f t="shared" si="7"/>
        <v>0</v>
      </c>
      <c r="G61" s="167">
        <f t="shared" si="7"/>
        <v>0</v>
      </c>
      <c r="I61">
        <v>0</v>
      </c>
      <c r="J61" s="732">
        <v>-6.0000000000000005E-2</v>
      </c>
      <c r="K61" s="385">
        <v>-6.0000000000000005E-2</v>
      </c>
      <c r="L61" s="385">
        <v>-6.0000000000000005E-2</v>
      </c>
      <c r="M61" s="385">
        <v>-6.0000000000000005E-2</v>
      </c>
      <c r="N61" s="735" t="s">
        <v>180</v>
      </c>
      <c r="O61" s="5">
        <v>5</v>
      </c>
      <c r="Q61" s="565" t="s">
        <v>677</v>
      </c>
      <c r="R61" s="565" t="s">
        <v>1981</v>
      </c>
      <c r="S61" s="731" t="s">
        <v>2076</v>
      </c>
      <c r="T61" s="21" t="s">
        <v>1972</v>
      </c>
      <c r="U61" s="738">
        <v>0.01</v>
      </c>
      <c r="V61" s="738">
        <v>0.03</v>
      </c>
      <c r="W61" s="746">
        <v>0.05</v>
      </c>
    </row>
    <row r="62" spans="1:26">
      <c r="B62">
        <v>3</v>
      </c>
      <c r="C62" s="670" t="s">
        <v>1495</v>
      </c>
      <c r="D62" s="565" t="s">
        <v>1496</v>
      </c>
      <c r="E62" s="167">
        <f t="shared" si="7"/>
        <v>0</v>
      </c>
      <c r="F62" s="167">
        <f t="shared" si="7"/>
        <v>0</v>
      </c>
      <c r="G62" s="167">
        <f t="shared" si="7"/>
        <v>0</v>
      </c>
      <c r="I62">
        <v>0</v>
      </c>
      <c r="J62" s="732">
        <v>-6.0000000000000005E-2</v>
      </c>
      <c r="K62" s="385">
        <v>-6.0000000000000005E-2</v>
      </c>
      <c r="L62" s="385">
        <v>-6.0000000000000005E-2</v>
      </c>
      <c r="M62" s="385">
        <v>-6.0000000000000005E-2</v>
      </c>
      <c r="N62" s="735" t="s">
        <v>180</v>
      </c>
      <c r="O62" s="5">
        <v>5</v>
      </c>
      <c r="Q62" s="565" t="s">
        <v>677</v>
      </c>
      <c r="R62" s="565" t="s">
        <v>2744</v>
      </c>
      <c r="S62" s="730" t="s">
        <v>2743</v>
      </c>
      <c r="T62" s="21" t="s">
        <v>2744</v>
      </c>
      <c r="U62" s="738">
        <v>0.01</v>
      </c>
      <c r="V62" s="738">
        <v>0.03</v>
      </c>
      <c r="W62" s="746">
        <v>0.05</v>
      </c>
    </row>
    <row r="63" spans="1:26" ht="12" thickBot="1">
      <c r="B63">
        <v>3</v>
      </c>
      <c r="C63" s="736" t="s">
        <v>1981</v>
      </c>
      <c r="E63" s="167" t="s">
        <v>3161</v>
      </c>
      <c r="F63" s="167" t="s">
        <v>3161</v>
      </c>
      <c r="G63" s="167" t="s">
        <v>3161</v>
      </c>
      <c r="J63" s="553"/>
      <c r="K63" s="554"/>
      <c r="L63" s="554"/>
      <c r="M63" s="554"/>
      <c r="N63" s="734"/>
      <c r="O63" s="5"/>
      <c r="R63" s="565"/>
      <c r="S63" s="131"/>
      <c r="T63" s="132"/>
      <c r="U63" s="747"/>
      <c r="V63" s="747"/>
      <c r="W63" s="748"/>
    </row>
    <row r="64" spans="1:26">
      <c r="B64">
        <v>3</v>
      </c>
      <c r="C64" s="737" t="s">
        <v>2076</v>
      </c>
      <c r="D64" s="565" t="s">
        <v>1972</v>
      </c>
      <c r="E64" s="167">
        <f>INDEX($I64:$O64,cbalSpecProg3Duration +1)</f>
        <v>0</v>
      </c>
      <c r="F64" s="167">
        <f>INDEX($I64:$O64,cbalSpecProg3Duration +1)</f>
        <v>0</v>
      </c>
      <c r="G64" s="167">
        <f>INDEX($I64:$O64,cbalSpecProg3Duration +1)</f>
        <v>0</v>
      </c>
      <c r="I64">
        <v>0</v>
      </c>
      <c r="J64" s="732">
        <v>0.03</v>
      </c>
      <c r="K64" s="385">
        <v>0.03</v>
      </c>
      <c r="L64" s="385">
        <v>0.03</v>
      </c>
      <c r="M64" s="385">
        <v>0.03</v>
      </c>
      <c r="N64" s="735" t="s">
        <v>2733</v>
      </c>
      <c r="O64" s="5">
        <v>4</v>
      </c>
    </row>
    <row r="65" spans="1:15">
      <c r="D65" s="565"/>
      <c r="E65" s="167" t="s">
        <v>3161</v>
      </c>
      <c r="F65" s="167" t="s">
        <v>3161</v>
      </c>
      <c r="G65" s="167" t="s">
        <v>3161</v>
      </c>
      <c r="I65">
        <v>0</v>
      </c>
      <c r="J65" s="553"/>
      <c r="K65" s="553"/>
      <c r="L65" s="553"/>
      <c r="M65" s="553"/>
      <c r="N65" s="554"/>
    </row>
    <row r="66" spans="1:15">
      <c r="B66">
        <v>4</v>
      </c>
      <c r="C66" s="3" t="s">
        <v>2559</v>
      </c>
      <c r="D66" t="s">
        <v>3537</v>
      </c>
      <c r="E66" s="167">
        <f>INDEX($I66:$O66,cbalSpecProg4Duration +1)</f>
        <v>0</v>
      </c>
      <c r="F66" s="167">
        <f>INDEX($I66:$O66,cbalSpecProg4Duration +1)</f>
        <v>0</v>
      </c>
      <c r="G66" s="167">
        <f>INDEX($I66:$O66,cbalSpecProg4Duration +1)</f>
        <v>0</v>
      </c>
      <c r="I66">
        <v>0</v>
      </c>
      <c r="J66" s="553"/>
      <c r="K66" s="554"/>
      <c r="L66" s="554"/>
      <c r="M66" s="554"/>
      <c r="N66" s="554"/>
    </row>
    <row r="67" spans="1:15">
      <c r="B67">
        <v>4</v>
      </c>
      <c r="C67" s="736" t="s">
        <v>2748</v>
      </c>
      <c r="E67" s="167" t="s">
        <v>3161</v>
      </c>
      <c r="F67" s="167" t="s">
        <v>3161</v>
      </c>
      <c r="G67" s="167" t="s">
        <v>3161</v>
      </c>
      <c r="J67" s="553"/>
      <c r="K67" s="554"/>
      <c r="L67" s="554"/>
      <c r="M67" s="554"/>
      <c r="N67" s="734"/>
      <c r="O67" s="5"/>
    </row>
    <row r="68" spans="1:15">
      <c r="A68" t="str">
        <f>"Costa"&amp; B68</f>
        <v>Costa4</v>
      </c>
      <c r="B68">
        <v>4</v>
      </c>
      <c r="C68" s="599" t="s">
        <v>2118</v>
      </c>
      <c r="D68" s="565" t="s">
        <v>1000</v>
      </c>
      <c r="E68" s="167">
        <f t="shared" ref="E68:G69" si="8">INDEX($I68:$O68,cbalSpecProg4Duration +1)</f>
        <v>0</v>
      </c>
      <c r="F68" s="167">
        <f t="shared" si="8"/>
        <v>0</v>
      </c>
      <c r="G68" s="167">
        <f t="shared" si="8"/>
        <v>0</v>
      </c>
      <c r="H68" t="str">
        <f>C68&amp;"Init"&amp;B68</f>
        <v>SP-3Init4</v>
      </c>
      <c r="I68">
        <v>0</v>
      </c>
      <c r="J68" s="727">
        <v>10000000</v>
      </c>
      <c r="K68" s="554"/>
      <c r="L68" s="554"/>
      <c r="M68" s="554"/>
      <c r="N68" s="735" t="s">
        <v>2733</v>
      </c>
      <c r="O68" s="5">
        <v>4</v>
      </c>
    </row>
    <row r="69" spans="1:15">
      <c r="A69" t="str">
        <f>"FTEa"&amp; B69</f>
        <v>FTEa4</v>
      </c>
      <c r="B69">
        <v>4</v>
      </c>
      <c r="C69" s="599" t="s">
        <v>2117</v>
      </c>
      <c r="D69" s="565" t="s">
        <v>762</v>
      </c>
      <c r="E69" s="167">
        <f t="shared" si="8"/>
        <v>0</v>
      </c>
      <c r="F69" s="167">
        <f t="shared" si="8"/>
        <v>0</v>
      </c>
      <c r="G69" s="167">
        <f t="shared" si="8"/>
        <v>0</v>
      </c>
      <c r="H69" t="str">
        <f>C69&amp;"Init"&amp;B69</f>
        <v>SP-2Init4</v>
      </c>
      <c r="I69">
        <v>0</v>
      </c>
      <c r="J69" s="727">
        <v>10</v>
      </c>
      <c r="K69" s="554"/>
      <c r="L69" s="554"/>
      <c r="M69" s="554"/>
      <c r="N69" s="735" t="s">
        <v>182</v>
      </c>
      <c r="O69" s="5">
        <v>3</v>
      </c>
    </row>
    <row r="70" spans="1:15">
      <c r="B70">
        <v>4</v>
      </c>
      <c r="C70" s="736" t="s">
        <v>450</v>
      </c>
      <c r="E70" s="167" t="s">
        <v>3161</v>
      </c>
      <c r="F70" s="167" t="s">
        <v>3161</v>
      </c>
      <c r="G70" s="167" t="s">
        <v>3161</v>
      </c>
      <c r="J70" s="553"/>
      <c r="K70" s="554"/>
      <c r="L70" s="554"/>
      <c r="M70" s="554"/>
      <c r="N70" s="734"/>
      <c r="O70" s="5"/>
    </row>
    <row r="71" spans="1:15">
      <c r="B71">
        <v>4</v>
      </c>
      <c r="C71" s="670" t="s">
        <v>2131</v>
      </c>
      <c r="D71" s="565" t="s">
        <v>1044</v>
      </c>
      <c r="E71" s="167">
        <f>INDEX($I71:$O71,cbalSpecProg4Duration +1)</f>
        <v>0</v>
      </c>
      <c r="F71" s="167">
        <f>INDEX($I71:$O71,cbalSpecProg4Duration +1)</f>
        <v>0</v>
      </c>
      <c r="G71" s="167">
        <f>INDEX($I71:$O71,cbalSpecProg4Duration +1)</f>
        <v>0</v>
      </c>
      <c r="I71">
        <v>0</v>
      </c>
      <c r="J71" s="732">
        <v>1.4999999999999999E-2</v>
      </c>
      <c r="K71" s="385"/>
      <c r="L71" s="385"/>
      <c r="M71" s="385"/>
      <c r="N71" s="735" t="s">
        <v>2733</v>
      </c>
      <c r="O71" s="5">
        <v>4</v>
      </c>
    </row>
    <row r="72" spans="1:15">
      <c r="B72">
        <v>4</v>
      </c>
      <c r="C72" s="736" t="s">
        <v>2747</v>
      </c>
      <c r="E72" s="167" t="s">
        <v>3161</v>
      </c>
      <c r="F72" s="167" t="s">
        <v>3161</v>
      </c>
      <c r="G72" s="167" t="s">
        <v>3161</v>
      </c>
      <c r="J72" s="553"/>
      <c r="K72" s="554"/>
      <c r="L72" s="554"/>
      <c r="M72" s="554"/>
      <c r="N72" s="734"/>
      <c r="O72" s="5"/>
    </row>
    <row r="73" spans="1:15">
      <c r="B73">
        <v>4</v>
      </c>
      <c r="C73" s="670" t="s">
        <v>1517</v>
      </c>
      <c r="D73" s="565" t="s">
        <v>3533</v>
      </c>
      <c r="E73" s="167">
        <f t="shared" ref="E73:G78" si="9">INDEX($I73:$O73,cbalSpecProg4Duration +1)</f>
        <v>0</v>
      </c>
      <c r="F73" s="167">
        <f t="shared" si="9"/>
        <v>0</v>
      </c>
      <c r="G73" s="167">
        <f t="shared" si="9"/>
        <v>0</v>
      </c>
      <c r="I73">
        <v>0</v>
      </c>
      <c r="J73" s="732">
        <v>-0.04</v>
      </c>
      <c r="K73" s="385">
        <v>-0.04</v>
      </c>
      <c r="L73" s="385">
        <v>-0.04</v>
      </c>
      <c r="M73" s="385">
        <v>-0.04</v>
      </c>
      <c r="N73" s="735" t="s">
        <v>2733</v>
      </c>
      <c r="O73" s="5">
        <v>4</v>
      </c>
    </row>
    <row r="74" spans="1:15">
      <c r="B74">
        <v>4</v>
      </c>
      <c r="C74" s="670" t="s">
        <v>2065</v>
      </c>
      <c r="D74" s="565" t="s">
        <v>3534</v>
      </c>
      <c r="E74" s="167">
        <f t="shared" si="9"/>
        <v>0</v>
      </c>
      <c r="F74" s="167">
        <f t="shared" si="9"/>
        <v>0</v>
      </c>
      <c r="G74" s="167">
        <f t="shared" si="9"/>
        <v>0</v>
      </c>
      <c r="I74">
        <v>0</v>
      </c>
      <c r="J74" s="732">
        <v>-0.04</v>
      </c>
      <c r="K74" s="385">
        <v>-0.04</v>
      </c>
      <c r="L74" s="385">
        <v>-0.04</v>
      </c>
      <c r="M74" s="385">
        <v>-0.04</v>
      </c>
      <c r="N74" s="735" t="s">
        <v>2733</v>
      </c>
      <c r="O74" s="5">
        <v>4</v>
      </c>
    </row>
    <row r="75" spans="1:15">
      <c r="B75">
        <v>4</v>
      </c>
      <c r="C75" s="670" t="s">
        <v>1519</v>
      </c>
      <c r="D75" s="565" t="s">
        <v>3535</v>
      </c>
      <c r="E75" s="167">
        <f t="shared" si="9"/>
        <v>0</v>
      </c>
      <c r="F75" s="167">
        <f t="shared" si="9"/>
        <v>0</v>
      </c>
      <c r="G75" s="167">
        <f t="shared" si="9"/>
        <v>0</v>
      </c>
      <c r="I75">
        <v>0</v>
      </c>
      <c r="J75" s="732">
        <v>-0.04</v>
      </c>
      <c r="K75" s="385">
        <v>-0.04</v>
      </c>
      <c r="L75" s="385">
        <v>-0.04</v>
      </c>
      <c r="M75" s="385">
        <v>-0.04</v>
      </c>
      <c r="N75" s="735" t="s">
        <v>2733</v>
      </c>
      <c r="O75" s="5">
        <v>4</v>
      </c>
    </row>
    <row r="76" spans="1:15">
      <c r="B76">
        <v>4</v>
      </c>
      <c r="C76" s="670" t="s">
        <v>2067</v>
      </c>
      <c r="D76" s="565" t="s">
        <v>3536</v>
      </c>
      <c r="E76" s="167">
        <f t="shared" si="9"/>
        <v>0</v>
      </c>
      <c r="F76" s="167">
        <f t="shared" si="9"/>
        <v>0</v>
      </c>
      <c r="G76" s="167">
        <f t="shared" si="9"/>
        <v>0</v>
      </c>
      <c r="I76">
        <v>0</v>
      </c>
      <c r="J76" s="732">
        <v>-0.04</v>
      </c>
      <c r="K76" s="385">
        <v>-0.04</v>
      </c>
      <c r="L76" s="385">
        <v>-0.04</v>
      </c>
      <c r="M76" s="385">
        <v>-0.04</v>
      </c>
      <c r="N76" s="735" t="s">
        <v>2733</v>
      </c>
      <c r="O76" s="5">
        <v>4</v>
      </c>
    </row>
    <row r="77" spans="1:15">
      <c r="B77">
        <v>4</v>
      </c>
      <c r="C77" s="670" t="s">
        <v>1475</v>
      </c>
      <c r="D77" s="565" t="s">
        <v>1493</v>
      </c>
      <c r="E77" s="167">
        <f t="shared" si="9"/>
        <v>0</v>
      </c>
      <c r="F77" s="167">
        <f t="shared" si="9"/>
        <v>0</v>
      </c>
      <c r="G77" s="167">
        <f t="shared" si="9"/>
        <v>0</v>
      </c>
      <c r="I77">
        <v>0</v>
      </c>
      <c r="J77" s="732">
        <v>-0.04</v>
      </c>
      <c r="K77" s="385">
        <v>-0.04</v>
      </c>
      <c r="L77" s="385">
        <v>-0.04</v>
      </c>
      <c r="M77" s="385">
        <v>-0.04</v>
      </c>
      <c r="N77" s="735" t="s">
        <v>2733</v>
      </c>
      <c r="O77" s="5">
        <v>4</v>
      </c>
    </row>
    <row r="78" spans="1:15">
      <c r="B78">
        <v>4</v>
      </c>
      <c r="C78" s="670" t="s">
        <v>1495</v>
      </c>
      <c r="D78" s="565" t="s">
        <v>1496</v>
      </c>
      <c r="E78" s="167">
        <f t="shared" si="9"/>
        <v>0</v>
      </c>
      <c r="F78" s="167">
        <f t="shared" si="9"/>
        <v>0</v>
      </c>
      <c r="G78" s="167">
        <f t="shared" si="9"/>
        <v>0</v>
      </c>
      <c r="I78">
        <v>0</v>
      </c>
      <c r="J78" s="732">
        <v>-0.04</v>
      </c>
      <c r="K78" s="385">
        <v>-0.04</v>
      </c>
      <c r="L78" s="385">
        <v>-0.04</v>
      </c>
      <c r="M78" s="385">
        <v>-0.04</v>
      </c>
      <c r="N78" s="735" t="s">
        <v>2733</v>
      </c>
      <c r="O78" s="5">
        <v>4</v>
      </c>
    </row>
    <row r="79" spans="1:15">
      <c r="B79">
        <v>4</v>
      </c>
      <c r="C79" s="736" t="s">
        <v>1981</v>
      </c>
      <c r="E79" s="167" t="s">
        <v>3161</v>
      </c>
      <c r="F79" s="167" t="s">
        <v>3161</v>
      </c>
      <c r="G79" s="167" t="s">
        <v>3161</v>
      </c>
      <c r="J79" s="553"/>
      <c r="K79" s="554"/>
      <c r="L79" s="554"/>
      <c r="M79" s="554"/>
      <c r="N79" s="734"/>
      <c r="O79" s="5"/>
    </row>
    <row r="80" spans="1:15">
      <c r="B80">
        <v>4</v>
      </c>
      <c r="C80" s="737" t="s">
        <v>2076</v>
      </c>
      <c r="D80" s="565" t="s">
        <v>1972</v>
      </c>
      <c r="E80" s="167">
        <f>INDEX($I80:$O80,cbalSpecProg4Duration +1)</f>
        <v>0</v>
      </c>
      <c r="F80" s="167">
        <f>INDEX($I80:$O80,cbalSpecProg4Duration +1)</f>
        <v>0</v>
      </c>
      <c r="G80" s="167">
        <f>INDEX($I80:$O80,cbalSpecProg4Duration +1)</f>
        <v>0</v>
      </c>
      <c r="I80">
        <v>0</v>
      </c>
      <c r="J80" s="732">
        <v>0.01</v>
      </c>
      <c r="K80" s="385">
        <v>0.01</v>
      </c>
      <c r="L80" s="385">
        <v>0.01</v>
      </c>
      <c r="M80" s="385">
        <v>0.01</v>
      </c>
      <c r="N80" s="735" t="s">
        <v>182</v>
      </c>
      <c r="O80" s="5">
        <v>3</v>
      </c>
    </row>
    <row r="81" spans="1:15">
      <c r="D81" s="565"/>
      <c r="E81" s="167" t="s">
        <v>3161</v>
      </c>
      <c r="F81" s="167" t="s">
        <v>3161</v>
      </c>
      <c r="G81" s="167" t="s">
        <v>3161</v>
      </c>
      <c r="I81">
        <v>0</v>
      </c>
      <c r="J81" s="553"/>
      <c r="K81" s="554"/>
      <c r="L81" s="554"/>
      <c r="M81" s="554"/>
      <c r="N81" s="554"/>
    </row>
    <row r="82" spans="1:15">
      <c r="B82">
        <v>5</v>
      </c>
      <c r="C82" s="3" t="s">
        <v>2560</v>
      </c>
      <c r="D82" t="s">
        <v>3538</v>
      </c>
      <c r="E82" s="167">
        <f>INDEX($I82:$O82,cbalSpecProg5Duration +1)</f>
        <v>0</v>
      </c>
      <c r="F82" s="167">
        <f>INDEX($I82:$O82,cbalSpecProg5Duration +1)</f>
        <v>0</v>
      </c>
      <c r="G82" s="167">
        <f>INDEX($I82:$O82,cbalSpecProg5Duration +1)</f>
        <v>0</v>
      </c>
      <c r="I82">
        <v>0</v>
      </c>
      <c r="J82" s="553"/>
      <c r="K82" s="554"/>
      <c r="L82" s="554"/>
      <c r="M82" s="554"/>
      <c r="N82" s="554"/>
    </row>
    <row r="83" spans="1:15">
      <c r="B83">
        <v>5</v>
      </c>
      <c r="C83" s="736" t="s">
        <v>2746</v>
      </c>
      <c r="E83" s="167" t="s">
        <v>3161</v>
      </c>
      <c r="F83" s="167" t="s">
        <v>3161</v>
      </c>
      <c r="G83" s="167" t="s">
        <v>3161</v>
      </c>
      <c r="J83" s="553"/>
      <c r="K83" s="554"/>
      <c r="L83" s="554"/>
      <c r="M83" s="554"/>
      <c r="N83" s="734"/>
      <c r="O83" s="5"/>
    </row>
    <row r="84" spans="1:15">
      <c r="A84" t="str">
        <f>"Costa"&amp; B84</f>
        <v>Costa5</v>
      </c>
      <c r="B84">
        <v>5</v>
      </c>
      <c r="C84" s="599" t="s">
        <v>2118</v>
      </c>
      <c r="D84" s="565" t="s">
        <v>1000</v>
      </c>
      <c r="E84" s="167">
        <f t="shared" ref="E84:G85" si="10">INDEX($I84:$O84,cbalSpecProg5Duration +1)</f>
        <v>0</v>
      </c>
      <c r="F84" s="167">
        <f t="shared" si="10"/>
        <v>0</v>
      </c>
      <c r="G84" s="167">
        <f t="shared" si="10"/>
        <v>0</v>
      </c>
      <c r="H84" t="str">
        <f>C84&amp;"Init"&amp;B84</f>
        <v>SP-3Init5</v>
      </c>
      <c r="I84">
        <v>0</v>
      </c>
      <c r="J84" s="727">
        <v>20000000</v>
      </c>
      <c r="K84" s="554"/>
      <c r="L84" s="554"/>
      <c r="M84" s="554"/>
      <c r="N84" s="735" t="s">
        <v>180</v>
      </c>
      <c r="O84" s="5">
        <v>5</v>
      </c>
    </row>
    <row r="85" spans="1:15">
      <c r="A85" t="str">
        <f>"FTEa"&amp; B85</f>
        <v>FTEa5</v>
      </c>
      <c r="B85">
        <v>5</v>
      </c>
      <c r="C85" s="670" t="s">
        <v>2117</v>
      </c>
      <c r="D85" s="565" t="s">
        <v>762</v>
      </c>
      <c r="E85" s="167">
        <f t="shared" si="10"/>
        <v>0</v>
      </c>
      <c r="F85" s="167">
        <f t="shared" si="10"/>
        <v>0</v>
      </c>
      <c r="G85" s="167">
        <f t="shared" si="10"/>
        <v>0</v>
      </c>
      <c r="H85" t="str">
        <f>C85&amp;"Init"&amp;B85</f>
        <v>SP-2Init5</v>
      </c>
      <c r="I85">
        <v>0</v>
      </c>
      <c r="J85" s="727">
        <v>10</v>
      </c>
      <c r="K85" s="554"/>
      <c r="L85" s="554"/>
      <c r="M85" s="554"/>
      <c r="N85" s="735" t="s">
        <v>182</v>
      </c>
      <c r="O85" s="5">
        <v>3</v>
      </c>
    </row>
    <row r="86" spans="1:15">
      <c r="B86">
        <v>5</v>
      </c>
      <c r="C86" s="736" t="s">
        <v>714</v>
      </c>
      <c r="E86" s="167" t="s">
        <v>3161</v>
      </c>
      <c r="F86" s="167" t="s">
        <v>3161</v>
      </c>
      <c r="G86" s="167" t="s">
        <v>3161</v>
      </c>
      <c r="J86" s="553"/>
      <c r="K86" s="554"/>
      <c r="L86" s="554"/>
      <c r="M86" s="554"/>
      <c r="N86" s="734"/>
      <c r="O86" s="5"/>
    </row>
    <row r="87" spans="1:15">
      <c r="B87">
        <v>5</v>
      </c>
      <c r="C87" s="670" t="s">
        <v>2125</v>
      </c>
      <c r="D87" s="565" t="s">
        <v>3524</v>
      </c>
      <c r="E87" s="167">
        <f t="shared" ref="E87:G88" si="11">INDEX($I87:$O87,cbalSpecProg5Duration +1)</f>
        <v>0</v>
      </c>
      <c r="F87" s="167">
        <f t="shared" si="11"/>
        <v>0</v>
      </c>
      <c r="G87" s="167">
        <f t="shared" si="11"/>
        <v>0</v>
      </c>
      <c r="I87">
        <v>0</v>
      </c>
      <c r="J87" s="732">
        <v>0.03</v>
      </c>
      <c r="K87" s="385">
        <v>0.03</v>
      </c>
      <c r="L87" s="385">
        <v>0.03</v>
      </c>
      <c r="M87" s="385">
        <v>0.03</v>
      </c>
      <c r="N87" s="735" t="s">
        <v>2733</v>
      </c>
      <c r="O87" s="5">
        <v>4</v>
      </c>
    </row>
    <row r="88" spans="1:15">
      <c r="B88">
        <v>5</v>
      </c>
      <c r="C88" s="670" t="s">
        <v>2126</v>
      </c>
      <c r="D88" s="565" t="s">
        <v>3525</v>
      </c>
      <c r="E88" s="167">
        <f t="shared" si="11"/>
        <v>0</v>
      </c>
      <c r="F88" s="167">
        <f t="shared" si="11"/>
        <v>0</v>
      </c>
      <c r="G88" s="167">
        <f t="shared" si="11"/>
        <v>0</v>
      </c>
      <c r="I88">
        <v>0</v>
      </c>
      <c r="J88" s="732">
        <v>0.03</v>
      </c>
      <c r="K88" s="385">
        <v>0.03</v>
      </c>
      <c r="L88" s="385">
        <v>0.03</v>
      </c>
      <c r="M88" s="385">
        <v>0.03</v>
      </c>
      <c r="N88" s="735" t="s">
        <v>2733</v>
      </c>
      <c r="O88" s="5">
        <v>4</v>
      </c>
    </row>
    <row r="89" spans="1:15">
      <c r="B89">
        <v>5</v>
      </c>
      <c r="C89" s="736" t="s">
        <v>2754</v>
      </c>
      <c r="E89" s="167" t="s">
        <v>3161</v>
      </c>
      <c r="F89" s="167" t="s">
        <v>3161</v>
      </c>
      <c r="G89" s="167" t="s">
        <v>3161</v>
      </c>
      <c r="J89" s="553"/>
      <c r="K89" s="554"/>
      <c r="L89" s="554"/>
      <c r="M89" s="554"/>
      <c r="N89" s="734"/>
      <c r="O89" s="5"/>
    </row>
    <row r="90" spans="1:15">
      <c r="B90">
        <v>5</v>
      </c>
      <c r="C90" s="599" t="s">
        <v>2749</v>
      </c>
      <c r="D90" s="565" t="s">
        <v>3539</v>
      </c>
      <c r="E90" s="167">
        <f t="shared" ref="E90:G92" si="12">INDEX($I90:$O90,cbalSpecProg5Duration +1)</f>
        <v>0</v>
      </c>
      <c r="F90" s="167">
        <f t="shared" si="12"/>
        <v>0</v>
      </c>
      <c r="G90" s="167">
        <f t="shared" si="12"/>
        <v>0</v>
      </c>
      <c r="I90">
        <v>0</v>
      </c>
      <c r="J90" s="726">
        <v>1</v>
      </c>
      <c r="K90" s="385"/>
      <c r="L90" s="385"/>
      <c r="M90" s="385"/>
      <c r="N90" s="735"/>
      <c r="O90" s="5"/>
    </row>
    <row r="91" spans="1:15">
      <c r="B91">
        <v>5</v>
      </c>
      <c r="C91" s="599" t="s">
        <v>2751</v>
      </c>
      <c r="D91" s="565" t="s">
        <v>3540</v>
      </c>
      <c r="E91" s="167">
        <f t="shared" si="12"/>
        <v>0</v>
      </c>
      <c r="F91" s="167">
        <f t="shared" si="12"/>
        <v>0</v>
      </c>
      <c r="G91" s="167">
        <f t="shared" si="12"/>
        <v>0</v>
      </c>
      <c r="I91">
        <v>0</v>
      </c>
      <c r="J91" s="726">
        <v>1</v>
      </c>
      <c r="K91" s="385"/>
      <c r="L91" s="385"/>
      <c r="M91" s="385"/>
      <c r="N91" s="735"/>
      <c r="O91" s="5"/>
    </row>
    <row r="92" spans="1:15">
      <c r="B92">
        <v>5</v>
      </c>
      <c r="C92" s="599" t="s">
        <v>2758</v>
      </c>
      <c r="D92" s="565" t="s">
        <v>2787</v>
      </c>
      <c r="E92" s="167">
        <f t="shared" si="12"/>
        <v>0</v>
      </c>
      <c r="F92" s="167">
        <f t="shared" si="12"/>
        <v>0</v>
      </c>
      <c r="G92" s="167">
        <f t="shared" si="12"/>
        <v>0</v>
      </c>
      <c r="I92">
        <v>0</v>
      </c>
      <c r="J92" s="726">
        <v>1</v>
      </c>
      <c r="K92" s="385"/>
      <c r="L92" s="385"/>
      <c r="M92" s="385"/>
      <c r="N92" s="735"/>
      <c r="O92" s="5"/>
    </row>
    <row r="93" spans="1:15">
      <c r="B93">
        <v>5</v>
      </c>
      <c r="C93" s="736" t="s">
        <v>450</v>
      </c>
      <c r="E93" s="167" t="s">
        <v>3161</v>
      </c>
      <c r="F93" s="167" t="s">
        <v>3161</v>
      </c>
      <c r="G93" s="167" t="s">
        <v>3161</v>
      </c>
      <c r="J93" s="553"/>
      <c r="K93" s="554"/>
      <c r="L93" s="554"/>
      <c r="M93" s="554"/>
      <c r="N93" s="734"/>
      <c r="O93" s="5"/>
    </row>
    <row r="94" spans="1:15">
      <c r="B94">
        <v>5</v>
      </c>
      <c r="C94" s="670" t="s">
        <v>2131</v>
      </c>
      <c r="D94" s="565" t="s">
        <v>1044</v>
      </c>
      <c r="E94" s="167">
        <f>INDEX($I94:$O94,cbalSpecProg5Duration +1)</f>
        <v>0</v>
      </c>
      <c r="F94" s="167">
        <f>INDEX($I94:$O94,cbalSpecProg5Duration +1)</f>
        <v>0</v>
      </c>
      <c r="G94" s="167">
        <f>INDEX($I94:$O94,cbalSpecProg5Duration +1)</f>
        <v>0</v>
      </c>
      <c r="I94">
        <v>0</v>
      </c>
      <c r="J94" s="732">
        <v>0.02</v>
      </c>
      <c r="K94" s="385"/>
      <c r="L94" s="385"/>
      <c r="M94" s="385"/>
      <c r="N94" s="735" t="s">
        <v>180</v>
      </c>
      <c r="O94" s="5">
        <v>5</v>
      </c>
    </row>
    <row r="95" spans="1:15">
      <c r="B95">
        <v>5</v>
      </c>
      <c r="C95" s="736" t="s">
        <v>447</v>
      </c>
      <c r="E95" s="167" t="s">
        <v>3161</v>
      </c>
      <c r="F95" s="167" t="s">
        <v>3161</v>
      </c>
      <c r="G95" s="167" t="s">
        <v>3161</v>
      </c>
      <c r="J95" s="553"/>
      <c r="K95" s="554"/>
      <c r="L95" s="554"/>
      <c r="M95" s="554"/>
      <c r="N95" s="734"/>
      <c r="O95" s="5"/>
    </row>
    <row r="96" spans="1:15">
      <c r="B96">
        <v>5</v>
      </c>
      <c r="C96" s="670" t="s">
        <v>2132</v>
      </c>
      <c r="D96" s="565" t="s">
        <v>44</v>
      </c>
      <c r="E96" s="167">
        <f>INDEX($I96:$O96,cbalSpecProg5Duration +1)</f>
        <v>0</v>
      </c>
      <c r="F96" s="167">
        <f>INDEX($I96:$O96,cbalSpecProg5Duration +1)</f>
        <v>0</v>
      </c>
      <c r="G96" s="167">
        <f>INDEX($I96:$O96,cbalSpecProg5Duration +1)</f>
        <v>0</v>
      </c>
      <c r="I96">
        <v>0</v>
      </c>
      <c r="J96" s="732">
        <v>1.4999999999999999E-2</v>
      </c>
      <c r="K96" s="385"/>
      <c r="L96" s="385"/>
      <c r="M96" s="385"/>
      <c r="N96" s="735" t="s">
        <v>2733</v>
      </c>
      <c r="O96" s="5">
        <v>4</v>
      </c>
    </row>
    <row r="97" spans="1:15">
      <c r="D97" s="565"/>
      <c r="E97" s="167" t="s">
        <v>3161</v>
      </c>
      <c r="F97" s="167" t="s">
        <v>3161</v>
      </c>
      <c r="G97" s="167" t="s">
        <v>3161</v>
      </c>
      <c r="I97">
        <v>0</v>
      </c>
      <c r="J97" s="553"/>
      <c r="K97" s="553"/>
      <c r="L97" s="553"/>
      <c r="M97" s="553"/>
      <c r="N97" s="734"/>
      <c r="O97" s="5"/>
    </row>
    <row r="98" spans="1:15">
      <c r="B98">
        <v>6</v>
      </c>
      <c r="C98" s="3" t="s">
        <v>2561</v>
      </c>
      <c r="D98" t="s">
        <v>3541</v>
      </c>
      <c r="E98" s="167">
        <f>INDEX($I98:$O98,cbalSpecProg6Duration +1)</f>
        <v>0</v>
      </c>
      <c r="F98" s="167">
        <f>INDEX($I98:$O98,cbalSpecProg6Duration +1)</f>
        <v>0</v>
      </c>
      <c r="G98" s="167">
        <f>INDEX($I98:$O98,cbalSpecProg6Duration +1)</f>
        <v>0</v>
      </c>
      <c r="I98">
        <v>0</v>
      </c>
      <c r="J98" s="553"/>
      <c r="K98" s="554"/>
      <c r="L98" s="554"/>
      <c r="M98" s="554"/>
      <c r="N98" s="554"/>
    </row>
    <row r="99" spans="1:15">
      <c r="B99">
        <v>6</v>
      </c>
      <c r="C99" s="736" t="s">
        <v>2746</v>
      </c>
      <c r="E99" s="167" t="s">
        <v>3161</v>
      </c>
      <c r="F99" s="167" t="s">
        <v>3161</v>
      </c>
      <c r="G99" s="167" t="s">
        <v>3161</v>
      </c>
      <c r="J99" s="553"/>
      <c r="K99" s="554"/>
      <c r="L99" s="554"/>
      <c r="M99" s="554"/>
      <c r="N99" s="734"/>
      <c r="O99" s="5"/>
    </row>
    <row r="100" spans="1:15">
      <c r="A100" t="str">
        <f>"FTEa"&amp; B100</f>
        <v>FTEa6</v>
      </c>
      <c r="B100">
        <v>6</v>
      </c>
      <c r="C100" s="670" t="s">
        <v>3002</v>
      </c>
      <c r="D100" s="565" t="s">
        <v>3531</v>
      </c>
      <c r="E100" s="167">
        <f t="shared" ref="E100:G101" si="13">INDEX($I100:$O100,cbalSpecProg6Duration +1)</f>
        <v>0</v>
      </c>
      <c r="F100" s="167">
        <f t="shared" si="13"/>
        <v>0</v>
      </c>
      <c r="G100" s="167">
        <f t="shared" si="13"/>
        <v>0</v>
      </c>
      <c r="H100" t="str">
        <f>C100&amp;"Init"&amp;B100</f>
        <v>SP-16Init6</v>
      </c>
      <c r="I100">
        <v>0</v>
      </c>
      <c r="J100" s="727">
        <v>8</v>
      </c>
      <c r="K100" s="554"/>
      <c r="L100" s="554"/>
      <c r="M100" s="554"/>
      <c r="N100" s="735" t="s">
        <v>2733</v>
      </c>
      <c r="O100" s="5">
        <v>4</v>
      </c>
    </row>
    <row r="101" spans="1:15">
      <c r="A101" t="str">
        <f>"FTEb"&amp; B101</f>
        <v>FTEb6</v>
      </c>
      <c r="B101">
        <v>6</v>
      </c>
      <c r="C101" s="670" t="s">
        <v>3003</v>
      </c>
      <c r="D101" s="565" t="s">
        <v>3528</v>
      </c>
      <c r="E101" s="167">
        <f t="shared" si="13"/>
        <v>0</v>
      </c>
      <c r="F101" s="167">
        <f t="shared" si="13"/>
        <v>0</v>
      </c>
      <c r="G101" s="167">
        <f t="shared" si="13"/>
        <v>0</v>
      </c>
      <c r="H101" t="str">
        <f>C101&amp;"Init"&amp;B101</f>
        <v>SP-17Init6</v>
      </c>
      <c r="I101">
        <v>0</v>
      </c>
      <c r="J101" s="727">
        <v>8</v>
      </c>
      <c r="K101" s="554"/>
      <c r="L101" s="554"/>
      <c r="M101" s="554"/>
      <c r="N101" s="735" t="s">
        <v>2733</v>
      </c>
      <c r="O101" s="5">
        <v>4</v>
      </c>
    </row>
    <row r="102" spans="1:15">
      <c r="B102">
        <v>6</v>
      </c>
      <c r="C102" s="736" t="s">
        <v>714</v>
      </c>
      <c r="E102" s="167" t="s">
        <v>3161</v>
      </c>
      <c r="F102" s="167" t="s">
        <v>3161</v>
      </c>
      <c r="G102" s="167" t="s">
        <v>3161</v>
      </c>
      <c r="J102" s="553"/>
      <c r="K102" s="554"/>
      <c r="L102" s="554"/>
      <c r="M102" s="554"/>
      <c r="N102" s="734"/>
      <c r="O102" s="5"/>
    </row>
    <row r="103" spans="1:15">
      <c r="B103">
        <v>6</v>
      </c>
      <c r="C103" s="670" t="s">
        <v>2125</v>
      </c>
      <c r="D103" s="565" t="s">
        <v>3524</v>
      </c>
      <c r="E103" s="167">
        <f t="shared" ref="E103:G104" si="14">INDEX($I103:$O103,cbalSpecProg6Duration +1)</f>
        <v>0</v>
      </c>
      <c r="F103" s="167">
        <f t="shared" si="14"/>
        <v>0</v>
      </c>
      <c r="G103" s="167">
        <f t="shared" si="14"/>
        <v>0</v>
      </c>
      <c r="I103">
        <v>0</v>
      </c>
      <c r="J103" s="732">
        <v>0.01</v>
      </c>
      <c r="K103" s="385">
        <v>0.01</v>
      </c>
      <c r="L103" s="385">
        <v>0.01</v>
      </c>
      <c r="M103" s="385">
        <v>0.01</v>
      </c>
      <c r="N103" s="735" t="s">
        <v>182</v>
      </c>
      <c r="O103" s="5">
        <v>3</v>
      </c>
    </row>
    <row r="104" spans="1:15">
      <c r="B104">
        <v>6</v>
      </c>
      <c r="C104" s="670" t="s">
        <v>2126</v>
      </c>
      <c r="D104" s="565" t="s">
        <v>3525</v>
      </c>
      <c r="E104" s="167">
        <f t="shared" si="14"/>
        <v>0</v>
      </c>
      <c r="F104" s="167">
        <f t="shared" si="14"/>
        <v>0</v>
      </c>
      <c r="G104" s="167">
        <f t="shared" si="14"/>
        <v>0</v>
      </c>
      <c r="I104">
        <v>0</v>
      </c>
      <c r="J104" s="732">
        <v>0.01</v>
      </c>
      <c r="K104" s="385">
        <v>0.01</v>
      </c>
      <c r="L104" s="385">
        <v>0.01</v>
      </c>
      <c r="M104" s="385">
        <v>0.01</v>
      </c>
      <c r="N104" s="735" t="s">
        <v>182</v>
      </c>
      <c r="O104" s="5">
        <v>3</v>
      </c>
    </row>
    <row r="105" spans="1:15">
      <c r="B105">
        <v>6</v>
      </c>
      <c r="C105" s="736" t="s">
        <v>450</v>
      </c>
      <c r="E105" s="167" t="s">
        <v>3161</v>
      </c>
      <c r="F105" s="167" t="s">
        <v>3161</v>
      </c>
      <c r="G105" s="167" t="s">
        <v>3161</v>
      </c>
      <c r="J105" s="553"/>
      <c r="K105" s="554"/>
      <c r="L105" s="554"/>
      <c r="M105" s="554"/>
      <c r="N105" s="734"/>
      <c r="O105" s="5"/>
    </row>
    <row r="106" spans="1:15">
      <c r="B106">
        <v>6</v>
      </c>
      <c r="C106" s="670" t="s">
        <v>2131</v>
      </c>
      <c r="D106" s="565" t="s">
        <v>1044</v>
      </c>
      <c r="E106" s="167">
        <f>INDEX($I106:$O106,cbalSpecProg6Duration +1)</f>
        <v>0</v>
      </c>
      <c r="F106" s="167">
        <f>INDEX($I106:$O106,cbalSpecProg6Duration +1)</f>
        <v>0</v>
      </c>
      <c r="G106" s="167">
        <f>INDEX($I106:$O106,cbalSpecProg6Duration +1)</f>
        <v>0</v>
      </c>
      <c r="I106">
        <v>0</v>
      </c>
      <c r="J106" s="732">
        <v>5.0000000000000001E-3</v>
      </c>
      <c r="K106" s="385"/>
      <c r="L106" s="385"/>
      <c r="M106" s="385"/>
      <c r="N106" s="735" t="s">
        <v>182</v>
      </c>
      <c r="O106" s="5">
        <v>3</v>
      </c>
    </row>
    <row r="107" spans="1:15">
      <c r="D107" s="565"/>
      <c r="E107" s="167" t="s">
        <v>3161</v>
      </c>
      <c r="F107" s="167" t="s">
        <v>3161</v>
      </c>
      <c r="G107" s="167" t="s">
        <v>3161</v>
      </c>
      <c r="J107" s="553"/>
      <c r="K107" s="554"/>
      <c r="L107" s="554"/>
      <c r="M107" s="554"/>
      <c r="N107" s="554"/>
    </row>
    <row r="108" spans="1:15">
      <c r="B108">
        <v>7</v>
      </c>
      <c r="C108" s="3" t="s">
        <v>2562</v>
      </c>
      <c r="D108" t="s">
        <v>3542</v>
      </c>
      <c r="E108" s="167">
        <f>INDEX($I108:$O108,cbalSpecProg7Duration +1)</f>
        <v>0</v>
      </c>
      <c r="F108" s="167">
        <f>INDEX($I108:$O108,cbalSpecProg7Duration +1)</f>
        <v>0</v>
      </c>
      <c r="G108" s="167">
        <f>INDEX($I108:$O108,cbalSpecProg7Duration +1)</f>
        <v>0</v>
      </c>
      <c r="I108">
        <v>0</v>
      </c>
      <c r="J108" s="553"/>
      <c r="K108" s="554"/>
      <c r="L108" s="554"/>
      <c r="M108" s="554"/>
      <c r="N108" s="554"/>
    </row>
    <row r="109" spans="1:15">
      <c r="B109">
        <f>B108</f>
        <v>7</v>
      </c>
      <c r="C109" s="736" t="s">
        <v>2746</v>
      </c>
      <c r="E109" s="167" t="s">
        <v>3161</v>
      </c>
      <c r="F109" s="167" t="s">
        <v>3161</v>
      </c>
      <c r="G109" s="167" t="s">
        <v>3161</v>
      </c>
      <c r="J109" s="553"/>
      <c r="K109" s="554"/>
      <c r="L109" s="554"/>
      <c r="M109" s="554"/>
      <c r="N109" s="734"/>
      <c r="O109" s="5"/>
    </row>
    <row r="110" spans="1:15">
      <c r="A110" t="str">
        <f>"Costa"&amp; B110</f>
        <v>Costa7</v>
      </c>
      <c r="B110">
        <f t="shared" ref="B110:B119" si="15">B109</f>
        <v>7</v>
      </c>
      <c r="C110" s="599" t="s">
        <v>2118</v>
      </c>
      <c r="D110" s="565" t="s">
        <v>1000</v>
      </c>
      <c r="E110" s="167">
        <f t="shared" ref="E110:G111" si="16">INDEX($I110:$O110,cbalSpecProg7Duration +1)</f>
        <v>0</v>
      </c>
      <c r="F110" s="167">
        <f t="shared" si="16"/>
        <v>0</v>
      </c>
      <c r="G110" s="167">
        <f t="shared" si="16"/>
        <v>0</v>
      </c>
      <c r="H110" t="str">
        <f>C110&amp;"Init"&amp;B110</f>
        <v>SP-3Init7</v>
      </c>
      <c r="I110">
        <v>0</v>
      </c>
      <c r="J110" s="727">
        <v>10000000</v>
      </c>
      <c r="K110" s="554"/>
      <c r="L110" s="554"/>
      <c r="M110" s="554"/>
      <c r="N110" s="735" t="s">
        <v>2733</v>
      </c>
      <c r="O110" s="5">
        <v>4</v>
      </c>
    </row>
    <row r="111" spans="1:15">
      <c r="A111" t="str">
        <f>"FTEa"&amp; B111</f>
        <v>FTEa7</v>
      </c>
      <c r="B111">
        <f t="shared" si="15"/>
        <v>7</v>
      </c>
      <c r="C111" s="670" t="s">
        <v>2117</v>
      </c>
      <c r="D111" s="565" t="s">
        <v>762</v>
      </c>
      <c r="E111" s="167">
        <f t="shared" si="16"/>
        <v>0</v>
      </c>
      <c r="F111" s="167">
        <f t="shared" si="16"/>
        <v>0</v>
      </c>
      <c r="G111" s="167">
        <f t="shared" si="16"/>
        <v>0</v>
      </c>
      <c r="H111" t="str">
        <f>C111&amp;"Init"&amp;B111</f>
        <v>SP-2Init7</v>
      </c>
      <c r="I111">
        <v>0</v>
      </c>
      <c r="J111" s="727">
        <v>24</v>
      </c>
      <c r="K111" s="554"/>
      <c r="L111" s="554"/>
      <c r="M111" s="554"/>
      <c r="N111" s="735" t="s">
        <v>180</v>
      </c>
      <c r="O111" s="5">
        <v>5</v>
      </c>
    </row>
    <row r="112" spans="1:15">
      <c r="B112">
        <f t="shared" si="15"/>
        <v>7</v>
      </c>
      <c r="C112" s="736" t="s">
        <v>2740</v>
      </c>
      <c r="D112" s="565"/>
      <c r="E112" s="167" t="s">
        <v>3161</v>
      </c>
      <c r="F112" s="167" t="s">
        <v>3161</v>
      </c>
      <c r="G112" s="167" t="s">
        <v>3161</v>
      </c>
      <c r="J112" s="553"/>
      <c r="K112" s="554"/>
      <c r="L112" s="554"/>
      <c r="M112" s="554"/>
      <c r="N112" s="554"/>
    </row>
    <row r="113" spans="1:15">
      <c r="B113">
        <f t="shared" si="15"/>
        <v>7</v>
      </c>
      <c r="C113" s="670" t="s">
        <v>1389</v>
      </c>
      <c r="D113" s="565" t="s">
        <v>3543</v>
      </c>
      <c r="E113" s="167">
        <f t="shared" ref="E113:G114" si="17">INDEX($I113:$O113,cbalSpecProg7Duration +1)</f>
        <v>0</v>
      </c>
      <c r="F113" s="167">
        <f t="shared" si="17"/>
        <v>0</v>
      </c>
      <c r="G113" s="167">
        <f t="shared" si="17"/>
        <v>0</v>
      </c>
      <c r="I113">
        <v>0</v>
      </c>
      <c r="J113" s="732">
        <v>-0.02</v>
      </c>
      <c r="K113" s="554"/>
      <c r="L113" s="554"/>
      <c r="M113" s="554"/>
      <c r="N113" s="735" t="s">
        <v>182</v>
      </c>
      <c r="O113" s="5">
        <v>3</v>
      </c>
    </row>
    <row r="114" spans="1:15">
      <c r="B114">
        <f t="shared" si="15"/>
        <v>7</v>
      </c>
      <c r="C114" s="670" t="s">
        <v>1405</v>
      </c>
      <c r="D114" s="565" t="s">
        <v>3544</v>
      </c>
      <c r="E114" s="167">
        <f t="shared" si="17"/>
        <v>0</v>
      </c>
      <c r="F114" s="167">
        <f t="shared" si="17"/>
        <v>0</v>
      </c>
      <c r="G114" s="167">
        <f t="shared" si="17"/>
        <v>0</v>
      </c>
      <c r="I114">
        <v>0</v>
      </c>
      <c r="J114" s="732">
        <v>-0.02</v>
      </c>
      <c r="K114" s="554"/>
      <c r="L114" s="554"/>
      <c r="M114" s="554"/>
      <c r="N114" s="735" t="s">
        <v>182</v>
      </c>
      <c r="O114" s="5">
        <v>3</v>
      </c>
    </row>
    <row r="115" spans="1:15">
      <c r="B115">
        <f t="shared" si="15"/>
        <v>7</v>
      </c>
      <c r="C115" s="736" t="s">
        <v>714</v>
      </c>
      <c r="E115" s="167" t="s">
        <v>3161</v>
      </c>
      <c r="F115" s="167" t="s">
        <v>3161</v>
      </c>
      <c r="G115" s="167" t="s">
        <v>3161</v>
      </c>
      <c r="J115" s="553"/>
      <c r="K115" s="554"/>
      <c r="L115" s="554"/>
      <c r="M115" s="554"/>
      <c r="N115" s="734"/>
      <c r="O115" s="5"/>
    </row>
    <row r="116" spans="1:15">
      <c r="B116">
        <f t="shared" si="15"/>
        <v>7</v>
      </c>
      <c r="C116" s="670" t="s">
        <v>2125</v>
      </c>
      <c r="D116" s="565" t="s">
        <v>3524</v>
      </c>
      <c r="E116" s="167">
        <f t="shared" ref="E116:G117" si="18">INDEX($I116:$O116,cbalSpecProg7Duration +1)</f>
        <v>0</v>
      </c>
      <c r="F116" s="167">
        <f t="shared" si="18"/>
        <v>0</v>
      </c>
      <c r="G116" s="167">
        <f t="shared" si="18"/>
        <v>0</v>
      </c>
      <c r="I116">
        <v>0</v>
      </c>
      <c r="J116" s="732">
        <v>0.05</v>
      </c>
      <c r="K116" s="385">
        <v>0.05</v>
      </c>
      <c r="L116" s="385">
        <v>0.05</v>
      </c>
      <c r="M116" s="385">
        <v>0.05</v>
      </c>
      <c r="N116" s="735" t="s">
        <v>180</v>
      </c>
      <c r="O116" s="5">
        <v>5</v>
      </c>
    </row>
    <row r="117" spans="1:15">
      <c r="B117">
        <f t="shared" si="15"/>
        <v>7</v>
      </c>
      <c r="C117" s="670" t="s">
        <v>2126</v>
      </c>
      <c r="D117" s="565" t="s">
        <v>3525</v>
      </c>
      <c r="E117" s="167">
        <f t="shared" si="18"/>
        <v>0</v>
      </c>
      <c r="F117" s="167">
        <f t="shared" si="18"/>
        <v>0</v>
      </c>
      <c r="G117" s="167">
        <f t="shared" si="18"/>
        <v>0</v>
      </c>
      <c r="I117">
        <v>0</v>
      </c>
      <c r="J117" s="732">
        <v>0.05</v>
      </c>
      <c r="K117" s="385">
        <v>0.05</v>
      </c>
      <c r="L117" s="385">
        <v>0.05</v>
      </c>
      <c r="M117" s="385">
        <v>0.05</v>
      </c>
      <c r="N117" s="735" t="s">
        <v>180</v>
      </c>
      <c r="O117" s="5">
        <v>5</v>
      </c>
    </row>
    <row r="118" spans="1:15">
      <c r="B118">
        <f t="shared" si="15"/>
        <v>7</v>
      </c>
      <c r="C118" s="736" t="s">
        <v>447</v>
      </c>
      <c r="E118" s="167" t="s">
        <v>3161</v>
      </c>
      <c r="F118" s="167" t="s">
        <v>3161</v>
      </c>
      <c r="G118" s="167" t="s">
        <v>3161</v>
      </c>
      <c r="J118" s="553"/>
      <c r="K118" s="554"/>
      <c r="L118" s="554"/>
      <c r="M118" s="554"/>
      <c r="N118" s="734"/>
      <c r="O118" s="5"/>
    </row>
    <row r="119" spans="1:15">
      <c r="B119">
        <f t="shared" si="15"/>
        <v>7</v>
      </c>
      <c r="C119" s="670" t="s">
        <v>2132</v>
      </c>
      <c r="D119" s="565" t="s">
        <v>44</v>
      </c>
      <c r="E119" s="167">
        <f>INDEX($I119:$O119,cbalSpecProg7Duration +1)</f>
        <v>0</v>
      </c>
      <c r="F119" s="167">
        <f>INDEX($I119:$O119,cbalSpecProg7Duration +1)</f>
        <v>0</v>
      </c>
      <c r="G119" s="167">
        <f>INDEX($I119:$O119,cbalSpecProg7Duration +1)</f>
        <v>0</v>
      </c>
      <c r="I119">
        <v>0</v>
      </c>
      <c r="J119" s="732">
        <v>0.02</v>
      </c>
      <c r="K119" s="385"/>
      <c r="L119" s="385"/>
      <c r="M119" s="385"/>
      <c r="N119" s="735" t="s">
        <v>180</v>
      </c>
      <c r="O119" s="5">
        <v>5</v>
      </c>
    </row>
    <row r="120" spans="1:15">
      <c r="D120" s="565"/>
      <c r="E120" s="167" t="s">
        <v>3161</v>
      </c>
      <c r="F120" s="167" t="s">
        <v>3161</v>
      </c>
      <c r="G120" s="167" t="s">
        <v>3161</v>
      </c>
      <c r="J120" s="553"/>
      <c r="K120" s="554"/>
      <c r="L120" s="554"/>
      <c r="M120" s="554"/>
      <c r="N120" s="554"/>
    </row>
    <row r="121" spans="1:15">
      <c r="B121">
        <v>8</v>
      </c>
      <c r="C121" s="1023" t="s">
        <v>4479</v>
      </c>
      <c r="D121" t="s">
        <v>3545</v>
      </c>
      <c r="E121" s="167">
        <f>INDEX($I121:$O121,cbalSpecProg8Duration +1)</f>
        <v>0</v>
      </c>
      <c r="F121" s="167">
        <f>INDEX($I121:$O121,cbalSpecProg8Duration +1)</f>
        <v>0</v>
      </c>
      <c r="G121" s="167">
        <f>INDEX($I121:$O121,cbalSpecProg8Duration +1)</f>
        <v>0</v>
      </c>
      <c r="I121">
        <v>0</v>
      </c>
      <c r="J121" s="553"/>
      <c r="K121" s="554"/>
      <c r="L121" s="554"/>
      <c r="M121" s="554"/>
      <c r="N121" s="554"/>
    </row>
    <row r="122" spans="1:15">
      <c r="B122">
        <v>8</v>
      </c>
      <c r="C122" s="736" t="s">
        <v>2746</v>
      </c>
      <c r="E122" s="167" t="s">
        <v>3161</v>
      </c>
      <c r="F122" s="167" t="s">
        <v>3161</v>
      </c>
      <c r="G122" s="167" t="s">
        <v>3161</v>
      </c>
      <c r="J122" s="553"/>
      <c r="K122" s="554"/>
      <c r="L122" s="554"/>
      <c r="M122" s="554"/>
      <c r="N122" s="734"/>
      <c r="O122" s="5"/>
    </row>
    <row r="123" spans="1:15">
      <c r="A123" t="str">
        <f>"FTEa"&amp; B123</f>
        <v>FTEa8</v>
      </c>
      <c r="B123">
        <v>8</v>
      </c>
      <c r="C123" s="670" t="s">
        <v>3002</v>
      </c>
      <c r="D123" s="565" t="s">
        <v>3531</v>
      </c>
      <c r="E123" s="167">
        <f t="shared" ref="E123:G124" si="19">INDEX($I123:$O123,cbalSpecProg8Duration +1)</f>
        <v>0</v>
      </c>
      <c r="F123" s="167">
        <f t="shared" si="19"/>
        <v>0</v>
      </c>
      <c r="G123" s="167">
        <f t="shared" si="19"/>
        <v>0</v>
      </c>
      <c r="H123" t="str">
        <f>C123&amp;"Init"&amp;B123</f>
        <v>SP-16Init8</v>
      </c>
      <c r="I123">
        <v>0</v>
      </c>
      <c r="J123" s="727">
        <v>8</v>
      </c>
      <c r="K123" s="554"/>
      <c r="L123" s="554"/>
      <c r="M123" s="554"/>
      <c r="N123" s="735" t="s">
        <v>2733</v>
      </c>
      <c r="O123" s="5">
        <v>4</v>
      </c>
    </row>
    <row r="124" spans="1:15">
      <c r="A124" t="str">
        <f>"FTEb"&amp; B124</f>
        <v>FTEb8</v>
      </c>
      <c r="B124">
        <v>8</v>
      </c>
      <c r="C124" s="670" t="s">
        <v>3003</v>
      </c>
      <c r="D124" s="565" t="s">
        <v>3528</v>
      </c>
      <c r="E124" s="167">
        <f t="shared" si="19"/>
        <v>0</v>
      </c>
      <c r="F124" s="167">
        <f t="shared" si="19"/>
        <v>0</v>
      </c>
      <c r="G124" s="167">
        <f t="shared" si="19"/>
        <v>0</v>
      </c>
      <c r="H124" t="str">
        <f>C124&amp;"Init"&amp;B124</f>
        <v>SP-17Init8</v>
      </c>
      <c r="I124">
        <v>0</v>
      </c>
      <c r="J124" s="727">
        <v>8</v>
      </c>
      <c r="K124" s="554"/>
      <c r="L124" s="554"/>
      <c r="M124" s="554"/>
      <c r="N124" s="735" t="s">
        <v>2733</v>
      </c>
      <c r="O124" s="5">
        <v>4</v>
      </c>
    </row>
    <row r="125" spans="1:15">
      <c r="B125">
        <v>8</v>
      </c>
      <c r="C125" s="736" t="s">
        <v>2739</v>
      </c>
      <c r="E125" s="167" t="s">
        <v>3161</v>
      </c>
      <c r="F125" s="167" t="s">
        <v>3161</v>
      </c>
      <c r="G125" s="167" t="s">
        <v>3161</v>
      </c>
      <c r="J125" s="553"/>
      <c r="K125" s="554"/>
      <c r="L125" s="554"/>
      <c r="M125" s="554"/>
      <c r="N125" s="734"/>
      <c r="O125" s="5"/>
    </row>
    <row r="126" spans="1:15">
      <c r="B126">
        <v>8</v>
      </c>
      <c r="C126" s="670" t="s">
        <v>2765</v>
      </c>
      <c r="D126" s="565" t="s">
        <v>3546</v>
      </c>
      <c r="E126" s="167">
        <f t="shared" ref="E126:G127" si="20">INDEX($I126:$O126,cbalSpecProg8Duration +1)</f>
        <v>0</v>
      </c>
      <c r="F126" s="167">
        <f t="shared" si="20"/>
        <v>0</v>
      </c>
      <c r="G126" s="167">
        <f t="shared" si="20"/>
        <v>0</v>
      </c>
      <c r="I126">
        <v>0</v>
      </c>
      <c r="J126" s="727">
        <v>500</v>
      </c>
      <c r="K126" s="385"/>
      <c r="L126" s="385"/>
      <c r="M126" s="385"/>
      <c r="N126" s="735" t="s">
        <v>182</v>
      </c>
      <c r="O126" s="5">
        <v>3</v>
      </c>
    </row>
    <row r="127" spans="1:15">
      <c r="B127">
        <v>8</v>
      </c>
      <c r="C127" s="670" t="s">
        <v>2767</v>
      </c>
      <c r="D127" s="565" t="s">
        <v>3547</v>
      </c>
      <c r="E127" s="167">
        <f t="shared" si="20"/>
        <v>0</v>
      </c>
      <c r="F127" s="167">
        <f t="shared" si="20"/>
        <v>0</v>
      </c>
      <c r="G127" s="167">
        <f t="shared" si="20"/>
        <v>0</v>
      </c>
      <c r="I127">
        <v>0</v>
      </c>
      <c r="J127" s="727">
        <v>250</v>
      </c>
      <c r="K127" s="385"/>
      <c r="L127" s="385"/>
      <c r="M127" s="385"/>
      <c r="N127" s="735" t="s">
        <v>182</v>
      </c>
      <c r="O127" s="5">
        <v>3</v>
      </c>
    </row>
    <row r="128" spans="1:15">
      <c r="B128">
        <v>8</v>
      </c>
      <c r="C128" s="736" t="s">
        <v>2774</v>
      </c>
      <c r="D128" s="565"/>
      <c r="E128" s="167" t="s">
        <v>3161</v>
      </c>
      <c r="F128" s="167" t="s">
        <v>3161</v>
      </c>
      <c r="G128" s="167" t="s">
        <v>3161</v>
      </c>
      <c r="J128" s="553"/>
      <c r="K128" s="554"/>
      <c r="L128" s="554"/>
      <c r="M128" s="554"/>
      <c r="N128" s="554"/>
    </row>
    <row r="129" spans="2:15">
      <c r="B129">
        <v>8</v>
      </c>
      <c r="C129" s="670" t="s">
        <v>1389</v>
      </c>
      <c r="D129" s="565" t="s">
        <v>3543</v>
      </c>
      <c r="E129" s="167">
        <f t="shared" ref="E129:G130" si="21">INDEX($I129:$O129,cbalSpecProg8Duration +1)</f>
        <v>0</v>
      </c>
      <c r="F129" s="167">
        <f t="shared" si="21"/>
        <v>0</v>
      </c>
      <c r="G129" s="167">
        <f t="shared" si="21"/>
        <v>0</v>
      </c>
      <c r="I129">
        <v>0</v>
      </c>
      <c r="J129" s="385">
        <v>0</v>
      </c>
      <c r="K129" s="732">
        <v>-0.02</v>
      </c>
      <c r="L129" s="554"/>
      <c r="M129" s="554"/>
      <c r="N129" s="735" t="s">
        <v>182</v>
      </c>
      <c r="O129" s="5">
        <v>3</v>
      </c>
    </row>
    <row r="130" spans="2:15">
      <c r="B130">
        <v>8</v>
      </c>
      <c r="C130" s="670" t="s">
        <v>1405</v>
      </c>
      <c r="D130" s="565" t="s">
        <v>3544</v>
      </c>
      <c r="E130" s="167">
        <f t="shared" si="21"/>
        <v>0</v>
      </c>
      <c r="F130" s="167">
        <f t="shared" si="21"/>
        <v>0</v>
      </c>
      <c r="G130" s="167">
        <f t="shared" si="21"/>
        <v>0</v>
      </c>
      <c r="I130">
        <v>0</v>
      </c>
      <c r="J130" s="385">
        <v>0</v>
      </c>
      <c r="K130" s="732">
        <v>-0.02</v>
      </c>
      <c r="L130" s="554"/>
      <c r="M130" s="554"/>
      <c r="N130" s="735" t="s">
        <v>182</v>
      </c>
      <c r="O130" s="5">
        <v>3</v>
      </c>
    </row>
    <row r="131" spans="2:15">
      <c r="B131">
        <v>8</v>
      </c>
      <c r="C131" s="736" t="s">
        <v>2775</v>
      </c>
      <c r="E131" s="167" t="s">
        <v>3161</v>
      </c>
      <c r="F131" s="167" t="s">
        <v>3161</v>
      </c>
      <c r="G131" s="167" t="s">
        <v>3161</v>
      </c>
      <c r="J131" s="553"/>
      <c r="K131" s="554"/>
      <c r="L131" s="554"/>
      <c r="M131" s="554"/>
      <c r="N131" s="734"/>
      <c r="O131" s="5"/>
    </row>
    <row r="132" spans="2:15">
      <c r="B132">
        <v>8</v>
      </c>
      <c r="C132" s="670" t="s">
        <v>2125</v>
      </c>
      <c r="D132" s="565" t="s">
        <v>3524</v>
      </c>
      <c r="E132" s="167">
        <f t="shared" ref="E132:G133" si="22">INDEX($I132:$O132,cbalSpecProg8Duration +1)</f>
        <v>0</v>
      </c>
      <c r="F132" s="167">
        <f t="shared" si="22"/>
        <v>0</v>
      </c>
      <c r="G132" s="167">
        <f t="shared" si="22"/>
        <v>0</v>
      </c>
      <c r="I132">
        <v>0</v>
      </c>
      <c r="J132" s="385">
        <v>0</v>
      </c>
      <c r="K132" s="732">
        <v>0.03</v>
      </c>
      <c r="L132" s="385">
        <v>0.03</v>
      </c>
      <c r="M132" s="385">
        <v>0.03</v>
      </c>
      <c r="N132" s="735" t="s">
        <v>2733</v>
      </c>
      <c r="O132" s="5">
        <v>4</v>
      </c>
    </row>
    <row r="133" spans="2:15">
      <c r="B133">
        <v>8</v>
      </c>
      <c r="C133" s="670" t="s">
        <v>2126</v>
      </c>
      <c r="D133" s="565" t="s">
        <v>3525</v>
      </c>
      <c r="E133" s="167">
        <f t="shared" si="22"/>
        <v>0</v>
      </c>
      <c r="F133" s="167">
        <f t="shared" si="22"/>
        <v>0</v>
      </c>
      <c r="G133" s="167">
        <f t="shared" si="22"/>
        <v>0</v>
      </c>
      <c r="I133">
        <v>0</v>
      </c>
      <c r="J133" s="385">
        <v>0</v>
      </c>
      <c r="K133" s="732">
        <v>0.03</v>
      </c>
      <c r="L133" s="385">
        <v>0.03</v>
      </c>
      <c r="M133" s="385">
        <v>0.03</v>
      </c>
      <c r="N133" s="735" t="s">
        <v>2733</v>
      </c>
      <c r="O133" s="5">
        <v>4</v>
      </c>
    </row>
    <row r="134" spans="2:15">
      <c r="B134">
        <v>8</v>
      </c>
      <c r="C134" s="736" t="s">
        <v>447</v>
      </c>
      <c r="E134" s="167" t="s">
        <v>3161</v>
      </c>
      <c r="F134" s="167" t="s">
        <v>3161</v>
      </c>
      <c r="G134" s="167" t="s">
        <v>3161</v>
      </c>
      <c r="J134" s="553"/>
      <c r="K134" s="554"/>
      <c r="L134" s="554"/>
      <c r="M134" s="554"/>
      <c r="N134" s="734"/>
      <c r="O134" s="5"/>
    </row>
    <row r="135" spans="2:15">
      <c r="B135">
        <v>8</v>
      </c>
      <c r="C135" s="670" t="s">
        <v>2132</v>
      </c>
      <c r="D135" s="565" t="s">
        <v>44</v>
      </c>
      <c r="E135" s="167">
        <f>INDEX($I135:$O135,cbalSpecProg8Duration +1)</f>
        <v>0</v>
      </c>
      <c r="F135" s="167">
        <f>INDEX($I135:$O135,cbalSpecProg8Duration +1)</f>
        <v>0</v>
      </c>
      <c r="G135" s="167">
        <f>INDEX($I135:$O135,cbalSpecProg8Duration +1)</f>
        <v>0</v>
      </c>
      <c r="I135">
        <v>0</v>
      </c>
      <c r="J135" s="732">
        <v>-0.02</v>
      </c>
      <c r="L135" s="385"/>
      <c r="M135" s="385"/>
      <c r="N135" s="735" t="s">
        <v>180</v>
      </c>
      <c r="O135" s="5">
        <v>5</v>
      </c>
    </row>
    <row r="136" spans="2:15">
      <c r="B136">
        <v>8</v>
      </c>
      <c r="C136" s="736" t="s">
        <v>2747</v>
      </c>
      <c r="E136" s="167" t="s">
        <v>3161</v>
      </c>
      <c r="F136" s="167" t="s">
        <v>3161</v>
      </c>
      <c r="G136" s="167" t="s">
        <v>3161</v>
      </c>
      <c r="J136" s="553"/>
      <c r="K136" s="554"/>
      <c r="L136" s="554"/>
      <c r="M136" s="554"/>
      <c r="N136" s="734"/>
      <c r="O136" s="5"/>
    </row>
    <row r="137" spans="2:15">
      <c r="B137">
        <v>8</v>
      </c>
      <c r="C137" s="670" t="s">
        <v>1517</v>
      </c>
      <c r="D137" s="565" t="s">
        <v>3533</v>
      </c>
      <c r="E137" s="167">
        <f t="shared" ref="E137:G142" si="23">INDEX($I137:$O137,cbalSpecProg8Duration +1)</f>
        <v>0</v>
      </c>
      <c r="F137" s="167">
        <f t="shared" si="23"/>
        <v>0</v>
      </c>
      <c r="G137" s="167">
        <f t="shared" si="23"/>
        <v>0</v>
      </c>
      <c r="I137">
        <v>0</v>
      </c>
      <c r="J137" s="732">
        <v>-0.04</v>
      </c>
      <c r="K137" s="385">
        <v>-0.04</v>
      </c>
      <c r="L137" s="385">
        <v>-0.04</v>
      </c>
      <c r="M137" s="385">
        <v>-0.04</v>
      </c>
      <c r="N137" s="735" t="s">
        <v>2733</v>
      </c>
      <c r="O137" s="5">
        <v>4</v>
      </c>
    </row>
    <row r="138" spans="2:15">
      <c r="B138">
        <v>8</v>
      </c>
      <c r="C138" s="670" t="s">
        <v>2065</v>
      </c>
      <c r="D138" s="565" t="s">
        <v>3534</v>
      </c>
      <c r="E138" s="167">
        <f t="shared" si="23"/>
        <v>0</v>
      </c>
      <c r="F138" s="167">
        <f t="shared" si="23"/>
        <v>0</v>
      </c>
      <c r="G138" s="167">
        <f t="shared" si="23"/>
        <v>0</v>
      </c>
      <c r="I138">
        <v>0</v>
      </c>
      <c r="J138" s="732">
        <v>-0.04</v>
      </c>
      <c r="K138" s="385">
        <v>-0.04</v>
      </c>
      <c r="L138" s="385">
        <v>-0.04</v>
      </c>
      <c r="M138" s="385">
        <v>-0.04</v>
      </c>
      <c r="N138" s="735" t="s">
        <v>2733</v>
      </c>
      <c r="O138" s="5">
        <v>4</v>
      </c>
    </row>
    <row r="139" spans="2:15">
      <c r="B139">
        <v>8</v>
      </c>
      <c r="C139" s="670" t="s">
        <v>1519</v>
      </c>
      <c r="D139" s="565" t="s">
        <v>3535</v>
      </c>
      <c r="E139" s="167">
        <f t="shared" si="23"/>
        <v>0</v>
      </c>
      <c r="F139" s="167">
        <f t="shared" si="23"/>
        <v>0</v>
      </c>
      <c r="G139" s="167">
        <f t="shared" si="23"/>
        <v>0</v>
      </c>
      <c r="I139">
        <v>0</v>
      </c>
      <c r="J139" s="732">
        <v>-0.04</v>
      </c>
      <c r="K139" s="385">
        <v>-0.04</v>
      </c>
      <c r="L139" s="385">
        <v>-0.04</v>
      </c>
      <c r="M139" s="385">
        <v>-0.04</v>
      </c>
      <c r="N139" s="735" t="s">
        <v>2733</v>
      </c>
      <c r="O139" s="5">
        <v>4</v>
      </c>
    </row>
    <row r="140" spans="2:15">
      <c r="B140">
        <v>8</v>
      </c>
      <c r="C140" s="670" t="s">
        <v>2067</v>
      </c>
      <c r="D140" s="565" t="s">
        <v>3536</v>
      </c>
      <c r="E140" s="167">
        <f t="shared" si="23"/>
        <v>0</v>
      </c>
      <c r="F140" s="167">
        <f t="shared" si="23"/>
        <v>0</v>
      </c>
      <c r="G140" s="167">
        <f t="shared" si="23"/>
        <v>0</v>
      </c>
      <c r="I140">
        <v>0</v>
      </c>
      <c r="J140" s="732">
        <v>-0.04</v>
      </c>
      <c r="K140" s="385">
        <v>-0.04</v>
      </c>
      <c r="L140" s="385">
        <v>-0.04</v>
      </c>
      <c r="M140" s="385">
        <v>-0.04</v>
      </c>
      <c r="N140" s="735" t="s">
        <v>2733</v>
      </c>
      <c r="O140" s="5">
        <v>4</v>
      </c>
    </row>
    <row r="141" spans="2:15">
      <c r="B141">
        <v>8</v>
      </c>
      <c r="C141" s="670" t="s">
        <v>1475</v>
      </c>
      <c r="D141" s="565" t="s">
        <v>1493</v>
      </c>
      <c r="E141" s="167">
        <f t="shared" si="23"/>
        <v>0</v>
      </c>
      <c r="F141" s="167">
        <f t="shared" si="23"/>
        <v>0</v>
      </c>
      <c r="G141" s="167">
        <f t="shared" si="23"/>
        <v>0</v>
      </c>
      <c r="I141">
        <v>0</v>
      </c>
      <c r="J141" s="732">
        <v>-0.04</v>
      </c>
      <c r="K141" s="385">
        <v>-0.04</v>
      </c>
      <c r="L141" s="385">
        <v>-0.04</v>
      </c>
      <c r="M141" s="385">
        <v>-0.04</v>
      </c>
      <c r="N141" s="735" t="s">
        <v>2733</v>
      </c>
      <c r="O141" s="5">
        <v>4</v>
      </c>
    </row>
    <row r="142" spans="2:15">
      <c r="B142">
        <v>8</v>
      </c>
      <c r="C142" s="670" t="s">
        <v>1495</v>
      </c>
      <c r="D142" s="565" t="s">
        <v>1496</v>
      </c>
      <c r="E142" s="167">
        <f t="shared" si="23"/>
        <v>0</v>
      </c>
      <c r="F142" s="167">
        <f t="shared" si="23"/>
        <v>0</v>
      </c>
      <c r="G142" s="167">
        <f t="shared" si="23"/>
        <v>0</v>
      </c>
      <c r="I142">
        <v>0</v>
      </c>
      <c r="J142" s="732">
        <v>-0.04</v>
      </c>
      <c r="K142" s="385">
        <v>-0.04</v>
      </c>
      <c r="L142" s="385">
        <v>-0.04</v>
      </c>
      <c r="M142" s="385">
        <v>-0.04</v>
      </c>
      <c r="N142" s="735" t="s">
        <v>2733</v>
      </c>
      <c r="O142" s="5">
        <v>4</v>
      </c>
    </row>
    <row r="143" spans="2:15">
      <c r="D143" s="565"/>
      <c r="E143" s="167" t="s">
        <v>3161</v>
      </c>
      <c r="F143" s="167" t="s">
        <v>3161</v>
      </c>
      <c r="G143" s="167" t="s">
        <v>3161</v>
      </c>
      <c r="J143" s="553"/>
      <c r="K143" s="554"/>
      <c r="L143" s="554"/>
      <c r="M143" s="554"/>
      <c r="N143" s="554"/>
    </row>
    <row r="144" spans="2:15">
      <c r="B144">
        <v>9</v>
      </c>
      <c r="C144" s="3" t="s">
        <v>2563</v>
      </c>
      <c r="D144" t="s">
        <v>3548</v>
      </c>
      <c r="E144" s="167">
        <f>INDEX($I144:$O144,cbalSpecProg9Duration +1)</f>
        <v>0</v>
      </c>
      <c r="F144" s="167">
        <f>INDEX($I144:$O144,cbalSpecProg9Duration +1)</f>
        <v>0</v>
      </c>
      <c r="G144" s="167">
        <f>INDEX($I144:$O144,cbalSpecProg9Duration +1)</f>
        <v>0</v>
      </c>
      <c r="I144">
        <v>0</v>
      </c>
      <c r="J144" s="553"/>
      <c r="K144" s="554"/>
      <c r="L144" s="554"/>
      <c r="M144" s="554"/>
      <c r="N144" s="554"/>
    </row>
    <row r="145" spans="1:15">
      <c r="B145">
        <v>9</v>
      </c>
      <c r="C145" s="736" t="s">
        <v>2746</v>
      </c>
      <c r="E145" s="167" t="s">
        <v>3161</v>
      </c>
      <c r="F145" s="167" t="s">
        <v>3161</v>
      </c>
      <c r="G145" s="167" t="s">
        <v>3161</v>
      </c>
      <c r="J145" s="553"/>
      <c r="K145" s="554"/>
      <c r="L145" s="554"/>
      <c r="M145" s="554"/>
      <c r="N145" s="734"/>
      <c r="O145" s="5"/>
    </row>
    <row r="146" spans="1:15">
      <c r="A146" t="str">
        <f>"Costa"&amp; B146</f>
        <v>Costa9</v>
      </c>
      <c r="B146">
        <v>9</v>
      </c>
      <c r="C146" s="1002" t="s">
        <v>2119</v>
      </c>
      <c r="D146" s="565" t="s">
        <v>3530</v>
      </c>
      <c r="E146" s="167">
        <f t="shared" ref="E146:G148" si="24">INDEX($I146:$O146,cbalSpecProg9Duration +1)</f>
        <v>0</v>
      </c>
      <c r="F146" s="167">
        <f t="shared" si="24"/>
        <v>0</v>
      </c>
      <c r="G146" s="167">
        <f t="shared" si="24"/>
        <v>0</v>
      </c>
      <c r="H146" t="str">
        <f>C146&amp;"Init"&amp;B146</f>
        <v>SP-4Init9</v>
      </c>
      <c r="I146">
        <v>0</v>
      </c>
      <c r="J146" s="1288">
        <v>3000000</v>
      </c>
      <c r="K146" s="554"/>
      <c r="L146" s="554"/>
      <c r="M146" s="554"/>
      <c r="N146" s="735"/>
      <c r="O146" s="5">
        <v>4</v>
      </c>
    </row>
    <row r="147" spans="1:15">
      <c r="A147" t="str">
        <f>"Costb"&amp; B147</f>
        <v>Costb9</v>
      </c>
      <c r="B147">
        <v>9</v>
      </c>
      <c r="C147" s="1002" t="s">
        <v>2120</v>
      </c>
      <c r="D147" s="565" t="s">
        <v>3527</v>
      </c>
      <c r="E147" s="167">
        <f t="shared" si="24"/>
        <v>0</v>
      </c>
      <c r="F147" s="167">
        <f t="shared" si="24"/>
        <v>0</v>
      </c>
      <c r="G147" s="167">
        <f t="shared" si="24"/>
        <v>0</v>
      </c>
      <c r="H147" t="str">
        <f>C147&amp;"Init"&amp;B147</f>
        <v>SP-5Init9</v>
      </c>
      <c r="I147">
        <v>0</v>
      </c>
      <c r="J147" s="1288">
        <v>2000000</v>
      </c>
      <c r="K147" s="554"/>
      <c r="L147" s="554"/>
      <c r="M147" s="554"/>
      <c r="N147" s="735"/>
      <c r="O147" s="5">
        <v>4</v>
      </c>
    </row>
    <row r="148" spans="1:15">
      <c r="A148" t="str">
        <f>"FTEa"&amp; B148</f>
        <v>FTEa9</v>
      </c>
      <c r="B148">
        <v>9</v>
      </c>
      <c r="C148" s="670" t="s">
        <v>3002</v>
      </c>
      <c r="D148" s="565" t="s">
        <v>3531</v>
      </c>
      <c r="E148" s="167">
        <f t="shared" si="24"/>
        <v>0</v>
      </c>
      <c r="F148" s="167">
        <f t="shared" si="24"/>
        <v>0</v>
      </c>
      <c r="G148" s="167">
        <f t="shared" si="24"/>
        <v>0</v>
      </c>
      <c r="H148" t="str">
        <f>C148&amp;"Init"&amp;B148</f>
        <v>SP-16Init9</v>
      </c>
      <c r="I148">
        <v>0</v>
      </c>
      <c r="J148" s="727">
        <v>8</v>
      </c>
      <c r="K148" s="554"/>
      <c r="L148" s="554"/>
      <c r="M148" s="554"/>
      <c r="N148" s="735" t="s">
        <v>2733</v>
      </c>
      <c r="O148" s="5">
        <v>4</v>
      </c>
    </row>
    <row r="149" spans="1:15">
      <c r="A149" t="str">
        <f>"FTEb"&amp; B149</f>
        <v>FTEb9</v>
      </c>
      <c r="B149">
        <v>9</v>
      </c>
      <c r="C149" s="670" t="s">
        <v>3003</v>
      </c>
      <c r="D149" s="565" t="s">
        <v>3528</v>
      </c>
      <c r="E149" s="167">
        <f t="shared" ref="E149:G149" si="25">INDEX($I149:$O149,cbalSpecProg9Duration +1)</f>
        <v>0</v>
      </c>
      <c r="F149" s="167">
        <f t="shared" si="25"/>
        <v>0</v>
      </c>
      <c r="G149" s="167">
        <f t="shared" si="25"/>
        <v>0</v>
      </c>
      <c r="H149" t="str">
        <f>C149&amp;"Init"&amp;B149</f>
        <v>SP-17Init9</v>
      </c>
      <c r="I149">
        <v>0</v>
      </c>
      <c r="J149" s="727">
        <v>5</v>
      </c>
      <c r="K149" s="554"/>
      <c r="L149" s="554"/>
      <c r="M149" s="554"/>
      <c r="N149" s="735" t="s">
        <v>182</v>
      </c>
      <c r="O149" s="5">
        <v>3</v>
      </c>
    </row>
    <row r="150" spans="1:15">
      <c r="B150">
        <v>9</v>
      </c>
      <c r="C150" s="736" t="s">
        <v>2776</v>
      </c>
      <c r="E150" s="167" t="s">
        <v>3161</v>
      </c>
      <c r="F150" s="167" t="s">
        <v>3161</v>
      </c>
      <c r="G150" s="167" t="s">
        <v>3161</v>
      </c>
      <c r="J150" s="553"/>
      <c r="K150" s="554"/>
      <c r="L150" s="554"/>
      <c r="M150" s="554"/>
      <c r="N150" s="734"/>
      <c r="O150" s="5"/>
    </row>
    <row r="151" spans="1:15">
      <c r="B151">
        <v>9</v>
      </c>
      <c r="C151" s="670" t="s">
        <v>2132</v>
      </c>
      <c r="D151" s="565" t="s">
        <v>44</v>
      </c>
      <c r="E151" s="167">
        <f>INDEX($I151:$O151,cbalSpecProg9Duration +1)</f>
        <v>0</v>
      </c>
      <c r="F151" s="167">
        <f>INDEX($I151:$O151,cbalSpecProg9Duration +1)</f>
        <v>0</v>
      </c>
      <c r="G151" s="167">
        <f>INDEX($I151:$O151,cbalSpecProg9Duration +1)</f>
        <v>0</v>
      </c>
      <c r="I151">
        <v>0</v>
      </c>
      <c r="J151" s="732">
        <v>-5.0000000000000001E-3</v>
      </c>
      <c r="L151" s="385"/>
      <c r="M151" s="385"/>
      <c r="N151" s="735" t="s">
        <v>182</v>
      </c>
      <c r="O151" s="5">
        <v>3</v>
      </c>
    </row>
    <row r="152" spans="1:15">
      <c r="B152">
        <v>9</v>
      </c>
      <c r="C152" s="736" t="s">
        <v>2777</v>
      </c>
      <c r="E152" s="167" t="s">
        <v>3161</v>
      </c>
      <c r="F152" s="167" t="s">
        <v>3161</v>
      </c>
      <c r="G152" s="167" t="s">
        <v>3161</v>
      </c>
      <c r="J152" s="553"/>
      <c r="K152" s="554"/>
      <c r="L152" s="554"/>
      <c r="M152" s="554"/>
      <c r="N152" s="734"/>
      <c r="O152" s="5"/>
    </row>
    <row r="153" spans="1:15">
      <c r="B153">
        <v>9</v>
      </c>
      <c r="C153" s="670" t="s">
        <v>1517</v>
      </c>
      <c r="D153" s="565" t="s">
        <v>3533</v>
      </c>
      <c r="E153" s="167">
        <f t="shared" ref="E153:G158" si="26">INDEX($I153:$O153,cbalSpecProg9Duration +1)</f>
        <v>0</v>
      </c>
      <c r="F153" s="167">
        <f t="shared" si="26"/>
        <v>0</v>
      </c>
      <c r="G153" s="167">
        <f t="shared" si="26"/>
        <v>0</v>
      </c>
      <c r="I153">
        <v>0</v>
      </c>
      <c r="J153" s="732">
        <v>0.02</v>
      </c>
      <c r="K153" s="385">
        <v>0.02</v>
      </c>
      <c r="L153" s="385">
        <v>0.02</v>
      </c>
      <c r="M153" s="385">
        <v>0.02</v>
      </c>
      <c r="N153" s="735" t="s">
        <v>182</v>
      </c>
      <c r="O153" s="5">
        <v>3</v>
      </c>
    </row>
    <row r="154" spans="1:15">
      <c r="B154">
        <v>9</v>
      </c>
      <c r="C154" s="670" t="s">
        <v>2065</v>
      </c>
      <c r="D154" s="565" t="s">
        <v>3534</v>
      </c>
      <c r="E154" s="167">
        <f t="shared" si="26"/>
        <v>0</v>
      </c>
      <c r="F154" s="167">
        <f t="shared" si="26"/>
        <v>0</v>
      </c>
      <c r="G154" s="167">
        <f t="shared" si="26"/>
        <v>0</v>
      </c>
      <c r="I154">
        <v>0</v>
      </c>
      <c r="J154" s="732">
        <v>0.02</v>
      </c>
      <c r="K154" s="385">
        <v>0.02</v>
      </c>
      <c r="L154" s="385">
        <v>0.02</v>
      </c>
      <c r="M154" s="385">
        <v>0.02</v>
      </c>
      <c r="N154" s="735" t="s">
        <v>182</v>
      </c>
      <c r="O154" s="5">
        <v>3</v>
      </c>
    </row>
    <row r="155" spans="1:15">
      <c r="B155">
        <v>9</v>
      </c>
      <c r="C155" s="670" t="s">
        <v>1519</v>
      </c>
      <c r="D155" s="565" t="s">
        <v>3535</v>
      </c>
      <c r="E155" s="167">
        <f t="shared" si="26"/>
        <v>0</v>
      </c>
      <c r="F155" s="167">
        <f t="shared" si="26"/>
        <v>0</v>
      </c>
      <c r="G155" s="167">
        <f t="shared" si="26"/>
        <v>0</v>
      </c>
      <c r="I155">
        <v>0</v>
      </c>
      <c r="J155" s="732">
        <v>-6.0000000000000005E-2</v>
      </c>
      <c r="K155" s="385">
        <v>-6.0000000000000005E-2</v>
      </c>
      <c r="L155" s="385">
        <v>-6.0000000000000005E-2</v>
      </c>
      <c r="M155" s="385">
        <v>-6.0000000000000005E-2</v>
      </c>
      <c r="N155" s="735" t="s">
        <v>180</v>
      </c>
      <c r="O155" s="5">
        <v>5</v>
      </c>
    </row>
    <row r="156" spans="1:15">
      <c r="B156">
        <v>9</v>
      </c>
      <c r="C156" s="670" t="s">
        <v>2067</v>
      </c>
      <c r="D156" s="565" t="s">
        <v>3536</v>
      </c>
      <c r="E156" s="167">
        <f t="shared" si="26"/>
        <v>0</v>
      </c>
      <c r="F156" s="167">
        <f t="shared" si="26"/>
        <v>0</v>
      </c>
      <c r="G156" s="167">
        <f t="shared" si="26"/>
        <v>0</v>
      </c>
      <c r="I156">
        <v>0</v>
      </c>
      <c r="J156" s="732">
        <v>-6.0000000000000005E-2</v>
      </c>
      <c r="K156" s="385">
        <v>-6.0000000000000005E-2</v>
      </c>
      <c r="L156" s="385">
        <v>-6.0000000000000005E-2</v>
      </c>
      <c r="M156" s="385">
        <v>-6.0000000000000005E-2</v>
      </c>
      <c r="N156" s="735" t="s">
        <v>180</v>
      </c>
      <c r="O156" s="5">
        <v>5</v>
      </c>
    </row>
    <row r="157" spans="1:15">
      <c r="B157">
        <v>9</v>
      </c>
      <c r="C157" s="670" t="s">
        <v>1475</v>
      </c>
      <c r="D157" s="565" t="s">
        <v>1493</v>
      </c>
      <c r="E157" s="167">
        <f t="shared" si="26"/>
        <v>0</v>
      </c>
      <c r="F157" s="167">
        <f t="shared" si="26"/>
        <v>0</v>
      </c>
      <c r="G157" s="167">
        <f t="shared" si="26"/>
        <v>0</v>
      </c>
      <c r="I157">
        <v>0</v>
      </c>
      <c r="J157" s="732">
        <v>-0.04</v>
      </c>
      <c r="K157" s="385">
        <v>-0.04</v>
      </c>
      <c r="L157" s="385">
        <v>-0.04</v>
      </c>
      <c r="M157" s="385">
        <v>-0.04</v>
      </c>
      <c r="N157" s="735" t="s">
        <v>2733</v>
      </c>
      <c r="O157" s="5">
        <v>4</v>
      </c>
    </row>
    <row r="158" spans="1:15">
      <c r="B158">
        <v>9</v>
      </c>
      <c r="C158" s="670" t="s">
        <v>1495</v>
      </c>
      <c r="D158" s="565" t="s">
        <v>1496</v>
      </c>
      <c r="E158" s="167">
        <f t="shared" si="26"/>
        <v>0</v>
      </c>
      <c r="F158" s="167">
        <f t="shared" si="26"/>
        <v>0</v>
      </c>
      <c r="G158" s="167">
        <f t="shared" si="26"/>
        <v>0</v>
      </c>
      <c r="I158">
        <v>0</v>
      </c>
      <c r="J158" s="732">
        <v>-0.04</v>
      </c>
      <c r="K158" s="385">
        <v>-0.04</v>
      </c>
      <c r="L158" s="385">
        <v>-0.04</v>
      </c>
      <c r="M158" s="385">
        <v>-0.04</v>
      </c>
      <c r="N158" s="735" t="s">
        <v>2733</v>
      </c>
      <c r="O158" s="5">
        <v>4</v>
      </c>
    </row>
    <row r="159" spans="1:15">
      <c r="B159">
        <v>9</v>
      </c>
      <c r="C159" s="736" t="s">
        <v>1981</v>
      </c>
      <c r="E159" s="167" t="s">
        <v>3161</v>
      </c>
      <c r="F159" s="167" t="s">
        <v>3161</v>
      </c>
      <c r="G159" s="167" t="s">
        <v>3161</v>
      </c>
      <c r="J159" s="553"/>
      <c r="K159" s="554"/>
      <c r="L159" s="554"/>
      <c r="M159" s="554"/>
      <c r="N159" s="734"/>
      <c r="O159" s="5"/>
    </row>
    <row r="160" spans="1:15">
      <c r="B160">
        <v>9</v>
      </c>
      <c r="C160" s="737" t="s">
        <v>2076</v>
      </c>
      <c r="D160" s="565" t="s">
        <v>1972</v>
      </c>
      <c r="E160" s="167">
        <f>INDEX($I160:$O160,cbalSpecProg9Duration +1)</f>
        <v>0</v>
      </c>
      <c r="F160" s="167">
        <f>INDEX($I160:$O160,cbalSpecProg9Duration +1)</f>
        <v>0</v>
      </c>
      <c r="G160" s="167">
        <f>INDEX($I160:$O160,cbalSpecProg9Duration +1)</f>
        <v>0</v>
      </c>
      <c r="I160">
        <v>0</v>
      </c>
      <c r="J160" s="732">
        <v>0.03</v>
      </c>
      <c r="K160" s="385">
        <v>0.03</v>
      </c>
      <c r="L160" s="385">
        <v>0.03</v>
      </c>
      <c r="M160" s="385">
        <v>0.03</v>
      </c>
      <c r="N160" s="735" t="s">
        <v>2733</v>
      </c>
      <c r="O160" s="5">
        <v>4</v>
      </c>
    </row>
    <row r="161" spans="1:15">
      <c r="D161" s="565"/>
      <c r="E161" s="167" t="s">
        <v>3161</v>
      </c>
      <c r="F161" s="167" t="s">
        <v>3161</v>
      </c>
      <c r="G161" s="167" t="s">
        <v>3161</v>
      </c>
      <c r="J161" s="553"/>
      <c r="K161" s="554"/>
      <c r="L161" s="554"/>
      <c r="M161" s="554"/>
      <c r="N161" s="554"/>
    </row>
    <row r="162" spans="1:15">
      <c r="B162">
        <v>10</v>
      </c>
      <c r="C162" s="3" t="s">
        <v>4454</v>
      </c>
      <c r="D162" t="s">
        <v>3549</v>
      </c>
      <c r="E162" s="167">
        <f>INDEX($I162:$O162,cbalSpecProg10Duration +1)</f>
        <v>0</v>
      </c>
      <c r="F162" s="167">
        <f>INDEX($I162:$O162,cbalSpecProg10Duration +1)</f>
        <v>0</v>
      </c>
      <c r="G162" s="167">
        <f>INDEX($I162:$O162,cbalSpecProg10Duration +1)</f>
        <v>0</v>
      </c>
      <c r="I162">
        <v>0</v>
      </c>
      <c r="J162" s="553"/>
      <c r="K162" s="554"/>
      <c r="L162" s="554"/>
      <c r="M162" s="554"/>
      <c r="N162" s="554"/>
    </row>
    <row r="163" spans="1:15">
      <c r="B163">
        <f>B162</f>
        <v>10</v>
      </c>
      <c r="C163" s="736" t="s">
        <v>2746</v>
      </c>
      <c r="E163" s="167" t="s">
        <v>3161</v>
      </c>
      <c r="F163" s="167" t="s">
        <v>3161</v>
      </c>
      <c r="G163" s="167" t="s">
        <v>3161</v>
      </c>
      <c r="J163" s="553"/>
      <c r="K163" s="554"/>
      <c r="L163" s="554"/>
      <c r="M163" s="554"/>
      <c r="N163" s="734"/>
      <c r="O163" s="5"/>
    </row>
    <row r="164" spans="1:15">
      <c r="A164" t="str">
        <f>"Costa"&amp; B164</f>
        <v>Costa10</v>
      </c>
      <c r="B164">
        <f t="shared" ref="B164:B187" si="27">B163</f>
        <v>10</v>
      </c>
      <c r="C164" s="599" t="s">
        <v>2118</v>
      </c>
      <c r="D164" s="565" t="s">
        <v>1000</v>
      </c>
      <c r="E164" s="167">
        <f t="shared" ref="E164:G165" si="28">INDEX($I164:$O164,cbalSpecProg10Duration +1)</f>
        <v>0</v>
      </c>
      <c r="F164" s="167">
        <f t="shared" si="28"/>
        <v>0</v>
      </c>
      <c r="G164" s="167">
        <f t="shared" si="28"/>
        <v>0</v>
      </c>
      <c r="H164" t="str">
        <f>C164&amp;"Init"&amp;B164</f>
        <v>SP-3Init10</v>
      </c>
      <c r="I164">
        <v>0</v>
      </c>
      <c r="J164" s="727">
        <v>10000000</v>
      </c>
      <c r="K164" s="554"/>
      <c r="L164" s="554"/>
      <c r="M164" s="554"/>
      <c r="N164" s="735" t="s">
        <v>2733</v>
      </c>
      <c r="O164" s="5">
        <v>4</v>
      </c>
    </row>
    <row r="165" spans="1:15">
      <c r="A165" t="str">
        <f>"FTEa"&amp; B165</f>
        <v>FTEa10</v>
      </c>
      <c r="B165">
        <f t="shared" si="27"/>
        <v>10</v>
      </c>
      <c r="C165" s="670" t="s">
        <v>2117</v>
      </c>
      <c r="D165" s="565" t="s">
        <v>762</v>
      </c>
      <c r="E165" s="167">
        <f t="shared" si="28"/>
        <v>0</v>
      </c>
      <c r="F165" s="167">
        <f t="shared" si="28"/>
        <v>0</v>
      </c>
      <c r="G165" s="167">
        <f t="shared" si="28"/>
        <v>0</v>
      </c>
      <c r="H165" t="str">
        <f>C165&amp;"Init"&amp;B165</f>
        <v>SP-2Init10</v>
      </c>
      <c r="I165">
        <v>0</v>
      </c>
      <c r="J165" s="727">
        <v>24</v>
      </c>
      <c r="K165" s="554"/>
      <c r="L165" s="554"/>
      <c r="M165" s="554"/>
      <c r="N165" s="735" t="s">
        <v>180</v>
      </c>
      <c r="O165" s="5">
        <v>5</v>
      </c>
    </row>
    <row r="166" spans="1:15">
      <c r="B166">
        <f t="shared" si="27"/>
        <v>10</v>
      </c>
      <c r="C166" s="736" t="s">
        <v>714</v>
      </c>
      <c r="E166" s="167" t="s">
        <v>3161</v>
      </c>
      <c r="F166" s="167" t="s">
        <v>3161</v>
      </c>
      <c r="G166" s="167" t="s">
        <v>3161</v>
      </c>
      <c r="J166" s="553"/>
      <c r="K166" s="554"/>
      <c r="L166" s="554"/>
      <c r="M166" s="554"/>
      <c r="N166" s="734"/>
      <c r="O166" s="5"/>
    </row>
    <row r="167" spans="1:15">
      <c r="B167">
        <f t="shared" si="27"/>
        <v>10</v>
      </c>
      <c r="C167" s="670" t="s">
        <v>2125</v>
      </c>
      <c r="D167" s="565" t="s">
        <v>3524</v>
      </c>
      <c r="E167" s="167">
        <f t="shared" ref="E167:G168" si="29">INDEX($I167:$O167,cbalSpecProg10Duration +1)</f>
        <v>0</v>
      </c>
      <c r="F167" s="167">
        <f t="shared" si="29"/>
        <v>0</v>
      </c>
      <c r="G167" s="167">
        <f t="shared" si="29"/>
        <v>0</v>
      </c>
      <c r="I167">
        <v>0</v>
      </c>
      <c r="J167" s="732">
        <v>0.05</v>
      </c>
      <c r="K167" s="385">
        <v>0.05</v>
      </c>
      <c r="L167" s="385">
        <v>0.05</v>
      </c>
      <c r="M167" s="385">
        <v>0.05</v>
      </c>
      <c r="N167" s="735" t="s">
        <v>180</v>
      </c>
      <c r="O167" s="5">
        <v>5</v>
      </c>
    </row>
    <row r="168" spans="1:15">
      <c r="B168">
        <f t="shared" si="27"/>
        <v>10</v>
      </c>
      <c r="C168" s="670" t="s">
        <v>2126</v>
      </c>
      <c r="D168" s="565" t="s">
        <v>3525</v>
      </c>
      <c r="E168" s="167">
        <f t="shared" si="29"/>
        <v>0</v>
      </c>
      <c r="F168" s="167">
        <f t="shared" si="29"/>
        <v>0</v>
      </c>
      <c r="G168" s="167">
        <f t="shared" si="29"/>
        <v>0</v>
      </c>
      <c r="I168">
        <v>0</v>
      </c>
      <c r="J168" s="732">
        <v>0.05</v>
      </c>
      <c r="K168" s="385">
        <v>0.05</v>
      </c>
      <c r="L168" s="385">
        <v>0.05</v>
      </c>
      <c r="M168" s="385">
        <v>0.05</v>
      </c>
      <c r="N168" s="735" t="s">
        <v>180</v>
      </c>
      <c r="O168" s="5">
        <v>5</v>
      </c>
    </row>
    <row r="169" spans="1:15">
      <c r="B169">
        <f t="shared" si="27"/>
        <v>10</v>
      </c>
      <c r="C169" s="736" t="s">
        <v>2741</v>
      </c>
      <c r="E169" s="167" t="s">
        <v>3161</v>
      </c>
      <c r="F169" s="167" t="s">
        <v>3161</v>
      </c>
      <c r="G169" s="167" t="s">
        <v>3161</v>
      </c>
      <c r="J169" s="553"/>
      <c r="K169" s="554"/>
      <c r="L169" s="554"/>
      <c r="M169" s="554"/>
      <c r="N169" s="734"/>
      <c r="O169" s="5"/>
    </row>
    <row r="170" spans="1:15">
      <c r="B170">
        <f t="shared" si="27"/>
        <v>10</v>
      </c>
      <c r="C170" s="670" t="s">
        <v>1431</v>
      </c>
      <c r="D170" s="565" t="s">
        <v>3550</v>
      </c>
      <c r="E170" s="167">
        <f t="shared" ref="E170:G171" si="30">INDEX($I170:$O170,cbalSpecProg10Duration +1)</f>
        <v>0</v>
      </c>
      <c r="F170" s="167">
        <f t="shared" si="30"/>
        <v>0</v>
      </c>
      <c r="G170" s="167">
        <f t="shared" si="30"/>
        <v>0</v>
      </c>
      <c r="I170">
        <v>0</v>
      </c>
      <c r="J170" s="732">
        <v>0.02</v>
      </c>
      <c r="K170" s="385">
        <v>0.02</v>
      </c>
      <c r="L170" s="385">
        <v>0.02</v>
      </c>
      <c r="M170" s="385">
        <v>0.02</v>
      </c>
      <c r="N170" s="735" t="s">
        <v>182</v>
      </c>
      <c r="O170" s="5">
        <v>3</v>
      </c>
    </row>
    <row r="171" spans="1:15">
      <c r="B171">
        <f t="shared" si="27"/>
        <v>10</v>
      </c>
      <c r="C171" s="670" t="s">
        <v>1435</v>
      </c>
      <c r="D171" s="565" t="s">
        <v>3551</v>
      </c>
      <c r="E171" s="167">
        <f t="shared" si="30"/>
        <v>0</v>
      </c>
      <c r="F171" s="167">
        <f t="shared" si="30"/>
        <v>0</v>
      </c>
      <c r="G171" s="167">
        <f t="shared" si="30"/>
        <v>0</v>
      </c>
      <c r="I171">
        <v>0</v>
      </c>
      <c r="J171" s="732">
        <v>0.02</v>
      </c>
      <c r="K171" s="385">
        <v>0.02</v>
      </c>
      <c r="L171" s="385">
        <v>0.02</v>
      </c>
      <c r="M171" s="385">
        <v>0.02</v>
      </c>
      <c r="N171" s="735" t="s">
        <v>182</v>
      </c>
      <c r="O171" s="5">
        <v>3</v>
      </c>
    </row>
    <row r="172" spans="1:15">
      <c r="B172">
        <f t="shared" si="27"/>
        <v>10</v>
      </c>
      <c r="C172" s="736" t="s">
        <v>2778</v>
      </c>
      <c r="E172" s="167" t="s">
        <v>3161</v>
      </c>
      <c r="F172" s="167" t="s">
        <v>3161</v>
      </c>
      <c r="G172" s="167" t="s">
        <v>3161</v>
      </c>
      <c r="J172" s="553"/>
      <c r="K172" s="554"/>
      <c r="L172" s="554"/>
      <c r="M172" s="554"/>
      <c r="N172" s="734"/>
      <c r="O172" s="5"/>
    </row>
    <row r="173" spans="1:15">
      <c r="B173">
        <f t="shared" si="27"/>
        <v>10</v>
      </c>
      <c r="C173" s="599" t="s">
        <v>2749</v>
      </c>
      <c r="D173" s="565" t="s">
        <v>3539</v>
      </c>
      <c r="E173" s="167">
        <f t="shared" ref="E173:G174" si="31">INDEX($I173:$O173,cbalSpecProg10Duration +1)</f>
        <v>0</v>
      </c>
      <c r="F173" s="167">
        <f t="shared" si="31"/>
        <v>0</v>
      </c>
      <c r="G173" s="167">
        <f t="shared" si="31"/>
        <v>0</v>
      </c>
      <c r="I173">
        <v>0</v>
      </c>
      <c r="J173" s="10">
        <v>0</v>
      </c>
      <c r="K173" s="726">
        <v>1</v>
      </c>
      <c r="L173" s="385"/>
      <c r="M173" s="385"/>
      <c r="N173" s="735"/>
      <c r="O173" s="5"/>
    </row>
    <row r="174" spans="1:15">
      <c r="B174">
        <f t="shared" si="27"/>
        <v>10</v>
      </c>
      <c r="C174" s="599" t="s">
        <v>2751</v>
      </c>
      <c r="D174" s="565" t="s">
        <v>3540</v>
      </c>
      <c r="E174" s="167">
        <f t="shared" si="31"/>
        <v>0</v>
      </c>
      <c r="F174" s="167">
        <f t="shared" si="31"/>
        <v>0</v>
      </c>
      <c r="G174" s="167">
        <f t="shared" si="31"/>
        <v>0</v>
      </c>
      <c r="I174">
        <v>0</v>
      </c>
      <c r="J174" s="10">
        <v>0</v>
      </c>
      <c r="K174" s="726">
        <v>1</v>
      </c>
      <c r="L174" s="385"/>
      <c r="M174" s="385"/>
      <c r="N174" s="735"/>
      <c r="O174" s="5"/>
    </row>
    <row r="175" spans="1:15">
      <c r="B175">
        <f t="shared" si="27"/>
        <v>10</v>
      </c>
      <c r="C175" s="736" t="s">
        <v>447</v>
      </c>
      <c r="E175" s="167" t="s">
        <v>3161</v>
      </c>
      <c r="F175" s="167" t="s">
        <v>3161</v>
      </c>
      <c r="G175" s="167" t="s">
        <v>3161</v>
      </c>
      <c r="J175" s="553"/>
      <c r="K175" s="554"/>
      <c r="L175" s="554"/>
      <c r="M175" s="554"/>
      <c r="N175" s="734"/>
      <c r="O175" s="5"/>
    </row>
    <row r="176" spans="1:15">
      <c r="B176">
        <f t="shared" si="27"/>
        <v>10</v>
      </c>
      <c r="C176" s="670" t="s">
        <v>2132</v>
      </c>
      <c r="D176" s="565" t="s">
        <v>44</v>
      </c>
      <c r="E176" s="167">
        <f>INDEX($I176:$O176,cbalSpecProg10Duration +1)</f>
        <v>0</v>
      </c>
      <c r="F176" s="167">
        <f>INDEX($I176:$O176,cbalSpecProg10Duration +1)</f>
        <v>0</v>
      </c>
      <c r="G176" s="167">
        <f>INDEX($I176:$O176,cbalSpecProg10Duration +1)</f>
        <v>0</v>
      </c>
      <c r="I176">
        <v>0</v>
      </c>
      <c r="J176" s="732">
        <v>1.4999999999999999E-2</v>
      </c>
      <c r="K176" s="385"/>
      <c r="L176" s="385"/>
      <c r="M176" s="385"/>
      <c r="N176" s="735" t="s">
        <v>2733</v>
      </c>
      <c r="O176" s="5">
        <v>4</v>
      </c>
    </row>
    <row r="177" spans="1:15">
      <c r="B177">
        <f t="shared" si="27"/>
        <v>10</v>
      </c>
      <c r="C177" s="736" t="s">
        <v>2747</v>
      </c>
      <c r="E177" s="167" t="s">
        <v>3161</v>
      </c>
      <c r="F177" s="167" t="s">
        <v>3161</v>
      </c>
      <c r="G177" s="167" t="s">
        <v>3161</v>
      </c>
      <c r="J177" s="553"/>
      <c r="K177" s="554"/>
      <c r="L177" s="554"/>
      <c r="M177" s="554"/>
      <c r="N177" s="734"/>
      <c r="O177" s="5"/>
    </row>
    <row r="178" spans="1:15">
      <c r="B178">
        <f t="shared" si="27"/>
        <v>10</v>
      </c>
      <c r="C178" s="670" t="s">
        <v>1517</v>
      </c>
      <c r="D178" s="565" t="s">
        <v>3533</v>
      </c>
      <c r="E178" s="167">
        <f t="shared" ref="E178:G183" si="32">INDEX($I178:$O178,cbalSpecProg10Duration +1)</f>
        <v>0</v>
      </c>
      <c r="F178" s="167">
        <f t="shared" si="32"/>
        <v>0</v>
      </c>
      <c r="G178" s="167">
        <f t="shared" si="32"/>
        <v>0</v>
      </c>
      <c r="I178">
        <v>0</v>
      </c>
      <c r="J178" s="732">
        <v>-0.04</v>
      </c>
      <c r="K178" s="385">
        <v>-0.04</v>
      </c>
      <c r="L178" s="385">
        <v>-0.04</v>
      </c>
      <c r="M178" s="385">
        <v>-0.04</v>
      </c>
      <c r="N178" s="735" t="s">
        <v>2733</v>
      </c>
      <c r="O178" s="5">
        <v>4</v>
      </c>
    </row>
    <row r="179" spans="1:15">
      <c r="B179">
        <f t="shared" si="27"/>
        <v>10</v>
      </c>
      <c r="C179" s="670" t="s">
        <v>2065</v>
      </c>
      <c r="D179" s="565" t="s">
        <v>3534</v>
      </c>
      <c r="E179" s="167">
        <f t="shared" si="32"/>
        <v>0</v>
      </c>
      <c r="F179" s="167">
        <f t="shared" si="32"/>
        <v>0</v>
      </c>
      <c r="G179" s="167">
        <f t="shared" si="32"/>
        <v>0</v>
      </c>
      <c r="I179">
        <v>0</v>
      </c>
      <c r="J179" s="732">
        <v>-0.04</v>
      </c>
      <c r="K179" s="385">
        <v>-0.04</v>
      </c>
      <c r="L179" s="385">
        <v>-0.04</v>
      </c>
      <c r="M179" s="385">
        <v>-0.04</v>
      </c>
      <c r="N179" s="735" t="s">
        <v>2733</v>
      </c>
      <c r="O179" s="5">
        <v>4</v>
      </c>
    </row>
    <row r="180" spans="1:15">
      <c r="B180">
        <f t="shared" si="27"/>
        <v>10</v>
      </c>
      <c r="C180" s="670" t="s">
        <v>1519</v>
      </c>
      <c r="D180" s="565" t="s">
        <v>3535</v>
      </c>
      <c r="E180" s="167">
        <f t="shared" si="32"/>
        <v>0</v>
      </c>
      <c r="F180" s="167">
        <f t="shared" si="32"/>
        <v>0</v>
      </c>
      <c r="G180" s="167">
        <f t="shared" si="32"/>
        <v>0</v>
      </c>
      <c r="I180">
        <v>0</v>
      </c>
      <c r="J180" s="732">
        <v>-0.04</v>
      </c>
      <c r="K180" s="385">
        <v>-0.04</v>
      </c>
      <c r="L180" s="385">
        <v>-0.04</v>
      </c>
      <c r="M180" s="385">
        <v>-0.04</v>
      </c>
      <c r="N180" s="735" t="s">
        <v>2733</v>
      </c>
      <c r="O180" s="5">
        <v>4</v>
      </c>
    </row>
    <row r="181" spans="1:15">
      <c r="B181">
        <f t="shared" si="27"/>
        <v>10</v>
      </c>
      <c r="C181" s="670" t="s">
        <v>2067</v>
      </c>
      <c r="D181" s="565" t="s">
        <v>3536</v>
      </c>
      <c r="E181" s="167">
        <f t="shared" si="32"/>
        <v>0</v>
      </c>
      <c r="F181" s="167">
        <f t="shared" si="32"/>
        <v>0</v>
      </c>
      <c r="G181" s="167">
        <f t="shared" si="32"/>
        <v>0</v>
      </c>
      <c r="I181">
        <v>0</v>
      </c>
      <c r="J181" s="732">
        <v>-0.04</v>
      </c>
      <c r="K181" s="385">
        <v>-0.04</v>
      </c>
      <c r="L181" s="385">
        <v>-0.04</v>
      </c>
      <c r="M181" s="385">
        <v>-0.04</v>
      </c>
      <c r="N181" s="735" t="s">
        <v>2733</v>
      </c>
      <c r="O181" s="5">
        <v>4</v>
      </c>
    </row>
    <row r="182" spans="1:15">
      <c r="B182">
        <f t="shared" si="27"/>
        <v>10</v>
      </c>
      <c r="C182" s="670" t="s">
        <v>1475</v>
      </c>
      <c r="D182" s="565" t="s">
        <v>1493</v>
      </c>
      <c r="E182" s="167">
        <f t="shared" si="32"/>
        <v>0</v>
      </c>
      <c r="F182" s="167">
        <f t="shared" si="32"/>
        <v>0</v>
      </c>
      <c r="G182" s="167">
        <f t="shared" si="32"/>
        <v>0</v>
      </c>
      <c r="I182">
        <v>0</v>
      </c>
      <c r="J182" s="732">
        <v>-0.04</v>
      </c>
      <c r="K182" s="385">
        <v>-0.04</v>
      </c>
      <c r="L182" s="385">
        <v>-0.04</v>
      </c>
      <c r="M182" s="385">
        <v>-0.04</v>
      </c>
      <c r="N182" s="735" t="s">
        <v>2733</v>
      </c>
      <c r="O182" s="5">
        <v>4</v>
      </c>
    </row>
    <row r="183" spans="1:15">
      <c r="B183">
        <f t="shared" si="27"/>
        <v>10</v>
      </c>
      <c r="C183" s="670" t="s">
        <v>1495</v>
      </c>
      <c r="D183" s="565" t="s">
        <v>1496</v>
      </c>
      <c r="E183" s="167">
        <f t="shared" si="32"/>
        <v>0</v>
      </c>
      <c r="F183" s="167">
        <f t="shared" si="32"/>
        <v>0</v>
      </c>
      <c r="G183" s="167">
        <f t="shared" si="32"/>
        <v>0</v>
      </c>
      <c r="I183">
        <v>0</v>
      </c>
      <c r="J183" s="732">
        <v>-0.04</v>
      </c>
      <c r="K183" s="385">
        <v>-0.04</v>
      </c>
      <c r="L183" s="385">
        <v>-0.04</v>
      </c>
      <c r="M183" s="385">
        <v>-0.04</v>
      </c>
      <c r="N183" s="735" t="s">
        <v>2733</v>
      </c>
      <c r="O183" s="5">
        <v>4</v>
      </c>
    </row>
    <row r="184" spans="1:15">
      <c r="B184">
        <f t="shared" si="27"/>
        <v>10</v>
      </c>
      <c r="C184" s="736" t="s">
        <v>1981</v>
      </c>
      <c r="E184" s="167" t="s">
        <v>3161</v>
      </c>
      <c r="F184" s="167" t="s">
        <v>3161</v>
      </c>
      <c r="G184" s="167" t="s">
        <v>3161</v>
      </c>
      <c r="J184" s="553"/>
      <c r="K184" s="554"/>
      <c r="L184" s="554"/>
      <c r="M184" s="554"/>
      <c r="N184" s="734"/>
      <c r="O184" s="5"/>
    </row>
    <row r="185" spans="1:15">
      <c r="B185">
        <f t="shared" si="27"/>
        <v>10</v>
      </c>
      <c r="C185" s="737" t="s">
        <v>2076</v>
      </c>
      <c r="D185" s="565" t="s">
        <v>1972</v>
      </c>
      <c r="E185" s="167">
        <f>INDEX($I185:$O185,cbalSpecProg10Duration +1)</f>
        <v>0</v>
      </c>
      <c r="F185" s="167">
        <f>INDEX($I185:$O185,cbalSpecProg10Duration +1)</f>
        <v>0</v>
      </c>
      <c r="G185" s="167">
        <f>INDEX($I185:$O185,cbalSpecProg10Duration +1)</f>
        <v>0</v>
      </c>
      <c r="I185">
        <v>0</v>
      </c>
      <c r="J185" s="732">
        <v>0.03</v>
      </c>
      <c r="K185" s="385">
        <v>0.03</v>
      </c>
      <c r="L185" s="385">
        <v>0.03</v>
      </c>
      <c r="M185" s="385">
        <v>0.03</v>
      </c>
      <c r="N185" s="735" t="s">
        <v>2733</v>
      </c>
      <c r="O185" s="5">
        <v>4</v>
      </c>
    </row>
    <row r="186" spans="1:15">
      <c r="B186">
        <f t="shared" si="27"/>
        <v>10</v>
      </c>
      <c r="C186" s="736" t="s">
        <v>2779</v>
      </c>
      <c r="E186" s="167" t="s">
        <v>3161</v>
      </c>
      <c r="F186" s="167" t="s">
        <v>3161</v>
      </c>
      <c r="G186" s="167" t="s">
        <v>3161</v>
      </c>
      <c r="J186" s="553"/>
      <c r="K186" s="554"/>
      <c r="L186" s="554"/>
      <c r="M186" s="554"/>
      <c r="N186" s="734"/>
      <c r="O186" s="5"/>
    </row>
    <row r="187" spans="1:15">
      <c r="B187">
        <f t="shared" si="27"/>
        <v>10</v>
      </c>
      <c r="C187" s="670" t="s">
        <v>2743</v>
      </c>
      <c r="D187" s="565" t="s">
        <v>2744</v>
      </c>
      <c r="E187" s="167">
        <f>INDEX($I187:$O187,cbalSpecProg10Duration +1)</f>
        <v>0</v>
      </c>
      <c r="F187" s="167">
        <f>INDEX($I187:$O187,cbalSpecProg10Duration +1)</f>
        <v>0</v>
      </c>
      <c r="G187" s="167">
        <f>INDEX($I187:$O187,cbalSpecProg10Duration +1)</f>
        <v>0</v>
      </c>
      <c r="I187">
        <v>0</v>
      </c>
      <c r="J187" s="732">
        <v>0.01</v>
      </c>
      <c r="K187" s="385">
        <v>0.01</v>
      </c>
      <c r="L187" s="385">
        <v>0.01</v>
      </c>
      <c r="M187" s="385">
        <v>0.01</v>
      </c>
      <c r="N187" s="735" t="s">
        <v>182</v>
      </c>
      <c r="O187" s="5">
        <v>3</v>
      </c>
    </row>
    <row r="188" spans="1:15">
      <c r="D188" s="565"/>
      <c r="E188" s="167" t="s">
        <v>3161</v>
      </c>
      <c r="F188" s="167" t="s">
        <v>3161</v>
      </c>
      <c r="G188" s="167" t="s">
        <v>3161</v>
      </c>
      <c r="J188" s="553"/>
      <c r="K188" s="554"/>
      <c r="L188" s="554"/>
      <c r="M188" s="554"/>
      <c r="N188" s="554"/>
    </row>
    <row r="189" spans="1:15">
      <c r="B189">
        <v>11</v>
      </c>
      <c r="C189" s="3" t="s">
        <v>4456</v>
      </c>
      <c r="D189" t="s">
        <v>3552</v>
      </c>
      <c r="E189" s="167">
        <f>INDEX($I189:$O189,cbalSpecProg11Duration +1)</f>
        <v>0</v>
      </c>
      <c r="F189" s="167">
        <f>INDEX($I189:$O189,cbalSpecProg11Duration +1)</f>
        <v>0</v>
      </c>
      <c r="G189" s="167">
        <f>INDEX($I189:$O189,cbalSpecProg11Duration +1)</f>
        <v>0</v>
      </c>
      <c r="I189">
        <v>0</v>
      </c>
      <c r="J189" s="553"/>
      <c r="K189" s="554"/>
      <c r="L189" s="554"/>
      <c r="M189" s="554"/>
      <c r="N189" s="554"/>
    </row>
    <row r="190" spans="1:15">
      <c r="B190">
        <v>11</v>
      </c>
      <c r="C190" s="736" t="s">
        <v>2746</v>
      </c>
      <c r="E190" s="167" t="s">
        <v>3161</v>
      </c>
      <c r="F190" s="167" t="s">
        <v>3161</v>
      </c>
      <c r="G190" s="167" t="s">
        <v>3161</v>
      </c>
      <c r="J190" s="553"/>
      <c r="K190" s="554"/>
      <c r="L190" s="554"/>
      <c r="M190" s="554"/>
      <c r="N190" s="734"/>
      <c r="O190" s="5"/>
    </row>
    <row r="191" spans="1:15">
      <c r="A191" t="str">
        <f>"Costa"&amp; B191</f>
        <v>Costa11</v>
      </c>
      <c r="B191">
        <v>11</v>
      </c>
      <c r="C191" s="599" t="s">
        <v>2119</v>
      </c>
      <c r="D191" s="565" t="s">
        <v>3530</v>
      </c>
      <c r="E191" s="167">
        <f t="shared" ref="E191:G192" si="33">INDEX($I191:$O191,cbalSpecProg11Duration +1)</f>
        <v>0</v>
      </c>
      <c r="F191" s="167">
        <f t="shared" si="33"/>
        <v>0</v>
      </c>
      <c r="G191" s="167">
        <f t="shared" si="33"/>
        <v>0</v>
      </c>
      <c r="H191" t="str">
        <f>C191&amp;"Init"&amp;B191</f>
        <v>SP-4Init11</v>
      </c>
      <c r="I191">
        <v>0</v>
      </c>
      <c r="J191" s="727">
        <v>5000000</v>
      </c>
      <c r="K191" s="554"/>
      <c r="L191" s="554"/>
      <c r="M191" s="554"/>
      <c r="N191" s="735" t="s">
        <v>2733</v>
      </c>
      <c r="O191" s="5">
        <v>4</v>
      </c>
    </row>
    <row r="192" spans="1:15">
      <c r="A192" t="str">
        <f>"FTEa"&amp; B192</f>
        <v>FTEa11</v>
      </c>
      <c r="B192">
        <v>11</v>
      </c>
      <c r="C192" s="670" t="s">
        <v>3002</v>
      </c>
      <c r="D192" s="565" t="s">
        <v>3531</v>
      </c>
      <c r="E192" s="167">
        <f t="shared" si="33"/>
        <v>0</v>
      </c>
      <c r="F192" s="167">
        <f t="shared" si="33"/>
        <v>0</v>
      </c>
      <c r="G192" s="167">
        <f t="shared" si="33"/>
        <v>0</v>
      </c>
      <c r="H192" t="str">
        <f>C192&amp;"Init"&amp;B192</f>
        <v>SP-16Init11</v>
      </c>
      <c r="I192">
        <v>0</v>
      </c>
      <c r="J192" s="727">
        <v>8</v>
      </c>
      <c r="K192" s="554"/>
      <c r="L192" s="554"/>
      <c r="M192" s="554"/>
      <c r="N192" s="735" t="s">
        <v>2733</v>
      </c>
      <c r="O192" s="5">
        <v>4</v>
      </c>
    </row>
    <row r="193" spans="1:15">
      <c r="B193">
        <v>11</v>
      </c>
      <c r="C193" s="736" t="s">
        <v>2740</v>
      </c>
      <c r="D193" s="565"/>
      <c r="E193" s="167" t="s">
        <v>3161</v>
      </c>
      <c r="F193" s="167" t="s">
        <v>3161</v>
      </c>
      <c r="G193" s="167" t="s">
        <v>3161</v>
      </c>
      <c r="J193" s="553"/>
      <c r="K193" s="554"/>
      <c r="L193" s="554"/>
      <c r="M193" s="554"/>
      <c r="N193" s="554"/>
    </row>
    <row r="194" spans="1:15">
      <c r="B194">
        <v>11</v>
      </c>
      <c r="C194" s="670" t="s">
        <v>1389</v>
      </c>
      <c r="D194" s="565" t="s">
        <v>3543</v>
      </c>
      <c r="E194" s="167">
        <f>INDEX($I194:$O194,cbalSpecProg11Duration +1)</f>
        <v>0</v>
      </c>
      <c r="F194" s="167">
        <f>INDEX($I194:$O194,cbalSpecProg11Duration +1)</f>
        <v>0</v>
      </c>
      <c r="G194" s="167">
        <f>INDEX($I194:$O194,cbalSpecProg11Duration +1)</f>
        <v>0</v>
      </c>
      <c r="I194">
        <v>0</v>
      </c>
      <c r="J194" s="732">
        <v>-0.02</v>
      </c>
      <c r="K194" s="554"/>
      <c r="L194" s="554"/>
      <c r="M194" s="554"/>
      <c r="N194" s="735" t="s">
        <v>182</v>
      </c>
      <c r="O194" s="5">
        <v>3</v>
      </c>
    </row>
    <row r="195" spans="1:15">
      <c r="B195">
        <v>11</v>
      </c>
      <c r="C195" s="736" t="s">
        <v>714</v>
      </c>
      <c r="E195" s="167" t="s">
        <v>3161</v>
      </c>
      <c r="F195" s="167" t="s">
        <v>3161</v>
      </c>
      <c r="G195" s="167" t="s">
        <v>3161</v>
      </c>
      <c r="J195" s="553"/>
      <c r="K195" s="554"/>
      <c r="L195" s="554"/>
      <c r="M195" s="554"/>
      <c r="N195" s="734"/>
      <c r="O195" s="5"/>
    </row>
    <row r="196" spans="1:15">
      <c r="B196">
        <v>11</v>
      </c>
      <c r="C196" s="670" t="s">
        <v>2125</v>
      </c>
      <c r="D196" s="565" t="s">
        <v>3524</v>
      </c>
      <c r="E196" s="167">
        <f>INDEX($I196:$O196,cbalSpecProg11Duration +1)</f>
        <v>0</v>
      </c>
      <c r="F196" s="167">
        <f>INDEX($I196:$O196,cbalSpecProg11Duration +1)</f>
        <v>0</v>
      </c>
      <c r="G196" s="167">
        <f>INDEX($I196:$O196,cbalSpecProg11Duration +1)</f>
        <v>0</v>
      </c>
      <c r="I196">
        <v>0</v>
      </c>
      <c r="J196" s="732">
        <v>0.03</v>
      </c>
      <c r="K196" s="385">
        <v>0.03</v>
      </c>
      <c r="L196" s="385">
        <v>0.03</v>
      </c>
      <c r="M196" s="385">
        <v>0.03</v>
      </c>
      <c r="N196" s="735" t="s">
        <v>2733</v>
      </c>
      <c r="O196" s="5">
        <v>4</v>
      </c>
    </row>
    <row r="197" spans="1:15">
      <c r="B197">
        <v>11</v>
      </c>
      <c r="C197" s="736" t="s">
        <v>450</v>
      </c>
      <c r="E197" s="167" t="s">
        <v>3161</v>
      </c>
      <c r="F197" s="167" t="s">
        <v>3161</v>
      </c>
      <c r="G197" s="167" t="s">
        <v>3161</v>
      </c>
      <c r="J197" s="553"/>
      <c r="K197" s="554"/>
      <c r="L197" s="554"/>
      <c r="M197" s="554"/>
      <c r="N197" s="734"/>
      <c r="O197" s="5"/>
    </row>
    <row r="198" spans="1:15">
      <c r="B198">
        <v>11</v>
      </c>
      <c r="C198" s="670" t="s">
        <v>2131</v>
      </c>
      <c r="D198" s="565" t="s">
        <v>1044</v>
      </c>
      <c r="E198" s="167">
        <f>INDEX($I198:$O198,cbalSpecProg11Duration +1)</f>
        <v>0</v>
      </c>
      <c r="F198" s="167">
        <f>INDEX($I198:$O198,cbalSpecProg11Duration +1)</f>
        <v>0</v>
      </c>
      <c r="G198" s="167">
        <f>INDEX($I198:$O198,cbalSpecProg11Duration +1)</f>
        <v>0</v>
      </c>
      <c r="I198">
        <v>0</v>
      </c>
      <c r="J198" s="732">
        <v>0.02</v>
      </c>
      <c r="K198" s="385"/>
      <c r="L198" s="385"/>
      <c r="M198" s="385"/>
      <c r="N198" s="735" t="s">
        <v>180</v>
      </c>
      <c r="O198" s="5">
        <v>5</v>
      </c>
    </row>
    <row r="199" spans="1:15">
      <c r="B199">
        <v>11</v>
      </c>
      <c r="C199" s="736" t="s">
        <v>1981</v>
      </c>
      <c r="E199" s="167" t="s">
        <v>3161</v>
      </c>
      <c r="F199" s="167" t="s">
        <v>3161</v>
      </c>
      <c r="G199" s="167" t="s">
        <v>3161</v>
      </c>
      <c r="J199" s="553"/>
      <c r="K199" s="554"/>
      <c r="L199" s="554"/>
      <c r="M199" s="554"/>
      <c r="N199" s="734"/>
      <c r="O199" s="5"/>
    </row>
    <row r="200" spans="1:15">
      <c r="B200">
        <v>11</v>
      </c>
      <c r="C200" s="737" t="s">
        <v>2076</v>
      </c>
      <c r="D200" s="565" t="s">
        <v>1972</v>
      </c>
      <c r="E200" s="167">
        <f>INDEX($I200:$O200,cbalSpecProg11Duration +1)</f>
        <v>0</v>
      </c>
      <c r="F200" s="167">
        <f>INDEX($I200:$O200,cbalSpecProg11Duration +1)</f>
        <v>0</v>
      </c>
      <c r="G200" s="167">
        <f>INDEX($I200:$O200,cbalSpecProg11Duration +1)</f>
        <v>0</v>
      </c>
      <c r="I200">
        <v>0</v>
      </c>
      <c r="J200" s="732">
        <v>0.01</v>
      </c>
      <c r="K200" s="385">
        <v>0.01</v>
      </c>
      <c r="L200" s="385">
        <v>0.01</v>
      </c>
      <c r="M200" s="385">
        <v>0.01</v>
      </c>
      <c r="N200" s="735" t="s">
        <v>182</v>
      </c>
      <c r="O200" s="5">
        <v>3</v>
      </c>
    </row>
    <row r="201" spans="1:15">
      <c r="B201">
        <v>11</v>
      </c>
      <c r="C201" s="736" t="s">
        <v>2779</v>
      </c>
      <c r="E201" s="167" t="s">
        <v>3161</v>
      </c>
      <c r="F201" s="167" t="s">
        <v>3161</v>
      </c>
      <c r="G201" s="167" t="s">
        <v>3161</v>
      </c>
      <c r="J201" s="553"/>
      <c r="K201" s="554"/>
      <c r="L201" s="554"/>
      <c r="M201" s="554"/>
      <c r="N201" s="734"/>
      <c r="O201" s="5"/>
    </row>
    <row r="202" spans="1:15">
      <c r="B202">
        <v>11</v>
      </c>
      <c r="C202" s="670" t="s">
        <v>2743</v>
      </c>
      <c r="D202" s="565" t="s">
        <v>2744</v>
      </c>
      <c r="E202" s="167">
        <f>INDEX($I202:$O202,cbalSpecProg11Duration +1)</f>
        <v>0</v>
      </c>
      <c r="F202" s="167">
        <f>INDEX($I202:$O202,cbalSpecProg11Duration +1)</f>
        <v>0</v>
      </c>
      <c r="G202" s="167">
        <f>INDEX($I202:$O202,cbalSpecProg11Duration +1)</f>
        <v>0</v>
      </c>
      <c r="I202">
        <v>0</v>
      </c>
      <c r="J202" s="732">
        <v>0.01</v>
      </c>
      <c r="K202" s="385">
        <v>0.01</v>
      </c>
      <c r="L202" s="385">
        <v>0.01</v>
      </c>
      <c r="M202" s="385">
        <v>0.01</v>
      </c>
      <c r="N202" s="735" t="s">
        <v>182</v>
      </c>
      <c r="O202" s="5">
        <v>3</v>
      </c>
    </row>
    <row r="203" spans="1:15">
      <c r="C203" s="599"/>
      <c r="D203" s="565"/>
      <c r="E203" s="167" t="s">
        <v>3161</v>
      </c>
      <c r="F203" s="167" t="s">
        <v>3161</v>
      </c>
      <c r="G203" s="167" t="s">
        <v>3161</v>
      </c>
      <c r="J203" s="553"/>
      <c r="K203" s="554"/>
      <c r="L203" s="554"/>
      <c r="M203" s="554"/>
      <c r="N203" s="554"/>
    </row>
    <row r="204" spans="1:15">
      <c r="B204">
        <v>12</v>
      </c>
      <c r="C204" s="752" t="s">
        <v>2564</v>
      </c>
      <c r="D204" t="s">
        <v>3553</v>
      </c>
      <c r="E204" s="167">
        <f>INDEX($I204:$O204,cbalSpecProg12Duration +1)</f>
        <v>0</v>
      </c>
      <c r="F204" s="167">
        <f>INDEX($I204:$O204,cbalSpecProg12Duration +1)</f>
        <v>0</v>
      </c>
      <c r="G204" s="167">
        <f>INDEX($I204:$O204,cbalSpecProg12Duration +1)</f>
        <v>0</v>
      </c>
      <c r="I204">
        <v>0</v>
      </c>
      <c r="J204" s="553"/>
      <c r="K204" s="554"/>
      <c r="L204" s="554"/>
      <c r="M204" s="554"/>
      <c r="N204" s="554"/>
    </row>
    <row r="205" spans="1:15">
      <c r="B205">
        <v>12</v>
      </c>
      <c r="C205" s="736" t="s">
        <v>2780</v>
      </c>
      <c r="E205" s="167" t="s">
        <v>3161</v>
      </c>
      <c r="F205" s="167" t="s">
        <v>3161</v>
      </c>
      <c r="G205" s="167" t="s">
        <v>3161</v>
      </c>
      <c r="J205" s="553"/>
      <c r="K205" s="554"/>
      <c r="L205" s="554"/>
      <c r="M205" s="554"/>
      <c r="N205" s="734"/>
      <c r="O205" s="5"/>
    </row>
    <row r="206" spans="1:15">
      <c r="A206" t="str">
        <f>"FTEa"&amp; B206</f>
        <v>FTEa12</v>
      </c>
      <c r="B206">
        <v>12</v>
      </c>
      <c r="C206" s="670" t="s">
        <v>2117</v>
      </c>
      <c r="D206" s="565" t="s">
        <v>762</v>
      </c>
      <c r="E206" s="167">
        <f>INDEX($I206:$O206,cbalSpecProg12Duration +1)</f>
        <v>0</v>
      </c>
      <c r="F206" s="167">
        <f>INDEX($I206:$O206,cbalSpecProg12Duration +1)</f>
        <v>0</v>
      </c>
      <c r="G206" s="167">
        <f>INDEX($I206:$O206,cbalSpecProg12Duration +1)</f>
        <v>0</v>
      </c>
      <c r="H206" t="str">
        <f>C206&amp;"Init"&amp;B206</f>
        <v>SP-2Init12</v>
      </c>
      <c r="I206">
        <v>0</v>
      </c>
      <c r="J206" s="751">
        <v>124</v>
      </c>
      <c r="K206" s="554"/>
      <c r="L206" s="554"/>
      <c r="M206" s="554"/>
      <c r="N206" s="735" t="s">
        <v>180</v>
      </c>
      <c r="O206" s="5">
        <v>5</v>
      </c>
    </row>
    <row r="207" spans="1:15">
      <c r="B207">
        <v>12</v>
      </c>
      <c r="C207" s="736" t="s">
        <v>447</v>
      </c>
      <c r="E207" s="167" t="s">
        <v>3161</v>
      </c>
      <c r="F207" s="167" t="s">
        <v>3161</v>
      </c>
      <c r="G207" s="167" t="s">
        <v>3161</v>
      </c>
      <c r="J207" s="553"/>
      <c r="K207" s="554"/>
      <c r="L207" s="554"/>
      <c r="M207" s="554"/>
      <c r="N207" s="734"/>
      <c r="O207" s="5"/>
    </row>
    <row r="208" spans="1:15">
      <c r="B208">
        <v>12</v>
      </c>
      <c r="C208" s="670" t="s">
        <v>2132</v>
      </c>
      <c r="D208" s="565" t="s">
        <v>44</v>
      </c>
      <c r="E208" s="167">
        <f>INDEX($I208:$O208,cbalSpecProg12Duration +1)</f>
        <v>0</v>
      </c>
      <c r="F208" s="167">
        <f>INDEX($I208:$O208,cbalSpecProg12Duration +1)</f>
        <v>0</v>
      </c>
      <c r="G208" s="167">
        <f>INDEX($I208:$O208,cbalSpecProg12Duration +1)</f>
        <v>0</v>
      </c>
      <c r="I208">
        <v>0</v>
      </c>
      <c r="J208" s="732">
        <v>-5.0000000000000001E-3</v>
      </c>
      <c r="K208" s="385"/>
      <c r="L208" s="385"/>
      <c r="M208" s="385"/>
      <c r="N208" s="735" t="s">
        <v>182</v>
      </c>
      <c r="O208" s="5">
        <v>3</v>
      </c>
    </row>
    <row r="209" spans="1:15">
      <c r="B209">
        <v>12</v>
      </c>
      <c r="C209" s="736" t="s">
        <v>2747</v>
      </c>
      <c r="E209" s="167" t="s">
        <v>3161</v>
      </c>
      <c r="F209" s="167" t="s">
        <v>3161</v>
      </c>
      <c r="G209" s="167" t="s">
        <v>3161</v>
      </c>
      <c r="J209" s="553"/>
      <c r="K209" s="554"/>
      <c r="L209" s="554"/>
      <c r="M209" s="554"/>
      <c r="N209" s="734"/>
      <c r="O209" s="5"/>
    </row>
    <row r="210" spans="1:15">
      <c r="B210">
        <v>12</v>
      </c>
      <c r="C210" s="670" t="s">
        <v>1517</v>
      </c>
      <c r="D210" s="565" t="s">
        <v>3533</v>
      </c>
      <c r="E210" s="167">
        <f t="shared" ref="E210:G215" si="34">INDEX($I210:$O210,cbalSpecProg12Duration +1)</f>
        <v>0</v>
      </c>
      <c r="F210" s="167">
        <f t="shared" si="34"/>
        <v>0</v>
      </c>
      <c r="G210" s="167">
        <f t="shared" si="34"/>
        <v>0</v>
      </c>
      <c r="I210">
        <v>0</v>
      </c>
      <c r="J210" s="732">
        <v>-0.04</v>
      </c>
      <c r="K210" s="385">
        <v>-0.04</v>
      </c>
      <c r="L210" s="385">
        <v>-0.04</v>
      </c>
      <c r="M210" s="385">
        <v>-0.04</v>
      </c>
      <c r="N210" s="735" t="s">
        <v>2733</v>
      </c>
      <c r="O210" s="5">
        <v>4</v>
      </c>
    </row>
    <row r="211" spans="1:15">
      <c r="B211">
        <v>12</v>
      </c>
      <c r="C211" s="670" t="s">
        <v>2065</v>
      </c>
      <c r="D211" s="565" t="s">
        <v>3534</v>
      </c>
      <c r="E211" s="167">
        <f t="shared" si="34"/>
        <v>0</v>
      </c>
      <c r="F211" s="167">
        <f t="shared" si="34"/>
        <v>0</v>
      </c>
      <c r="G211" s="167">
        <f t="shared" si="34"/>
        <v>0</v>
      </c>
      <c r="I211">
        <v>0</v>
      </c>
      <c r="J211" s="732">
        <v>-0.04</v>
      </c>
      <c r="K211" s="385">
        <v>-0.04</v>
      </c>
      <c r="L211" s="385">
        <v>-0.04</v>
      </c>
      <c r="M211" s="385">
        <v>-0.04</v>
      </c>
      <c r="N211" s="735" t="s">
        <v>2733</v>
      </c>
      <c r="O211" s="5">
        <v>4</v>
      </c>
    </row>
    <row r="212" spans="1:15">
      <c r="B212">
        <v>12</v>
      </c>
      <c r="C212" s="670" t="s">
        <v>1519</v>
      </c>
      <c r="D212" s="565" t="s">
        <v>3535</v>
      </c>
      <c r="E212" s="167">
        <f t="shared" si="34"/>
        <v>0</v>
      </c>
      <c r="F212" s="167">
        <f t="shared" si="34"/>
        <v>0</v>
      </c>
      <c r="G212" s="167">
        <f t="shared" si="34"/>
        <v>0</v>
      </c>
      <c r="I212">
        <v>0</v>
      </c>
      <c r="J212" s="732">
        <v>-0.04</v>
      </c>
      <c r="K212" s="385">
        <v>-0.04</v>
      </c>
      <c r="L212" s="385">
        <v>-0.04</v>
      </c>
      <c r="M212" s="385">
        <v>-0.04</v>
      </c>
      <c r="N212" s="735" t="s">
        <v>2733</v>
      </c>
      <c r="O212" s="5">
        <v>4</v>
      </c>
    </row>
    <row r="213" spans="1:15">
      <c r="B213">
        <v>12</v>
      </c>
      <c r="C213" s="670" t="s">
        <v>2067</v>
      </c>
      <c r="D213" s="565" t="s">
        <v>3536</v>
      </c>
      <c r="E213" s="167">
        <f t="shared" si="34"/>
        <v>0</v>
      </c>
      <c r="F213" s="167">
        <f t="shared" si="34"/>
        <v>0</v>
      </c>
      <c r="G213" s="167">
        <f t="shared" si="34"/>
        <v>0</v>
      </c>
      <c r="I213">
        <v>0</v>
      </c>
      <c r="J213" s="732">
        <v>-0.04</v>
      </c>
      <c r="K213" s="385">
        <v>-0.04</v>
      </c>
      <c r="L213" s="385">
        <v>-0.04</v>
      </c>
      <c r="M213" s="385">
        <v>-0.04</v>
      </c>
      <c r="N213" s="735" t="s">
        <v>2733</v>
      </c>
      <c r="O213" s="5">
        <v>4</v>
      </c>
    </row>
    <row r="214" spans="1:15">
      <c r="B214">
        <v>12</v>
      </c>
      <c r="C214" s="670" t="s">
        <v>1475</v>
      </c>
      <c r="D214" s="565" t="s">
        <v>1493</v>
      </c>
      <c r="E214" s="167">
        <f t="shared" si="34"/>
        <v>0</v>
      </c>
      <c r="F214" s="167">
        <f t="shared" si="34"/>
        <v>0</v>
      </c>
      <c r="G214" s="167">
        <f t="shared" si="34"/>
        <v>0</v>
      </c>
      <c r="I214">
        <v>0</v>
      </c>
      <c r="J214" s="732">
        <v>-0.04</v>
      </c>
      <c r="K214" s="385">
        <v>-0.04</v>
      </c>
      <c r="L214" s="385">
        <v>-0.04</v>
      </c>
      <c r="M214" s="385">
        <v>-0.04</v>
      </c>
      <c r="N214" s="735" t="s">
        <v>2733</v>
      </c>
      <c r="O214" s="5">
        <v>4</v>
      </c>
    </row>
    <row r="215" spans="1:15">
      <c r="B215">
        <v>12</v>
      </c>
      <c r="C215" s="670" t="s">
        <v>1495</v>
      </c>
      <c r="D215" s="565" t="s">
        <v>1496</v>
      </c>
      <c r="E215" s="167">
        <f t="shared" si="34"/>
        <v>0</v>
      </c>
      <c r="F215" s="167">
        <f t="shared" si="34"/>
        <v>0</v>
      </c>
      <c r="G215" s="167">
        <f t="shared" si="34"/>
        <v>0</v>
      </c>
      <c r="I215">
        <v>0</v>
      </c>
      <c r="J215" s="732">
        <v>-0.04</v>
      </c>
      <c r="K215" s="385">
        <v>-0.04</v>
      </c>
      <c r="L215" s="385">
        <v>-0.04</v>
      </c>
      <c r="M215" s="385">
        <v>-0.04</v>
      </c>
      <c r="N215" s="735" t="s">
        <v>2733</v>
      </c>
      <c r="O215" s="5">
        <v>4</v>
      </c>
    </row>
    <row r="216" spans="1:15">
      <c r="B216">
        <v>12</v>
      </c>
      <c r="C216" s="736" t="s">
        <v>1428</v>
      </c>
      <c r="E216" s="167" t="s">
        <v>3161</v>
      </c>
      <c r="F216" s="167" t="s">
        <v>3161</v>
      </c>
      <c r="G216" s="167" t="s">
        <v>3161</v>
      </c>
      <c r="J216" s="553"/>
      <c r="K216" s="554"/>
      <c r="L216" s="554"/>
      <c r="M216" s="554"/>
      <c r="N216" s="734"/>
      <c r="O216" s="5"/>
    </row>
    <row r="217" spans="1:15">
      <c r="B217">
        <v>12</v>
      </c>
      <c r="C217" s="670" t="s">
        <v>2801</v>
      </c>
      <c r="D217" s="565" t="s">
        <v>3554</v>
      </c>
      <c r="E217" s="167">
        <f>INDEX($I217:$O217,cbalSpecProg12Duration +1)</f>
        <v>0</v>
      </c>
      <c r="F217" s="167">
        <f>INDEX($I217:$O217,cbalSpecProg12Duration +1)</f>
        <v>0</v>
      </c>
      <c r="G217" s="167">
        <f>INDEX($I217:$O217,cbalSpecProg12Duration +1)</f>
        <v>0</v>
      </c>
      <c r="I217">
        <v>0</v>
      </c>
      <c r="J217" s="781">
        <v>1</v>
      </c>
      <c r="K217" s="781">
        <v>1</v>
      </c>
      <c r="L217" s="781">
        <v>1</v>
      </c>
      <c r="M217" s="781">
        <v>1</v>
      </c>
      <c r="N217" s="734"/>
    </row>
    <row r="218" spans="1:15">
      <c r="B218">
        <v>12</v>
      </c>
      <c r="C218" s="736" t="s">
        <v>450</v>
      </c>
      <c r="E218" s="167" t="s">
        <v>3161</v>
      </c>
      <c r="F218" s="167" t="s">
        <v>3161</v>
      </c>
      <c r="G218" s="167" t="s">
        <v>3161</v>
      </c>
      <c r="J218" s="553"/>
      <c r="K218" s="554"/>
      <c r="L218" s="554"/>
      <c r="M218" s="554"/>
      <c r="N218" s="734"/>
      <c r="O218" s="5"/>
    </row>
    <row r="219" spans="1:15">
      <c r="B219">
        <v>12</v>
      </c>
      <c r="C219" s="670" t="s">
        <v>2131</v>
      </c>
      <c r="D219" s="565" t="s">
        <v>1044</v>
      </c>
      <c r="E219" s="167">
        <f>INDEX($I219:$O219,cbalSpecProg12Duration +1)</f>
        <v>0</v>
      </c>
      <c r="F219" s="167">
        <f>INDEX($I219:$O219,cbalSpecProg12Duration +1)</f>
        <v>0</v>
      </c>
      <c r="G219" s="167">
        <f>INDEX($I219:$O219,cbalSpecProg12Duration +1)</f>
        <v>0</v>
      </c>
      <c r="I219">
        <v>0</v>
      </c>
      <c r="J219" s="732">
        <v>-1.4999999999999999E-2</v>
      </c>
      <c r="K219" s="385">
        <v>1.4999999999999999E-2</v>
      </c>
      <c r="L219" s="385">
        <v>0</v>
      </c>
      <c r="M219" s="385">
        <v>0</v>
      </c>
      <c r="N219" s="735"/>
      <c r="O219" s="5"/>
    </row>
    <row r="220" spans="1:15">
      <c r="D220" s="565"/>
      <c r="E220" s="167" t="s">
        <v>3161</v>
      </c>
      <c r="F220" s="167" t="s">
        <v>3161</v>
      </c>
      <c r="G220" s="167" t="s">
        <v>3161</v>
      </c>
      <c r="J220" s="553"/>
      <c r="K220" s="554"/>
      <c r="L220" s="554"/>
      <c r="M220" s="554"/>
      <c r="N220" s="554"/>
    </row>
    <row r="221" spans="1:15">
      <c r="B221">
        <v>13</v>
      </c>
      <c r="C221" s="3" t="s">
        <v>2565</v>
      </c>
      <c r="D221" t="s">
        <v>3555</v>
      </c>
      <c r="E221" s="167">
        <f>INDEX($I221:$O221,cbalSpecProg13Duration +1)</f>
        <v>0</v>
      </c>
      <c r="F221" s="167">
        <f>INDEX($I221:$O221,cbalSpecProg13Duration +1)</f>
        <v>0</v>
      </c>
      <c r="G221" s="167">
        <f>INDEX($I221:$O221,cbalSpecProg13Duration +1)</f>
        <v>0</v>
      </c>
      <c r="I221">
        <v>0</v>
      </c>
      <c r="J221" s="553"/>
      <c r="K221" s="554"/>
      <c r="L221" s="554"/>
      <c r="M221" s="554"/>
      <c r="N221" s="554"/>
    </row>
    <row r="222" spans="1:15">
      <c r="B222">
        <v>13</v>
      </c>
      <c r="C222" s="736" t="s">
        <v>2781</v>
      </c>
      <c r="E222" s="167" t="s">
        <v>3161</v>
      </c>
      <c r="F222" s="167" t="s">
        <v>3161</v>
      </c>
      <c r="G222" s="167" t="s">
        <v>3161</v>
      </c>
      <c r="J222" s="553"/>
      <c r="K222" s="554"/>
      <c r="L222" s="554"/>
      <c r="M222" s="554"/>
      <c r="N222" s="734"/>
      <c r="O222" s="5"/>
    </row>
    <row r="223" spans="1:15">
      <c r="A223" t="str">
        <f>"FTEa"&amp; B223</f>
        <v>FTEa13</v>
      </c>
      <c r="B223">
        <v>13</v>
      </c>
      <c r="C223" s="670" t="s">
        <v>3002</v>
      </c>
      <c r="D223" s="565" t="s">
        <v>3531</v>
      </c>
      <c r="E223" s="167">
        <f t="shared" ref="E223:G224" si="35">INDEX($I223:$O223,cbalSpecProg13Duration +1)</f>
        <v>0</v>
      </c>
      <c r="F223" s="167">
        <f t="shared" si="35"/>
        <v>0</v>
      </c>
      <c r="G223" s="167">
        <f t="shared" si="35"/>
        <v>0</v>
      </c>
      <c r="H223" t="str">
        <f>C223&amp;"Init"&amp;B223</f>
        <v>SP-16Init13</v>
      </c>
      <c r="I223">
        <v>0</v>
      </c>
      <c r="J223" s="727">
        <v>5</v>
      </c>
      <c r="K223" s="554"/>
      <c r="L223" s="554"/>
      <c r="M223" s="554"/>
      <c r="N223" s="735" t="s">
        <v>182</v>
      </c>
      <c r="O223" s="5">
        <v>3</v>
      </c>
    </row>
    <row r="224" spans="1:15">
      <c r="A224" t="str">
        <f>"FTEb"&amp; B224</f>
        <v>FTEb13</v>
      </c>
      <c r="B224">
        <v>13</v>
      </c>
      <c r="C224" s="670" t="s">
        <v>3003</v>
      </c>
      <c r="D224" s="565" t="s">
        <v>3528</v>
      </c>
      <c r="E224" s="167">
        <f t="shared" si="35"/>
        <v>0</v>
      </c>
      <c r="F224" s="167">
        <f t="shared" si="35"/>
        <v>0</v>
      </c>
      <c r="G224" s="167">
        <f t="shared" si="35"/>
        <v>0</v>
      </c>
      <c r="H224" t="str">
        <f>C224&amp;"Init"&amp;B224</f>
        <v>SP-17Init13</v>
      </c>
      <c r="I224">
        <v>0</v>
      </c>
      <c r="J224" s="727">
        <v>5</v>
      </c>
      <c r="K224" s="554"/>
      <c r="L224" s="554"/>
      <c r="M224" s="554"/>
      <c r="N224" s="735" t="s">
        <v>182</v>
      </c>
      <c r="O224" s="5">
        <v>3</v>
      </c>
    </row>
    <row r="225" spans="2:15">
      <c r="B225">
        <v>13</v>
      </c>
      <c r="C225" s="736" t="s">
        <v>447</v>
      </c>
      <c r="E225" s="167" t="s">
        <v>3161</v>
      </c>
      <c r="F225" s="167" t="s">
        <v>3161</v>
      </c>
      <c r="G225" s="167" t="s">
        <v>3161</v>
      </c>
      <c r="J225" s="553"/>
      <c r="K225" s="554"/>
      <c r="L225" s="554"/>
      <c r="M225" s="554"/>
      <c r="N225" s="734"/>
      <c r="O225" s="5"/>
    </row>
    <row r="226" spans="2:15">
      <c r="B226">
        <v>13</v>
      </c>
      <c r="C226" s="670" t="s">
        <v>2132</v>
      </c>
      <c r="D226" s="565" t="s">
        <v>44</v>
      </c>
      <c r="E226" s="167">
        <f>INDEX($I226:$O226,cbalSpecProg13Duration +1)</f>
        <v>0</v>
      </c>
      <c r="F226" s="167">
        <f>INDEX($I226:$O226,cbalSpecProg13Duration +1)</f>
        <v>0</v>
      </c>
      <c r="G226" s="167">
        <f>INDEX($I226:$O226,cbalSpecProg13Duration +1)</f>
        <v>0</v>
      </c>
      <c r="I226">
        <v>0</v>
      </c>
      <c r="J226" s="732">
        <v>5.0000000000000001E-3</v>
      </c>
      <c r="K226" s="385"/>
      <c r="L226" s="385"/>
      <c r="M226" s="385"/>
      <c r="N226" s="735" t="s">
        <v>182</v>
      </c>
      <c r="O226" s="5">
        <v>3</v>
      </c>
    </row>
    <row r="227" spans="2:15">
      <c r="B227">
        <v>13</v>
      </c>
      <c r="C227" s="736" t="s">
        <v>2747</v>
      </c>
      <c r="E227" s="167" t="s">
        <v>3161</v>
      </c>
      <c r="F227" s="167" t="s">
        <v>3161</v>
      </c>
      <c r="G227" s="167" t="s">
        <v>3161</v>
      </c>
      <c r="J227" s="553"/>
      <c r="K227" s="554"/>
      <c r="L227" s="554"/>
      <c r="M227" s="554"/>
      <c r="N227" s="734"/>
      <c r="O227" s="5"/>
    </row>
    <row r="228" spans="2:15">
      <c r="B228">
        <v>13</v>
      </c>
      <c r="C228" s="670" t="s">
        <v>1517</v>
      </c>
      <c r="D228" s="565" t="s">
        <v>3533</v>
      </c>
      <c r="E228" s="167">
        <f t="shared" ref="E228:G233" si="36">INDEX($I228:$O228,cbalSpecProg13Duration +1)</f>
        <v>0</v>
      </c>
      <c r="F228" s="167">
        <f t="shared" si="36"/>
        <v>0</v>
      </c>
      <c r="G228" s="167">
        <f t="shared" si="36"/>
        <v>0</v>
      </c>
      <c r="I228">
        <v>0</v>
      </c>
      <c r="J228" s="732">
        <v>-0.02</v>
      </c>
      <c r="K228" s="385">
        <v>-0.02</v>
      </c>
      <c r="L228" s="385">
        <v>-0.02</v>
      </c>
      <c r="M228" s="385">
        <v>-0.02</v>
      </c>
      <c r="N228" s="735" t="s">
        <v>182</v>
      </c>
      <c r="O228" s="5">
        <v>3</v>
      </c>
    </row>
    <row r="229" spans="2:15">
      <c r="B229">
        <v>13</v>
      </c>
      <c r="C229" s="670" t="s">
        <v>2065</v>
      </c>
      <c r="D229" s="565" t="s">
        <v>3534</v>
      </c>
      <c r="E229" s="167">
        <f t="shared" si="36"/>
        <v>0</v>
      </c>
      <c r="F229" s="167">
        <f t="shared" si="36"/>
        <v>0</v>
      </c>
      <c r="G229" s="167">
        <f t="shared" si="36"/>
        <v>0</v>
      </c>
      <c r="I229">
        <v>0</v>
      </c>
      <c r="J229" s="732">
        <v>-0.02</v>
      </c>
      <c r="K229" s="385">
        <v>-0.02</v>
      </c>
      <c r="L229" s="385">
        <v>-0.02</v>
      </c>
      <c r="M229" s="385">
        <v>-0.02</v>
      </c>
      <c r="N229" s="735" t="s">
        <v>182</v>
      </c>
      <c r="O229" s="5">
        <v>3</v>
      </c>
    </row>
    <row r="230" spans="2:15">
      <c r="B230">
        <v>13</v>
      </c>
      <c r="C230" s="670" t="s">
        <v>1519</v>
      </c>
      <c r="D230" s="565" t="s">
        <v>3535</v>
      </c>
      <c r="E230" s="167">
        <f t="shared" si="36"/>
        <v>0</v>
      </c>
      <c r="F230" s="167">
        <f t="shared" si="36"/>
        <v>0</v>
      </c>
      <c r="G230" s="167">
        <f t="shared" si="36"/>
        <v>0</v>
      </c>
      <c r="I230">
        <v>0</v>
      </c>
      <c r="J230" s="732">
        <v>-0.02</v>
      </c>
      <c r="K230" s="385">
        <v>-0.02</v>
      </c>
      <c r="L230" s="385">
        <v>-0.02</v>
      </c>
      <c r="M230" s="385">
        <v>-0.02</v>
      </c>
      <c r="N230" s="735" t="s">
        <v>182</v>
      </c>
      <c r="O230" s="5">
        <v>3</v>
      </c>
    </row>
    <row r="231" spans="2:15">
      <c r="B231">
        <v>13</v>
      </c>
      <c r="C231" s="670" t="s">
        <v>2067</v>
      </c>
      <c r="D231" s="565" t="s">
        <v>3536</v>
      </c>
      <c r="E231" s="167">
        <f t="shared" si="36"/>
        <v>0</v>
      </c>
      <c r="F231" s="167">
        <f t="shared" si="36"/>
        <v>0</v>
      </c>
      <c r="G231" s="167">
        <f t="shared" si="36"/>
        <v>0</v>
      </c>
      <c r="I231">
        <v>0</v>
      </c>
      <c r="J231" s="732">
        <v>-0.02</v>
      </c>
      <c r="K231" s="385">
        <v>-0.02</v>
      </c>
      <c r="L231" s="385">
        <v>-0.02</v>
      </c>
      <c r="M231" s="385">
        <v>-0.02</v>
      </c>
      <c r="N231" s="735" t="s">
        <v>182</v>
      </c>
      <c r="O231" s="5">
        <v>3</v>
      </c>
    </row>
    <row r="232" spans="2:15">
      <c r="B232">
        <v>13</v>
      </c>
      <c r="C232" s="670" t="s">
        <v>1475</v>
      </c>
      <c r="D232" s="565" t="s">
        <v>1493</v>
      </c>
      <c r="E232" s="167">
        <f t="shared" si="36"/>
        <v>0</v>
      </c>
      <c r="F232" s="167">
        <f t="shared" si="36"/>
        <v>0</v>
      </c>
      <c r="G232" s="167">
        <f t="shared" si="36"/>
        <v>0</v>
      </c>
      <c r="I232">
        <v>0</v>
      </c>
      <c r="J232" s="732">
        <v>-0.02</v>
      </c>
      <c r="K232" s="385">
        <v>-0.02</v>
      </c>
      <c r="L232" s="385">
        <v>-0.02</v>
      </c>
      <c r="M232" s="385">
        <v>-0.02</v>
      </c>
      <c r="N232" s="735" t="s">
        <v>182</v>
      </c>
      <c r="O232" s="5">
        <v>3</v>
      </c>
    </row>
    <row r="233" spans="2:15">
      <c r="B233">
        <v>13</v>
      </c>
      <c r="C233" s="670" t="s">
        <v>1495</v>
      </c>
      <c r="D233" s="565" t="s">
        <v>1496</v>
      </c>
      <c r="E233" s="167">
        <f t="shared" si="36"/>
        <v>0</v>
      </c>
      <c r="F233" s="167">
        <f t="shared" si="36"/>
        <v>0</v>
      </c>
      <c r="G233" s="167">
        <f t="shared" si="36"/>
        <v>0</v>
      </c>
      <c r="I233">
        <v>0</v>
      </c>
      <c r="J233" s="732">
        <v>-0.02</v>
      </c>
      <c r="K233" s="385">
        <v>-0.02</v>
      </c>
      <c r="L233" s="385">
        <v>-0.02</v>
      </c>
      <c r="M233" s="385">
        <v>-0.02</v>
      </c>
      <c r="N233" s="735" t="s">
        <v>182</v>
      </c>
      <c r="O233" s="5">
        <v>3</v>
      </c>
    </row>
    <row r="234" spans="2:15">
      <c r="B234">
        <v>13</v>
      </c>
      <c r="C234" s="736" t="s">
        <v>1981</v>
      </c>
      <c r="E234" s="167" t="s">
        <v>3161</v>
      </c>
      <c r="F234" s="167" t="s">
        <v>3161</v>
      </c>
      <c r="G234" s="167" t="s">
        <v>3161</v>
      </c>
      <c r="J234" s="553"/>
      <c r="K234" s="554"/>
      <c r="L234" s="554"/>
      <c r="M234" s="554"/>
      <c r="N234" s="734"/>
      <c r="O234" s="5"/>
    </row>
    <row r="235" spans="2:15">
      <c r="B235">
        <v>13</v>
      </c>
      <c r="C235" s="737" t="s">
        <v>2076</v>
      </c>
      <c r="D235" s="565" t="s">
        <v>1972</v>
      </c>
      <c r="E235" s="167">
        <f>INDEX($I235:$O235,cbalSpecProg13Duration +1)</f>
        <v>0</v>
      </c>
      <c r="F235" s="167">
        <f>INDEX($I235:$O235,cbalSpecProg13Duration +1)</f>
        <v>0</v>
      </c>
      <c r="G235" s="167">
        <f>INDEX($I235:$O235,cbalSpecProg13Duration +1)</f>
        <v>0</v>
      </c>
      <c r="I235">
        <v>0</v>
      </c>
      <c r="J235" s="732">
        <v>0.03</v>
      </c>
      <c r="K235" s="385">
        <v>0.03</v>
      </c>
      <c r="L235" s="385">
        <v>0.03</v>
      </c>
      <c r="M235" s="385">
        <v>0.03</v>
      </c>
      <c r="N235" s="735" t="s">
        <v>2733</v>
      </c>
      <c r="O235" s="5">
        <v>4</v>
      </c>
    </row>
    <row r="236" spans="2:15">
      <c r="B236">
        <v>13</v>
      </c>
      <c r="C236" s="736" t="s">
        <v>450</v>
      </c>
      <c r="E236" s="167" t="s">
        <v>3161</v>
      </c>
      <c r="F236" s="167" t="s">
        <v>3161</v>
      </c>
      <c r="G236" s="167" t="s">
        <v>3161</v>
      </c>
      <c r="J236" s="553"/>
      <c r="K236" s="554"/>
      <c r="L236" s="554"/>
      <c r="M236" s="554"/>
      <c r="N236" s="734"/>
      <c r="O236" s="5"/>
    </row>
    <row r="237" spans="2:15">
      <c r="B237">
        <v>13</v>
      </c>
      <c r="C237" s="670" t="s">
        <v>2131</v>
      </c>
      <c r="D237" s="565" t="s">
        <v>1044</v>
      </c>
      <c r="E237" s="167">
        <f>INDEX($I237:$O237,cbalSpecProg13Duration +1)</f>
        <v>0</v>
      </c>
      <c r="F237" s="167">
        <f>INDEX($I237:$O237,cbalSpecProg13Duration +1)</f>
        <v>0</v>
      </c>
      <c r="G237" s="167">
        <f>INDEX($I237:$O237,cbalSpecProg13Duration +1)</f>
        <v>0</v>
      </c>
      <c r="I237">
        <v>0</v>
      </c>
      <c r="J237" s="732">
        <v>5.0000000000000001E-3</v>
      </c>
      <c r="K237" s="385"/>
      <c r="L237" s="385"/>
      <c r="M237" s="385"/>
      <c r="N237" s="735" t="s">
        <v>182</v>
      </c>
      <c r="O237" s="5">
        <v>3</v>
      </c>
    </row>
    <row r="238" spans="2:15">
      <c r="D238" s="565"/>
      <c r="E238" s="167" t="s">
        <v>3161</v>
      </c>
      <c r="F238" s="167" t="s">
        <v>3161</v>
      </c>
      <c r="G238" s="167" t="s">
        <v>3161</v>
      </c>
      <c r="J238" s="553"/>
      <c r="K238" s="554"/>
      <c r="L238" s="554"/>
      <c r="M238" s="554"/>
      <c r="N238" s="554"/>
    </row>
    <row r="239" spans="2:15">
      <c r="B239">
        <v>14</v>
      </c>
      <c r="C239" s="3" t="s">
        <v>2566</v>
      </c>
      <c r="D239" t="s">
        <v>3556</v>
      </c>
      <c r="E239" s="167">
        <f>INDEX($I239:$O239,cbalSpecProg14Duration +1)</f>
        <v>0</v>
      </c>
      <c r="F239" s="167">
        <f>INDEX($I239:$O239,cbalSpecProg14Duration +1)</f>
        <v>0</v>
      </c>
      <c r="G239" s="167">
        <f>INDEX($I239:$O239,cbalSpecProg14Duration +1)</f>
        <v>0</v>
      </c>
      <c r="I239">
        <v>0</v>
      </c>
      <c r="J239" s="553"/>
      <c r="K239" s="554"/>
      <c r="L239" s="554"/>
      <c r="M239" s="554"/>
      <c r="N239" s="554"/>
    </row>
    <row r="240" spans="2:15">
      <c r="B240">
        <v>14</v>
      </c>
      <c r="C240" s="736" t="s">
        <v>2746</v>
      </c>
      <c r="E240" s="167" t="s">
        <v>3161</v>
      </c>
      <c r="F240" s="167" t="s">
        <v>3161</v>
      </c>
      <c r="G240" s="167" t="s">
        <v>3161</v>
      </c>
      <c r="J240" s="553"/>
      <c r="K240" s="554"/>
      <c r="L240" s="554"/>
      <c r="M240" s="554"/>
      <c r="N240" s="734"/>
      <c r="O240" s="5"/>
    </row>
    <row r="241" spans="1:15">
      <c r="A241" t="str">
        <f>"Costa"&amp; B241</f>
        <v>Costa14</v>
      </c>
      <c r="B241">
        <v>14</v>
      </c>
      <c r="C241" s="599" t="s">
        <v>2120</v>
      </c>
      <c r="D241" s="565" t="s">
        <v>3527</v>
      </c>
      <c r="E241" s="167">
        <f t="shared" ref="E241:G242" si="37">INDEX($I241:$O241,cbalSpecProg14Duration +1)</f>
        <v>0</v>
      </c>
      <c r="F241" s="167">
        <f t="shared" si="37"/>
        <v>0</v>
      </c>
      <c r="G241" s="167">
        <f t="shared" si="37"/>
        <v>0</v>
      </c>
      <c r="H241" t="str">
        <f>C241&amp;"Init"&amp;B241</f>
        <v>SP-5Init14</v>
      </c>
      <c r="I241">
        <v>0</v>
      </c>
      <c r="J241" s="727">
        <v>2500000</v>
      </c>
      <c r="K241" s="554"/>
      <c r="L241" s="554"/>
      <c r="M241" s="554"/>
      <c r="N241" s="735" t="s">
        <v>182</v>
      </c>
      <c r="O241" s="5">
        <v>3</v>
      </c>
    </row>
    <row r="242" spans="1:15">
      <c r="A242" t="str">
        <f>"FTEa"&amp; B242</f>
        <v>FTEa14</v>
      </c>
      <c r="B242">
        <v>14</v>
      </c>
      <c r="C242" s="670" t="s">
        <v>3003</v>
      </c>
      <c r="D242" s="565" t="s">
        <v>3528</v>
      </c>
      <c r="E242" s="167">
        <f t="shared" si="37"/>
        <v>0</v>
      </c>
      <c r="F242" s="167">
        <f t="shared" si="37"/>
        <v>0</v>
      </c>
      <c r="G242" s="167">
        <f t="shared" si="37"/>
        <v>0</v>
      </c>
      <c r="H242" t="str">
        <f>C242&amp;"Init"&amp;B242</f>
        <v>SP-17Init14</v>
      </c>
      <c r="I242">
        <v>0</v>
      </c>
      <c r="J242" s="727">
        <v>8</v>
      </c>
      <c r="K242" s="554"/>
      <c r="L242" s="554"/>
      <c r="M242" s="554"/>
      <c r="N242" s="735" t="s">
        <v>2733</v>
      </c>
      <c r="O242" s="5">
        <v>4</v>
      </c>
    </row>
    <row r="243" spans="1:15">
      <c r="B243">
        <v>14</v>
      </c>
      <c r="C243" s="736" t="s">
        <v>2740</v>
      </c>
      <c r="D243" s="565"/>
      <c r="E243" s="167" t="s">
        <v>3161</v>
      </c>
      <c r="F243" s="167" t="s">
        <v>3161</v>
      </c>
      <c r="G243" s="167" t="s">
        <v>3161</v>
      </c>
      <c r="J243" s="553"/>
      <c r="K243" s="554"/>
      <c r="L243" s="554"/>
      <c r="M243" s="554"/>
      <c r="N243" s="554"/>
    </row>
    <row r="244" spans="1:15">
      <c r="B244">
        <v>14</v>
      </c>
      <c r="C244" s="670" t="s">
        <v>1405</v>
      </c>
      <c r="D244" s="565" t="s">
        <v>3544</v>
      </c>
      <c r="E244" s="167">
        <f>INDEX($I244:$O244,cbalSpecProg14Duration +1)</f>
        <v>0</v>
      </c>
      <c r="F244" s="167">
        <f>INDEX($I244:$O244,cbalSpecProg14Duration +1)</f>
        <v>0</v>
      </c>
      <c r="G244" s="167">
        <f>INDEX($I244:$O244,cbalSpecProg14Duration +1)</f>
        <v>0</v>
      </c>
      <c r="I244">
        <v>0</v>
      </c>
      <c r="J244" s="732">
        <v>-0.02</v>
      </c>
      <c r="K244" s="554"/>
      <c r="L244" s="554"/>
      <c r="M244" s="554"/>
      <c r="N244" s="735" t="s">
        <v>182</v>
      </c>
      <c r="O244" s="5">
        <v>3</v>
      </c>
    </row>
    <row r="245" spans="1:15">
      <c r="B245">
        <v>14</v>
      </c>
      <c r="C245" s="736" t="s">
        <v>714</v>
      </c>
      <c r="E245" s="167" t="s">
        <v>3161</v>
      </c>
      <c r="F245" s="167" t="s">
        <v>3161</v>
      </c>
      <c r="G245" s="167" t="s">
        <v>3161</v>
      </c>
      <c r="J245" s="553"/>
      <c r="K245" s="554"/>
      <c r="L245" s="554"/>
      <c r="M245" s="554"/>
      <c r="N245" s="734"/>
      <c r="O245" s="5"/>
    </row>
    <row r="246" spans="1:15">
      <c r="B246">
        <v>14</v>
      </c>
      <c r="C246" s="670" t="s">
        <v>2126</v>
      </c>
      <c r="D246" s="565" t="s">
        <v>3525</v>
      </c>
      <c r="E246" s="167">
        <f>INDEX($I246:$O246,cbalSpecProg14Duration +1)</f>
        <v>0</v>
      </c>
      <c r="F246" s="167">
        <f>INDEX($I246:$O246,cbalSpecProg14Duration +1)</f>
        <v>0</v>
      </c>
      <c r="G246" s="167">
        <f>INDEX($I246:$O246,cbalSpecProg14Duration +1)</f>
        <v>0</v>
      </c>
      <c r="I246">
        <v>0</v>
      </c>
      <c r="J246" s="732">
        <v>0.03</v>
      </c>
      <c r="K246" s="385">
        <v>0.03</v>
      </c>
      <c r="L246" s="385">
        <v>0.03</v>
      </c>
      <c r="M246" s="385">
        <v>0.03</v>
      </c>
      <c r="N246" s="735" t="s">
        <v>2733</v>
      </c>
      <c r="O246" s="5">
        <v>4</v>
      </c>
    </row>
    <row r="247" spans="1:15">
      <c r="B247">
        <v>14</v>
      </c>
      <c r="C247" s="736" t="s">
        <v>450</v>
      </c>
      <c r="E247" s="167" t="s">
        <v>3161</v>
      </c>
      <c r="F247" s="167" t="s">
        <v>3161</v>
      </c>
      <c r="G247" s="167" t="s">
        <v>3161</v>
      </c>
      <c r="J247" s="553"/>
      <c r="K247" s="554"/>
      <c r="L247" s="554"/>
      <c r="M247" s="554"/>
      <c r="N247" s="734"/>
      <c r="O247" s="5"/>
    </row>
    <row r="248" spans="1:15">
      <c r="B248">
        <v>14</v>
      </c>
      <c r="C248" s="670" t="s">
        <v>2131</v>
      </c>
      <c r="D248" s="565" t="s">
        <v>1044</v>
      </c>
      <c r="E248" s="167">
        <f>INDEX($I248:$O248,cbalSpecProg14Duration +1)</f>
        <v>0</v>
      </c>
      <c r="F248" s="167">
        <f>INDEX($I248:$O248,cbalSpecProg14Duration +1)</f>
        <v>0</v>
      </c>
      <c r="G248" s="167">
        <f>INDEX($I248:$O248,cbalSpecProg14Duration +1)</f>
        <v>0</v>
      </c>
      <c r="I248">
        <v>0</v>
      </c>
      <c r="J248" s="732">
        <v>1.4999999999999999E-2</v>
      </c>
      <c r="K248" s="385"/>
      <c r="L248" s="385"/>
      <c r="M248" s="385"/>
      <c r="N248" s="735" t="s">
        <v>2733</v>
      </c>
      <c r="O248" s="5">
        <v>4</v>
      </c>
    </row>
    <row r="249" spans="1:15">
      <c r="B249">
        <v>14</v>
      </c>
      <c r="C249" s="736" t="s">
        <v>2779</v>
      </c>
      <c r="E249" s="167" t="s">
        <v>3161</v>
      </c>
      <c r="F249" s="167" t="s">
        <v>3161</v>
      </c>
      <c r="G249" s="167" t="s">
        <v>3161</v>
      </c>
      <c r="J249" s="553"/>
      <c r="K249" s="554"/>
      <c r="L249" s="554"/>
      <c r="M249" s="554"/>
      <c r="N249" s="734"/>
      <c r="O249" s="5"/>
    </row>
    <row r="250" spans="1:15">
      <c r="B250">
        <v>14</v>
      </c>
      <c r="C250" s="670" t="s">
        <v>2743</v>
      </c>
      <c r="D250" s="565" t="s">
        <v>2744</v>
      </c>
      <c r="E250" s="167">
        <f>INDEX($I250:$O250,cbalSpecProg14Duration +1)</f>
        <v>0</v>
      </c>
      <c r="F250" s="167">
        <f>INDEX($I250:$O250,cbalSpecProg14Duration +1)</f>
        <v>0</v>
      </c>
      <c r="G250" s="167">
        <f>INDEX($I250:$O250,cbalSpecProg14Duration +1)</f>
        <v>0</v>
      </c>
      <c r="I250">
        <v>0</v>
      </c>
      <c r="J250" s="732">
        <v>0.01</v>
      </c>
      <c r="K250" s="385">
        <v>0.01</v>
      </c>
      <c r="L250" s="385">
        <v>0.01</v>
      </c>
      <c r="M250" s="385">
        <v>0.01</v>
      </c>
      <c r="N250" s="735" t="s">
        <v>182</v>
      </c>
      <c r="O250" s="5">
        <v>3</v>
      </c>
    </row>
    <row r="251" spans="1:15">
      <c r="D251" s="565"/>
      <c r="E251" s="167" t="s">
        <v>3161</v>
      </c>
      <c r="F251" s="167" t="s">
        <v>3161</v>
      </c>
      <c r="G251" s="167" t="s">
        <v>3161</v>
      </c>
      <c r="J251" s="553"/>
      <c r="K251" s="554"/>
      <c r="L251" s="554"/>
      <c r="M251" s="554"/>
      <c r="N251" s="554"/>
    </row>
    <row r="252" spans="1:15">
      <c r="B252">
        <v>15</v>
      </c>
      <c r="C252" s="3" t="s">
        <v>4458</v>
      </c>
      <c r="D252" t="s">
        <v>3557</v>
      </c>
      <c r="E252" s="167">
        <f>INDEX($I252:$O252,cbalSpecProg15Duration +1)</f>
        <v>0</v>
      </c>
      <c r="F252" s="167">
        <f>INDEX($I252:$O252,cbalSpecProg15Duration +1)</f>
        <v>0</v>
      </c>
      <c r="G252" s="167">
        <f>INDEX($I252:$O252,cbalSpecProg15Duration +1)</f>
        <v>0</v>
      </c>
      <c r="I252">
        <v>0</v>
      </c>
      <c r="J252" s="553"/>
      <c r="K252" s="554"/>
      <c r="L252" s="554"/>
      <c r="M252" s="554"/>
      <c r="N252" s="554"/>
    </row>
    <row r="253" spans="1:15">
      <c r="B253">
        <v>15</v>
      </c>
      <c r="C253" s="736" t="s">
        <v>2746</v>
      </c>
      <c r="E253" s="167" t="s">
        <v>3161</v>
      </c>
      <c r="F253" s="167" t="s">
        <v>3161</v>
      </c>
      <c r="G253" s="167" t="s">
        <v>3161</v>
      </c>
      <c r="J253" s="553"/>
      <c r="K253" s="554"/>
      <c r="L253" s="554"/>
      <c r="M253" s="554"/>
      <c r="N253" s="734"/>
      <c r="O253" s="5"/>
    </row>
    <row r="254" spans="1:15">
      <c r="A254" t="str">
        <f>"Costa"&amp; B254</f>
        <v>Costa15</v>
      </c>
      <c r="B254">
        <v>15</v>
      </c>
      <c r="C254" s="599" t="s">
        <v>2118</v>
      </c>
      <c r="D254" s="565" t="s">
        <v>1000</v>
      </c>
      <c r="E254" s="167">
        <f t="shared" ref="E254:G255" si="38">INDEX($I254:$O254,cbalSpecProg15Duration +1)</f>
        <v>0</v>
      </c>
      <c r="F254" s="167">
        <f t="shared" si="38"/>
        <v>0</v>
      </c>
      <c r="G254" s="167">
        <f t="shared" si="38"/>
        <v>0</v>
      </c>
      <c r="H254" t="str">
        <f>C254&amp;"Init"&amp;B254</f>
        <v>SP-3Init15</v>
      </c>
      <c r="I254">
        <v>0</v>
      </c>
      <c r="J254" s="727">
        <v>20000000</v>
      </c>
      <c r="K254" s="554"/>
      <c r="L254" s="554"/>
      <c r="M254" s="554"/>
      <c r="N254" s="735" t="s">
        <v>180</v>
      </c>
      <c r="O254" s="5">
        <v>5</v>
      </c>
    </row>
    <row r="255" spans="1:15">
      <c r="A255" t="str">
        <f>"FTEa"&amp; B255</f>
        <v>FTEa15</v>
      </c>
      <c r="B255">
        <v>15</v>
      </c>
      <c r="C255" s="670" t="s">
        <v>2117</v>
      </c>
      <c r="D255" s="565" t="s">
        <v>762</v>
      </c>
      <c r="E255" s="167">
        <f t="shared" si="38"/>
        <v>0</v>
      </c>
      <c r="F255" s="167">
        <f t="shared" si="38"/>
        <v>0</v>
      </c>
      <c r="G255" s="167">
        <f t="shared" si="38"/>
        <v>0</v>
      </c>
      <c r="H255" t="str">
        <f>C255&amp;"Init"&amp;B255</f>
        <v>SP-2Init15</v>
      </c>
      <c r="I255">
        <v>0</v>
      </c>
      <c r="J255" s="727">
        <v>24</v>
      </c>
      <c r="K255" s="554"/>
      <c r="L255" s="554"/>
      <c r="M255" s="554"/>
      <c r="N255" s="735" t="s">
        <v>180</v>
      </c>
      <c r="O255" s="5">
        <v>5</v>
      </c>
    </row>
    <row r="256" spans="1:15">
      <c r="B256">
        <v>15</v>
      </c>
      <c r="C256" s="736" t="s">
        <v>2740</v>
      </c>
      <c r="D256" s="565"/>
      <c r="E256" s="167" t="s">
        <v>3161</v>
      </c>
      <c r="F256" s="167" t="s">
        <v>3161</v>
      </c>
      <c r="G256" s="167" t="s">
        <v>3161</v>
      </c>
      <c r="J256" s="553"/>
      <c r="K256" s="554"/>
      <c r="L256" s="554"/>
      <c r="M256" s="554"/>
      <c r="N256" s="554"/>
    </row>
    <row r="257" spans="1:15">
      <c r="B257">
        <v>15</v>
      </c>
      <c r="C257" s="670" t="s">
        <v>1389</v>
      </c>
      <c r="D257" s="565" t="s">
        <v>3543</v>
      </c>
      <c r="E257" s="167">
        <f t="shared" ref="E257:G258" si="39">INDEX($I257:$O257,cbalSpecProg15Duration +1)</f>
        <v>0</v>
      </c>
      <c r="F257" s="167">
        <f t="shared" si="39"/>
        <v>0</v>
      </c>
      <c r="G257" s="167">
        <f t="shared" si="39"/>
        <v>0</v>
      </c>
      <c r="I257">
        <v>0</v>
      </c>
      <c r="J257" s="732">
        <v>-0.05</v>
      </c>
      <c r="K257" s="554"/>
      <c r="L257" s="554"/>
      <c r="M257" s="554"/>
      <c r="N257" s="735" t="s">
        <v>2733</v>
      </c>
      <c r="O257" s="5">
        <v>4</v>
      </c>
    </row>
    <row r="258" spans="1:15">
      <c r="B258">
        <v>15</v>
      </c>
      <c r="C258" s="670" t="s">
        <v>1405</v>
      </c>
      <c r="D258" s="565" t="s">
        <v>3544</v>
      </c>
      <c r="E258" s="167">
        <f t="shared" si="39"/>
        <v>0</v>
      </c>
      <c r="F258" s="167">
        <f t="shared" si="39"/>
        <v>0</v>
      </c>
      <c r="G258" s="167">
        <f t="shared" si="39"/>
        <v>0</v>
      </c>
      <c r="I258">
        <v>0</v>
      </c>
      <c r="J258" s="732">
        <v>-0.05</v>
      </c>
      <c r="K258" s="554"/>
      <c r="L258" s="554"/>
      <c r="M258" s="554"/>
      <c r="N258" s="735" t="s">
        <v>2733</v>
      </c>
      <c r="O258" s="5">
        <v>4</v>
      </c>
    </row>
    <row r="259" spans="1:15">
      <c r="B259">
        <v>15</v>
      </c>
      <c r="C259" s="736" t="s">
        <v>2775</v>
      </c>
      <c r="E259" s="167" t="s">
        <v>3161</v>
      </c>
      <c r="F259" s="167" t="s">
        <v>3161</v>
      </c>
      <c r="G259" s="167" t="s">
        <v>3161</v>
      </c>
      <c r="J259" s="553"/>
      <c r="K259" s="554"/>
      <c r="L259" s="554"/>
      <c r="M259" s="554"/>
      <c r="N259" s="734"/>
      <c r="O259" s="5"/>
    </row>
    <row r="260" spans="1:15">
      <c r="B260">
        <v>15</v>
      </c>
      <c r="C260" s="670" t="s">
        <v>2125</v>
      </c>
      <c r="D260" s="565" t="s">
        <v>3524</v>
      </c>
      <c r="E260" s="167">
        <f t="shared" ref="E260:G261" si="40">INDEX($I260:$O260,cbalSpecProg15Duration +1)</f>
        <v>0</v>
      </c>
      <c r="F260" s="167">
        <f t="shared" si="40"/>
        <v>0</v>
      </c>
      <c r="G260" s="167">
        <f t="shared" si="40"/>
        <v>0</v>
      </c>
      <c r="I260">
        <v>0</v>
      </c>
      <c r="J260" s="385">
        <v>0</v>
      </c>
      <c r="K260" s="732">
        <v>0.01</v>
      </c>
      <c r="L260" s="385">
        <v>0.01</v>
      </c>
      <c r="M260" s="385">
        <v>0.01</v>
      </c>
      <c r="N260" s="735" t="s">
        <v>182</v>
      </c>
      <c r="O260" s="5">
        <v>3</v>
      </c>
    </row>
    <row r="261" spans="1:15">
      <c r="B261">
        <v>15</v>
      </c>
      <c r="C261" s="670" t="s">
        <v>2126</v>
      </c>
      <c r="D261" s="565" t="s">
        <v>3525</v>
      </c>
      <c r="E261" s="167">
        <f t="shared" si="40"/>
        <v>0</v>
      </c>
      <c r="F261" s="167">
        <f t="shared" si="40"/>
        <v>0</v>
      </c>
      <c r="G261" s="167">
        <f t="shared" si="40"/>
        <v>0</v>
      </c>
      <c r="I261">
        <v>0</v>
      </c>
      <c r="J261" s="385">
        <v>0</v>
      </c>
      <c r="K261" s="732">
        <v>0.01</v>
      </c>
      <c r="L261" s="385">
        <v>0.01</v>
      </c>
      <c r="M261" s="385">
        <v>0.01</v>
      </c>
      <c r="N261" s="735" t="s">
        <v>182</v>
      </c>
      <c r="O261" s="5">
        <v>3</v>
      </c>
    </row>
    <row r="262" spans="1:15">
      <c r="B262">
        <v>15</v>
      </c>
      <c r="C262" s="736" t="s">
        <v>2741</v>
      </c>
      <c r="E262" s="167" t="s">
        <v>3161</v>
      </c>
      <c r="F262" s="167" t="s">
        <v>3161</v>
      </c>
      <c r="G262" s="167" t="s">
        <v>3161</v>
      </c>
      <c r="J262" s="553"/>
      <c r="K262" s="554"/>
      <c r="L262" s="554"/>
      <c r="M262" s="554"/>
      <c r="N262" s="734"/>
      <c r="O262" s="5"/>
    </row>
    <row r="263" spans="1:15">
      <c r="B263">
        <v>15</v>
      </c>
      <c r="C263" s="670" t="s">
        <v>1431</v>
      </c>
      <c r="D263" s="565" t="s">
        <v>3550</v>
      </c>
      <c r="E263" s="167">
        <f t="shared" ref="E263:G264" si="41">INDEX($I263:$O263,cbalSpecProg15Duration +1)</f>
        <v>0</v>
      </c>
      <c r="F263" s="167">
        <f t="shared" si="41"/>
        <v>0</v>
      </c>
      <c r="G263" s="167">
        <f t="shared" si="41"/>
        <v>0</v>
      </c>
      <c r="I263">
        <v>0</v>
      </c>
      <c r="J263" s="732">
        <v>0.1</v>
      </c>
      <c r="K263" s="385">
        <v>0.1</v>
      </c>
      <c r="L263" s="385">
        <v>0.1</v>
      </c>
      <c r="M263" s="385">
        <v>0.1</v>
      </c>
      <c r="N263" s="735" t="s">
        <v>180</v>
      </c>
      <c r="O263" s="5">
        <v>5</v>
      </c>
    </row>
    <row r="264" spans="1:15">
      <c r="B264">
        <v>15</v>
      </c>
      <c r="C264" s="670" t="s">
        <v>1435</v>
      </c>
      <c r="D264" s="565" t="s">
        <v>3551</v>
      </c>
      <c r="E264" s="167">
        <f t="shared" si="41"/>
        <v>0</v>
      </c>
      <c r="F264" s="167">
        <f t="shared" si="41"/>
        <v>0</v>
      </c>
      <c r="G264" s="167">
        <f t="shared" si="41"/>
        <v>0</v>
      </c>
      <c r="I264">
        <v>0</v>
      </c>
      <c r="J264" s="732">
        <v>0.1</v>
      </c>
      <c r="K264" s="385">
        <v>0.1</v>
      </c>
      <c r="L264" s="385">
        <v>0.1</v>
      </c>
      <c r="M264" s="385">
        <v>0.1</v>
      </c>
      <c r="N264" s="735" t="s">
        <v>180</v>
      </c>
      <c r="O264" s="5">
        <v>5</v>
      </c>
    </row>
    <row r="265" spans="1:15">
      <c r="B265">
        <v>15</v>
      </c>
      <c r="C265" s="736" t="s">
        <v>450</v>
      </c>
      <c r="E265" s="167" t="s">
        <v>3161</v>
      </c>
      <c r="F265" s="167" t="s">
        <v>3161</v>
      </c>
      <c r="G265" s="167" t="s">
        <v>3161</v>
      </c>
      <c r="J265" s="553"/>
      <c r="K265" s="554"/>
      <c r="L265" s="554"/>
      <c r="M265" s="554"/>
      <c r="N265" s="734"/>
      <c r="O265" s="5"/>
    </row>
    <row r="266" spans="1:15">
      <c r="B266">
        <v>15</v>
      </c>
      <c r="C266" s="670" t="s">
        <v>2131</v>
      </c>
      <c r="D266" s="565" t="s">
        <v>1044</v>
      </c>
      <c r="E266" s="167">
        <f>INDEX($I266:$O266,cbalSpecProg15Duration +1)</f>
        <v>0</v>
      </c>
      <c r="F266" s="167">
        <f>INDEX($I266:$O266,cbalSpecProg15Duration +1)</f>
        <v>0</v>
      </c>
      <c r="G266" s="167">
        <f>INDEX($I266:$O266,cbalSpecProg15Duration +1)</f>
        <v>0</v>
      </c>
      <c r="I266">
        <v>0</v>
      </c>
      <c r="J266" s="1114">
        <v>0.01</v>
      </c>
      <c r="K266" s="385"/>
      <c r="L266" s="385"/>
      <c r="M266" s="385"/>
      <c r="N266" s="735" t="s">
        <v>2733</v>
      </c>
      <c r="O266" s="5">
        <v>4</v>
      </c>
    </row>
    <row r="267" spans="1:15">
      <c r="D267" s="565"/>
      <c r="E267" s="167" t="s">
        <v>3161</v>
      </c>
      <c r="F267" s="167" t="s">
        <v>3161</v>
      </c>
      <c r="G267" s="167" t="s">
        <v>3161</v>
      </c>
      <c r="J267" s="553"/>
      <c r="K267" s="554"/>
      <c r="L267" s="554"/>
      <c r="M267" s="554"/>
      <c r="N267" s="554"/>
    </row>
    <row r="268" spans="1:15">
      <c r="B268">
        <v>16</v>
      </c>
      <c r="C268" s="3" t="s">
        <v>2567</v>
      </c>
      <c r="D268" t="s">
        <v>3558</v>
      </c>
      <c r="E268" s="167">
        <f>INDEX($I268:$O268,cbalSpecProg16Duration +1)</f>
        <v>0</v>
      </c>
      <c r="F268" s="167">
        <f>INDEX($I268:$O268,cbalSpecProg16Duration +1)</f>
        <v>0</v>
      </c>
      <c r="G268" s="167">
        <f>INDEX($I268:$O268,cbalSpecProg16Duration +1)</f>
        <v>0</v>
      </c>
      <c r="I268">
        <v>0</v>
      </c>
      <c r="J268" s="553"/>
      <c r="K268" s="554"/>
      <c r="L268" s="554"/>
      <c r="M268" s="554"/>
      <c r="N268" s="554"/>
    </row>
    <row r="269" spans="1:15">
      <c r="B269">
        <v>16</v>
      </c>
      <c r="C269" s="736" t="s">
        <v>2746</v>
      </c>
      <c r="E269" s="167" t="s">
        <v>3161</v>
      </c>
      <c r="F269" s="167" t="s">
        <v>3161</v>
      </c>
      <c r="G269" s="167" t="s">
        <v>3161</v>
      </c>
      <c r="J269" s="553"/>
      <c r="K269" s="554"/>
      <c r="L269" s="554"/>
      <c r="M269" s="554"/>
      <c r="N269" s="734"/>
      <c r="O269" s="5"/>
    </row>
    <row r="270" spans="1:15">
      <c r="A270" t="str">
        <f>"Costa"&amp; B270</f>
        <v>Costa16</v>
      </c>
      <c r="B270">
        <v>16</v>
      </c>
      <c r="C270" s="599" t="s">
        <v>2118</v>
      </c>
      <c r="D270" s="565" t="s">
        <v>1000</v>
      </c>
      <c r="E270" s="167">
        <f t="shared" ref="E270:G271" si="42">INDEX($I270:$O270,cbalSpecProg16Duration +1)</f>
        <v>0</v>
      </c>
      <c r="F270" s="167">
        <f t="shared" si="42"/>
        <v>0</v>
      </c>
      <c r="G270" s="167">
        <f t="shared" si="42"/>
        <v>0</v>
      </c>
      <c r="H270" t="str">
        <f>C270&amp;"Init"&amp;B270</f>
        <v>SP-3Init16</v>
      </c>
      <c r="I270">
        <v>0</v>
      </c>
      <c r="J270" s="727">
        <v>5000000</v>
      </c>
      <c r="K270" s="554"/>
      <c r="L270" s="554"/>
      <c r="M270" s="554"/>
      <c r="N270" s="735" t="s">
        <v>182</v>
      </c>
      <c r="O270" s="5">
        <v>3</v>
      </c>
    </row>
    <row r="271" spans="1:15">
      <c r="A271" t="str">
        <f>"FTEa"&amp; B271</f>
        <v>FTEa16</v>
      </c>
      <c r="B271">
        <v>16</v>
      </c>
      <c r="C271" s="670" t="s">
        <v>2117</v>
      </c>
      <c r="D271" s="565" t="s">
        <v>762</v>
      </c>
      <c r="E271" s="167">
        <f t="shared" si="42"/>
        <v>0</v>
      </c>
      <c r="F271" s="167">
        <f t="shared" si="42"/>
        <v>0</v>
      </c>
      <c r="G271" s="167">
        <f t="shared" si="42"/>
        <v>0</v>
      </c>
      <c r="H271" t="str">
        <f>C271&amp;"Init"&amp;B271</f>
        <v>SP-2Init16</v>
      </c>
      <c r="I271">
        <v>0</v>
      </c>
      <c r="J271" s="727">
        <v>16</v>
      </c>
      <c r="K271" s="554"/>
      <c r="L271" s="554"/>
      <c r="M271" s="554"/>
      <c r="N271" s="735" t="s">
        <v>2733</v>
      </c>
      <c r="O271" s="5">
        <v>4</v>
      </c>
    </row>
    <row r="272" spans="1:15">
      <c r="B272">
        <v>16</v>
      </c>
      <c r="C272" s="736" t="s">
        <v>447</v>
      </c>
      <c r="E272" s="167" t="s">
        <v>3161</v>
      </c>
      <c r="F272" s="167" t="s">
        <v>3161</v>
      </c>
      <c r="G272" s="167" t="s">
        <v>3161</v>
      </c>
      <c r="J272" s="553"/>
      <c r="K272" s="554"/>
      <c r="L272" s="554"/>
      <c r="M272" s="554"/>
      <c r="N272" s="734"/>
      <c r="O272" s="5"/>
    </row>
    <row r="273" spans="1:15">
      <c r="B273">
        <v>16</v>
      </c>
      <c r="C273" s="670" t="s">
        <v>2132</v>
      </c>
      <c r="D273" s="565" t="s">
        <v>44</v>
      </c>
      <c r="E273" s="167">
        <f>INDEX($I273:$O273,cbalSpecProg16Duration +1)</f>
        <v>0</v>
      </c>
      <c r="F273" s="167">
        <f>INDEX($I273:$O273,cbalSpecProg16Duration +1)</f>
        <v>0</v>
      </c>
      <c r="G273" s="167">
        <f>INDEX($I273:$O273,cbalSpecProg16Duration +1)</f>
        <v>0</v>
      </c>
      <c r="I273">
        <v>0</v>
      </c>
      <c r="J273" s="732">
        <v>-5.0000000000000001E-3</v>
      </c>
      <c r="K273" s="385"/>
      <c r="L273" s="385"/>
      <c r="M273" s="385"/>
      <c r="N273" s="735" t="s">
        <v>182</v>
      </c>
      <c r="O273" s="5">
        <v>3</v>
      </c>
    </row>
    <row r="274" spans="1:15">
      <c r="B274">
        <v>16</v>
      </c>
      <c r="C274" s="736" t="s">
        <v>2782</v>
      </c>
      <c r="E274" s="167" t="s">
        <v>3161</v>
      </c>
      <c r="F274" s="167" t="s">
        <v>3161</v>
      </c>
      <c r="G274" s="167" t="s">
        <v>3161</v>
      </c>
      <c r="J274" s="553"/>
      <c r="K274" s="554"/>
      <c r="L274" s="554"/>
      <c r="M274" s="554"/>
      <c r="N274" s="734"/>
      <c r="O274" s="5"/>
    </row>
    <row r="275" spans="1:15">
      <c r="B275">
        <v>16</v>
      </c>
      <c r="C275" s="670" t="s">
        <v>1517</v>
      </c>
      <c r="D275" s="565" t="s">
        <v>3533</v>
      </c>
      <c r="E275" s="167">
        <f t="shared" ref="E275:G280" si="43">INDEX($I275:$O275,cbalSpecProg16Duration +1)</f>
        <v>0</v>
      </c>
      <c r="F275" s="167">
        <f t="shared" si="43"/>
        <v>0</v>
      </c>
      <c r="G275" s="167">
        <f t="shared" si="43"/>
        <v>0</v>
      </c>
      <c r="I275">
        <v>0</v>
      </c>
      <c r="J275" s="385">
        <v>0</v>
      </c>
      <c r="K275" s="732">
        <v>-0.02</v>
      </c>
      <c r="L275" s="385">
        <v>-0.02</v>
      </c>
      <c r="M275" s="385">
        <v>-0.02</v>
      </c>
      <c r="N275" s="735" t="s">
        <v>182</v>
      </c>
      <c r="O275" s="5">
        <v>3</v>
      </c>
    </row>
    <row r="276" spans="1:15">
      <c r="B276">
        <v>16</v>
      </c>
      <c r="C276" s="670" t="s">
        <v>2065</v>
      </c>
      <c r="D276" s="565" t="s">
        <v>3534</v>
      </c>
      <c r="E276" s="167">
        <f t="shared" si="43"/>
        <v>0</v>
      </c>
      <c r="F276" s="167">
        <f t="shared" si="43"/>
        <v>0</v>
      </c>
      <c r="G276" s="167">
        <f t="shared" si="43"/>
        <v>0</v>
      </c>
      <c r="I276">
        <v>0</v>
      </c>
      <c r="J276" s="385">
        <v>0</v>
      </c>
      <c r="K276" s="732">
        <v>-0.02</v>
      </c>
      <c r="L276" s="385">
        <v>-0.02</v>
      </c>
      <c r="M276" s="385">
        <v>-0.02</v>
      </c>
      <c r="N276" s="735" t="s">
        <v>182</v>
      </c>
      <c r="O276" s="5">
        <v>3</v>
      </c>
    </row>
    <row r="277" spans="1:15">
      <c r="B277">
        <v>16</v>
      </c>
      <c r="C277" s="670" t="s">
        <v>1519</v>
      </c>
      <c r="D277" s="565" t="s">
        <v>3535</v>
      </c>
      <c r="E277" s="167">
        <f t="shared" si="43"/>
        <v>0</v>
      </c>
      <c r="F277" s="167">
        <f t="shared" si="43"/>
        <v>0</v>
      </c>
      <c r="G277" s="167">
        <f t="shared" si="43"/>
        <v>0</v>
      </c>
      <c r="I277">
        <v>0</v>
      </c>
      <c r="J277" s="385">
        <v>0</v>
      </c>
      <c r="K277" s="732">
        <v>-0.02</v>
      </c>
      <c r="L277" s="385">
        <v>-0.02</v>
      </c>
      <c r="M277" s="385">
        <v>-0.02</v>
      </c>
      <c r="N277" s="735" t="s">
        <v>182</v>
      </c>
      <c r="O277" s="5">
        <v>3</v>
      </c>
    </row>
    <row r="278" spans="1:15">
      <c r="B278">
        <v>16</v>
      </c>
      <c r="C278" s="670" t="s">
        <v>2067</v>
      </c>
      <c r="D278" s="565" t="s">
        <v>3536</v>
      </c>
      <c r="E278" s="167">
        <f t="shared" si="43"/>
        <v>0</v>
      </c>
      <c r="F278" s="167">
        <f t="shared" si="43"/>
        <v>0</v>
      </c>
      <c r="G278" s="167">
        <f t="shared" si="43"/>
        <v>0</v>
      </c>
      <c r="I278">
        <v>0</v>
      </c>
      <c r="J278" s="385">
        <v>0</v>
      </c>
      <c r="K278" s="732">
        <v>-0.02</v>
      </c>
      <c r="L278" s="385">
        <v>-0.02</v>
      </c>
      <c r="M278" s="385">
        <v>-0.02</v>
      </c>
      <c r="N278" s="735" t="s">
        <v>182</v>
      </c>
      <c r="O278" s="5">
        <v>3</v>
      </c>
    </row>
    <row r="279" spans="1:15">
      <c r="B279">
        <v>16</v>
      </c>
      <c r="C279" s="670" t="s">
        <v>1475</v>
      </c>
      <c r="D279" s="565" t="s">
        <v>1493</v>
      </c>
      <c r="E279" s="167">
        <f t="shared" si="43"/>
        <v>0</v>
      </c>
      <c r="F279" s="167">
        <f t="shared" si="43"/>
        <v>0</v>
      </c>
      <c r="G279" s="167">
        <f t="shared" si="43"/>
        <v>0</v>
      </c>
      <c r="I279">
        <v>0</v>
      </c>
      <c r="J279" s="385">
        <v>0</v>
      </c>
      <c r="K279" s="732">
        <v>-0.02</v>
      </c>
      <c r="L279" s="385">
        <v>-0.02</v>
      </c>
      <c r="M279" s="385">
        <v>-0.02</v>
      </c>
      <c r="N279" s="735" t="s">
        <v>182</v>
      </c>
      <c r="O279" s="5">
        <v>3</v>
      </c>
    </row>
    <row r="280" spans="1:15">
      <c r="B280">
        <v>16</v>
      </c>
      <c r="C280" s="670" t="s">
        <v>1495</v>
      </c>
      <c r="D280" s="565" t="s">
        <v>1496</v>
      </c>
      <c r="E280" s="167">
        <f t="shared" si="43"/>
        <v>0</v>
      </c>
      <c r="F280" s="167">
        <f t="shared" si="43"/>
        <v>0</v>
      </c>
      <c r="G280" s="167">
        <f t="shared" si="43"/>
        <v>0</v>
      </c>
      <c r="I280">
        <v>0</v>
      </c>
      <c r="J280" s="385">
        <v>0</v>
      </c>
      <c r="K280" s="732">
        <v>-0.02</v>
      </c>
      <c r="L280" s="385">
        <v>-0.02</v>
      </c>
      <c r="M280" s="385">
        <v>-0.02</v>
      </c>
      <c r="N280" s="735" t="s">
        <v>182</v>
      </c>
      <c r="O280" s="5">
        <v>3</v>
      </c>
    </row>
    <row r="281" spans="1:15">
      <c r="D281" s="565"/>
      <c r="E281" s="167" t="s">
        <v>3161</v>
      </c>
      <c r="F281" s="167" t="s">
        <v>3161</v>
      </c>
      <c r="G281" s="167" t="s">
        <v>3161</v>
      </c>
      <c r="J281" s="553"/>
      <c r="K281" s="554"/>
      <c r="L281" s="554"/>
      <c r="M281" s="554"/>
      <c r="N281" s="554"/>
    </row>
    <row r="282" spans="1:15">
      <c r="B282">
        <v>17</v>
      </c>
      <c r="C282" s="3" t="s">
        <v>4460</v>
      </c>
      <c r="D282" t="s">
        <v>3559</v>
      </c>
      <c r="E282" s="167">
        <f>INDEX($I282:$O282,cbalSpecProg17Duration +1)</f>
        <v>0</v>
      </c>
      <c r="F282" s="167">
        <f>INDEX($I282:$O282,cbalSpecProg17Duration +1)</f>
        <v>0</v>
      </c>
      <c r="G282" s="167">
        <f>INDEX($I282:$O282,cbalSpecProg17Duration +1)</f>
        <v>0</v>
      </c>
      <c r="I282">
        <v>0</v>
      </c>
      <c r="J282" s="553"/>
      <c r="K282" s="554"/>
      <c r="L282" s="554"/>
      <c r="M282" s="554"/>
      <c r="N282" s="554"/>
    </row>
    <row r="283" spans="1:15">
      <c r="B283">
        <v>17</v>
      </c>
      <c r="C283" s="736" t="s">
        <v>2746</v>
      </c>
      <c r="E283" s="167" t="s">
        <v>3161</v>
      </c>
      <c r="F283" s="167" t="s">
        <v>3161</v>
      </c>
      <c r="G283" s="167" t="s">
        <v>3161</v>
      </c>
      <c r="J283" s="553"/>
      <c r="K283" s="554"/>
      <c r="L283" s="554"/>
      <c r="M283" s="554"/>
      <c r="N283" s="734"/>
      <c r="O283" s="5"/>
    </row>
    <row r="284" spans="1:15">
      <c r="A284" t="str">
        <f>"Costa"&amp; B284</f>
        <v>Costa17</v>
      </c>
      <c r="B284">
        <v>17</v>
      </c>
      <c r="C284" s="599" t="s">
        <v>2118</v>
      </c>
      <c r="D284" s="565" t="s">
        <v>1000</v>
      </c>
      <c r="E284" s="167">
        <f t="shared" ref="E284:G285" si="44">INDEX($I284:$O284,cbalSpecProg17Duration +1)</f>
        <v>0</v>
      </c>
      <c r="F284" s="167">
        <f t="shared" si="44"/>
        <v>0</v>
      </c>
      <c r="G284" s="167">
        <f t="shared" si="44"/>
        <v>0</v>
      </c>
      <c r="H284" t="str">
        <f>C284&amp;"Init"&amp;B284</f>
        <v>SP-3Init17</v>
      </c>
      <c r="I284">
        <v>0</v>
      </c>
      <c r="J284" s="727">
        <v>5000000</v>
      </c>
      <c r="K284" s="554"/>
      <c r="L284" s="554"/>
      <c r="M284" s="554"/>
      <c r="N284" s="735" t="s">
        <v>182</v>
      </c>
      <c r="O284" s="5">
        <v>3</v>
      </c>
    </row>
    <row r="285" spans="1:15">
      <c r="A285" t="str">
        <f>"FTEa"&amp; B285</f>
        <v>FTEa17</v>
      </c>
      <c r="B285">
        <v>17</v>
      </c>
      <c r="C285" s="670" t="s">
        <v>2117</v>
      </c>
      <c r="D285" s="565" t="s">
        <v>762</v>
      </c>
      <c r="E285" s="167">
        <f t="shared" si="44"/>
        <v>0</v>
      </c>
      <c r="F285" s="167">
        <f t="shared" si="44"/>
        <v>0</v>
      </c>
      <c r="G285" s="167">
        <f t="shared" si="44"/>
        <v>0</v>
      </c>
      <c r="H285" t="str">
        <f>C285&amp;"Init"&amp;B285</f>
        <v>SP-2Init17</v>
      </c>
      <c r="I285">
        <v>0</v>
      </c>
      <c r="J285" s="727">
        <v>10</v>
      </c>
      <c r="K285" s="554"/>
      <c r="L285" s="554"/>
      <c r="M285" s="554"/>
      <c r="N285" s="735" t="s">
        <v>182</v>
      </c>
      <c r="O285" s="5">
        <v>3</v>
      </c>
    </row>
    <row r="286" spans="1:15">
      <c r="B286">
        <v>17</v>
      </c>
      <c r="C286" s="736" t="s">
        <v>714</v>
      </c>
      <c r="E286" s="167" t="s">
        <v>3161</v>
      </c>
      <c r="F286" s="167" t="s">
        <v>3161</v>
      </c>
      <c r="G286" s="167" t="s">
        <v>3161</v>
      </c>
      <c r="J286" s="553"/>
      <c r="K286" s="554"/>
      <c r="L286" s="554"/>
      <c r="M286" s="554"/>
      <c r="N286" s="734"/>
      <c r="O286" s="5"/>
    </row>
    <row r="287" spans="1:15">
      <c r="B287">
        <v>17</v>
      </c>
      <c r="C287" s="670" t="s">
        <v>2125</v>
      </c>
      <c r="D287" s="565" t="s">
        <v>3524</v>
      </c>
      <c r="E287" s="167">
        <f t="shared" ref="E287:G288" si="45">INDEX($I287:$O287,cbalSpecProg17Duration +1)</f>
        <v>0</v>
      </c>
      <c r="F287" s="167">
        <f t="shared" si="45"/>
        <v>0</v>
      </c>
      <c r="G287" s="167">
        <f t="shared" si="45"/>
        <v>0</v>
      </c>
      <c r="I287">
        <v>0</v>
      </c>
      <c r="J287" s="732">
        <v>0.01</v>
      </c>
      <c r="K287" s="385">
        <v>0.01</v>
      </c>
      <c r="L287" s="385">
        <v>0.01</v>
      </c>
      <c r="M287" s="385">
        <v>0.01</v>
      </c>
      <c r="N287" s="735" t="s">
        <v>182</v>
      </c>
      <c r="O287" s="5">
        <v>3</v>
      </c>
    </row>
    <row r="288" spans="1:15">
      <c r="B288">
        <v>17</v>
      </c>
      <c r="C288" s="670" t="s">
        <v>2126</v>
      </c>
      <c r="D288" s="565" t="s">
        <v>3525</v>
      </c>
      <c r="E288" s="167">
        <f t="shared" si="45"/>
        <v>0</v>
      </c>
      <c r="F288" s="167">
        <f t="shared" si="45"/>
        <v>0</v>
      </c>
      <c r="G288" s="167">
        <f t="shared" si="45"/>
        <v>0</v>
      </c>
      <c r="I288">
        <v>0</v>
      </c>
      <c r="J288" s="732">
        <v>0.01</v>
      </c>
      <c r="K288" s="385">
        <v>0.01</v>
      </c>
      <c r="L288" s="385">
        <v>0.01</v>
      </c>
      <c r="M288" s="385">
        <v>0.01</v>
      </c>
      <c r="N288" s="735" t="s">
        <v>182</v>
      </c>
      <c r="O288" s="5">
        <v>3</v>
      </c>
    </row>
    <row r="289" spans="1:15">
      <c r="B289">
        <v>17</v>
      </c>
      <c r="C289" s="736" t="s">
        <v>2779</v>
      </c>
      <c r="E289" s="167" t="s">
        <v>3161</v>
      </c>
      <c r="F289" s="167" t="s">
        <v>3161</v>
      </c>
      <c r="G289" s="167" t="s">
        <v>3161</v>
      </c>
      <c r="J289" s="553"/>
      <c r="K289" s="554"/>
      <c r="L289" s="554"/>
      <c r="M289" s="554"/>
      <c r="N289" s="734"/>
      <c r="O289" s="5"/>
    </row>
    <row r="290" spans="1:15">
      <c r="B290">
        <v>17</v>
      </c>
      <c r="C290" s="670" t="s">
        <v>2743</v>
      </c>
      <c r="D290" s="565" t="s">
        <v>2744</v>
      </c>
      <c r="E290" s="167">
        <f>INDEX($I290:$O290,cbalSpecProg17Duration +1)</f>
        <v>0</v>
      </c>
      <c r="F290" s="167">
        <f>INDEX($I290:$O290,cbalSpecProg17Duration +1)</f>
        <v>0</v>
      </c>
      <c r="G290" s="167">
        <f>INDEX($I290:$O290,cbalSpecProg17Duration +1)</f>
        <v>0</v>
      </c>
      <c r="I290">
        <v>0</v>
      </c>
      <c r="J290" s="732">
        <v>0.01</v>
      </c>
      <c r="K290" s="385">
        <v>0.01</v>
      </c>
      <c r="L290" s="385">
        <v>0.01</v>
      </c>
      <c r="M290" s="385">
        <v>0.01</v>
      </c>
      <c r="N290" s="735" t="s">
        <v>182</v>
      </c>
      <c r="O290" s="5">
        <v>3</v>
      </c>
    </row>
    <row r="291" spans="1:15">
      <c r="D291" s="565"/>
      <c r="E291" s="167" t="s">
        <v>3161</v>
      </c>
      <c r="F291" s="167" t="s">
        <v>3161</v>
      </c>
      <c r="G291" s="167" t="s">
        <v>3161</v>
      </c>
      <c r="J291" s="553"/>
      <c r="K291" s="554"/>
      <c r="L291" s="554"/>
      <c r="M291" s="554"/>
      <c r="N291" s="554"/>
    </row>
    <row r="292" spans="1:15">
      <c r="B292">
        <v>18</v>
      </c>
      <c r="C292" s="3" t="s">
        <v>4462</v>
      </c>
      <c r="D292" t="s">
        <v>3560</v>
      </c>
      <c r="E292" s="167">
        <f>INDEX($I292:$O292,cbalSpecProg18Duration +1)</f>
        <v>0</v>
      </c>
      <c r="F292" s="167">
        <f>INDEX($I292:$O292,cbalSpecProg18Duration +1)</f>
        <v>0</v>
      </c>
      <c r="G292" s="167">
        <f>INDEX($I292:$O292,cbalSpecProg18Duration +1)</f>
        <v>0</v>
      </c>
      <c r="I292">
        <v>0</v>
      </c>
      <c r="J292" s="553"/>
      <c r="K292" s="554"/>
      <c r="L292" s="554"/>
      <c r="M292" s="554"/>
      <c r="N292" s="554"/>
    </row>
    <row r="293" spans="1:15">
      <c r="B293">
        <v>18</v>
      </c>
      <c r="C293" s="736" t="s">
        <v>2746</v>
      </c>
      <c r="E293" s="167" t="s">
        <v>3161</v>
      </c>
      <c r="F293" s="167" t="s">
        <v>3161</v>
      </c>
      <c r="G293" s="167" t="s">
        <v>3161</v>
      </c>
      <c r="J293" s="553"/>
      <c r="K293" s="554"/>
      <c r="L293" s="554"/>
      <c r="M293" s="554"/>
      <c r="N293" s="734"/>
      <c r="O293" s="5"/>
    </row>
    <row r="294" spans="1:15">
      <c r="A294" t="str">
        <f>"Costa"&amp; B294</f>
        <v>Costa18</v>
      </c>
      <c r="B294">
        <v>18</v>
      </c>
      <c r="C294" s="599" t="s">
        <v>2118</v>
      </c>
      <c r="D294" s="565" t="s">
        <v>1000</v>
      </c>
      <c r="E294" s="167">
        <f t="shared" ref="E294:G295" si="46">INDEX($I294:$O294,cbalSpecProg18Duration +1)</f>
        <v>0</v>
      </c>
      <c r="F294" s="167">
        <f t="shared" si="46"/>
        <v>0</v>
      </c>
      <c r="G294" s="167">
        <f t="shared" si="46"/>
        <v>0</v>
      </c>
      <c r="H294" t="str">
        <f>C294&amp;"Init"&amp;B294</f>
        <v>SP-3Init18</v>
      </c>
      <c r="I294">
        <v>0</v>
      </c>
      <c r="J294" s="727">
        <v>20000000</v>
      </c>
      <c r="K294" s="554"/>
      <c r="L294" s="554"/>
      <c r="M294" s="554"/>
      <c r="N294" s="735" t="s">
        <v>180</v>
      </c>
      <c r="O294" s="5">
        <v>5</v>
      </c>
    </row>
    <row r="295" spans="1:15">
      <c r="A295" t="str">
        <f>"FTEa"&amp; B295</f>
        <v>FTEa18</v>
      </c>
      <c r="B295">
        <v>18</v>
      </c>
      <c r="C295" s="670" t="s">
        <v>2117</v>
      </c>
      <c r="D295" s="565" t="s">
        <v>762</v>
      </c>
      <c r="E295" s="167">
        <f t="shared" si="46"/>
        <v>0</v>
      </c>
      <c r="F295" s="167">
        <f t="shared" si="46"/>
        <v>0</v>
      </c>
      <c r="G295" s="167">
        <f t="shared" si="46"/>
        <v>0</v>
      </c>
      <c r="H295" t="str">
        <f>C295&amp;"Init"&amp;B295</f>
        <v>SP-2Init18</v>
      </c>
      <c r="I295">
        <v>0</v>
      </c>
      <c r="J295" s="727">
        <v>16</v>
      </c>
      <c r="K295" s="554"/>
      <c r="L295" s="554"/>
      <c r="M295" s="554"/>
      <c r="N295" s="735" t="s">
        <v>2733</v>
      </c>
      <c r="O295" s="5">
        <v>4</v>
      </c>
    </row>
    <row r="296" spans="1:15">
      <c r="B296">
        <v>18</v>
      </c>
      <c r="C296" s="736" t="s">
        <v>714</v>
      </c>
      <c r="E296" s="167" t="s">
        <v>3161</v>
      </c>
      <c r="F296" s="167" t="s">
        <v>3161</v>
      </c>
      <c r="G296" s="167" t="s">
        <v>3161</v>
      </c>
      <c r="J296" s="553"/>
      <c r="K296" s="554"/>
      <c r="L296" s="554"/>
      <c r="M296" s="554"/>
      <c r="N296" s="734"/>
      <c r="O296" s="5"/>
    </row>
    <row r="297" spans="1:15">
      <c r="B297">
        <v>18</v>
      </c>
      <c r="C297" s="670" t="s">
        <v>2125</v>
      </c>
      <c r="D297" s="565" t="s">
        <v>3524</v>
      </c>
      <c r="E297" s="167">
        <f t="shared" ref="E297:G298" si="47">INDEX($I297:$O297,cbalSpecProg18Duration +1)</f>
        <v>0</v>
      </c>
      <c r="F297" s="167">
        <f t="shared" si="47"/>
        <v>0</v>
      </c>
      <c r="G297" s="167">
        <f t="shared" si="47"/>
        <v>0</v>
      </c>
      <c r="I297">
        <v>0</v>
      </c>
      <c r="J297" s="732">
        <v>0.05</v>
      </c>
      <c r="K297" s="385">
        <v>0.05</v>
      </c>
      <c r="L297" s="385">
        <v>0.05</v>
      </c>
      <c r="M297" s="385">
        <v>0.05</v>
      </c>
      <c r="N297" s="735" t="s">
        <v>180</v>
      </c>
      <c r="O297" s="5">
        <v>5</v>
      </c>
    </row>
    <row r="298" spans="1:15">
      <c r="B298">
        <v>18</v>
      </c>
      <c r="C298" s="670" t="s">
        <v>2126</v>
      </c>
      <c r="D298" s="565" t="s">
        <v>3525</v>
      </c>
      <c r="E298" s="167">
        <f t="shared" si="47"/>
        <v>0</v>
      </c>
      <c r="F298" s="167">
        <f t="shared" si="47"/>
        <v>0</v>
      </c>
      <c r="G298" s="167">
        <f t="shared" si="47"/>
        <v>0</v>
      </c>
      <c r="I298">
        <v>0</v>
      </c>
      <c r="J298" s="732">
        <v>0.05</v>
      </c>
      <c r="K298" s="385">
        <v>0.05</v>
      </c>
      <c r="L298" s="385">
        <v>0.05</v>
      </c>
      <c r="M298" s="385">
        <v>0.05</v>
      </c>
      <c r="N298" s="735" t="s">
        <v>180</v>
      </c>
      <c r="O298" s="5">
        <v>5</v>
      </c>
    </row>
    <row r="299" spans="1:15">
      <c r="B299">
        <v>18</v>
      </c>
      <c r="C299" s="736" t="s">
        <v>2741</v>
      </c>
      <c r="E299" s="167" t="s">
        <v>3161</v>
      </c>
      <c r="F299" s="167" t="s">
        <v>3161</v>
      </c>
      <c r="G299" s="167" t="s">
        <v>3161</v>
      </c>
      <c r="J299" s="553"/>
      <c r="K299" s="554"/>
      <c r="L299" s="554"/>
      <c r="M299" s="554"/>
      <c r="N299" s="734"/>
      <c r="O299" s="5"/>
    </row>
    <row r="300" spans="1:15">
      <c r="B300">
        <v>18</v>
      </c>
      <c r="C300" s="670" t="s">
        <v>1431</v>
      </c>
      <c r="D300" s="565" t="s">
        <v>3550</v>
      </c>
      <c r="E300" s="167">
        <f t="shared" ref="E300:G301" si="48">INDEX($I300:$O300,cbalSpecProg18Duration +1)</f>
        <v>0</v>
      </c>
      <c r="F300" s="167">
        <f t="shared" si="48"/>
        <v>0</v>
      </c>
      <c r="G300" s="167">
        <f t="shared" si="48"/>
        <v>0</v>
      </c>
      <c r="I300">
        <v>0</v>
      </c>
      <c r="J300" s="732">
        <v>0.05</v>
      </c>
      <c r="K300" s="385">
        <v>0.05</v>
      </c>
      <c r="L300" s="385">
        <v>0.05</v>
      </c>
      <c r="M300" s="385">
        <v>0.05</v>
      </c>
      <c r="N300" s="735" t="s">
        <v>2733</v>
      </c>
      <c r="O300" s="5">
        <v>4</v>
      </c>
    </row>
    <row r="301" spans="1:15">
      <c r="B301">
        <v>18</v>
      </c>
      <c r="C301" s="670" t="s">
        <v>1435</v>
      </c>
      <c r="D301" s="565" t="s">
        <v>3551</v>
      </c>
      <c r="E301" s="167">
        <f t="shared" si="48"/>
        <v>0</v>
      </c>
      <c r="F301" s="167">
        <f t="shared" si="48"/>
        <v>0</v>
      </c>
      <c r="G301" s="167">
        <f t="shared" si="48"/>
        <v>0</v>
      </c>
      <c r="I301">
        <v>0</v>
      </c>
      <c r="J301" s="732">
        <v>0.05</v>
      </c>
      <c r="K301" s="385">
        <v>0.05</v>
      </c>
      <c r="L301" s="385">
        <v>0.05</v>
      </c>
      <c r="M301" s="385">
        <v>0.05</v>
      </c>
      <c r="N301" s="735" t="s">
        <v>2733</v>
      </c>
      <c r="O301" s="5">
        <v>4</v>
      </c>
    </row>
    <row r="302" spans="1:15">
      <c r="B302">
        <v>18</v>
      </c>
      <c r="C302" s="736" t="s">
        <v>2779</v>
      </c>
      <c r="E302" s="167" t="s">
        <v>3161</v>
      </c>
      <c r="F302" s="167" t="s">
        <v>3161</v>
      </c>
      <c r="G302" s="167" t="s">
        <v>3161</v>
      </c>
      <c r="J302" s="553"/>
      <c r="K302" s="554"/>
      <c r="L302" s="554"/>
      <c r="M302" s="554"/>
      <c r="N302" s="734"/>
      <c r="O302" s="5"/>
    </row>
    <row r="303" spans="1:15">
      <c r="B303">
        <v>18</v>
      </c>
      <c r="C303" s="670" t="s">
        <v>2743</v>
      </c>
      <c r="D303" s="565" t="s">
        <v>2744</v>
      </c>
      <c r="E303" s="167">
        <f>INDEX($I303:$O303,cbalSpecProg18Duration +1)</f>
        <v>0</v>
      </c>
      <c r="F303" s="167">
        <f>INDEX($I303:$O303,cbalSpecProg18Duration +1)</f>
        <v>0</v>
      </c>
      <c r="G303" s="167">
        <f>INDEX($I303:$O303,cbalSpecProg18Duration +1)</f>
        <v>0</v>
      </c>
      <c r="I303">
        <v>0</v>
      </c>
      <c r="J303" s="732">
        <v>0.05</v>
      </c>
      <c r="K303" s="385">
        <v>0.05</v>
      </c>
      <c r="L303" s="385">
        <v>0.05</v>
      </c>
      <c r="M303" s="385">
        <v>0.05</v>
      </c>
      <c r="N303" s="735" t="s">
        <v>180</v>
      </c>
      <c r="O303" s="5">
        <v>5</v>
      </c>
    </row>
    <row r="304" spans="1:15">
      <c r="D304" s="565"/>
      <c r="E304" s="167" t="s">
        <v>3161</v>
      </c>
      <c r="F304" s="167" t="s">
        <v>3161</v>
      </c>
      <c r="G304" s="167" t="s">
        <v>3161</v>
      </c>
      <c r="J304" s="553"/>
      <c r="K304" s="554"/>
      <c r="L304" s="554"/>
      <c r="M304" s="554"/>
      <c r="N304" s="554"/>
    </row>
    <row r="305" spans="1:15">
      <c r="B305">
        <v>19</v>
      </c>
      <c r="C305" s="3" t="s">
        <v>4464</v>
      </c>
      <c r="D305" t="s">
        <v>3561</v>
      </c>
      <c r="E305" s="167">
        <f>INDEX($I305:$O305,cbalSpecProg19Duration +1)</f>
        <v>0</v>
      </c>
      <c r="F305" s="167">
        <f>INDEX($I305:$O305,cbalSpecProg19Duration +1)</f>
        <v>0</v>
      </c>
      <c r="G305" s="167">
        <f>INDEX($I305:$O305,cbalSpecProg19Duration +1)</f>
        <v>0</v>
      </c>
      <c r="I305">
        <v>0</v>
      </c>
      <c r="J305" s="553"/>
      <c r="K305" s="554"/>
      <c r="L305" s="554"/>
      <c r="M305" s="554"/>
      <c r="N305" s="554"/>
    </row>
    <row r="306" spans="1:15">
      <c r="B306">
        <v>19</v>
      </c>
      <c r="C306" s="736" t="s">
        <v>2746</v>
      </c>
      <c r="E306" s="167" t="s">
        <v>3161</v>
      </c>
      <c r="F306" s="167" t="s">
        <v>3161</v>
      </c>
      <c r="G306" s="167" t="s">
        <v>3161</v>
      </c>
      <c r="J306" s="553"/>
      <c r="K306" s="554"/>
      <c r="L306" s="554"/>
      <c r="M306" s="554"/>
      <c r="N306" s="734"/>
      <c r="O306" s="5"/>
    </row>
    <row r="307" spans="1:15">
      <c r="A307" t="str">
        <f>"Costa"&amp; B307</f>
        <v>Costa19</v>
      </c>
      <c r="B307">
        <v>19</v>
      </c>
      <c r="C307" s="599" t="s">
        <v>2118</v>
      </c>
      <c r="D307" s="565" t="s">
        <v>1000</v>
      </c>
      <c r="E307" s="167">
        <f t="shared" ref="E307:G308" si="49">INDEX($I307:$O307,cbalSpecProg19Duration +1)</f>
        <v>0</v>
      </c>
      <c r="F307" s="167">
        <f t="shared" si="49"/>
        <v>0</v>
      </c>
      <c r="G307" s="167">
        <f t="shared" si="49"/>
        <v>0</v>
      </c>
      <c r="H307" t="str">
        <f>C307&amp;"Init"&amp;B307</f>
        <v>SP-3Init19</v>
      </c>
      <c r="I307">
        <v>0</v>
      </c>
      <c r="J307" s="727">
        <v>10000000</v>
      </c>
      <c r="K307" s="554"/>
      <c r="L307" s="554"/>
      <c r="M307" s="554"/>
      <c r="N307" s="735" t="s">
        <v>2733</v>
      </c>
      <c r="O307" s="5">
        <v>4</v>
      </c>
    </row>
    <row r="308" spans="1:15">
      <c r="A308" t="str">
        <f>"FTEa"&amp; B308</f>
        <v>FTEa19</v>
      </c>
      <c r="B308">
        <v>19</v>
      </c>
      <c r="C308" s="670" t="s">
        <v>2117</v>
      </c>
      <c r="D308" s="565" t="s">
        <v>762</v>
      </c>
      <c r="E308" s="167">
        <f t="shared" si="49"/>
        <v>0</v>
      </c>
      <c r="F308" s="167">
        <f t="shared" si="49"/>
        <v>0</v>
      </c>
      <c r="G308" s="167">
        <f t="shared" si="49"/>
        <v>0</v>
      </c>
      <c r="H308" t="str">
        <f>C308&amp;"Init"&amp;B308</f>
        <v>SP-2Init19</v>
      </c>
      <c r="I308">
        <v>0</v>
      </c>
      <c r="J308" s="727">
        <v>16</v>
      </c>
      <c r="K308" s="554"/>
      <c r="L308" s="554"/>
      <c r="M308" s="554"/>
      <c r="N308" s="735" t="s">
        <v>2733</v>
      </c>
      <c r="O308" s="5">
        <v>4</v>
      </c>
    </row>
    <row r="309" spans="1:15">
      <c r="B309">
        <v>19</v>
      </c>
      <c r="C309" s="736" t="s">
        <v>714</v>
      </c>
      <c r="E309" s="167" t="s">
        <v>3161</v>
      </c>
      <c r="F309" s="167" t="s">
        <v>3161</v>
      </c>
      <c r="G309" s="167" t="s">
        <v>3161</v>
      </c>
      <c r="J309" s="553"/>
      <c r="K309" s="554"/>
      <c r="L309" s="554"/>
      <c r="M309" s="554"/>
      <c r="N309" s="734"/>
      <c r="O309" s="5"/>
    </row>
    <row r="310" spans="1:15">
      <c r="B310">
        <v>19</v>
      </c>
      <c r="C310" s="670" t="s">
        <v>2125</v>
      </c>
      <c r="D310" s="565" t="s">
        <v>3524</v>
      </c>
      <c r="E310" s="167">
        <f t="shared" ref="E310:G311" si="50">INDEX($I310:$O310,cbalSpecProg19Duration +1)</f>
        <v>0</v>
      </c>
      <c r="F310" s="167">
        <f t="shared" si="50"/>
        <v>0</v>
      </c>
      <c r="G310" s="167">
        <f t="shared" si="50"/>
        <v>0</v>
      </c>
      <c r="I310">
        <v>0</v>
      </c>
      <c r="J310" s="732">
        <v>0.03</v>
      </c>
      <c r="K310" s="385">
        <v>0.03</v>
      </c>
      <c r="L310" s="385">
        <v>0.03</v>
      </c>
      <c r="M310" s="385">
        <v>0.03</v>
      </c>
      <c r="N310" s="735" t="s">
        <v>2733</v>
      </c>
      <c r="O310" s="5">
        <v>4</v>
      </c>
    </row>
    <row r="311" spans="1:15">
      <c r="B311">
        <v>19</v>
      </c>
      <c r="C311" s="670" t="s">
        <v>2126</v>
      </c>
      <c r="D311" s="565" t="s">
        <v>3525</v>
      </c>
      <c r="E311" s="167">
        <f t="shared" si="50"/>
        <v>0</v>
      </c>
      <c r="F311" s="167">
        <f t="shared" si="50"/>
        <v>0</v>
      </c>
      <c r="G311" s="167">
        <f t="shared" si="50"/>
        <v>0</v>
      </c>
      <c r="I311">
        <v>0</v>
      </c>
      <c r="J311" s="732">
        <v>0.03</v>
      </c>
      <c r="K311" s="385">
        <v>0.03</v>
      </c>
      <c r="L311" s="385">
        <v>0.03</v>
      </c>
      <c r="M311" s="385">
        <v>0.03</v>
      </c>
      <c r="N311" s="735" t="s">
        <v>2733</v>
      </c>
      <c r="O311" s="5">
        <v>4</v>
      </c>
    </row>
    <row r="312" spans="1:15">
      <c r="B312">
        <v>19</v>
      </c>
      <c r="C312" s="736" t="s">
        <v>2741</v>
      </c>
      <c r="E312" s="167" t="s">
        <v>3161</v>
      </c>
      <c r="F312" s="167" t="s">
        <v>3161</v>
      </c>
      <c r="G312" s="167" t="s">
        <v>3161</v>
      </c>
      <c r="J312" s="553"/>
      <c r="K312" s="554"/>
      <c r="L312" s="554"/>
      <c r="M312" s="554"/>
      <c r="N312" s="734"/>
      <c r="O312" s="5"/>
    </row>
    <row r="313" spans="1:15">
      <c r="B313">
        <v>19</v>
      </c>
      <c r="C313" s="670" t="s">
        <v>1431</v>
      </c>
      <c r="D313" s="565" t="s">
        <v>3550</v>
      </c>
      <c r="E313" s="167">
        <f t="shared" ref="E313:G314" si="51">INDEX($I313:$O313,cbalSpecProg19Duration +1)</f>
        <v>0</v>
      </c>
      <c r="F313" s="167">
        <f t="shared" si="51"/>
        <v>0</v>
      </c>
      <c r="G313" s="167">
        <f t="shared" si="51"/>
        <v>0</v>
      </c>
      <c r="I313">
        <v>0</v>
      </c>
      <c r="J313" s="732">
        <v>0.02</v>
      </c>
      <c r="K313" s="385">
        <v>0.02</v>
      </c>
      <c r="L313" s="385">
        <v>0.02</v>
      </c>
      <c r="M313" s="385">
        <v>0.02</v>
      </c>
      <c r="N313" s="735" t="s">
        <v>182</v>
      </c>
      <c r="O313" s="5">
        <v>3</v>
      </c>
    </row>
    <row r="314" spans="1:15">
      <c r="B314">
        <v>19</v>
      </c>
      <c r="C314" s="670" t="s">
        <v>1435</v>
      </c>
      <c r="D314" s="565" t="s">
        <v>3551</v>
      </c>
      <c r="E314" s="167">
        <f t="shared" si="51"/>
        <v>0</v>
      </c>
      <c r="F314" s="167">
        <f t="shared" si="51"/>
        <v>0</v>
      </c>
      <c r="G314" s="167">
        <f t="shared" si="51"/>
        <v>0</v>
      </c>
      <c r="I314">
        <v>0</v>
      </c>
      <c r="J314" s="732">
        <v>0.02</v>
      </c>
      <c r="K314" s="385">
        <v>0.02</v>
      </c>
      <c r="L314" s="385">
        <v>0.02</v>
      </c>
      <c r="M314" s="385">
        <v>0.02</v>
      </c>
      <c r="N314" s="735" t="s">
        <v>182</v>
      </c>
      <c r="O314" s="5">
        <v>3</v>
      </c>
    </row>
    <row r="315" spans="1:15">
      <c r="B315">
        <v>19</v>
      </c>
      <c r="C315" s="736" t="s">
        <v>2779</v>
      </c>
      <c r="E315" s="167" t="s">
        <v>3161</v>
      </c>
      <c r="F315" s="167" t="s">
        <v>3161</v>
      </c>
      <c r="G315" s="167" t="s">
        <v>3161</v>
      </c>
      <c r="J315" s="553"/>
      <c r="K315" s="554"/>
      <c r="L315" s="554"/>
      <c r="M315" s="554"/>
      <c r="N315" s="734"/>
      <c r="O315" s="5"/>
    </row>
    <row r="316" spans="1:15">
      <c r="B316">
        <v>19</v>
      </c>
      <c r="C316" s="670" t="s">
        <v>2743</v>
      </c>
      <c r="D316" s="565" t="s">
        <v>2744</v>
      </c>
      <c r="E316" s="167">
        <f>INDEX($I316:$O316,cbalSpecProg19Duration +1)</f>
        <v>0</v>
      </c>
      <c r="F316" s="167">
        <f>INDEX($I316:$O316,cbalSpecProg19Duration +1)</f>
        <v>0</v>
      </c>
      <c r="G316" s="167">
        <f>INDEX($I316:$O316,cbalSpecProg19Duration +1)</f>
        <v>0</v>
      </c>
      <c r="I316">
        <v>0</v>
      </c>
      <c r="J316" s="732">
        <v>0.03</v>
      </c>
      <c r="K316" s="385">
        <v>0.03</v>
      </c>
      <c r="L316" s="385">
        <v>0.03</v>
      </c>
      <c r="M316" s="385">
        <v>0.03</v>
      </c>
      <c r="N316" s="735" t="s">
        <v>2733</v>
      </c>
      <c r="O316" s="5">
        <v>4</v>
      </c>
    </row>
    <row r="317" spans="1:15">
      <c r="D317" s="565"/>
      <c r="E317" s="167" t="s">
        <v>3161</v>
      </c>
      <c r="F317" s="167" t="s">
        <v>3161</v>
      </c>
      <c r="G317" s="167" t="s">
        <v>3161</v>
      </c>
      <c r="J317" s="553"/>
      <c r="K317" s="554"/>
      <c r="L317" s="554"/>
      <c r="M317" s="554"/>
      <c r="N317" s="554"/>
    </row>
    <row r="318" spans="1:15">
      <c r="B318">
        <v>20</v>
      </c>
      <c r="C318" s="3" t="s">
        <v>4466</v>
      </c>
      <c r="D318" t="s">
        <v>3562</v>
      </c>
      <c r="E318" s="167">
        <f>INDEX($I318:$O318,cbalSpecProg20Duration +1)</f>
        <v>0</v>
      </c>
      <c r="F318" s="167">
        <f>INDEX($I318:$O318,cbalSpecProg20Duration +1)</f>
        <v>0</v>
      </c>
      <c r="G318" s="167">
        <f>INDEX($I318:$O318,cbalSpecProg20Duration +1)</f>
        <v>0</v>
      </c>
      <c r="I318">
        <v>0</v>
      </c>
      <c r="J318" s="553"/>
      <c r="K318" s="554"/>
      <c r="L318" s="554"/>
      <c r="M318" s="554"/>
      <c r="N318" s="554"/>
    </row>
    <row r="319" spans="1:15">
      <c r="B319">
        <v>20</v>
      </c>
      <c r="C319" s="736" t="s">
        <v>2746</v>
      </c>
      <c r="E319" s="167" t="s">
        <v>3161</v>
      </c>
      <c r="F319" s="167" t="s">
        <v>3161</v>
      </c>
      <c r="G319" s="167" t="s">
        <v>3161</v>
      </c>
      <c r="J319" s="553"/>
      <c r="K319" s="554"/>
      <c r="L319" s="554"/>
      <c r="M319" s="554"/>
      <c r="N319" s="734"/>
      <c r="O319" s="5"/>
    </row>
    <row r="320" spans="1:15">
      <c r="A320" t="str">
        <f>"Costa"&amp; B320</f>
        <v>Costa20</v>
      </c>
      <c r="B320">
        <v>20</v>
      </c>
      <c r="C320" s="599" t="s">
        <v>2119</v>
      </c>
      <c r="D320" s="565" t="s">
        <v>3530</v>
      </c>
      <c r="E320" s="167">
        <f t="shared" ref="E320:G323" si="52">INDEX($I320:$O320,cbalSpecProg20Duration +1)</f>
        <v>0</v>
      </c>
      <c r="F320" s="167">
        <f t="shared" si="52"/>
        <v>0</v>
      </c>
      <c r="G320" s="167">
        <f t="shared" si="52"/>
        <v>0</v>
      </c>
      <c r="H320" t="str">
        <f>C320&amp;"Init"&amp;B320</f>
        <v>SP-4Init20</v>
      </c>
      <c r="I320">
        <v>0</v>
      </c>
      <c r="J320" s="727">
        <v>5000000</v>
      </c>
      <c r="K320" s="554"/>
      <c r="L320" s="554"/>
      <c r="M320" s="554"/>
      <c r="N320" s="735" t="s">
        <v>2733</v>
      </c>
      <c r="O320" s="5">
        <v>4</v>
      </c>
    </row>
    <row r="321" spans="1:15">
      <c r="A321" t="str">
        <f>"Costb"&amp; B321</f>
        <v>Costb20</v>
      </c>
      <c r="B321">
        <v>20</v>
      </c>
      <c r="C321" s="599" t="s">
        <v>2120</v>
      </c>
      <c r="D321" s="565" t="s">
        <v>3527</v>
      </c>
      <c r="E321" s="167">
        <f t="shared" si="52"/>
        <v>0</v>
      </c>
      <c r="F321" s="167">
        <f t="shared" si="52"/>
        <v>0</v>
      </c>
      <c r="G321" s="167">
        <f t="shared" si="52"/>
        <v>0</v>
      </c>
      <c r="H321" t="str">
        <f>C321&amp;"Init"&amp;B321</f>
        <v>SP-5Init20</v>
      </c>
      <c r="I321">
        <v>0</v>
      </c>
      <c r="J321" s="727">
        <v>5000000</v>
      </c>
      <c r="K321" s="554"/>
      <c r="L321" s="554"/>
      <c r="M321" s="554"/>
      <c r="N321" s="735" t="s">
        <v>2733</v>
      </c>
      <c r="O321" s="5">
        <v>4</v>
      </c>
    </row>
    <row r="322" spans="1:15">
      <c r="A322" t="str">
        <f>"FTEa"&amp; B322</f>
        <v>FTEa20</v>
      </c>
      <c r="B322">
        <v>20</v>
      </c>
      <c r="C322" s="670" t="s">
        <v>3002</v>
      </c>
      <c r="D322" s="565" t="s">
        <v>3531</v>
      </c>
      <c r="E322" s="167">
        <f t="shared" si="52"/>
        <v>0</v>
      </c>
      <c r="F322" s="167">
        <f t="shared" si="52"/>
        <v>0</v>
      </c>
      <c r="G322" s="167">
        <f t="shared" si="52"/>
        <v>0</v>
      </c>
      <c r="H322" t="str">
        <f>C322&amp;"Init"&amp;B322</f>
        <v>SP-16Init20</v>
      </c>
      <c r="I322">
        <v>0</v>
      </c>
      <c r="J322" s="727">
        <v>8</v>
      </c>
      <c r="K322" s="554"/>
      <c r="L322" s="554"/>
      <c r="M322" s="554"/>
      <c r="N322" s="735" t="s">
        <v>2733</v>
      </c>
      <c r="O322" s="5">
        <v>4</v>
      </c>
    </row>
    <row r="323" spans="1:15">
      <c r="A323" t="str">
        <f>"FTEb"&amp; B323</f>
        <v>FTEb20</v>
      </c>
      <c r="B323">
        <v>20</v>
      </c>
      <c r="C323" s="670" t="s">
        <v>3003</v>
      </c>
      <c r="D323" s="565" t="s">
        <v>3528</v>
      </c>
      <c r="E323" s="167">
        <f t="shared" si="52"/>
        <v>0</v>
      </c>
      <c r="F323" s="167">
        <f t="shared" si="52"/>
        <v>0</v>
      </c>
      <c r="G323" s="167">
        <f t="shared" si="52"/>
        <v>0</v>
      </c>
      <c r="H323" t="str">
        <f>C323&amp;"Init"&amp;B323</f>
        <v>SP-17Init20</v>
      </c>
      <c r="I323">
        <v>0</v>
      </c>
      <c r="J323" s="727">
        <v>8</v>
      </c>
      <c r="K323" s="554"/>
      <c r="L323" s="554"/>
      <c r="M323" s="554"/>
      <c r="N323" s="735" t="s">
        <v>2733</v>
      </c>
      <c r="O323" s="5">
        <v>4</v>
      </c>
    </row>
    <row r="324" spans="1:15">
      <c r="B324">
        <v>20</v>
      </c>
      <c r="C324" s="736" t="s">
        <v>2783</v>
      </c>
      <c r="E324" s="167" t="s">
        <v>3161</v>
      </c>
      <c r="F324" s="167" t="s">
        <v>3161</v>
      </c>
      <c r="G324" s="167" t="s">
        <v>3161</v>
      </c>
      <c r="J324" s="553"/>
      <c r="K324" s="554"/>
      <c r="L324" s="554"/>
      <c r="M324" s="554"/>
      <c r="N324" s="734"/>
      <c r="O324" s="5"/>
    </row>
    <row r="325" spans="1:15">
      <c r="B325">
        <v>20</v>
      </c>
      <c r="C325" s="670" t="s">
        <v>1430</v>
      </c>
      <c r="D325" s="565" t="s">
        <v>3563</v>
      </c>
      <c r="E325" s="167">
        <f t="shared" ref="E325:G326" si="53">INDEX($I325:$O325,cbalSpecProg20Duration +1)</f>
        <v>0</v>
      </c>
      <c r="F325" s="167">
        <f t="shared" si="53"/>
        <v>0</v>
      </c>
      <c r="G325" s="167">
        <f t="shared" si="53"/>
        <v>0</v>
      </c>
      <c r="I325">
        <v>0</v>
      </c>
      <c r="J325" s="732">
        <v>0.05</v>
      </c>
      <c r="K325" s="385">
        <v>0.05</v>
      </c>
      <c r="L325" s="385">
        <v>0.05</v>
      </c>
      <c r="M325" s="385">
        <v>0.05</v>
      </c>
      <c r="N325" s="735" t="s">
        <v>2733</v>
      </c>
      <c r="O325" s="5">
        <v>4</v>
      </c>
    </row>
    <row r="326" spans="1:15">
      <c r="B326">
        <v>20</v>
      </c>
      <c r="C326" s="670" t="s">
        <v>1434</v>
      </c>
      <c r="D326" s="565" t="s">
        <v>3564</v>
      </c>
      <c r="E326" s="167">
        <f t="shared" si="53"/>
        <v>0</v>
      </c>
      <c r="F326" s="167">
        <f t="shared" si="53"/>
        <v>0</v>
      </c>
      <c r="G326" s="167">
        <f t="shared" si="53"/>
        <v>0</v>
      </c>
      <c r="I326">
        <v>0</v>
      </c>
      <c r="J326" s="732">
        <v>0.05</v>
      </c>
      <c r="K326" s="385">
        <v>0.05</v>
      </c>
      <c r="L326" s="385">
        <v>0.05</v>
      </c>
      <c r="M326" s="385">
        <v>0.05</v>
      </c>
      <c r="N326" s="735" t="s">
        <v>2733</v>
      </c>
      <c r="O326" s="5">
        <v>4</v>
      </c>
    </row>
    <row r="327" spans="1:15">
      <c r="D327" s="565"/>
      <c r="E327" s="167" t="s">
        <v>3161</v>
      </c>
      <c r="F327" s="167" t="s">
        <v>3161</v>
      </c>
      <c r="G327" s="167" t="s">
        <v>3161</v>
      </c>
      <c r="J327" s="553"/>
      <c r="K327" s="554"/>
      <c r="L327" s="554"/>
      <c r="M327" s="554"/>
      <c r="N327" s="554"/>
    </row>
    <row r="328" spans="1:15">
      <c r="B328">
        <v>21</v>
      </c>
      <c r="C328" s="3" t="s">
        <v>4468</v>
      </c>
      <c r="D328" t="s">
        <v>3565</v>
      </c>
      <c r="E328" s="167">
        <f>INDEX($I328:$O328,cbalSpecProg21Duration +1)</f>
        <v>0</v>
      </c>
      <c r="F328" s="167">
        <f>INDEX($I328:$O328,cbalSpecProg21Duration +1)</f>
        <v>0</v>
      </c>
      <c r="G328" s="167">
        <f>INDEX($I328:$O328,cbalSpecProg21Duration +1)</f>
        <v>0</v>
      </c>
      <c r="I328">
        <v>0</v>
      </c>
      <c r="J328" s="553"/>
      <c r="K328" s="554"/>
      <c r="L328" s="554"/>
      <c r="M328" s="554"/>
      <c r="N328" s="554"/>
    </row>
    <row r="329" spans="1:15">
      <c r="B329">
        <v>21</v>
      </c>
      <c r="C329" s="736" t="s">
        <v>2746</v>
      </c>
      <c r="E329" s="167" t="s">
        <v>3161</v>
      </c>
      <c r="F329" s="167" t="s">
        <v>3161</v>
      </c>
      <c r="G329" s="167" t="s">
        <v>3161</v>
      </c>
      <c r="J329" s="553"/>
      <c r="K329" s="554"/>
      <c r="L329" s="554"/>
      <c r="M329" s="554"/>
      <c r="N329" s="734"/>
      <c r="O329" s="5"/>
    </row>
    <row r="330" spans="1:15">
      <c r="A330" t="str">
        <f>"Costa"&amp; B330</f>
        <v>Costa21</v>
      </c>
      <c r="B330">
        <v>21</v>
      </c>
      <c r="C330" s="599" t="s">
        <v>2118</v>
      </c>
      <c r="D330" s="565" t="s">
        <v>1000</v>
      </c>
      <c r="E330" s="167">
        <f t="shared" ref="E330:G331" si="54">INDEX($I330:$O330,cbalSpecProg21Duration +1)</f>
        <v>0</v>
      </c>
      <c r="F330" s="167">
        <f t="shared" si="54"/>
        <v>0</v>
      </c>
      <c r="G330" s="167">
        <f t="shared" si="54"/>
        <v>0</v>
      </c>
      <c r="H330" t="str">
        <f>C330&amp;"Init"&amp;B330</f>
        <v>SP-3Init21</v>
      </c>
      <c r="I330">
        <v>0</v>
      </c>
      <c r="J330" s="727">
        <v>10000000</v>
      </c>
      <c r="K330" s="554"/>
      <c r="L330" s="554"/>
      <c r="M330" s="554"/>
      <c r="N330" s="735" t="s">
        <v>2733</v>
      </c>
      <c r="O330" s="5">
        <v>4</v>
      </c>
    </row>
    <row r="331" spans="1:15">
      <c r="A331" t="str">
        <f>"FTEa"&amp; B331</f>
        <v>FTEa21</v>
      </c>
      <c r="B331">
        <v>21</v>
      </c>
      <c r="C331" s="670" t="s">
        <v>2117</v>
      </c>
      <c r="D331" s="565" t="s">
        <v>762</v>
      </c>
      <c r="E331" s="167">
        <f t="shared" si="54"/>
        <v>0</v>
      </c>
      <c r="F331" s="167">
        <f t="shared" si="54"/>
        <v>0</v>
      </c>
      <c r="G331" s="167">
        <f t="shared" si="54"/>
        <v>0</v>
      </c>
      <c r="H331" t="str">
        <f>C331&amp;"Init"&amp;B331</f>
        <v>SP-2Init21</v>
      </c>
      <c r="I331">
        <v>0</v>
      </c>
      <c r="J331" s="727">
        <v>10</v>
      </c>
      <c r="K331" s="554"/>
      <c r="L331" s="554"/>
      <c r="M331" s="554"/>
      <c r="N331" s="735" t="s">
        <v>182</v>
      </c>
      <c r="O331" s="5">
        <v>3</v>
      </c>
    </row>
    <row r="332" spans="1:15">
      <c r="B332">
        <v>21</v>
      </c>
      <c r="C332" s="736" t="s">
        <v>2740</v>
      </c>
      <c r="D332" s="565"/>
      <c r="E332" s="167" t="s">
        <v>3161</v>
      </c>
      <c r="F332" s="167" t="s">
        <v>3161</v>
      </c>
      <c r="G332" s="167" t="s">
        <v>3161</v>
      </c>
      <c r="J332" s="553"/>
      <c r="K332" s="554"/>
      <c r="L332" s="554"/>
      <c r="M332" s="554"/>
      <c r="N332" s="554"/>
    </row>
    <row r="333" spans="1:15">
      <c r="B333">
        <v>21</v>
      </c>
      <c r="C333" s="670" t="s">
        <v>1389</v>
      </c>
      <c r="D333" s="565" t="s">
        <v>3543</v>
      </c>
      <c r="E333" s="167">
        <f t="shared" ref="E333:G334" si="55">INDEX($I333:$O333,cbalSpecProg21Duration +1)</f>
        <v>0</v>
      </c>
      <c r="F333" s="167">
        <f t="shared" si="55"/>
        <v>0</v>
      </c>
      <c r="G333" s="167">
        <f t="shared" si="55"/>
        <v>0</v>
      </c>
      <c r="I333">
        <v>0</v>
      </c>
      <c r="J333" s="732">
        <v>-0.02</v>
      </c>
      <c r="K333" s="554"/>
      <c r="L333" s="554"/>
      <c r="M333" s="554"/>
      <c r="N333" s="735" t="s">
        <v>182</v>
      </c>
      <c r="O333" s="5">
        <v>3</v>
      </c>
    </row>
    <row r="334" spans="1:15">
      <c r="B334">
        <v>21</v>
      </c>
      <c r="C334" s="670" t="s">
        <v>1405</v>
      </c>
      <c r="D334" s="565" t="s">
        <v>3544</v>
      </c>
      <c r="E334" s="167">
        <f t="shared" si="55"/>
        <v>0</v>
      </c>
      <c r="F334" s="167">
        <f t="shared" si="55"/>
        <v>0</v>
      </c>
      <c r="G334" s="167">
        <f t="shared" si="55"/>
        <v>0</v>
      </c>
      <c r="I334">
        <v>0</v>
      </c>
      <c r="J334" s="732">
        <v>-0.02</v>
      </c>
      <c r="K334" s="554"/>
      <c r="L334" s="554"/>
      <c r="M334" s="554"/>
      <c r="N334" s="735" t="s">
        <v>182</v>
      </c>
      <c r="O334" s="5">
        <v>3</v>
      </c>
    </row>
    <row r="335" spans="1:15">
      <c r="B335">
        <v>21</v>
      </c>
      <c r="C335" s="736" t="s">
        <v>714</v>
      </c>
      <c r="E335" s="167" t="s">
        <v>3161</v>
      </c>
      <c r="F335" s="167" t="s">
        <v>3161</v>
      </c>
      <c r="G335" s="167" t="s">
        <v>3161</v>
      </c>
      <c r="J335" s="553"/>
      <c r="K335" s="554"/>
      <c r="L335" s="554"/>
      <c r="M335" s="554"/>
      <c r="N335" s="734"/>
      <c r="O335" s="5"/>
    </row>
    <row r="336" spans="1:15">
      <c r="B336">
        <v>21</v>
      </c>
      <c r="C336" s="670" t="s">
        <v>2125</v>
      </c>
      <c r="D336" s="565" t="s">
        <v>3524</v>
      </c>
      <c r="E336" s="167">
        <f t="shared" ref="E336:G337" si="56">INDEX($I336:$O336,cbalSpecProg21Duration +1)</f>
        <v>0</v>
      </c>
      <c r="F336" s="167">
        <f t="shared" si="56"/>
        <v>0</v>
      </c>
      <c r="G336" s="167">
        <f t="shared" si="56"/>
        <v>0</v>
      </c>
      <c r="I336">
        <v>0</v>
      </c>
      <c r="J336" s="732">
        <v>0.03</v>
      </c>
      <c r="K336" s="385">
        <v>0.03</v>
      </c>
      <c r="L336" s="385">
        <v>0.03</v>
      </c>
      <c r="M336" s="385">
        <v>0.03</v>
      </c>
      <c r="N336" s="735" t="s">
        <v>2733</v>
      </c>
      <c r="O336" s="5">
        <v>4</v>
      </c>
    </row>
    <row r="337" spans="1:15">
      <c r="B337">
        <v>21</v>
      </c>
      <c r="C337" s="670" t="s">
        <v>2126</v>
      </c>
      <c r="D337" s="565" t="s">
        <v>3525</v>
      </c>
      <c r="E337" s="167">
        <f t="shared" si="56"/>
        <v>0</v>
      </c>
      <c r="F337" s="167">
        <f t="shared" si="56"/>
        <v>0</v>
      </c>
      <c r="G337" s="167">
        <f t="shared" si="56"/>
        <v>0</v>
      </c>
      <c r="I337">
        <v>0</v>
      </c>
      <c r="J337" s="732">
        <v>0.03</v>
      </c>
      <c r="K337" s="385">
        <v>0.03</v>
      </c>
      <c r="L337" s="385">
        <v>0.03</v>
      </c>
      <c r="M337" s="385">
        <v>0.03</v>
      </c>
      <c r="N337" s="735" t="s">
        <v>2733</v>
      </c>
      <c r="O337" s="5">
        <v>4</v>
      </c>
    </row>
    <row r="338" spans="1:15">
      <c r="B338">
        <v>21</v>
      </c>
      <c r="C338" s="736" t="s">
        <v>447</v>
      </c>
      <c r="E338" s="167" t="s">
        <v>3161</v>
      </c>
      <c r="F338" s="167" t="s">
        <v>3161</v>
      </c>
      <c r="G338" s="167" t="s">
        <v>3161</v>
      </c>
      <c r="J338" s="553"/>
      <c r="K338" s="554"/>
      <c r="L338" s="554"/>
      <c r="M338" s="554"/>
      <c r="N338" s="734"/>
      <c r="O338" s="5"/>
    </row>
    <row r="339" spans="1:15">
      <c r="B339">
        <v>21</v>
      </c>
      <c r="C339" s="670" t="s">
        <v>2132</v>
      </c>
      <c r="D339" s="565" t="s">
        <v>44</v>
      </c>
      <c r="E339" s="167">
        <f>INDEX($I339:$O339,cbalSpecProg21Duration +1)</f>
        <v>0</v>
      </c>
      <c r="F339" s="167">
        <f>INDEX($I339:$O339,cbalSpecProg21Duration +1)</f>
        <v>0</v>
      </c>
      <c r="G339" s="167">
        <f>INDEX($I339:$O339,cbalSpecProg21Duration +1)</f>
        <v>0</v>
      </c>
      <c r="I339">
        <v>0</v>
      </c>
      <c r="J339" s="732">
        <v>1.4999999999999999E-2</v>
      </c>
      <c r="K339" s="385"/>
      <c r="L339" s="385"/>
      <c r="M339" s="385"/>
      <c r="N339" s="735" t="s">
        <v>2733</v>
      </c>
      <c r="O339" s="5">
        <v>4</v>
      </c>
    </row>
    <row r="340" spans="1:15">
      <c r="B340">
        <v>21</v>
      </c>
      <c r="C340" s="736" t="s">
        <v>2747</v>
      </c>
      <c r="E340" s="167" t="s">
        <v>3161</v>
      </c>
      <c r="F340" s="167" t="s">
        <v>3161</v>
      </c>
      <c r="G340" s="167" t="s">
        <v>3161</v>
      </c>
      <c r="J340" s="553"/>
      <c r="K340" s="554"/>
      <c r="L340" s="554"/>
      <c r="M340" s="554"/>
      <c r="N340" s="734"/>
      <c r="O340" s="5"/>
    </row>
    <row r="341" spans="1:15">
      <c r="B341">
        <v>21</v>
      </c>
      <c r="C341" s="670" t="s">
        <v>1517</v>
      </c>
      <c r="D341" s="565" t="s">
        <v>3533</v>
      </c>
      <c r="E341" s="167">
        <f t="shared" ref="E341:G346" si="57">INDEX($I341:$O341,cbalSpecProg21Duration +1)</f>
        <v>0</v>
      </c>
      <c r="F341" s="167">
        <f t="shared" si="57"/>
        <v>0</v>
      </c>
      <c r="G341" s="167">
        <f t="shared" si="57"/>
        <v>0</v>
      </c>
      <c r="I341">
        <v>0</v>
      </c>
      <c r="J341" s="732">
        <v>-0.02</v>
      </c>
      <c r="K341" s="385">
        <v>-0.02</v>
      </c>
      <c r="L341" s="385">
        <v>-0.02</v>
      </c>
      <c r="M341" s="385">
        <v>-0.02</v>
      </c>
      <c r="N341" s="735" t="s">
        <v>182</v>
      </c>
      <c r="O341" s="5">
        <v>3</v>
      </c>
    </row>
    <row r="342" spans="1:15">
      <c r="B342">
        <v>21</v>
      </c>
      <c r="C342" s="670" t="s">
        <v>2065</v>
      </c>
      <c r="D342" s="565" t="s">
        <v>3534</v>
      </c>
      <c r="E342" s="167">
        <f t="shared" si="57"/>
        <v>0</v>
      </c>
      <c r="F342" s="167">
        <f t="shared" si="57"/>
        <v>0</v>
      </c>
      <c r="G342" s="167">
        <f t="shared" si="57"/>
        <v>0</v>
      </c>
      <c r="I342">
        <v>0</v>
      </c>
      <c r="J342" s="732">
        <v>-0.02</v>
      </c>
      <c r="K342" s="385">
        <v>-0.02</v>
      </c>
      <c r="L342" s="385">
        <v>-0.02</v>
      </c>
      <c r="M342" s="385">
        <v>-0.02</v>
      </c>
      <c r="N342" s="735" t="s">
        <v>182</v>
      </c>
      <c r="O342" s="5">
        <v>3</v>
      </c>
    </row>
    <row r="343" spans="1:15">
      <c r="B343">
        <v>21</v>
      </c>
      <c r="C343" s="670" t="s">
        <v>1519</v>
      </c>
      <c r="D343" s="565" t="s">
        <v>3535</v>
      </c>
      <c r="E343" s="167">
        <f t="shared" si="57"/>
        <v>0</v>
      </c>
      <c r="F343" s="167">
        <f t="shared" si="57"/>
        <v>0</v>
      </c>
      <c r="G343" s="167">
        <f t="shared" si="57"/>
        <v>0</v>
      </c>
      <c r="I343">
        <v>0</v>
      </c>
      <c r="J343" s="732">
        <v>-0.02</v>
      </c>
      <c r="K343" s="385">
        <v>-0.02</v>
      </c>
      <c r="L343" s="385">
        <v>-0.02</v>
      </c>
      <c r="M343" s="385">
        <v>-0.02</v>
      </c>
      <c r="N343" s="735" t="s">
        <v>182</v>
      </c>
      <c r="O343" s="5">
        <v>3</v>
      </c>
    </row>
    <row r="344" spans="1:15">
      <c r="B344">
        <v>21</v>
      </c>
      <c r="C344" s="670" t="s">
        <v>2067</v>
      </c>
      <c r="D344" s="565" t="s">
        <v>3536</v>
      </c>
      <c r="E344" s="167">
        <f t="shared" si="57"/>
        <v>0</v>
      </c>
      <c r="F344" s="167">
        <f t="shared" si="57"/>
        <v>0</v>
      </c>
      <c r="G344" s="167">
        <f t="shared" si="57"/>
        <v>0</v>
      </c>
      <c r="I344">
        <v>0</v>
      </c>
      <c r="J344" s="732">
        <v>-0.02</v>
      </c>
      <c r="K344" s="385">
        <v>-0.02</v>
      </c>
      <c r="L344" s="385">
        <v>-0.02</v>
      </c>
      <c r="M344" s="385">
        <v>-0.02</v>
      </c>
      <c r="N344" s="735" t="s">
        <v>182</v>
      </c>
      <c r="O344" s="5">
        <v>3</v>
      </c>
    </row>
    <row r="345" spans="1:15">
      <c r="B345">
        <v>21</v>
      </c>
      <c r="C345" s="670" t="s">
        <v>1475</v>
      </c>
      <c r="D345" s="565" t="s">
        <v>1493</v>
      </c>
      <c r="E345" s="167">
        <f t="shared" si="57"/>
        <v>0</v>
      </c>
      <c r="F345" s="167">
        <f t="shared" si="57"/>
        <v>0</v>
      </c>
      <c r="G345" s="167">
        <f t="shared" si="57"/>
        <v>0</v>
      </c>
      <c r="I345">
        <v>0</v>
      </c>
      <c r="J345" s="732">
        <v>-0.02</v>
      </c>
      <c r="K345" s="385">
        <v>-0.02</v>
      </c>
      <c r="L345" s="385">
        <v>-0.02</v>
      </c>
      <c r="M345" s="385">
        <v>-0.02</v>
      </c>
      <c r="N345" s="735" t="s">
        <v>182</v>
      </c>
      <c r="O345" s="5">
        <v>3</v>
      </c>
    </row>
    <row r="346" spans="1:15">
      <c r="B346">
        <v>21</v>
      </c>
      <c r="C346" s="670" t="s">
        <v>1495</v>
      </c>
      <c r="D346" s="565" t="s">
        <v>1496</v>
      </c>
      <c r="E346" s="167">
        <f t="shared" si="57"/>
        <v>0</v>
      </c>
      <c r="F346" s="167">
        <f t="shared" si="57"/>
        <v>0</v>
      </c>
      <c r="G346" s="167">
        <f t="shared" si="57"/>
        <v>0</v>
      </c>
      <c r="I346">
        <v>0</v>
      </c>
      <c r="J346" s="732">
        <v>-0.02</v>
      </c>
      <c r="K346" s="385">
        <v>-0.02</v>
      </c>
      <c r="L346" s="385">
        <v>-0.02</v>
      </c>
      <c r="M346" s="385">
        <v>-0.02</v>
      </c>
      <c r="N346" s="735" t="s">
        <v>182</v>
      </c>
      <c r="O346" s="5">
        <v>3</v>
      </c>
    </row>
    <row r="347" spans="1:15">
      <c r="D347" s="565"/>
      <c r="E347" s="167" t="s">
        <v>3161</v>
      </c>
      <c r="F347" s="167" t="s">
        <v>3161</v>
      </c>
      <c r="G347" s="167" t="s">
        <v>3161</v>
      </c>
      <c r="J347" s="553"/>
      <c r="K347" s="554"/>
      <c r="L347" s="554"/>
      <c r="M347" s="554"/>
      <c r="N347" s="554"/>
    </row>
    <row r="348" spans="1:15">
      <c r="B348">
        <v>22</v>
      </c>
      <c r="C348" s="3" t="s">
        <v>4470</v>
      </c>
      <c r="D348" t="s">
        <v>3566</v>
      </c>
      <c r="E348" s="167">
        <f>INDEX($I348:$O348,cbalSpecProg22Duration +1)</f>
        <v>0</v>
      </c>
      <c r="F348" s="167">
        <f>INDEX($I348:$O348,cbalSpecProg22Duration +1)</f>
        <v>0</v>
      </c>
      <c r="G348" s="167">
        <f>INDEX($I348:$O348,cbalSpecProg22Duration +1)</f>
        <v>0</v>
      </c>
      <c r="I348">
        <v>0</v>
      </c>
      <c r="J348" s="553"/>
      <c r="K348" s="554"/>
      <c r="L348" s="554"/>
      <c r="M348" s="554"/>
      <c r="N348" s="554"/>
    </row>
    <row r="349" spans="1:15">
      <c r="B349">
        <v>22</v>
      </c>
      <c r="C349" s="736" t="s">
        <v>2746</v>
      </c>
      <c r="E349" s="167" t="s">
        <v>3161</v>
      </c>
      <c r="F349" s="167" t="s">
        <v>3161</v>
      </c>
      <c r="G349" s="167" t="s">
        <v>3161</v>
      </c>
      <c r="J349" s="553"/>
      <c r="K349" s="554"/>
      <c r="L349" s="554"/>
      <c r="M349" s="554"/>
      <c r="N349" s="734"/>
      <c r="O349" s="5"/>
    </row>
    <row r="350" spans="1:15">
      <c r="A350" t="str">
        <f>"Costa"&amp; B350</f>
        <v>Costa22</v>
      </c>
      <c r="B350">
        <v>22</v>
      </c>
      <c r="C350" s="599" t="s">
        <v>2118</v>
      </c>
      <c r="D350" s="565" t="s">
        <v>1000</v>
      </c>
      <c r="E350" s="167">
        <f t="shared" ref="E350:G351" si="58">INDEX($I350:$O350,cbalSpecProg22Duration +1)</f>
        <v>0</v>
      </c>
      <c r="F350" s="167">
        <f t="shared" si="58"/>
        <v>0</v>
      </c>
      <c r="G350" s="167">
        <f t="shared" si="58"/>
        <v>0</v>
      </c>
      <c r="H350" t="str">
        <f>C350&amp;"Init"&amp;B350</f>
        <v>SP-3Init22</v>
      </c>
      <c r="I350">
        <v>0</v>
      </c>
      <c r="J350" s="727">
        <v>5000000</v>
      </c>
      <c r="K350" s="554"/>
      <c r="L350" s="554"/>
      <c r="M350" s="554"/>
      <c r="N350" s="735" t="s">
        <v>182</v>
      </c>
      <c r="O350" s="5">
        <v>3</v>
      </c>
    </row>
    <row r="351" spans="1:15">
      <c r="A351" t="str">
        <f>"FTEa"&amp; B351</f>
        <v>FTEa22</v>
      </c>
      <c r="B351">
        <v>22</v>
      </c>
      <c r="C351" s="670" t="s">
        <v>2117</v>
      </c>
      <c r="D351" s="565" t="s">
        <v>762</v>
      </c>
      <c r="E351" s="167">
        <f t="shared" si="58"/>
        <v>0</v>
      </c>
      <c r="F351" s="167">
        <f t="shared" si="58"/>
        <v>0</v>
      </c>
      <c r="G351" s="167">
        <f t="shared" si="58"/>
        <v>0</v>
      </c>
      <c r="H351" t="str">
        <f>C351&amp;"Init"&amp;B351</f>
        <v>SP-2Init22</v>
      </c>
      <c r="I351">
        <v>0</v>
      </c>
      <c r="J351" s="727">
        <v>16</v>
      </c>
      <c r="K351" s="554"/>
      <c r="L351" s="554"/>
      <c r="M351" s="554"/>
      <c r="N351" s="735" t="s">
        <v>2733</v>
      </c>
      <c r="O351" s="5">
        <v>4</v>
      </c>
    </row>
    <row r="352" spans="1:15">
      <c r="B352">
        <v>22</v>
      </c>
      <c r="C352" s="736" t="s">
        <v>2740</v>
      </c>
      <c r="D352" s="565"/>
      <c r="E352" s="167" t="s">
        <v>3161</v>
      </c>
      <c r="F352" s="167" t="s">
        <v>3161</v>
      </c>
      <c r="G352" s="167" t="s">
        <v>3161</v>
      </c>
      <c r="J352" s="553"/>
      <c r="K352" s="554"/>
      <c r="L352" s="554"/>
      <c r="M352" s="554"/>
      <c r="N352" s="554"/>
    </row>
    <row r="353" spans="1:16">
      <c r="B353">
        <v>22</v>
      </c>
      <c r="C353" s="670" t="s">
        <v>1389</v>
      </c>
      <c r="D353" s="565" t="s">
        <v>3543</v>
      </c>
      <c r="E353" s="167">
        <f t="shared" ref="E353:G354" si="59">INDEX($I353:$O353,cbalSpecProg22Duration +1)</f>
        <v>0</v>
      </c>
      <c r="F353" s="167">
        <f t="shared" si="59"/>
        <v>0</v>
      </c>
      <c r="G353" s="167">
        <f t="shared" si="59"/>
        <v>0</v>
      </c>
      <c r="I353">
        <v>0</v>
      </c>
      <c r="J353" s="732">
        <v>-0.05</v>
      </c>
      <c r="K353" s="554"/>
      <c r="L353" s="554"/>
      <c r="M353" s="554"/>
      <c r="N353" s="735" t="s">
        <v>2733</v>
      </c>
      <c r="O353" s="5">
        <v>4</v>
      </c>
    </row>
    <row r="354" spans="1:16">
      <c r="B354">
        <v>22</v>
      </c>
      <c r="C354" s="670" t="s">
        <v>1405</v>
      </c>
      <c r="D354" s="565" t="s">
        <v>3544</v>
      </c>
      <c r="E354" s="167">
        <f t="shared" si="59"/>
        <v>0</v>
      </c>
      <c r="F354" s="167">
        <f t="shared" si="59"/>
        <v>0</v>
      </c>
      <c r="G354" s="167">
        <f t="shared" si="59"/>
        <v>0</v>
      </c>
      <c r="I354">
        <v>0</v>
      </c>
      <c r="J354" s="732">
        <v>-0.05</v>
      </c>
      <c r="K354" s="554"/>
      <c r="L354" s="554"/>
      <c r="M354" s="554"/>
      <c r="N354" s="735" t="s">
        <v>2733</v>
      </c>
      <c r="O354" s="5">
        <v>4</v>
      </c>
    </row>
    <row r="355" spans="1:16">
      <c r="B355">
        <v>22</v>
      </c>
      <c r="C355" s="736" t="s">
        <v>447</v>
      </c>
      <c r="E355" s="167" t="s">
        <v>3161</v>
      </c>
      <c r="F355" s="167" t="s">
        <v>3161</v>
      </c>
      <c r="G355" s="167" t="s">
        <v>3161</v>
      </c>
      <c r="J355" s="553"/>
      <c r="K355" s="554"/>
      <c r="L355" s="554"/>
      <c r="M355" s="554"/>
      <c r="N355" s="734"/>
      <c r="O355" s="5"/>
    </row>
    <row r="356" spans="1:16">
      <c r="B356">
        <v>22</v>
      </c>
      <c r="C356" s="670" t="s">
        <v>2132</v>
      </c>
      <c r="D356" s="565" t="s">
        <v>44</v>
      </c>
      <c r="E356" s="167">
        <f>INDEX($I356:$O356,cbalSpecProg22Duration +1)</f>
        <v>0</v>
      </c>
      <c r="F356" s="167">
        <f>INDEX($I356:$O356,cbalSpecProg22Duration +1)</f>
        <v>0</v>
      </c>
      <c r="G356" s="167">
        <f>INDEX($I356:$O356,cbalSpecProg22Duration +1)</f>
        <v>0</v>
      </c>
      <c r="I356">
        <v>0</v>
      </c>
      <c r="J356" s="732">
        <v>5.0000000000000001E-3</v>
      </c>
      <c r="K356" s="385"/>
      <c r="L356" s="385"/>
      <c r="M356" s="385"/>
      <c r="N356" s="735" t="s">
        <v>182</v>
      </c>
      <c r="O356" s="5">
        <v>3</v>
      </c>
    </row>
    <row r="357" spans="1:16">
      <c r="B357">
        <v>22</v>
      </c>
      <c r="C357" s="736" t="s">
        <v>450</v>
      </c>
      <c r="E357" s="167" t="s">
        <v>3161</v>
      </c>
      <c r="F357" s="167" t="s">
        <v>3161</v>
      </c>
      <c r="G357" s="167" t="s">
        <v>3161</v>
      </c>
      <c r="J357" s="553"/>
      <c r="K357" s="554"/>
      <c r="L357" s="554"/>
      <c r="M357" s="554"/>
      <c r="N357" s="734"/>
      <c r="O357" s="5"/>
    </row>
    <row r="358" spans="1:16">
      <c r="B358">
        <v>22</v>
      </c>
      <c r="C358" s="670" t="s">
        <v>2131</v>
      </c>
      <c r="D358" s="565" t="s">
        <v>1044</v>
      </c>
      <c r="E358" s="167">
        <f>INDEX($I358:$O358,cbalSpecProg22Duration +1)</f>
        <v>0</v>
      </c>
      <c r="F358" s="167">
        <f>INDEX($I358:$O358,cbalSpecProg22Duration +1)</f>
        <v>0</v>
      </c>
      <c r="G358" s="167">
        <f>INDEX($I358:$O358,cbalSpecProg22Duration +1)</f>
        <v>0</v>
      </c>
      <c r="I358">
        <v>0</v>
      </c>
      <c r="J358" s="732">
        <v>1.4999999999999999E-2</v>
      </c>
      <c r="K358" s="385"/>
      <c r="L358" s="385"/>
      <c r="M358" s="385"/>
      <c r="N358" s="735" t="s">
        <v>2733</v>
      </c>
      <c r="O358" s="5">
        <v>4</v>
      </c>
    </row>
    <row r="359" spans="1:16">
      <c r="B359">
        <v>22</v>
      </c>
      <c r="C359" s="736" t="s">
        <v>1981</v>
      </c>
      <c r="E359" s="167" t="s">
        <v>3161</v>
      </c>
      <c r="F359" s="167" t="s">
        <v>3161</v>
      </c>
      <c r="G359" s="167" t="s">
        <v>3161</v>
      </c>
      <c r="J359" s="553"/>
      <c r="K359" s="554"/>
      <c r="L359" s="554"/>
      <c r="M359" s="554"/>
      <c r="N359" s="734"/>
      <c r="O359" s="5"/>
    </row>
    <row r="360" spans="1:16">
      <c r="B360">
        <v>22</v>
      </c>
      <c r="C360" s="737" t="s">
        <v>2076</v>
      </c>
      <c r="D360" s="565" t="s">
        <v>1972</v>
      </c>
      <c r="E360" s="167">
        <f>INDEX($I360:$O360,cbalSpecProg22Duration +1)</f>
        <v>0</v>
      </c>
      <c r="F360" s="167">
        <f>INDEX($I360:$O360,cbalSpecProg22Duration +1)</f>
        <v>0</v>
      </c>
      <c r="G360" s="167">
        <f>INDEX($I360:$O360,cbalSpecProg22Duration +1)</f>
        <v>0</v>
      </c>
      <c r="I360">
        <v>0</v>
      </c>
      <c r="J360" s="732">
        <v>0.01</v>
      </c>
      <c r="K360" s="385">
        <v>0.01</v>
      </c>
      <c r="L360" s="385">
        <v>0.01</v>
      </c>
      <c r="M360" s="385">
        <v>0.01</v>
      </c>
      <c r="N360" s="735" t="s">
        <v>182</v>
      </c>
      <c r="O360" s="5">
        <v>3</v>
      </c>
    </row>
    <row r="361" spans="1:16">
      <c r="B361">
        <v>22</v>
      </c>
      <c r="C361" s="599"/>
      <c r="D361" s="565"/>
      <c r="E361" s="167" t="s">
        <v>3161</v>
      </c>
      <c r="F361" s="167" t="s">
        <v>3161</v>
      </c>
      <c r="G361" s="167" t="s">
        <v>3161</v>
      </c>
      <c r="J361" s="553"/>
      <c r="K361" s="554"/>
      <c r="L361" s="554"/>
      <c r="M361" s="554"/>
      <c r="N361" s="554"/>
    </row>
    <row r="362" spans="1:16">
      <c r="A362" s="3" t="s">
        <v>251</v>
      </c>
      <c r="E362" s="167" t="s">
        <v>3161</v>
      </c>
      <c r="F362" s="167" t="s">
        <v>3161</v>
      </c>
      <c r="G362" s="167" t="s">
        <v>3161</v>
      </c>
      <c r="I362">
        <v>0</v>
      </c>
      <c r="J362" s="554"/>
      <c r="K362" s="554"/>
      <c r="L362" s="554"/>
      <c r="M362" s="554"/>
      <c r="N362" s="554"/>
    </row>
    <row r="363" spans="1:16">
      <c r="B363" s="5"/>
      <c r="E363" s="167" t="str">
        <f>IF(NOT(ISBLANK($D363)),"INDEX($I"&amp;ROW($D363)&amp;":$O"&amp;ROW($D363)&amp;",cbalEvent" &amp; $B363 &amp;"Duration)","")</f>
        <v/>
      </c>
      <c r="F363" s="167" t="s">
        <v>3161</v>
      </c>
      <c r="G363" s="167" t="s">
        <v>3161</v>
      </c>
      <c r="I363">
        <v>0</v>
      </c>
      <c r="J363" s="554"/>
      <c r="K363" s="554"/>
      <c r="L363" s="554"/>
      <c r="M363" s="554"/>
      <c r="N363" s="554"/>
    </row>
    <row r="364" spans="1:16">
      <c r="A364" t="s">
        <v>410</v>
      </c>
      <c r="B364">
        <v>101</v>
      </c>
      <c r="C364" s="3" t="s">
        <v>2259</v>
      </c>
      <c r="D364" t="s">
        <v>3567</v>
      </c>
      <c r="E364" s="167">
        <f>INDEX($I364:$O364,cbalEvent101Duration + 1)</f>
        <v>0</v>
      </c>
      <c r="F364" s="167">
        <f>INDEX($I364:$O364,cbalEvent101Duration + 1)</f>
        <v>0</v>
      </c>
      <c r="G364" s="167">
        <f>INDEX($I364:$O364,cbalEvent101Duration + 1)</f>
        <v>0</v>
      </c>
      <c r="I364">
        <v>0</v>
      </c>
      <c r="J364" s="554"/>
      <c r="K364" s="554"/>
      <c r="L364" s="554"/>
      <c r="M364" s="554"/>
      <c r="N364" s="554"/>
    </row>
    <row r="365" spans="1:16">
      <c r="B365">
        <v>101</v>
      </c>
      <c r="C365" s="736" t="s">
        <v>2746</v>
      </c>
      <c r="E365" s="167" t="s">
        <v>3161</v>
      </c>
      <c r="F365" s="167" t="s">
        <v>3161</v>
      </c>
      <c r="G365" s="167" t="s">
        <v>3161</v>
      </c>
      <c r="J365" s="553"/>
      <c r="K365" s="554"/>
      <c r="L365" s="554"/>
      <c r="M365" s="554"/>
      <c r="N365" s="735" t="s">
        <v>1280</v>
      </c>
      <c r="O365" s="733" t="s">
        <v>2785</v>
      </c>
      <c r="P365" s="565" t="s">
        <v>2784</v>
      </c>
    </row>
    <row r="366" spans="1:16">
      <c r="A366" t="str">
        <f>"CashAcqa"&amp; B366</f>
        <v>CashAcqa101</v>
      </c>
      <c r="B366">
        <v>101</v>
      </c>
      <c r="C366" s="599" t="s">
        <v>2121</v>
      </c>
      <c r="D366" s="565" t="s">
        <v>3568</v>
      </c>
      <c r="E366" s="167">
        <f t="shared" ref="E366:G368" si="60">INDEX($I366:$O366,cbalEvent101Duration + 1)</f>
        <v>0</v>
      </c>
      <c r="F366" s="167">
        <f t="shared" si="60"/>
        <v>0</v>
      </c>
      <c r="G366" s="167">
        <f t="shared" si="60"/>
        <v>0</v>
      </c>
      <c r="H366" t="str">
        <f>C366&amp;"Evt"&amp;B366</f>
        <v>SP-6Evt101</v>
      </c>
      <c r="I366">
        <v>0</v>
      </c>
      <c r="J366" s="751">
        <v>45000000</v>
      </c>
      <c r="K366" s="554"/>
      <c r="L366" s="554"/>
      <c r="M366" s="554"/>
      <c r="N366" s="735"/>
      <c r="O366" s="5"/>
    </row>
    <row r="367" spans="1:16">
      <c r="A367" t="str">
        <f>"Costa"&amp; B367</f>
        <v>Costa101</v>
      </c>
      <c r="B367">
        <v>101</v>
      </c>
      <c r="C367" s="1002" t="s">
        <v>2119</v>
      </c>
      <c r="D367" s="565" t="s">
        <v>3530</v>
      </c>
      <c r="E367" s="167">
        <f>INDEX($I367:$O367,cbalEvent101Duration + 1)</f>
        <v>0</v>
      </c>
      <c r="F367" s="167">
        <f>INDEX($I367:$O367,cbalEvent101Duration + 1)</f>
        <v>0</v>
      </c>
      <c r="G367" s="167">
        <f>INDEX($I367:$O367,cbalEvent101Duration + 1)</f>
        <v>0</v>
      </c>
      <c r="H367" t="str">
        <f>C367&amp;"Evt"&amp;B367</f>
        <v>SP-4Evt101</v>
      </c>
      <c r="I367">
        <v>0</v>
      </c>
      <c r="J367" s="727">
        <v>10000000</v>
      </c>
      <c r="K367" s="554"/>
      <c r="L367" s="554"/>
      <c r="M367" s="554"/>
      <c r="N367" s="735" t="s">
        <v>180</v>
      </c>
      <c r="O367" s="5">
        <v>5</v>
      </c>
      <c r="P367">
        <v>2</v>
      </c>
    </row>
    <row r="368" spans="1:16">
      <c r="A368" t="str">
        <f>"FTEa"&amp; B368</f>
        <v>FTEa101</v>
      </c>
      <c r="B368">
        <v>101</v>
      </c>
      <c r="C368" s="670" t="s">
        <v>3002</v>
      </c>
      <c r="D368" s="565" t="s">
        <v>3531</v>
      </c>
      <c r="E368" s="167">
        <f t="shared" si="60"/>
        <v>0</v>
      </c>
      <c r="F368" s="167">
        <f t="shared" si="60"/>
        <v>0</v>
      </c>
      <c r="G368" s="167">
        <f t="shared" si="60"/>
        <v>0</v>
      </c>
      <c r="H368" t="str">
        <f>C368&amp;"Evt"&amp;B368</f>
        <v>SP-16Evt101</v>
      </c>
      <c r="I368">
        <v>0</v>
      </c>
      <c r="J368" s="727">
        <v>16</v>
      </c>
      <c r="K368" s="554"/>
      <c r="L368" s="554"/>
      <c r="M368" s="554"/>
      <c r="N368" s="735" t="s">
        <v>2733</v>
      </c>
      <c r="O368" s="5">
        <v>4</v>
      </c>
      <c r="P368">
        <v>2</v>
      </c>
    </row>
    <row r="369" spans="1:16">
      <c r="B369">
        <v>101</v>
      </c>
      <c r="C369" s="736" t="s">
        <v>2740</v>
      </c>
      <c r="E369" s="167" t="s">
        <v>3161</v>
      </c>
      <c r="F369" s="167" t="s">
        <v>3161</v>
      </c>
      <c r="G369" s="167" t="s">
        <v>3161</v>
      </c>
      <c r="J369" s="553"/>
      <c r="K369" s="554"/>
      <c r="L369" s="554"/>
      <c r="M369" s="554"/>
      <c r="N369" s="735"/>
      <c r="O369" s="733"/>
      <c r="P369" s="565"/>
    </row>
    <row r="370" spans="1:16">
      <c r="B370">
        <v>101</v>
      </c>
      <c r="C370" s="670" t="s">
        <v>1389</v>
      </c>
      <c r="D370" s="565" t="s">
        <v>3543</v>
      </c>
      <c r="E370" s="167">
        <f>INDEX($I370:$O370,cbalEvent101Duration + 1)</f>
        <v>0</v>
      </c>
      <c r="F370" s="167">
        <f>INDEX($I370:$O370,cbalEvent101Duration + 1)</f>
        <v>0</v>
      </c>
      <c r="G370" s="167">
        <f>INDEX($I370:$O370,cbalEvent101Duration + 1)</f>
        <v>0</v>
      </c>
      <c r="I370">
        <v>0</v>
      </c>
      <c r="J370" s="1114">
        <v>0</v>
      </c>
      <c r="K370" s="554"/>
      <c r="L370" s="554"/>
      <c r="M370" s="554"/>
      <c r="N370" s="735" t="s">
        <v>182</v>
      </c>
      <c r="O370" s="5">
        <v>3</v>
      </c>
      <c r="P370">
        <v>1</v>
      </c>
    </row>
    <row r="371" spans="1:16">
      <c r="B371">
        <v>101</v>
      </c>
      <c r="C371" s="736" t="s">
        <v>1276</v>
      </c>
      <c r="E371" s="167" t="s">
        <v>3161</v>
      </c>
      <c r="F371" s="167" t="s">
        <v>3161</v>
      </c>
      <c r="G371" s="167" t="s">
        <v>3161</v>
      </c>
      <c r="J371" s="553"/>
      <c r="K371" s="554"/>
      <c r="L371" s="554"/>
      <c r="M371" s="554"/>
      <c r="N371" s="735"/>
      <c r="O371" s="733"/>
      <c r="P371" s="565"/>
    </row>
    <row r="372" spans="1:16">
      <c r="B372">
        <v>101</v>
      </c>
      <c r="C372" s="670" t="s">
        <v>2761</v>
      </c>
      <c r="D372" s="565" t="s">
        <v>3569</v>
      </c>
      <c r="E372" s="167">
        <f t="shared" ref="E372:G373" si="61">INDEX($I372:$O372,cbalEvent101Duration + 1)</f>
        <v>0</v>
      </c>
      <c r="F372" s="167">
        <f t="shared" si="61"/>
        <v>0</v>
      </c>
      <c r="G372" s="167">
        <f t="shared" si="61"/>
        <v>0</v>
      </c>
      <c r="I372">
        <v>0</v>
      </c>
      <c r="J372" s="1113">
        <v>1000</v>
      </c>
      <c r="K372" s="554"/>
      <c r="L372" s="554"/>
      <c r="M372" s="554"/>
      <c r="N372" s="735" t="s">
        <v>180</v>
      </c>
      <c r="O372" s="5">
        <v>5</v>
      </c>
      <c r="P372">
        <v>1</v>
      </c>
    </row>
    <row r="373" spans="1:16">
      <c r="B373">
        <v>101</v>
      </c>
      <c r="C373" s="670" t="s">
        <v>1430</v>
      </c>
      <c r="D373" s="565" t="s">
        <v>3563</v>
      </c>
      <c r="E373" s="167">
        <f>INDEX($I373:$O373,cbalEvent101Duration + 1)</f>
        <v>0</v>
      </c>
      <c r="F373" s="167">
        <f t="shared" si="61"/>
        <v>0</v>
      </c>
      <c r="G373" s="167">
        <f t="shared" si="61"/>
        <v>0</v>
      </c>
      <c r="I373">
        <v>0</v>
      </c>
      <c r="J373" s="1114">
        <v>0.05</v>
      </c>
      <c r="K373" s="1114">
        <v>0.05</v>
      </c>
      <c r="L373" s="1114">
        <v>0.05</v>
      </c>
      <c r="M373" s="1114">
        <v>0.05</v>
      </c>
      <c r="N373" s="735" t="s">
        <v>180</v>
      </c>
      <c r="O373" s="5">
        <v>5</v>
      </c>
      <c r="P373">
        <v>1</v>
      </c>
    </row>
    <row r="374" spans="1:16">
      <c r="B374">
        <v>101</v>
      </c>
      <c r="C374" s="736" t="s">
        <v>2775</v>
      </c>
      <c r="E374" s="167" t="s">
        <v>3161</v>
      </c>
      <c r="F374" s="167" t="s">
        <v>3161</v>
      </c>
      <c r="G374" s="167" t="s">
        <v>3161</v>
      </c>
      <c r="J374" s="553"/>
      <c r="K374" s="554"/>
      <c r="L374" s="554"/>
      <c r="M374" s="554"/>
      <c r="N374" s="735"/>
      <c r="O374" s="733"/>
      <c r="P374" s="565"/>
    </row>
    <row r="375" spans="1:16">
      <c r="B375" s="5">
        <v>101</v>
      </c>
      <c r="C375" s="670" t="s">
        <v>2125</v>
      </c>
      <c r="D375" s="565" t="s">
        <v>3524</v>
      </c>
      <c r="E375" s="167">
        <f>INDEX($I375:$O375,cbalEvent101Duration + 1)</f>
        <v>0</v>
      </c>
      <c r="F375" s="167">
        <f>INDEX($I375:$O375,cbalEvent101Duration + 1)</f>
        <v>0</v>
      </c>
      <c r="G375" s="167">
        <f>INDEX($I375:$O375,cbalEvent101Duration + 1)</f>
        <v>0</v>
      </c>
      <c r="I375">
        <v>0</v>
      </c>
      <c r="J375">
        <v>0</v>
      </c>
      <c r="K375" s="732">
        <v>0.01</v>
      </c>
      <c r="L375" s="385">
        <v>0.01</v>
      </c>
      <c r="M375" s="385">
        <v>0.01</v>
      </c>
      <c r="N375" s="735" t="s">
        <v>182</v>
      </c>
      <c r="O375" s="5">
        <v>3</v>
      </c>
      <c r="P375">
        <v>1</v>
      </c>
    </row>
    <row r="376" spans="1:16">
      <c r="B376" s="5"/>
      <c r="C376" s="599"/>
      <c r="E376" s="167" t="s">
        <v>3161</v>
      </c>
      <c r="F376" s="167" t="s">
        <v>3161</v>
      </c>
      <c r="G376" s="167" t="s">
        <v>3161</v>
      </c>
      <c r="J376" s="553"/>
      <c r="K376" s="554"/>
      <c r="L376" s="554"/>
      <c r="M376" s="554"/>
      <c r="N376" s="554"/>
    </row>
    <row r="377" spans="1:16">
      <c r="A377" s="565" t="s">
        <v>411</v>
      </c>
      <c r="B377">
        <v>102</v>
      </c>
      <c r="C377" s="3" t="s">
        <v>2260</v>
      </c>
      <c r="D377" t="s">
        <v>3570</v>
      </c>
      <c r="E377" s="167">
        <f>INDEX($I377:$O377,cbalEvent102Duration + 1)</f>
        <v>0</v>
      </c>
      <c r="F377" s="167">
        <f>INDEX($I377:$O377,cbalEvent102Duration + 1)</f>
        <v>0</v>
      </c>
      <c r="G377" s="167">
        <f>INDEX($I377:$O377,cbalEvent102Duration + 1)</f>
        <v>0</v>
      </c>
      <c r="I377">
        <v>0</v>
      </c>
      <c r="J377" s="554"/>
      <c r="K377" s="554"/>
      <c r="L377" s="554"/>
      <c r="M377" s="554"/>
      <c r="N377" s="554"/>
    </row>
    <row r="378" spans="1:16">
      <c r="B378">
        <v>102</v>
      </c>
      <c r="C378" s="736" t="s">
        <v>2746</v>
      </c>
      <c r="E378" s="167" t="s">
        <v>3161</v>
      </c>
      <c r="F378" s="167" t="s">
        <v>3161</v>
      </c>
      <c r="G378" s="167" t="s">
        <v>3161</v>
      </c>
      <c r="J378" s="553"/>
      <c r="K378" s="554"/>
      <c r="L378" s="554"/>
      <c r="M378" s="554"/>
      <c r="N378" s="735"/>
      <c r="O378" s="733"/>
      <c r="P378" s="565"/>
    </row>
    <row r="379" spans="1:16">
      <c r="A379" t="str">
        <f>"Costa"&amp; B379</f>
        <v>Costa102</v>
      </c>
      <c r="B379">
        <v>102</v>
      </c>
      <c r="C379" s="599" t="s">
        <v>2119</v>
      </c>
      <c r="D379" s="565" t="s">
        <v>3530</v>
      </c>
      <c r="E379" s="167">
        <f t="shared" ref="E379:G380" si="62">INDEX($I379:$O379,cbalEvent102Duration + 1)</f>
        <v>0</v>
      </c>
      <c r="F379" s="167">
        <f t="shared" si="62"/>
        <v>0</v>
      </c>
      <c r="G379" s="167">
        <f t="shared" si="62"/>
        <v>0</v>
      </c>
      <c r="H379" t="str">
        <f>C379&amp;"Evt"&amp;B379</f>
        <v>SP-4Evt102</v>
      </c>
      <c r="I379">
        <v>0</v>
      </c>
      <c r="J379" s="727">
        <v>20000000</v>
      </c>
      <c r="K379" s="554"/>
      <c r="L379" s="554"/>
      <c r="M379" s="554"/>
      <c r="N379" s="735" t="s">
        <v>180</v>
      </c>
      <c r="O379" s="5">
        <v>5</v>
      </c>
      <c r="P379">
        <v>2</v>
      </c>
    </row>
    <row r="380" spans="1:16">
      <c r="A380" t="str">
        <f>"FTEa"&amp; B380</f>
        <v>FTEa102</v>
      </c>
      <c r="B380">
        <v>102</v>
      </c>
      <c r="C380" s="670" t="s">
        <v>3002</v>
      </c>
      <c r="D380" s="565" t="s">
        <v>3531</v>
      </c>
      <c r="E380" s="167">
        <f t="shared" si="62"/>
        <v>0</v>
      </c>
      <c r="F380" s="167">
        <f t="shared" si="62"/>
        <v>0</v>
      </c>
      <c r="G380" s="167">
        <f t="shared" si="62"/>
        <v>0</v>
      </c>
      <c r="H380" t="str">
        <f>C380&amp;"Evt"&amp;B380</f>
        <v>SP-16Evt102</v>
      </c>
      <c r="I380">
        <v>0</v>
      </c>
      <c r="J380" s="727">
        <v>24</v>
      </c>
      <c r="K380" s="554"/>
      <c r="L380" s="554"/>
      <c r="M380" s="554"/>
      <c r="N380" s="735" t="s">
        <v>180</v>
      </c>
      <c r="O380" s="5">
        <v>5</v>
      </c>
      <c r="P380">
        <v>2</v>
      </c>
    </row>
    <row r="381" spans="1:16">
      <c r="B381">
        <v>102</v>
      </c>
      <c r="C381" s="736" t="s">
        <v>1276</v>
      </c>
      <c r="E381" s="167" t="s">
        <v>3161</v>
      </c>
      <c r="F381" s="167" t="s">
        <v>3161</v>
      </c>
      <c r="G381" s="167" t="s">
        <v>3161</v>
      </c>
      <c r="J381" s="553"/>
      <c r="K381" s="554"/>
      <c r="L381" s="554"/>
      <c r="M381" s="554"/>
      <c r="N381" s="735"/>
      <c r="O381" s="733"/>
      <c r="P381" s="565"/>
    </row>
    <row r="382" spans="1:16">
      <c r="B382">
        <v>102</v>
      </c>
      <c r="C382" s="670" t="s">
        <v>2761</v>
      </c>
      <c r="D382" s="565" t="s">
        <v>3569</v>
      </c>
      <c r="E382" s="167">
        <f t="shared" ref="E382:G383" si="63">INDEX($I382:$O382,cbalEvent102Duration + 1)</f>
        <v>0</v>
      </c>
      <c r="F382" s="167">
        <f t="shared" si="63"/>
        <v>0</v>
      </c>
      <c r="G382" s="167">
        <f t="shared" si="63"/>
        <v>0</v>
      </c>
      <c r="I382">
        <v>0</v>
      </c>
      <c r="J382" s="1113">
        <v>750</v>
      </c>
      <c r="K382" s="554"/>
      <c r="L382" s="554"/>
      <c r="M382" s="554"/>
      <c r="N382" s="735" t="s">
        <v>2733</v>
      </c>
      <c r="O382" s="5">
        <v>4</v>
      </c>
      <c r="P382">
        <v>1</v>
      </c>
    </row>
    <row r="383" spans="1:16">
      <c r="B383">
        <v>102</v>
      </c>
      <c r="C383" s="670" t="s">
        <v>1430</v>
      </c>
      <c r="D383" s="565" t="s">
        <v>3563</v>
      </c>
      <c r="E383" s="167">
        <f t="shared" si="63"/>
        <v>0</v>
      </c>
      <c r="F383" s="167">
        <f t="shared" si="63"/>
        <v>0</v>
      </c>
      <c r="G383" s="167">
        <f t="shared" si="63"/>
        <v>0</v>
      </c>
      <c r="I383">
        <v>0</v>
      </c>
      <c r="J383" s="732">
        <v>0.05</v>
      </c>
      <c r="K383" s="1115">
        <v>0.1</v>
      </c>
      <c r="L383" s="1115">
        <v>0.1</v>
      </c>
      <c r="M383" s="1115">
        <v>0.1</v>
      </c>
      <c r="N383" s="735" t="s">
        <v>2733</v>
      </c>
      <c r="O383" s="5">
        <v>4</v>
      </c>
      <c r="P383">
        <v>1</v>
      </c>
    </row>
    <row r="384" spans="1:16">
      <c r="B384">
        <v>102</v>
      </c>
      <c r="C384" s="736" t="s">
        <v>2775</v>
      </c>
      <c r="E384" s="167" t="s">
        <v>3161</v>
      </c>
      <c r="F384" s="167" t="s">
        <v>3161</v>
      </c>
      <c r="G384" s="167" t="s">
        <v>3161</v>
      </c>
      <c r="J384" s="553"/>
      <c r="K384" s="554"/>
      <c r="L384" s="554"/>
      <c r="M384" s="554"/>
      <c r="N384" s="735"/>
      <c r="O384" s="733"/>
      <c r="P384" s="565"/>
    </row>
    <row r="385" spans="1:16">
      <c r="B385">
        <v>102</v>
      </c>
      <c r="C385" s="670" t="s">
        <v>2125</v>
      </c>
      <c r="D385" s="565" t="s">
        <v>3524</v>
      </c>
      <c r="E385" s="167">
        <f>INDEX($I385:$O385,cbalEvent102Duration + 1)</f>
        <v>0</v>
      </c>
      <c r="F385" s="167">
        <f>INDEX($I385:$O385,cbalEvent102Duration + 1)</f>
        <v>0</v>
      </c>
      <c r="G385" s="167">
        <f>INDEX($I385:$O385,cbalEvent102Duration + 1)</f>
        <v>0</v>
      </c>
      <c r="I385">
        <v>0</v>
      </c>
      <c r="J385">
        <v>0</v>
      </c>
      <c r="K385" s="732">
        <v>0.01</v>
      </c>
      <c r="L385" s="385">
        <v>0.01</v>
      </c>
      <c r="M385" s="385">
        <v>0.01</v>
      </c>
      <c r="N385" s="735" t="s">
        <v>182</v>
      </c>
      <c r="O385" s="5">
        <v>3</v>
      </c>
      <c r="P385">
        <v>1</v>
      </c>
    </row>
    <row r="386" spans="1:16">
      <c r="B386" s="5"/>
      <c r="C386" s="599"/>
      <c r="E386" s="167" t="s">
        <v>3161</v>
      </c>
      <c r="F386" s="167" t="s">
        <v>3161</v>
      </c>
      <c r="G386" s="167" t="s">
        <v>3161</v>
      </c>
      <c r="J386" s="553"/>
      <c r="K386" s="554"/>
      <c r="L386" s="554"/>
      <c r="M386" s="554"/>
      <c r="N386" s="554"/>
    </row>
    <row r="387" spans="1:16">
      <c r="A387" s="565" t="s">
        <v>2251</v>
      </c>
      <c r="B387">
        <v>103</v>
      </c>
      <c r="C387" s="3" t="s">
        <v>2261</v>
      </c>
      <c r="D387" t="s">
        <v>3571</v>
      </c>
      <c r="E387" s="167">
        <f>INDEX($I387:$O387,cbalEvent103Duration + 1)</f>
        <v>0</v>
      </c>
      <c r="F387" s="167">
        <f>INDEX($I387:$O387,cbalEvent103Duration + 1)</f>
        <v>0</v>
      </c>
      <c r="G387" s="167">
        <f>INDEX($I387:$O387,cbalEvent103Duration + 1)</f>
        <v>0</v>
      </c>
      <c r="I387">
        <v>0</v>
      </c>
      <c r="J387" s="554"/>
      <c r="K387" s="554"/>
      <c r="L387" s="554"/>
      <c r="M387" s="554"/>
      <c r="N387" s="554"/>
    </row>
    <row r="388" spans="1:16">
      <c r="B388">
        <v>103</v>
      </c>
      <c r="C388" s="736" t="s">
        <v>2746</v>
      </c>
      <c r="E388" s="167" t="s">
        <v>3161</v>
      </c>
      <c r="F388" s="167" t="s">
        <v>3161</v>
      </c>
      <c r="G388" s="167" t="s">
        <v>3161</v>
      </c>
      <c r="J388" s="553"/>
      <c r="K388" s="554"/>
      <c r="L388" s="554"/>
      <c r="M388" s="554"/>
      <c r="N388" s="735"/>
      <c r="O388" s="733"/>
      <c r="P388" s="565"/>
    </row>
    <row r="389" spans="1:16">
      <c r="A389" t="str">
        <f>"Costa"&amp; B389</f>
        <v>Costa103</v>
      </c>
      <c r="B389">
        <v>103</v>
      </c>
      <c r="C389" s="599" t="s">
        <v>2119</v>
      </c>
      <c r="D389" s="565" t="s">
        <v>3530</v>
      </c>
      <c r="E389" s="167">
        <f t="shared" ref="E389:G390" si="64">INDEX($I389:$O389,cbalEvent103Duration + 1)</f>
        <v>0</v>
      </c>
      <c r="F389" s="167">
        <f t="shared" si="64"/>
        <v>0</v>
      </c>
      <c r="G389" s="167">
        <f t="shared" si="64"/>
        <v>0</v>
      </c>
      <c r="H389" t="str">
        <f>C389&amp;"Evt"&amp;B389</f>
        <v>SP-4Evt103</v>
      </c>
      <c r="I389">
        <v>0</v>
      </c>
      <c r="J389" s="727">
        <v>7500000</v>
      </c>
      <c r="K389" s="554"/>
      <c r="L389" s="554"/>
      <c r="M389" s="554"/>
      <c r="N389" s="735" t="s">
        <v>2733</v>
      </c>
      <c r="O389" s="5">
        <v>4</v>
      </c>
      <c r="P389">
        <v>1.5</v>
      </c>
    </row>
    <row r="390" spans="1:16">
      <c r="A390" t="str">
        <f>"FTEa"&amp; B390</f>
        <v>FTEa103</v>
      </c>
      <c r="B390">
        <v>103</v>
      </c>
      <c r="C390" s="670" t="s">
        <v>3002</v>
      </c>
      <c r="D390" s="565" t="s">
        <v>3531</v>
      </c>
      <c r="E390" s="167">
        <f t="shared" si="64"/>
        <v>0</v>
      </c>
      <c r="F390" s="167">
        <f t="shared" si="64"/>
        <v>0</v>
      </c>
      <c r="G390" s="167">
        <f t="shared" si="64"/>
        <v>0</v>
      </c>
      <c r="H390" t="str">
        <f>C390&amp;"Evt"&amp;B390</f>
        <v>SP-16Evt103</v>
      </c>
      <c r="I390">
        <v>0</v>
      </c>
      <c r="J390" s="727">
        <v>10</v>
      </c>
      <c r="K390" s="554"/>
      <c r="L390" s="554"/>
      <c r="M390" s="554"/>
      <c r="N390" s="735" t="s">
        <v>182</v>
      </c>
      <c r="O390" s="5">
        <v>3</v>
      </c>
      <c r="P390">
        <v>2</v>
      </c>
    </row>
    <row r="391" spans="1:16">
      <c r="B391">
        <v>103</v>
      </c>
      <c r="C391" s="736" t="s">
        <v>1276</v>
      </c>
      <c r="E391" s="167" t="s">
        <v>3161</v>
      </c>
      <c r="F391" s="167" t="s">
        <v>3161</v>
      </c>
      <c r="G391" s="167" t="s">
        <v>3161</v>
      </c>
      <c r="J391" s="553"/>
      <c r="K391" s="554"/>
      <c r="L391" s="554"/>
      <c r="M391" s="554"/>
      <c r="N391" s="735"/>
      <c r="O391" s="733"/>
      <c r="P391" s="565"/>
    </row>
    <row r="392" spans="1:16">
      <c r="B392">
        <v>103</v>
      </c>
      <c r="C392" s="670" t="s">
        <v>2761</v>
      </c>
      <c r="D392" s="565" t="s">
        <v>3569</v>
      </c>
      <c r="E392" s="167">
        <f t="shared" ref="E392:G393" si="65">INDEX($I392:$O392,cbalEvent103Duration + 1)</f>
        <v>0</v>
      </c>
      <c r="F392" s="167">
        <f t="shared" si="65"/>
        <v>0</v>
      </c>
      <c r="G392" s="167">
        <f t="shared" si="65"/>
        <v>0</v>
      </c>
      <c r="I392">
        <v>0</v>
      </c>
      <c r="J392" s="727">
        <v>500</v>
      </c>
      <c r="K392" s="554"/>
      <c r="L392" s="554"/>
      <c r="M392" s="554"/>
      <c r="N392" s="735" t="s">
        <v>182</v>
      </c>
      <c r="O392" s="5">
        <v>3</v>
      </c>
      <c r="P392">
        <v>1</v>
      </c>
    </row>
    <row r="393" spans="1:16">
      <c r="B393">
        <v>103</v>
      </c>
      <c r="C393" s="670" t="s">
        <v>1430</v>
      </c>
      <c r="D393" s="565" t="s">
        <v>3563</v>
      </c>
      <c r="E393" s="167">
        <f t="shared" si="65"/>
        <v>0</v>
      </c>
      <c r="F393" s="167">
        <f t="shared" si="65"/>
        <v>0</v>
      </c>
      <c r="G393" s="167">
        <f t="shared" si="65"/>
        <v>0</v>
      </c>
      <c r="I393">
        <v>0</v>
      </c>
      <c r="J393" s="732">
        <v>0.02</v>
      </c>
      <c r="K393" s="385">
        <v>0.02</v>
      </c>
      <c r="L393" s="385">
        <v>0.02</v>
      </c>
      <c r="M393" s="385">
        <v>0.02</v>
      </c>
      <c r="N393" s="735" t="s">
        <v>182</v>
      </c>
      <c r="O393" s="5">
        <v>3</v>
      </c>
      <c r="P393">
        <v>1</v>
      </c>
    </row>
    <row r="394" spans="1:16">
      <c r="B394">
        <v>103</v>
      </c>
      <c r="C394" s="736" t="s">
        <v>2786</v>
      </c>
      <c r="E394" s="167" t="s">
        <v>3161</v>
      </c>
      <c r="F394" s="167" t="s">
        <v>3161</v>
      </c>
      <c r="G394" s="167" t="s">
        <v>3161</v>
      </c>
      <c r="J394" s="553"/>
      <c r="K394" s="554"/>
      <c r="L394" s="554"/>
      <c r="M394" s="554"/>
      <c r="N394" s="735"/>
      <c r="O394" s="733"/>
      <c r="P394" s="565"/>
    </row>
    <row r="395" spans="1:16">
      <c r="B395">
        <v>103</v>
      </c>
      <c r="C395" s="599" t="s">
        <v>2749</v>
      </c>
      <c r="D395" s="565" t="s">
        <v>3539</v>
      </c>
      <c r="E395" s="167">
        <f>INDEX($I395:$O395,cbalEvent103Duration + 1)</f>
        <v>0</v>
      </c>
      <c r="F395" s="167">
        <f>INDEX($I395:$O395,cbalEvent103Duration + 1)</f>
        <v>0</v>
      </c>
      <c r="G395" s="167">
        <f>INDEX($I395:$O395,cbalEvent103Duration + 1)</f>
        <v>0</v>
      </c>
      <c r="I395">
        <v>0</v>
      </c>
      <c r="J395">
        <v>0</v>
      </c>
      <c r="K395" s="732"/>
      <c r="L395" s="385"/>
      <c r="M395" s="385"/>
      <c r="N395" s="735"/>
      <c r="O395" s="5"/>
    </row>
    <row r="396" spans="1:16">
      <c r="B396" s="5"/>
      <c r="C396" s="599"/>
      <c r="E396" s="167" t="s">
        <v>3161</v>
      </c>
      <c r="F396" s="167" t="s">
        <v>3161</v>
      </c>
      <c r="G396" s="167" t="s">
        <v>3161</v>
      </c>
      <c r="J396" s="553"/>
      <c r="K396" s="554"/>
      <c r="L396" s="554"/>
      <c r="M396" s="554"/>
      <c r="N396" s="554"/>
    </row>
    <row r="397" spans="1:16">
      <c r="A397" t="s">
        <v>252</v>
      </c>
      <c r="B397">
        <v>201</v>
      </c>
      <c r="C397" s="3" t="s">
        <v>3098</v>
      </c>
      <c r="D397" t="s">
        <v>3572</v>
      </c>
      <c r="E397" s="167">
        <f>INDEX($I397:$O397,cbalEvent201Duration + 1)</f>
        <v>0</v>
      </c>
      <c r="F397" s="167">
        <f>INDEX($I397:$O397,cbalEvent201Duration + 1)</f>
        <v>0</v>
      </c>
      <c r="G397" s="167">
        <f>INDEX($I397:$O397,cbalEvent201Duration + 1)</f>
        <v>0</v>
      </c>
      <c r="I397">
        <v>0</v>
      </c>
      <c r="J397" s="554"/>
      <c r="K397" s="554"/>
      <c r="L397" s="554"/>
      <c r="M397" s="554"/>
      <c r="N397" s="554"/>
    </row>
    <row r="398" spans="1:16">
      <c r="B398">
        <v>201</v>
      </c>
      <c r="C398" s="736" t="s">
        <v>2746</v>
      </c>
      <c r="E398" s="167" t="s">
        <v>3161</v>
      </c>
      <c r="F398" s="167" t="s">
        <v>3161</v>
      </c>
      <c r="G398" s="167" t="s">
        <v>3161</v>
      </c>
      <c r="J398" s="553"/>
      <c r="K398" s="554"/>
      <c r="L398" s="554"/>
      <c r="M398" s="554"/>
      <c r="N398" s="735"/>
      <c r="O398" s="733"/>
      <c r="P398" s="565"/>
    </row>
    <row r="399" spans="1:16">
      <c r="A399" t="str">
        <f>"FTEa"&amp; B399</f>
        <v>FTEa201</v>
      </c>
      <c r="B399">
        <v>201</v>
      </c>
      <c r="C399" s="670" t="s">
        <v>2117</v>
      </c>
      <c r="D399" s="565" t="s">
        <v>762</v>
      </c>
      <c r="E399" s="167">
        <f>INDEX($I399:$O399,cbalEvent201Duration + 1)</f>
        <v>0</v>
      </c>
      <c r="F399" s="167">
        <f>INDEX($I399:$O399,cbalEvent201Duration + 1)</f>
        <v>0</v>
      </c>
      <c r="G399" s="167">
        <f>INDEX($I399:$O399,cbalEvent201Duration + 1)</f>
        <v>0</v>
      </c>
      <c r="H399" t="str">
        <f>C399&amp;"Evt"&amp;B399</f>
        <v>SP-2Evt201</v>
      </c>
      <c r="I399">
        <v>0</v>
      </c>
      <c r="J399" s="727">
        <v>20</v>
      </c>
      <c r="K399" s="554"/>
      <c r="L399" s="554"/>
      <c r="M399" s="554"/>
      <c r="N399" s="735" t="s">
        <v>182</v>
      </c>
      <c r="O399" s="5">
        <v>3</v>
      </c>
      <c r="P399">
        <v>2</v>
      </c>
    </row>
    <row r="400" spans="1:16">
      <c r="B400">
        <v>201</v>
      </c>
      <c r="C400" s="736" t="s">
        <v>2774</v>
      </c>
      <c r="E400" s="167" t="s">
        <v>3161</v>
      </c>
      <c r="F400" s="167" t="s">
        <v>3161</v>
      </c>
      <c r="G400" s="167" t="s">
        <v>3161</v>
      </c>
      <c r="J400" s="553"/>
      <c r="K400" s="554"/>
      <c r="L400" s="554"/>
      <c r="M400" s="554"/>
      <c r="N400" s="735"/>
      <c r="O400" s="733"/>
      <c r="P400" s="565"/>
    </row>
    <row r="401" spans="1:16">
      <c r="B401">
        <v>201</v>
      </c>
      <c r="C401" s="670" t="s">
        <v>1389</v>
      </c>
      <c r="D401" s="565" t="s">
        <v>3543</v>
      </c>
      <c r="E401" s="167">
        <f t="shared" ref="E401:G402" si="66">INDEX($I401:$O401,cbalEvent201Duration + 1)</f>
        <v>0</v>
      </c>
      <c r="F401" s="167">
        <f t="shared" si="66"/>
        <v>0</v>
      </c>
      <c r="G401" s="167">
        <f t="shared" si="66"/>
        <v>0</v>
      </c>
      <c r="I401">
        <v>0</v>
      </c>
      <c r="J401" s="385">
        <v>0</v>
      </c>
      <c r="K401" s="732">
        <v>0</v>
      </c>
      <c r="L401" s="554"/>
      <c r="M401" s="554"/>
      <c r="N401" s="735" t="s">
        <v>182</v>
      </c>
      <c r="O401" s="5">
        <v>3</v>
      </c>
      <c r="P401">
        <v>1</v>
      </c>
    </row>
    <row r="402" spans="1:16">
      <c r="B402">
        <v>201</v>
      </c>
      <c r="C402" s="670" t="s">
        <v>1405</v>
      </c>
      <c r="D402" s="565" t="s">
        <v>3544</v>
      </c>
      <c r="E402" s="167">
        <f t="shared" si="66"/>
        <v>0</v>
      </c>
      <c r="F402" s="167">
        <f t="shared" si="66"/>
        <v>0</v>
      </c>
      <c r="G402" s="167">
        <f t="shared" si="66"/>
        <v>0</v>
      </c>
      <c r="I402">
        <v>0</v>
      </c>
      <c r="J402" s="385">
        <v>0</v>
      </c>
      <c r="K402" s="732">
        <v>0</v>
      </c>
      <c r="L402" s="554"/>
      <c r="M402" s="554"/>
      <c r="N402" s="735" t="s">
        <v>182</v>
      </c>
      <c r="O402" s="5">
        <v>3</v>
      </c>
      <c r="P402">
        <v>1</v>
      </c>
    </row>
    <row r="403" spans="1:16">
      <c r="B403">
        <v>201</v>
      </c>
      <c r="C403" s="736" t="s">
        <v>450</v>
      </c>
      <c r="E403" s="167" t="s">
        <v>3161</v>
      </c>
      <c r="F403" s="167" t="s">
        <v>3161</v>
      </c>
      <c r="G403" s="167" t="s">
        <v>3161</v>
      </c>
      <c r="J403" s="553"/>
      <c r="K403" s="554"/>
      <c r="L403" s="554"/>
      <c r="M403" s="554"/>
      <c r="N403" s="735"/>
      <c r="O403" s="733"/>
      <c r="P403" s="565"/>
    </row>
    <row r="404" spans="1:16">
      <c r="B404">
        <v>201</v>
      </c>
      <c r="C404" s="670" t="s">
        <v>2131</v>
      </c>
      <c r="D404" s="565" t="s">
        <v>1044</v>
      </c>
      <c r="E404" s="167">
        <f>INDEX($I404:$O404,cbalEvent201Duration + 1)</f>
        <v>0</v>
      </c>
      <c r="F404" s="167">
        <f>INDEX($I404:$O404,cbalEvent201Duration + 1)</f>
        <v>0</v>
      </c>
      <c r="G404" s="167">
        <f>INDEX($I404:$O404,cbalEvent201Duration + 1)</f>
        <v>0</v>
      </c>
      <c r="I404">
        <v>0</v>
      </c>
      <c r="J404" s="732">
        <v>5.0000000000000001E-3</v>
      </c>
      <c r="K404" s="554"/>
      <c r="L404" s="554"/>
      <c r="M404" s="554"/>
      <c r="N404" s="735" t="s">
        <v>2733</v>
      </c>
      <c r="O404" s="5">
        <v>4</v>
      </c>
      <c r="P404">
        <v>1</v>
      </c>
    </row>
    <row r="405" spans="1:16">
      <c r="B405">
        <v>201</v>
      </c>
      <c r="C405" s="736" t="s">
        <v>2747</v>
      </c>
      <c r="E405" s="167" t="s">
        <v>3161</v>
      </c>
      <c r="F405" s="167" t="s">
        <v>3161</v>
      </c>
      <c r="G405" s="167" t="s">
        <v>3161</v>
      </c>
      <c r="J405" s="553"/>
      <c r="K405" s="554"/>
      <c r="L405" s="554"/>
      <c r="M405" s="554"/>
      <c r="N405" s="735"/>
      <c r="O405" s="733"/>
      <c r="P405" s="565"/>
    </row>
    <row r="406" spans="1:16">
      <c r="B406">
        <v>201</v>
      </c>
      <c r="C406" s="670" t="s">
        <v>1517</v>
      </c>
      <c r="D406" s="565" t="s">
        <v>3533</v>
      </c>
      <c r="E406" s="167">
        <f t="shared" ref="E406:G411" si="67">INDEX($I406:$O406,cbalEvent201Duration + 1)</f>
        <v>0</v>
      </c>
      <c r="F406" s="167">
        <f t="shared" si="67"/>
        <v>0</v>
      </c>
      <c r="G406" s="167">
        <f t="shared" si="67"/>
        <v>0</v>
      </c>
      <c r="I406">
        <v>0</v>
      </c>
      <c r="J406" s="732">
        <v>-0.01</v>
      </c>
      <c r="K406" s="554"/>
      <c r="L406" s="554"/>
      <c r="M406" s="554"/>
      <c r="N406" s="735" t="s">
        <v>182</v>
      </c>
      <c r="O406" s="5">
        <v>3</v>
      </c>
      <c r="P406">
        <v>1</v>
      </c>
    </row>
    <row r="407" spans="1:16">
      <c r="B407">
        <v>201</v>
      </c>
      <c r="C407" s="670" t="s">
        <v>2065</v>
      </c>
      <c r="D407" s="565" t="s">
        <v>3534</v>
      </c>
      <c r="E407" s="167">
        <f t="shared" si="67"/>
        <v>0</v>
      </c>
      <c r="F407" s="167">
        <f t="shared" si="67"/>
        <v>0</v>
      </c>
      <c r="G407" s="167">
        <f t="shared" si="67"/>
        <v>0</v>
      </c>
      <c r="I407">
        <v>0</v>
      </c>
      <c r="J407" s="732">
        <v>-0.01</v>
      </c>
      <c r="K407" s="554"/>
      <c r="L407" s="554"/>
      <c r="M407" s="554"/>
      <c r="N407" s="735" t="s">
        <v>182</v>
      </c>
      <c r="O407" s="5">
        <v>3</v>
      </c>
      <c r="P407">
        <v>1</v>
      </c>
    </row>
    <row r="408" spans="1:16">
      <c r="B408">
        <v>201</v>
      </c>
      <c r="C408" s="670" t="s">
        <v>1519</v>
      </c>
      <c r="D408" s="565" t="s">
        <v>3535</v>
      </c>
      <c r="E408" s="167">
        <f t="shared" si="67"/>
        <v>0</v>
      </c>
      <c r="F408" s="167">
        <f t="shared" si="67"/>
        <v>0</v>
      </c>
      <c r="G408" s="167">
        <f t="shared" si="67"/>
        <v>0</v>
      </c>
      <c r="I408">
        <v>0</v>
      </c>
      <c r="J408" s="732">
        <v>-0.01</v>
      </c>
      <c r="K408" s="554"/>
      <c r="L408" s="554"/>
      <c r="M408" s="554"/>
      <c r="N408" s="735" t="s">
        <v>182</v>
      </c>
      <c r="O408" s="5">
        <v>3</v>
      </c>
      <c r="P408">
        <v>1</v>
      </c>
    </row>
    <row r="409" spans="1:16">
      <c r="B409">
        <v>201</v>
      </c>
      <c r="C409" s="670" t="s">
        <v>2067</v>
      </c>
      <c r="D409" s="565" t="s">
        <v>3536</v>
      </c>
      <c r="E409" s="167">
        <f t="shared" si="67"/>
        <v>0</v>
      </c>
      <c r="F409" s="167">
        <f t="shared" si="67"/>
        <v>0</v>
      </c>
      <c r="G409" s="167">
        <f t="shared" si="67"/>
        <v>0</v>
      </c>
      <c r="I409">
        <v>0</v>
      </c>
      <c r="J409" s="732">
        <v>-0.01</v>
      </c>
      <c r="K409" s="554"/>
      <c r="L409" s="554"/>
      <c r="M409" s="554"/>
      <c r="N409" s="735" t="s">
        <v>182</v>
      </c>
      <c r="O409" s="5">
        <v>3</v>
      </c>
      <c r="P409">
        <v>1</v>
      </c>
    </row>
    <row r="410" spans="1:16">
      <c r="B410">
        <v>201</v>
      </c>
      <c r="C410" s="670" t="s">
        <v>1475</v>
      </c>
      <c r="D410" s="565" t="s">
        <v>1493</v>
      </c>
      <c r="E410" s="167">
        <f t="shared" si="67"/>
        <v>0</v>
      </c>
      <c r="F410" s="167">
        <f t="shared" si="67"/>
        <v>0</v>
      </c>
      <c r="G410" s="167">
        <f t="shared" si="67"/>
        <v>0</v>
      </c>
      <c r="I410">
        <v>0</v>
      </c>
      <c r="J410" s="732">
        <v>-0.01</v>
      </c>
      <c r="K410" s="554"/>
      <c r="L410" s="554"/>
      <c r="M410" s="554"/>
      <c r="N410" s="735" t="s">
        <v>182</v>
      </c>
      <c r="O410" s="5">
        <v>3</v>
      </c>
      <c r="P410">
        <v>1</v>
      </c>
    </row>
    <row r="411" spans="1:16">
      <c r="B411">
        <v>201</v>
      </c>
      <c r="C411" s="670" t="s">
        <v>1495</v>
      </c>
      <c r="D411" s="565" t="s">
        <v>1496</v>
      </c>
      <c r="E411" s="167">
        <f t="shared" si="67"/>
        <v>0</v>
      </c>
      <c r="F411" s="167">
        <f t="shared" si="67"/>
        <v>0</v>
      </c>
      <c r="G411" s="167">
        <f t="shared" si="67"/>
        <v>0</v>
      </c>
      <c r="I411">
        <v>0</v>
      </c>
      <c r="J411" s="732">
        <v>-0.01</v>
      </c>
      <c r="K411" s="554"/>
      <c r="L411" s="554"/>
      <c r="M411" s="554"/>
      <c r="N411" s="735" t="s">
        <v>182</v>
      </c>
      <c r="O411" s="5">
        <v>3</v>
      </c>
      <c r="P411">
        <v>1</v>
      </c>
    </row>
    <row r="412" spans="1:16">
      <c r="B412" s="5"/>
      <c r="C412" s="599"/>
      <c r="E412" s="167" t="s">
        <v>3161</v>
      </c>
      <c r="F412" s="167" t="s">
        <v>3161</v>
      </c>
      <c r="G412" s="167" t="s">
        <v>3161</v>
      </c>
      <c r="J412" s="553"/>
      <c r="K412" s="554"/>
      <c r="L412" s="554"/>
      <c r="M412" s="554"/>
      <c r="N412" s="554"/>
    </row>
    <row r="413" spans="1:16">
      <c r="A413" s="565" t="s">
        <v>253</v>
      </c>
      <c r="B413">
        <v>202</v>
      </c>
      <c r="C413" s="3" t="s">
        <v>3099</v>
      </c>
      <c r="D413" t="s">
        <v>3573</v>
      </c>
      <c r="E413" s="167">
        <f>INDEX($I413:$O413,cbalEvent202Duration + 1)</f>
        <v>0</v>
      </c>
      <c r="F413" s="167">
        <f>INDEX($I413:$O413,cbalEvent202Duration + 1)</f>
        <v>0</v>
      </c>
      <c r="G413" s="167">
        <f>INDEX($I413:$O413,cbalEvent202Duration + 1)</f>
        <v>0</v>
      </c>
      <c r="I413">
        <v>0</v>
      </c>
      <c r="J413" s="554"/>
      <c r="K413" s="554"/>
      <c r="L413" s="554"/>
      <c r="M413" s="554"/>
      <c r="N413" s="554"/>
    </row>
    <row r="414" spans="1:16">
      <c r="B414">
        <v>202</v>
      </c>
      <c r="C414" s="736" t="s">
        <v>2746</v>
      </c>
      <c r="E414" s="167" t="s">
        <v>3161</v>
      </c>
      <c r="F414" s="167" t="s">
        <v>3161</v>
      </c>
      <c r="G414" s="167" t="s">
        <v>3161</v>
      </c>
      <c r="J414" s="553"/>
      <c r="K414" s="554"/>
      <c r="L414" s="554"/>
      <c r="M414" s="554"/>
      <c r="N414" s="735"/>
      <c r="O414" s="733"/>
      <c r="P414" s="565"/>
    </row>
    <row r="415" spans="1:16">
      <c r="A415" t="str">
        <f>"FTEa"&amp; B415</f>
        <v>FTEa202</v>
      </c>
      <c r="B415">
        <v>202</v>
      </c>
      <c r="C415" s="670" t="s">
        <v>2117</v>
      </c>
      <c r="D415" s="565" t="s">
        <v>762</v>
      </c>
      <c r="E415" s="167">
        <f>INDEX($I415:$O415,cbalEvent202Duration + 1)</f>
        <v>0</v>
      </c>
      <c r="F415" s="167">
        <f>INDEX($I415:$O415,cbalEvent202Duration + 1)</f>
        <v>0</v>
      </c>
      <c r="G415" s="167">
        <f>INDEX($I415:$O415,cbalEvent202Duration + 1)</f>
        <v>0</v>
      </c>
      <c r="H415" t="str">
        <f>C415&amp;"Evt"&amp;B415</f>
        <v>SP-2Evt202</v>
      </c>
      <c r="I415">
        <v>0</v>
      </c>
      <c r="J415" s="727">
        <v>20</v>
      </c>
      <c r="K415" s="554"/>
      <c r="L415" s="554"/>
      <c r="M415" s="554"/>
      <c r="N415" s="735" t="s">
        <v>182</v>
      </c>
      <c r="O415" s="5">
        <v>3</v>
      </c>
      <c r="P415">
        <v>2</v>
      </c>
    </row>
    <row r="416" spans="1:16">
      <c r="B416">
        <v>202</v>
      </c>
      <c r="C416" s="736" t="s">
        <v>447</v>
      </c>
      <c r="E416" s="167" t="s">
        <v>3161</v>
      </c>
      <c r="F416" s="167" t="s">
        <v>3161</v>
      </c>
      <c r="G416" s="167" t="s">
        <v>3161</v>
      </c>
      <c r="J416" s="553"/>
      <c r="K416" s="554"/>
      <c r="L416" s="554"/>
      <c r="M416" s="554"/>
      <c r="N416" s="735"/>
      <c r="O416" s="733"/>
      <c r="P416" s="565"/>
    </row>
    <row r="417" spans="1:16">
      <c r="B417">
        <v>202</v>
      </c>
      <c r="C417" s="670" t="s">
        <v>2132</v>
      </c>
      <c r="D417" s="565" t="s">
        <v>44</v>
      </c>
      <c r="E417" s="167">
        <f>INDEX($I417:$O417,cbalEvent202Duration + 1)</f>
        <v>0</v>
      </c>
      <c r="F417" s="167">
        <f>INDEX($I417:$O417,cbalEvent202Duration + 1)</f>
        <v>0</v>
      </c>
      <c r="G417" s="167">
        <f>INDEX($I417:$O417,cbalEvent202Duration + 1)</f>
        <v>0</v>
      </c>
      <c r="I417">
        <v>0</v>
      </c>
      <c r="J417" s="732">
        <v>0.01</v>
      </c>
      <c r="K417" s="554"/>
      <c r="L417" s="554"/>
      <c r="M417" s="554"/>
      <c r="N417" s="735" t="s">
        <v>2733</v>
      </c>
      <c r="O417" s="5">
        <v>4</v>
      </c>
      <c r="P417">
        <v>1</v>
      </c>
    </row>
    <row r="418" spans="1:16">
      <c r="B418" s="5"/>
      <c r="C418" s="599"/>
      <c r="E418" s="167" t="s">
        <v>3161</v>
      </c>
      <c r="F418" s="167" t="s">
        <v>3161</v>
      </c>
      <c r="G418" s="167" t="s">
        <v>3161</v>
      </c>
      <c r="J418" s="553"/>
      <c r="K418" s="554"/>
      <c r="L418" s="554"/>
      <c r="M418" s="554"/>
      <c r="N418" s="554"/>
    </row>
    <row r="419" spans="1:16">
      <c r="A419" s="565" t="s">
        <v>2252</v>
      </c>
      <c r="B419">
        <v>203</v>
      </c>
      <c r="C419" s="3" t="s">
        <v>3100</v>
      </c>
      <c r="D419" t="s">
        <v>3574</v>
      </c>
      <c r="E419" s="167">
        <f>INDEX($I419:$O419,cbalEvent203Duration + 1)</f>
        <v>0</v>
      </c>
      <c r="F419" s="167">
        <f>INDEX($I419:$O419,cbalEvent203Duration + 1)</f>
        <v>0</v>
      </c>
      <c r="G419" s="167">
        <f>INDEX($I419:$O419,cbalEvent203Duration + 1)</f>
        <v>0</v>
      </c>
      <c r="I419">
        <v>0</v>
      </c>
      <c r="J419" s="554"/>
      <c r="K419" s="554"/>
      <c r="L419" s="554"/>
      <c r="M419" s="554"/>
      <c r="N419" s="554"/>
    </row>
    <row r="420" spans="1:16">
      <c r="B420">
        <v>203</v>
      </c>
      <c r="C420" s="736" t="s">
        <v>2746</v>
      </c>
      <c r="E420" s="167" t="s">
        <v>3161</v>
      </c>
      <c r="F420" s="167" t="s">
        <v>3161</v>
      </c>
      <c r="G420" s="167" t="s">
        <v>3161</v>
      </c>
      <c r="J420" s="553"/>
      <c r="K420" s="554"/>
      <c r="L420" s="554"/>
      <c r="M420" s="554"/>
      <c r="N420" s="735"/>
      <c r="O420" s="733"/>
      <c r="P420" s="565"/>
    </row>
    <row r="421" spans="1:16">
      <c r="A421" t="str">
        <f>"Costa"&amp; B421</f>
        <v>Costa203</v>
      </c>
      <c r="B421">
        <v>203</v>
      </c>
      <c r="C421" s="599" t="s">
        <v>2118</v>
      </c>
      <c r="D421" s="565" t="s">
        <v>1000</v>
      </c>
      <c r="E421" s="167">
        <f t="shared" ref="E421:G422" si="68">INDEX($I421:$O421,cbalEvent203Duration + 1)</f>
        <v>0</v>
      </c>
      <c r="F421" s="167">
        <f t="shared" si="68"/>
        <v>0</v>
      </c>
      <c r="G421" s="167">
        <f t="shared" si="68"/>
        <v>0</v>
      </c>
      <c r="H421" t="str">
        <f>C421&amp;"Evt"&amp;B421</f>
        <v>SP-3Evt203</v>
      </c>
      <c r="I421">
        <v>0</v>
      </c>
      <c r="J421" s="727">
        <v>5000000</v>
      </c>
      <c r="K421" s="554"/>
      <c r="L421" s="554"/>
      <c r="M421" s="554"/>
      <c r="N421" s="735" t="s">
        <v>182</v>
      </c>
      <c r="O421" s="5">
        <v>3</v>
      </c>
      <c r="P421">
        <v>1</v>
      </c>
    </row>
    <row r="422" spans="1:16">
      <c r="A422" t="str">
        <f>"FTEa"&amp; B422</f>
        <v>FTEa203</v>
      </c>
      <c r="B422">
        <v>203</v>
      </c>
      <c r="C422" s="670" t="s">
        <v>2117</v>
      </c>
      <c r="D422" s="565" t="s">
        <v>762</v>
      </c>
      <c r="E422" s="167">
        <f t="shared" si="68"/>
        <v>0</v>
      </c>
      <c r="F422" s="167">
        <f t="shared" si="68"/>
        <v>0</v>
      </c>
      <c r="G422" s="167">
        <f t="shared" si="68"/>
        <v>0</v>
      </c>
      <c r="H422" t="str">
        <f>C422&amp;"Evt"&amp;B422</f>
        <v>SP-2Evt203</v>
      </c>
      <c r="I422">
        <v>0</v>
      </c>
      <c r="J422" s="727">
        <v>32</v>
      </c>
      <c r="K422" s="554"/>
      <c r="L422" s="554"/>
      <c r="M422" s="554"/>
      <c r="N422" s="735" t="s">
        <v>2733</v>
      </c>
      <c r="O422" s="5">
        <v>4</v>
      </c>
      <c r="P422">
        <v>2</v>
      </c>
    </row>
    <row r="423" spans="1:16">
      <c r="B423">
        <v>203</v>
      </c>
      <c r="C423" s="736" t="s">
        <v>2747</v>
      </c>
      <c r="E423" s="167" t="s">
        <v>3161</v>
      </c>
      <c r="F423" s="167" t="s">
        <v>3161</v>
      </c>
      <c r="G423" s="167" t="s">
        <v>3161</v>
      </c>
      <c r="J423" s="553"/>
      <c r="K423" s="554"/>
      <c r="L423" s="554"/>
      <c r="M423" s="554"/>
      <c r="N423" s="735"/>
      <c r="O423" s="733"/>
      <c r="P423" s="565"/>
    </row>
    <row r="424" spans="1:16">
      <c r="B424">
        <v>203</v>
      </c>
      <c r="C424" s="670" t="s">
        <v>1517</v>
      </c>
      <c r="D424" s="565" t="s">
        <v>3533</v>
      </c>
      <c r="E424" s="167">
        <f t="shared" ref="E424:G429" si="69">INDEX($I424:$O424,cbalEvent203Duration + 1)</f>
        <v>0</v>
      </c>
      <c r="F424" s="167">
        <f t="shared" si="69"/>
        <v>0</v>
      </c>
      <c r="G424" s="167">
        <f t="shared" si="69"/>
        <v>0</v>
      </c>
      <c r="I424">
        <v>0</v>
      </c>
      <c r="J424" s="732">
        <v>-0.02</v>
      </c>
      <c r="K424" s="554"/>
      <c r="L424" s="554"/>
      <c r="M424" s="554"/>
      <c r="N424" s="735" t="s">
        <v>182</v>
      </c>
      <c r="O424" s="5">
        <v>3</v>
      </c>
      <c r="P424">
        <v>1</v>
      </c>
    </row>
    <row r="425" spans="1:16">
      <c r="B425">
        <v>203</v>
      </c>
      <c r="C425" s="670" t="s">
        <v>2065</v>
      </c>
      <c r="D425" s="565" t="s">
        <v>3534</v>
      </c>
      <c r="E425" s="167">
        <f t="shared" si="69"/>
        <v>0</v>
      </c>
      <c r="F425" s="167">
        <f t="shared" si="69"/>
        <v>0</v>
      </c>
      <c r="G425" s="167">
        <f t="shared" si="69"/>
        <v>0</v>
      </c>
      <c r="I425">
        <v>0</v>
      </c>
      <c r="J425" s="732">
        <v>-0.02</v>
      </c>
      <c r="K425" s="554"/>
      <c r="L425" s="554"/>
      <c r="M425" s="554"/>
      <c r="N425" s="735" t="s">
        <v>182</v>
      </c>
      <c r="O425" s="5">
        <v>3</v>
      </c>
      <c r="P425">
        <v>1</v>
      </c>
    </row>
    <row r="426" spans="1:16">
      <c r="B426">
        <v>203</v>
      </c>
      <c r="C426" s="670" t="s">
        <v>1519</v>
      </c>
      <c r="D426" s="565" t="s">
        <v>3535</v>
      </c>
      <c r="E426" s="167">
        <f t="shared" si="69"/>
        <v>0</v>
      </c>
      <c r="F426" s="167">
        <f t="shared" si="69"/>
        <v>0</v>
      </c>
      <c r="G426" s="167">
        <f t="shared" si="69"/>
        <v>0</v>
      </c>
      <c r="I426">
        <v>0</v>
      </c>
      <c r="J426" s="732">
        <v>-0.02</v>
      </c>
      <c r="K426" s="554"/>
      <c r="L426" s="554"/>
      <c r="M426" s="554"/>
      <c r="N426" s="735" t="s">
        <v>182</v>
      </c>
      <c r="O426" s="5">
        <v>3</v>
      </c>
      <c r="P426">
        <v>1</v>
      </c>
    </row>
    <row r="427" spans="1:16">
      <c r="B427">
        <v>203</v>
      </c>
      <c r="C427" s="670" t="s">
        <v>2067</v>
      </c>
      <c r="D427" s="565" t="s">
        <v>3536</v>
      </c>
      <c r="E427" s="167">
        <f t="shared" si="69"/>
        <v>0</v>
      </c>
      <c r="F427" s="167">
        <f t="shared" si="69"/>
        <v>0</v>
      </c>
      <c r="G427" s="167">
        <f t="shared" si="69"/>
        <v>0</v>
      </c>
      <c r="I427">
        <v>0</v>
      </c>
      <c r="J427" s="732">
        <v>-0.02</v>
      </c>
      <c r="K427" s="554"/>
      <c r="L427" s="554"/>
      <c r="M427" s="554"/>
      <c r="N427" s="735" t="s">
        <v>182</v>
      </c>
      <c r="O427" s="5">
        <v>3</v>
      </c>
      <c r="P427">
        <v>1</v>
      </c>
    </row>
    <row r="428" spans="1:16">
      <c r="B428">
        <v>203</v>
      </c>
      <c r="C428" s="670" t="s">
        <v>1475</v>
      </c>
      <c r="D428" s="565" t="s">
        <v>1493</v>
      </c>
      <c r="E428" s="167">
        <f t="shared" si="69"/>
        <v>0</v>
      </c>
      <c r="F428" s="167">
        <f t="shared" si="69"/>
        <v>0</v>
      </c>
      <c r="G428" s="167">
        <f t="shared" si="69"/>
        <v>0</v>
      </c>
      <c r="I428">
        <v>0</v>
      </c>
      <c r="J428" s="732">
        <v>-0.02</v>
      </c>
      <c r="K428" s="554"/>
      <c r="L428" s="554"/>
      <c r="M428" s="554"/>
      <c r="N428" s="735" t="s">
        <v>182</v>
      </c>
      <c r="O428" s="5">
        <v>3</v>
      </c>
      <c r="P428">
        <v>1</v>
      </c>
    </row>
    <row r="429" spans="1:16">
      <c r="B429">
        <v>203</v>
      </c>
      <c r="C429" s="670" t="s">
        <v>1495</v>
      </c>
      <c r="D429" s="565" t="s">
        <v>1496</v>
      </c>
      <c r="E429" s="167">
        <f t="shared" si="69"/>
        <v>0</v>
      </c>
      <c r="F429" s="167">
        <f t="shared" si="69"/>
        <v>0</v>
      </c>
      <c r="G429" s="167">
        <f t="shared" si="69"/>
        <v>0</v>
      </c>
      <c r="I429">
        <v>0</v>
      </c>
      <c r="J429" s="732">
        <v>-0.02</v>
      </c>
      <c r="K429" s="554"/>
      <c r="L429" s="554"/>
      <c r="M429" s="554"/>
      <c r="N429" s="735" t="s">
        <v>182</v>
      </c>
      <c r="O429" s="5">
        <v>3</v>
      </c>
      <c r="P429">
        <v>1</v>
      </c>
    </row>
    <row r="430" spans="1:16">
      <c r="B430">
        <v>203</v>
      </c>
      <c r="C430" s="736" t="s">
        <v>450</v>
      </c>
      <c r="E430" s="167" t="s">
        <v>3161</v>
      </c>
      <c r="F430" s="167" t="s">
        <v>3161</v>
      </c>
      <c r="G430" s="167" t="s">
        <v>3161</v>
      </c>
      <c r="J430" s="553"/>
      <c r="K430" s="554"/>
      <c r="L430" s="554"/>
      <c r="M430" s="554"/>
      <c r="N430" s="735"/>
      <c r="O430" s="733"/>
      <c r="P430" s="565"/>
    </row>
    <row r="431" spans="1:16">
      <c r="B431">
        <v>203</v>
      </c>
      <c r="C431" s="670" t="s">
        <v>2131</v>
      </c>
      <c r="D431" s="565" t="s">
        <v>1044</v>
      </c>
      <c r="E431" s="167">
        <f>INDEX($I431:$O431,cbalEvent203Duration + 1)</f>
        <v>0</v>
      </c>
      <c r="F431" s="167">
        <f>INDEX($I431:$O431,cbalEvent203Duration + 1)</f>
        <v>0</v>
      </c>
      <c r="G431" s="167">
        <f>INDEX($I431:$O431,cbalEvent203Duration + 1)</f>
        <v>0</v>
      </c>
      <c r="I431">
        <v>0</v>
      </c>
      <c r="J431" s="732">
        <v>0.01</v>
      </c>
      <c r="K431" s="554"/>
      <c r="L431" s="554"/>
      <c r="M431" s="554"/>
      <c r="N431" s="735" t="s">
        <v>2733</v>
      </c>
      <c r="O431" s="5">
        <v>4</v>
      </c>
      <c r="P431">
        <v>1</v>
      </c>
    </row>
    <row r="432" spans="1:16">
      <c r="B432">
        <v>203</v>
      </c>
      <c r="C432" s="736" t="s">
        <v>447</v>
      </c>
      <c r="E432" s="167" t="s">
        <v>3161</v>
      </c>
      <c r="F432" s="167" t="s">
        <v>3161</v>
      </c>
      <c r="G432" s="167" t="s">
        <v>3161</v>
      </c>
      <c r="J432" s="553"/>
      <c r="K432" s="554"/>
      <c r="L432" s="554"/>
      <c r="M432" s="554"/>
      <c r="N432" s="735"/>
      <c r="O432" s="733"/>
      <c r="P432" s="565"/>
    </row>
    <row r="433" spans="1:16">
      <c r="B433">
        <v>203</v>
      </c>
      <c r="C433" s="670" t="s">
        <v>2132</v>
      </c>
      <c r="D433" s="565" t="s">
        <v>44</v>
      </c>
      <c r="E433" s="167">
        <f>INDEX($I433:$O433,cbalEvent203Duration + 1)</f>
        <v>0</v>
      </c>
      <c r="F433" s="167">
        <f>INDEX($I433:$O433,cbalEvent203Duration + 1)</f>
        <v>0</v>
      </c>
      <c r="G433" s="167">
        <f>INDEX($I433:$O433,cbalEvent203Duration + 1)</f>
        <v>0</v>
      </c>
      <c r="I433">
        <v>0</v>
      </c>
      <c r="J433" s="732">
        <v>1.4999999999999999E-2</v>
      </c>
      <c r="K433" s="554"/>
      <c r="L433" s="554"/>
      <c r="M433" s="554"/>
      <c r="N433" s="735" t="s">
        <v>2733</v>
      </c>
      <c r="O433" s="5">
        <v>4</v>
      </c>
      <c r="P433">
        <v>1</v>
      </c>
    </row>
    <row r="434" spans="1:16">
      <c r="B434" s="5"/>
      <c r="C434" s="599"/>
      <c r="E434" s="167" t="s">
        <v>3161</v>
      </c>
      <c r="F434" s="167" t="s">
        <v>3161</v>
      </c>
      <c r="G434" s="167" t="s">
        <v>3161</v>
      </c>
      <c r="J434" s="553"/>
      <c r="K434" s="554"/>
      <c r="L434" s="554"/>
      <c r="M434" s="554"/>
      <c r="N434" s="554"/>
    </row>
    <row r="435" spans="1:16">
      <c r="A435" s="565" t="s">
        <v>254</v>
      </c>
      <c r="B435">
        <v>301</v>
      </c>
      <c r="C435" s="3" t="s">
        <v>2274</v>
      </c>
      <c r="D435" t="s">
        <v>3575</v>
      </c>
      <c r="E435" s="167">
        <f>INDEX($I435:$O435,cbalEvent301Duration + 1)</f>
        <v>0</v>
      </c>
      <c r="F435" s="167">
        <f>INDEX($I435:$O435,cbalEvent301Duration + 1)</f>
        <v>0</v>
      </c>
      <c r="G435" s="167">
        <f>INDEX($I435:$O435,cbalEvent301Duration + 1)</f>
        <v>0</v>
      </c>
      <c r="I435">
        <v>0</v>
      </c>
      <c r="J435" s="554"/>
      <c r="K435" s="554"/>
      <c r="L435" s="554"/>
      <c r="M435" s="554"/>
      <c r="N435" s="554"/>
    </row>
    <row r="436" spans="1:16">
      <c r="B436">
        <v>301</v>
      </c>
      <c r="C436" s="736" t="s">
        <v>3102</v>
      </c>
      <c r="E436" s="167" t="s">
        <v>3161</v>
      </c>
      <c r="F436" s="167" t="s">
        <v>3161</v>
      </c>
      <c r="G436" s="167" t="s">
        <v>3161</v>
      </c>
      <c r="J436" s="553"/>
      <c r="K436" s="554"/>
      <c r="L436" s="554"/>
      <c r="M436" s="554"/>
      <c r="N436" s="735"/>
      <c r="O436" s="733"/>
      <c r="P436" s="565"/>
    </row>
    <row r="437" spans="1:16">
      <c r="A437" t="str">
        <f>"CashAcqa"&amp; B437</f>
        <v>CashAcqa301</v>
      </c>
      <c r="B437">
        <v>301</v>
      </c>
      <c r="C437" s="599" t="s">
        <v>2123</v>
      </c>
      <c r="D437" s="565" t="s">
        <v>3576</v>
      </c>
      <c r="E437" s="167">
        <f t="shared" ref="E437:G438" si="70">INDEX($I437:$O437,cbalEvent301Duration + 1)</f>
        <v>0</v>
      </c>
      <c r="F437" s="167">
        <f t="shared" si="70"/>
        <v>0</v>
      </c>
      <c r="G437" s="167">
        <f t="shared" si="70"/>
        <v>0</v>
      </c>
      <c r="H437" t="str">
        <f>C437&amp;"Evt"&amp;B437</f>
        <v>SP-8Evt301</v>
      </c>
      <c r="I437">
        <v>0</v>
      </c>
      <c r="J437" s="751">
        <v>5000000</v>
      </c>
      <c r="K437" s="554"/>
      <c r="L437" s="554"/>
      <c r="M437" s="554"/>
      <c r="N437" s="735"/>
      <c r="O437" s="5"/>
    </row>
    <row r="438" spans="1:16">
      <c r="A438" t="str">
        <f>"FTEa"&amp; B438</f>
        <v>FTEa301</v>
      </c>
      <c r="B438">
        <v>301</v>
      </c>
      <c r="C438" s="670" t="s">
        <v>3002</v>
      </c>
      <c r="D438" s="565" t="s">
        <v>3531</v>
      </c>
      <c r="E438" s="167">
        <f t="shared" si="70"/>
        <v>0</v>
      </c>
      <c r="F438" s="167">
        <f t="shared" si="70"/>
        <v>0</v>
      </c>
      <c r="G438" s="167">
        <f t="shared" si="70"/>
        <v>0</v>
      </c>
      <c r="H438" t="str">
        <f>C438&amp;"Evt"&amp;B438</f>
        <v>SP-16Evt301</v>
      </c>
      <c r="I438">
        <v>0</v>
      </c>
      <c r="J438" s="727">
        <v>10</v>
      </c>
      <c r="K438" s="554"/>
      <c r="L438" s="554"/>
      <c r="M438" s="554"/>
      <c r="N438" s="735" t="s">
        <v>182</v>
      </c>
      <c r="O438" s="5">
        <v>3</v>
      </c>
      <c r="P438">
        <v>2</v>
      </c>
    </row>
    <row r="439" spans="1:16">
      <c r="B439">
        <v>301</v>
      </c>
      <c r="C439" s="736" t="s">
        <v>2740</v>
      </c>
      <c r="E439" s="167" t="s">
        <v>3161</v>
      </c>
      <c r="F439" s="167" t="s">
        <v>3161</v>
      </c>
      <c r="G439" s="167" t="s">
        <v>3161</v>
      </c>
      <c r="J439" s="553"/>
      <c r="K439" s="554"/>
      <c r="L439" s="554"/>
      <c r="M439" s="554"/>
      <c r="N439" s="735"/>
      <c r="O439" s="733"/>
      <c r="P439" s="565"/>
    </row>
    <row r="440" spans="1:16">
      <c r="B440">
        <v>301</v>
      </c>
      <c r="C440" s="670" t="s">
        <v>1389</v>
      </c>
      <c r="D440" s="565" t="s">
        <v>3543</v>
      </c>
      <c r="E440" s="167">
        <f t="shared" ref="E440:G441" si="71">INDEX($I440:$O440,cbalEvent301Duration + 1)</f>
        <v>0</v>
      </c>
      <c r="F440" s="167">
        <f t="shared" si="71"/>
        <v>0</v>
      </c>
      <c r="G440" s="167">
        <f t="shared" si="71"/>
        <v>0</v>
      </c>
      <c r="I440">
        <v>0</v>
      </c>
      <c r="J440" s="385">
        <v>0.01</v>
      </c>
      <c r="K440" s="732"/>
      <c r="L440" s="554"/>
      <c r="M440" s="554"/>
      <c r="N440" s="735" t="s">
        <v>182</v>
      </c>
      <c r="O440" s="5">
        <v>3</v>
      </c>
      <c r="P440">
        <v>1</v>
      </c>
    </row>
    <row r="441" spans="1:16">
      <c r="B441">
        <v>301</v>
      </c>
      <c r="C441" s="670" t="s">
        <v>1405</v>
      </c>
      <c r="D441" s="565" t="s">
        <v>3544</v>
      </c>
      <c r="E441" s="167">
        <f t="shared" si="71"/>
        <v>0</v>
      </c>
      <c r="F441" s="167">
        <f t="shared" si="71"/>
        <v>0</v>
      </c>
      <c r="G441" s="167">
        <f t="shared" si="71"/>
        <v>0</v>
      </c>
      <c r="I441">
        <v>0</v>
      </c>
      <c r="J441" s="385">
        <v>0.01</v>
      </c>
      <c r="K441" s="732"/>
      <c r="L441" s="554"/>
      <c r="M441" s="554"/>
      <c r="N441" s="735" t="s">
        <v>182</v>
      </c>
      <c r="O441" s="5">
        <v>3</v>
      </c>
      <c r="P441">
        <v>1</v>
      </c>
    </row>
    <row r="442" spans="1:16">
      <c r="B442">
        <v>301</v>
      </c>
      <c r="C442" s="736" t="s">
        <v>1276</v>
      </c>
      <c r="E442" s="167" t="s">
        <v>3161</v>
      </c>
      <c r="F442" s="167" t="s">
        <v>3161</v>
      </c>
      <c r="G442" s="167" t="s">
        <v>3161</v>
      </c>
      <c r="J442" s="553"/>
      <c r="K442" s="554"/>
      <c r="L442" s="554"/>
      <c r="M442" s="554"/>
      <c r="N442" s="735"/>
      <c r="O442" s="733"/>
      <c r="P442" s="565"/>
    </row>
    <row r="443" spans="1:16">
      <c r="B443">
        <v>301</v>
      </c>
      <c r="C443" s="670" t="s">
        <v>2761</v>
      </c>
      <c r="D443" s="565" t="s">
        <v>3569</v>
      </c>
      <c r="E443" s="167">
        <f t="shared" ref="E443:G444" si="72">INDEX($I443:$O443,cbalEvent301Duration + 1)</f>
        <v>0</v>
      </c>
      <c r="F443" s="167">
        <f t="shared" si="72"/>
        <v>0</v>
      </c>
      <c r="G443" s="167">
        <f t="shared" si="72"/>
        <v>0</v>
      </c>
      <c r="I443">
        <v>0</v>
      </c>
      <c r="J443" s="727">
        <v>500</v>
      </c>
      <c r="K443" s="554"/>
      <c r="L443" s="554"/>
      <c r="M443" s="554"/>
      <c r="N443" s="735" t="s">
        <v>182</v>
      </c>
      <c r="O443" s="5">
        <v>3</v>
      </c>
      <c r="P443">
        <v>1</v>
      </c>
    </row>
    <row r="444" spans="1:16">
      <c r="B444">
        <v>301</v>
      </c>
      <c r="C444" s="670" t="s">
        <v>1430</v>
      </c>
      <c r="D444" s="565" t="s">
        <v>3563</v>
      </c>
      <c r="E444" s="167">
        <f>INDEX($I444:$O444,cbalEvent301Duration + 1)</f>
        <v>0</v>
      </c>
      <c r="F444" s="167">
        <f t="shared" si="72"/>
        <v>0</v>
      </c>
      <c r="G444" s="167">
        <f t="shared" si="72"/>
        <v>0</v>
      </c>
      <c r="I444">
        <v>0</v>
      </c>
      <c r="J444" s="732">
        <v>0</v>
      </c>
      <c r="K444" s="385">
        <v>0</v>
      </c>
      <c r="L444" s="385">
        <v>0</v>
      </c>
      <c r="M444" s="385">
        <v>0</v>
      </c>
      <c r="N444" s="735" t="s">
        <v>182</v>
      </c>
      <c r="O444" s="5">
        <v>3</v>
      </c>
      <c r="P444">
        <v>1</v>
      </c>
    </row>
    <row r="445" spans="1:16">
      <c r="B445">
        <v>301</v>
      </c>
      <c r="C445" s="736" t="s">
        <v>2775</v>
      </c>
      <c r="E445" s="167" t="s">
        <v>3161</v>
      </c>
      <c r="F445" s="167" t="s">
        <v>3161</v>
      </c>
      <c r="G445" s="167" t="s">
        <v>3161</v>
      </c>
      <c r="J445" s="553"/>
      <c r="K445" s="554"/>
      <c r="L445" s="554"/>
      <c r="M445" s="554"/>
      <c r="N445" s="735"/>
      <c r="O445" s="733"/>
      <c r="P445" s="565"/>
    </row>
    <row r="446" spans="1:16">
      <c r="B446">
        <v>301</v>
      </c>
      <c r="C446" s="670" t="s">
        <v>2125</v>
      </c>
      <c r="D446" s="565" t="s">
        <v>3524</v>
      </c>
      <c r="E446" s="167">
        <f t="shared" ref="E446:G447" si="73">INDEX($I446:$O446,cbalEvent301Duration + 1)</f>
        <v>0</v>
      </c>
      <c r="F446" s="167">
        <f t="shared" si="73"/>
        <v>0</v>
      </c>
      <c r="G446" s="167">
        <f t="shared" si="73"/>
        <v>0</v>
      </c>
      <c r="I446">
        <v>0</v>
      </c>
      <c r="J446">
        <v>0</v>
      </c>
      <c r="K446" s="732">
        <v>0.01</v>
      </c>
      <c r="L446" s="385">
        <v>0.01</v>
      </c>
      <c r="M446" s="385">
        <v>0.01</v>
      </c>
      <c r="N446" s="735" t="s">
        <v>182</v>
      </c>
      <c r="O446" s="5">
        <v>3</v>
      </c>
      <c r="P446">
        <v>1</v>
      </c>
    </row>
    <row r="447" spans="1:16">
      <c r="B447">
        <v>301</v>
      </c>
      <c r="C447" s="670" t="s">
        <v>2126</v>
      </c>
      <c r="D447" s="565" t="s">
        <v>3525</v>
      </c>
      <c r="E447" s="167">
        <f t="shared" si="73"/>
        <v>0</v>
      </c>
      <c r="F447" s="167">
        <f t="shared" si="73"/>
        <v>0</v>
      </c>
      <c r="G447" s="167">
        <f t="shared" si="73"/>
        <v>0</v>
      </c>
      <c r="I447">
        <v>0</v>
      </c>
      <c r="J447">
        <v>0</v>
      </c>
      <c r="K447" s="732">
        <v>0.01</v>
      </c>
      <c r="L447" s="385">
        <v>0.01</v>
      </c>
      <c r="M447" s="385">
        <v>0.01</v>
      </c>
      <c r="N447" s="735" t="s">
        <v>182</v>
      </c>
      <c r="O447" s="5">
        <v>3</v>
      </c>
      <c r="P447">
        <v>1</v>
      </c>
    </row>
    <row r="448" spans="1:16">
      <c r="B448">
        <v>301</v>
      </c>
      <c r="C448" s="736" t="s">
        <v>2786</v>
      </c>
      <c r="E448" s="167" t="s">
        <v>3161</v>
      </c>
      <c r="F448" s="167" t="s">
        <v>3161</v>
      </c>
      <c r="G448" s="167" t="s">
        <v>3161</v>
      </c>
      <c r="J448" s="553"/>
      <c r="K448" s="554"/>
      <c r="L448" s="554"/>
      <c r="M448" s="554"/>
      <c r="N448" s="735"/>
      <c r="O448" s="733"/>
      <c r="P448" s="565"/>
    </row>
    <row r="449" spans="1:16">
      <c r="B449">
        <v>301</v>
      </c>
      <c r="C449" s="599" t="s">
        <v>2749</v>
      </c>
      <c r="D449" s="565" t="s">
        <v>3539</v>
      </c>
      <c r="E449" s="167">
        <f>INDEX($I449:$O449,cbalEvent301Duration + 1)</f>
        <v>0</v>
      </c>
      <c r="F449" s="167">
        <f>INDEX($I449:$O449,cbalEvent301Duration + 1)</f>
        <v>0</v>
      </c>
      <c r="G449" s="167">
        <f>INDEX($I449:$O449,cbalEvent301Duration + 1)</f>
        <v>0</v>
      </c>
      <c r="I449">
        <v>0</v>
      </c>
      <c r="J449">
        <v>1</v>
      </c>
      <c r="K449" s="732"/>
      <c r="L449" s="385"/>
      <c r="M449" s="385"/>
      <c r="N449" s="735"/>
      <c r="O449" s="5"/>
    </row>
    <row r="450" spans="1:16">
      <c r="B450" s="5"/>
      <c r="C450" s="599"/>
      <c r="E450" s="167" t="s">
        <v>3161</v>
      </c>
      <c r="F450" s="167" t="s">
        <v>3161</v>
      </c>
      <c r="G450" s="167" t="s">
        <v>3161</v>
      </c>
      <c r="J450" s="553"/>
      <c r="K450" s="554"/>
      <c r="L450" s="554"/>
      <c r="M450" s="554"/>
      <c r="N450" s="554"/>
    </row>
    <row r="451" spans="1:16">
      <c r="A451" s="565" t="s">
        <v>255</v>
      </c>
      <c r="B451">
        <v>302</v>
      </c>
      <c r="C451" s="3" t="s">
        <v>1425</v>
      </c>
      <c r="D451" t="s">
        <v>3577</v>
      </c>
      <c r="E451" s="167">
        <f>INDEX($I451:$O451,cbalEvent302Duration + 1)</f>
        <v>0</v>
      </c>
      <c r="F451" s="167">
        <f>INDEX($I451:$O451,cbalEvent302Duration + 1)</f>
        <v>0</v>
      </c>
      <c r="G451" s="167">
        <f>INDEX($I451:$O451,cbalEvent302Duration + 1)</f>
        <v>0</v>
      </c>
      <c r="I451">
        <v>0</v>
      </c>
      <c r="J451" s="554"/>
      <c r="K451" s="554"/>
      <c r="L451" s="554"/>
      <c r="M451" s="554"/>
      <c r="N451" s="554"/>
    </row>
    <row r="452" spans="1:16">
      <c r="B452">
        <v>302</v>
      </c>
      <c r="C452" s="736" t="s">
        <v>2746</v>
      </c>
      <c r="E452" s="167" t="s">
        <v>3161</v>
      </c>
      <c r="F452" s="167" t="s">
        <v>3161</v>
      </c>
      <c r="G452" s="167" t="s">
        <v>3161</v>
      </c>
      <c r="J452" s="553"/>
      <c r="K452" s="554"/>
      <c r="L452" s="554"/>
      <c r="M452" s="554"/>
      <c r="N452" s="735"/>
      <c r="O452" s="733"/>
      <c r="P452" s="565"/>
    </row>
    <row r="453" spans="1:16">
      <c r="A453" t="str">
        <f>"Costa"&amp; B453</f>
        <v>Costa302</v>
      </c>
      <c r="B453">
        <v>302</v>
      </c>
      <c r="C453" s="599" t="s">
        <v>2119</v>
      </c>
      <c r="D453" s="565" t="s">
        <v>3530</v>
      </c>
      <c r="E453" s="167">
        <f t="shared" ref="E453:G454" si="74">INDEX($I453:$O453,cbalEvent302Duration + 1)</f>
        <v>0</v>
      </c>
      <c r="F453" s="167">
        <f t="shared" si="74"/>
        <v>0</v>
      </c>
      <c r="G453" s="167">
        <f t="shared" si="74"/>
        <v>0</v>
      </c>
      <c r="H453" t="str">
        <f>C453&amp;"Evt"&amp;B453</f>
        <v>SP-4Evt302</v>
      </c>
      <c r="I453">
        <v>0</v>
      </c>
      <c r="J453" s="727">
        <v>15000000</v>
      </c>
      <c r="K453" s="554"/>
      <c r="L453" s="554"/>
      <c r="M453" s="554"/>
      <c r="N453" s="735" t="s">
        <v>180</v>
      </c>
      <c r="O453" s="5">
        <v>5</v>
      </c>
      <c r="P453">
        <v>1.5</v>
      </c>
    </row>
    <row r="454" spans="1:16">
      <c r="A454" t="str">
        <f>"FTEa"&amp; B454</f>
        <v>FTEa302</v>
      </c>
      <c r="B454">
        <v>302</v>
      </c>
      <c r="C454" s="670" t="s">
        <v>3002</v>
      </c>
      <c r="D454" s="565" t="s">
        <v>3531</v>
      </c>
      <c r="E454" s="167">
        <f t="shared" si="74"/>
        <v>0</v>
      </c>
      <c r="F454" s="167">
        <f t="shared" si="74"/>
        <v>0</v>
      </c>
      <c r="G454" s="167">
        <f t="shared" si="74"/>
        <v>0</v>
      </c>
      <c r="H454" t="str">
        <f>C454&amp;"Evt"&amp;B454</f>
        <v>SP-16Evt302</v>
      </c>
      <c r="I454">
        <v>0</v>
      </c>
      <c r="J454" s="727">
        <v>24</v>
      </c>
      <c r="K454" s="554"/>
      <c r="L454" s="554"/>
      <c r="M454" s="554"/>
      <c r="N454" s="735" t="s">
        <v>180</v>
      </c>
      <c r="O454" s="5">
        <v>5</v>
      </c>
      <c r="P454">
        <v>2</v>
      </c>
    </row>
    <row r="455" spans="1:16">
      <c r="B455">
        <v>302</v>
      </c>
      <c r="C455" s="736" t="s">
        <v>1276</v>
      </c>
      <c r="E455" s="167" t="s">
        <v>3161</v>
      </c>
      <c r="F455" s="167" t="s">
        <v>3161</v>
      </c>
      <c r="G455" s="167" t="s">
        <v>3161</v>
      </c>
      <c r="J455" s="553"/>
      <c r="K455" s="554"/>
      <c r="L455" s="554"/>
      <c r="M455" s="554"/>
      <c r="N455" s="735"/>
      <c r="O455" s="733"/>
      <c r="P455" s="565"/>
    </row>
    <row r="456" spans="1:16">
      <c r="B456">
        <v>302</v>
      </c>
      <c r="C456" s="670" t="s">
        <v>2761</v>
      </c>
      <c r="D456" s="565" t="s">
        <v>3569</v>
      </c>
      <c r="E456" s="167">
        <f t="shared" ref="E456:G457" si="75">INDEX($I456:$O456,cbalEvent302Duration + 1)</f>
        <v>0</v>
      </c>
      <c r="F456" s="167">
        <f t="shared" si="75"/>
        <v>0</v>
      </c>
      <c r="G456" s="167">
        <f t="shared" si="75"/>
        <v>0</v>
      </c>
      <c r="I456">
        <v>0</v>
      </c>
      <c r="J456" s="727">
        <v>1000</v>
      </c>
      <c r="K456" s="554"/>
      <c r="L456" s="554"/>
      <c r="M456" s="554"/>
      <c r="N456" s="735" t="s">
        <v>182</v>
      </c>
      <c r="O456" s="5">
        <v>3</v>
      </c>
      <c r="P456">
        <v>1</v>
      </c>
    </row>
    <row r="457" spans="1:16">
      <c r="B457">
        <v>302</v>
      </c>
      <c r="C457" s="670" t="s">
        <v>1430</v>
      </c>
      <c r="D457" s="565" t="s">
        <v>3563</v>
      </c>
      <c r="E457" s="167">
        <f t="shared" si="75"/>
        <v>0</v>
      </c>
      <c r="F457" s="167">
        <f t="shared" si="75"/>
        <v>0</v>
      </c>
      <c r="G457" s="167">
        <f t="shared" si="75"/>
        <v>0</v>
      </c>
      <c r="I457">
        <v>0</v>
      </c>
      <c r="J457" s="732">
        <v>0.02</v>
      </c>
      <c r="K457" s="385">
        <v>0.02</v>
      </c>
      <c r="L457" s="385">
        <v>0.02</v>
      </c>
      <c r="M457" s="385">
        <v>0.02</v>
      </c>
      <c r="N457" s="735" t="s">
        <v>182</v>
      </c>
      <c r="O457" s="5">
        <v>3</v>
      </c>
      <c r="P457">
        <v>1</v>
      </c>
    </row>
    <row r="458" spans="1:16">
      <c r="B458">
        <v>302</v>
      </c>
      <c r="C458" s="736" t="s">
        <v>2775</v>
      </c>
      <c r="E458" s="167" t="s">
        <v>3161</v>
      </c>
      <c r="F458" s="167" t="s">
        <v>3161</v>
      </c>
      <c r="G458" s="167" t="s">
        <v>3161</v>
      </c>
      <c r="J458" s="553"/>
      <c r="K458" s="554"/>
      <c r="L458" s="554"/>
      <c r="M458" s="554"/>
      <c r="N458" s="735"/>
      <c r="O458" s="733"/>
      <c r="P458" s="565"/>
    </row>
    <row r="459" spans="1:16">
      <c r="B459">
        <v>302</v>
      </c>
      <c r="C459" s="670" t="s">
        <v>2125</v>
      </c>
      <c r="D459" s="565" t="s">
        <v>3524</v>
      </c>
      <c r="E459" s="167">
        <f t="shared" ref="E459:G460" si="76">INDEX($I459:$O459,cbalEvent302Duration + 1)</f>
        <v>0</v>
      </c>
      <c r="F459" s="167">
        <f t="shared" si="76"/>
        <v>0</v>
      </c>
      <c r="G459" s="167">
        <f t="shared" si="76"/>
        <v>0</v>
      </c>
      <c r="I459">
        <v>0</v>
      </c>
      <c r="J459">
        <v>0</v>
      </c>
      <c r="K459" s="732">
        <v>0.03</v>
      </c>
      <c r="L459" s="385">
        <v>0.03</v>
      </c>
      <c r="M459" s="385">
        <v>0.03</v>
      </c>
      <c r="N459" s="735" t="s">
        <v>2733</v>
      </c>
      <c r="O459" s="5">
        <v>4</v>
      </c>
      <c r="P459">
        <v>1</v>
      </c>
    </row>
    <row r="460" spans="1:16">
      <c r="B460">
        <v>302</v>
      </c>
      <c r="C460" s="670" t="s">
        <v>2126</v>
      </c>
      <c r="D460" s="565" t="s">
        <v>3525</v>
      </c>
      <c r="E460" s="167">
        <f t="shared" si="76"/>
        <v>0</v>
      </c>
      <c r="F460" s="167">
        <f t="shared" si="76"/>
        <v>0</v>
      </c>
      <c r="G460" s="167">
        <f t="shared" si="76"/>
        <v>0</v>
      </c>
      <c r="I460">
        <v>0</v>
      </c>
      <c r="J460">
        <v>0</v>
      </c>
      <c r="K460" s="732">
        <v>0.03</v>
      </c>
      <c r="L460" s="385">
        <v>0.03</v>
      </c>
      <c r="M460" s="385">
        <v>0.03</v>
      </c>
      <c r="N460" s="735" t="s">
        <v>2733</v>
      </c>
      <c r="O460" s="5">
        <v>4</v>
      </c>
      <c r="P460">
        <v>1</v>
      </c>
    </row>
    <row r="461" spans="1:16">
      <c r="B461">
        <v>302</v>
      </c>
      <c r="C461" s="736" t="s">
        <v>2741</v>
      </c>
      <c r="E461" s="167" t="s">
        <v>3161</v>
      </c>
      <c r="F461" s="167" t="s">
        <v>3161</v>
      </c>
      <c r="G461" s="167" t="s">
        <v>3161</v>
      </c>
      <c r="J461" s="553"/>
      <c r="K461" s="554"/>
      <c r="L461" s="554"/>
      <c r="M461" s="554"/>
      <c r="N461" s="735"/>
      <c r="O461" s="733"/>
      <c r="P461" s="565"/>
    </row>
    <row r="462" spans="1:16">
      <c r="B462">
        <v>302</v>
      </c>
      <c r="C462" s="670" t="s">
        <v>1431</v>
      </c>
      <c r="D462" s="565" t="s">
        <v>3550</v>
      </c>
      <c r="E462" s="167">
        <f t="shared" ref="E462:G463" si="77">INDEX($I462:$O462,cbalEvent302Duration + 1)</f>
        <v>0</v>
      </c>
      <c r="F462" s="167">
        <f t="shared" si="77"/>
        <v>0</v>
      </c>
      <c r="G462" s="167">
        <f t="shared" si="77"/>
        <v>0</v>
      </c>
      <c r="I462">
        <v>0</v>
      </c>
      <c r="J462" s="732">
        <v>0.02</v>
      </c>
      <c r="K462" s="385">
        <v>0.02</v>
      </c>
      <c r="L462" s="385">
        <v>0.02</v>
      </c>
      <c r="M462" s="385">
        <v>0.02</v>
      </c>
      <c r="N462" s="735" t="s">
        <v>182</v>
      </c>
      <c r="O462" s="5">
        <v>3</v>
      </c>
      <c r="P462">
        <v>1</v>
      </c>
    </row>
    <row r="463" spans="1:16">
      <c r="B463">
        <v>302</v>
      </c>
      <c r="C463" s="670" t="s">
        <v>1435</v>
      </c>
      <c r="D463" s="565" t="s">
        <v>3551</v>
      </c>
      <c r="E463" s="167">
        <f t="shared" si="77"/>
        <v>0</v>
      </c>
      <c r="F463" s="167">
        <f t="shared" si="77"/>
        <v>0</v>
      </c>
      <c r="G463" s="167">
        <f t="shared" si="77"/>
        <v>0</v>
      </c>
      <c r="I463">
        <v>0</v>
      </c>
      <c r="J463" s="732">
        <v>0.02</v>
      </c>
      <c r="K463" s="385">
        <v>0.02</v>
      </c>
      <c r="L463" s="385">
        <v>0.02</v>
      </c>
      <c r="M463" s="385">
        <v>0.02</v>
      </c>
      <c r="N463" s="735" t="s">
        <v>182</v>
      </c>
      <c r="O463" s="5">
        <v>3</v>
      </c>
      <c r="P463">
        <v>1</v>
      </c>
    </row>
    <row r="464" spans="1:16">
      <c r="B464">
        <v>302</v>
      </c>
      <c r="C464" s="736" t="s">
        <v>450</v>
      </c>
      <c r="E464" s="167" t="s">
        <v>3161</v>
      </c>
      <c r="F464" s="167" t="s">
        <v>3161</v>
      </c>
      <c r="G464" s="167" t="s">
        <v>3161</v>
      </c>
      <c r="J464" s="553"/>
      <c r="K464" s="554"/>
      <c r="L464" s="554"/>
      <c r="M464" s="554"/>
      <c r="N464" s="735"/>
      <c r="O464" s="733"/>
      <c r="P464" s="565"/>
    </row>
    <row r="465" spans="1:16">
      <c r="B465">
        <v>302</v>
      </c>
      <c r="C465" s="670" t="s">
        <v>2131</v>
      </c>
      <c r="D465" s="565" t="s">
        <v>1044</v>
      </c>
      <c r="E465" s="167">
        <f>INDEX($I465:$O465,cbalEvent302Duration + 1)</f>
        <v>0</v>
      </c>
      <c r="F465" s="167">
        <f>INDEX($I465:$O465,cbalEvent302Duration + 1)</f>
        <v>0</v>
      </c>
      <c r="G465" s="167">
        <f>INDEX($I465:$O465,cbalEvent302Duration + 1)</f>
        <v>0</v>
      </c>
      <c r="I465">
        <v>0</v>
      </c>
      <c r="J465" s="732">
        <v>5.0000000000000001E-3</v>
      </c>
      <c r="K465" s="554"/>
      <c r="L465" s="554"/>
      <c r="M465" s="554"/>
      <c r="N465" s="735" t="s">
        <v>182</v>
      </c>
      <c r="O465" s="5">
        <v>3</v>
      </c>
      <c r="P465">
        <v>1</v>
      </c>
    </row>
    <row r="466" spans="1:16">
      <c r="B466" s="5"/>
      <c r="C466" s="599"/>
      <c r="E466" s="167" t="s">
        <v>3161</v>
      </c>
      <c r="F466" s="167" t="s">
        <v>3161</v>
      </c>
      <c r="G466" s="167" t="s">
        <v>3161</v>
      </c>
      <c r="J466" s="553"/>
      <c r="K466" s="554"/>
      <c r="L466" s="554"/>
      <c r="M466" s="554"/>
      <c r="N466" s="554"/>
    </row>
    <row r="467" spans="1:16">
      <c r="A467" s="565" t="s">
        <v>89</v>
      </c>
      <c r="B467">
        <v>401</v>
      </c>
      <c r="C467" s="3" t="s">
        <v>2275</v>
      </c>
      <c r="D467" t="s">
        <v>3578</v>
      </c>
      <c r="E467" s="167">
        <f>INDEX($I467:$O467,cbalEvent401Duration + 1)</f>
        <v>0</v>
      </c>
      <c r="F467" s="167">
        <f>INDEX($I467:$O467,cbalEvent401Duration + 1)</f>
        <v>0</v>
      </c>
      <c r="G467" s="167">
        <f>INDEX($I467:$O467,cbalEvent401Duration + 1)</f>
        <v>0</v>
      </c>
      <c r="I467">
        <v>0</v>
      </c>
      <c r="J467" s="554"/>
      <c r="K467" s="554"/>
      <c r="L467" s="554"/>
      <c r="M467" s="554"/>
      <c r="N467" s="554"/>
    </row>
    <row r="468" spans="1:16">
      <c r="B468">
        <v>401</v>
      </c>
      <c r="C468" s="736" t="s">
        <v>2746</v>
      </c>
      <c r="E468" s="167" t="s">
        <v>3161</v>
      </c>
      <c r="F468" s="167" t="s">
        <v>3161</v>
      </c>
      <c r="G468" s="167" t="s">
        <v>3161</v>
      </c>
      <c r="J468" s="553"/>
      <c r="K468" s="554"/>
      <c r="L468" s="554"/>
      <c r="M468" s="554"/>
      <c r="N468" s="735"/>
      <c r="O468" s="733"/>
      <c r="P468" s="565"/>
    </row>
    <row r="469" spans="1:16">
      <c r="A469" t="str">
        <f>"Costa"&amp; B469</f>
        <v>Costa401</v>
      </c>
      <c r="B469">
        <v>401</v>
      </c>
      <c r="C469" s="599" t="s">
        <v>2120</v>
      </c>
      <c r="D469" s="565" t="s">
        <v>3527</v>
      </c>
      <c r="E469" s="167">
        <f t="shared" ref="E469:G471" si="78">INDEX($I469:$O469,cbalEvent401Duration + 1)</f>
        <v>0</v>
      </c>
      <c r="F469" s="167">
        <f t="shared" si="78"/>
        <v>0</v>
      </c>
      <c r="G469" s="167">
        <f t="shared" si="78"/>
        <v>0</v>
      </c>
      <c r="H469" t="str">
        <f>C469&amp;"Evt"&amp;B469</f>
        <v>SP-5Evt401</v>
      </c>
      <c r="I469">
        <v>0</v>
      </c>
      <c r="J469" s="727">
        <v>6000000</v>
      </c>
      <c r="K469" s="554"/>
      <c r="L469" s="554"/>
      <c r="M469" s="554"/>
      <c r="N469" s="735" t="s">
        <v>180</v>
      </c>
      <c r="O469" s="5">
        <v>5</v>
      </c>
      <c r="P469">
        <v>2</v>
      </c>
    </row>
    <row r="470" spans="1:16">
      <c r="A470" t="str">
        <f>"CapExa"&amp; B470</f>
        <v>CapExa401</v>
      </c>
      <c r="B470">
        <v>401</v>
      </c>
      <c r="C470" s="1002" t="s">
        <v>2124</v>
      </c>
      <c r="D470" s="565" t="s">
        <v>3598</v>
      </c>
      <c r="E470" s="167">
        <f>INDEX($I470:$O470,cbalEvent401Duration + 1)</f>
        <v>0</v>
      </c>
      <c r="F470" s="167">
        <f t="shared" si="78"/>
        <v>0</v>
      </c>
      <c r="G470" s="167">
        <f t="shared" si="78"/>
        <v>0</v>
      </c>
      <c r="H470" t="str">
        <f>C470&amp;"Evt"&amp;B470</f>
        <v>SP-9Evt401</v>
      </c>
      <c r="I470">
        <v>0</v>
      </c>
      <c r="J470" s="727">
        <v>14000000</v>
      </c>
      <c r="K470" s="554"/>
      <c r="L470" s="554"/>
      <c r="M470" s="554"/>
      <c r="N470" s="735"/>
      <c r="O470" s="5"/>
    </row>
    <row r="471" spans="1:16">
      <c r="A471" t="str">
        <f>"FTEa"&amp; B471</f>
        <v>FTEa401</v>
      </c>
      <c r="B471">
        <v>401</v>
      </c>
      <c r="C471" s="670" t="s">
        <v>3003</v>
      </c>
      <c r="D471" s="565" t="s">
        <v>3528</v>
      </c>
      <c r="E471" s="167">
        <f t="shared" si="78"/>
        <v>0</v>
      </c>
      <c r="F471" s="167">
        <f t="shared" si="78"/>
        <v>0</v>
      </c>
      <c r="G471" s="167">
        <f t="shared" si="78"/>
        <v>0</v>
      </c>
      <c r="H471" t="str">
        <f>C471&amp;"Evt"&amp;B471</f>
        <v>SP-17Evt401</v>
      </c>
      <c r="I471">
        <v>0</v>
      </c>
      <c r="J471" s="727">
        <v>16</v>
      </c>
      <c r="K471" s="554"/>
      <c r="L471" s="554"/>
      <c r="M471" s="554"/>
      <c r="N471" s="735" t="s">
        <v>2733</v>
      </c>
      <c r="O471" s="5">
        <v>4</v>
      </c>
      <c r="P471">
        <v>2</v>
      </c>
    </row>
    <row r="472" spans="1:16">
      <c r="B472">
        <v>401</v>
      </c>
      <c r="C472" s="736" t="s">
        <v>450</v>
      </c>
      <c r="E472" s="167" t="s">
        <v>3161</v>
      </c>
      <c r="F472" s="167" t="s">
        <v>3161</v>
      </c>
      <c r="G472" s="167" t="s">
        <v>3161</v>
      </c>
      <c r="J472" s="553"/>
      <c r="K472" s="554"/>
      <c r="L472" s="554"/>
      <c r="M472" s="554"/>
      <c r="N472" s="735"/>
      <c r="O472" s="733"/>
      <c r="P472" s="565"/>
    </row>
    <row r="473" spans="1:16">
      <c r="B473">
        <v>401</v>
      </c>
      <c r="C473" s="670" t="s">
        <v>2131</v>
      </c>
      <c r="D473" s="565" t="s">
        <v>1044</v>
      </c>
      <c r="E473" s="167">
        <f>INDEX($I473:$O473,cbalEvent401Duration + 1)</f>
        <v>0</v>
      </c>
      <c r="F473" s="167">
        <f>INDEX($I473:$O473,cbalEvent401Duration + 1)</f>
        <v>0</v>
      </c>
      <c r="G473" s="167">
        <f>INDEX($I473:$O473,cbalEvent401Duration + 1)</f>
        <v>0</v>
      </c>
      <c r="I473">
        <v>0</v>
      </c>
      <c r="J473" s="732">
        <v>1.4999999999999999E-2</v>
      </c>
      <c r="K473" s="554"/>
      <c r="L473" s="554"/>
      <c r="M473" s="554"/>
      <c r="N473" s="735" t="s">
        <v>2733</v>
      </c>
      <c r="O473" s="5">
        <v>4</v>
      </c>
      <c r="P473">
        <v>1</v>
      </c>
    </row>
    <row r="474" spans="1:16">
      <c r="B474">
        <v>401</v>
      </c>
      <c r="C474" s="736" t="s">
        <v>1276</v>
      </c>
      <c r="E474" s="167" t="s">
        <v>3161</v>
      </c>
      <c r="F474" s="167" t="s">
        <v>3161</v>
      </c>
      <c r="G474" s="167" t="s">
        <v>3161</v>
      </c>
      <c r="J474" s="553"/>
      <c r="K474" s="554"/>
      <c r="L474" s="554"/>
      <c r="M474" s="554"/>
      <c r="N474" s="735"/>
      <c r="O474" s="733"/>
      <c r="P474" s="565"/>
    </row>
    <row r="475" spans="1:16">
      <c r="B475">
        <v>401</v>
      </c>
      <c r="C475" s="670" t="s">
        <v>2763</v>
      </c>
      <c r="D475" s="565" t="s">
        <v>3580</v>
      </c>
      <c r="E475" s="167">
        <f>INDEX($I475:$O475,cbalEvent401Duration + 1)</f>
        <v>0</v>
      </c>
      <c r="F475" s="167">
        <f>INDEX($I475:$O475,cbalEvent401Duration + 1)</f>
        <v>0</v>
      </c>
      <c r="G475" s="167">
        <f>INDEX($I475:$O475,cbalEvent401Duration + 1)</f>
        <v>0</v>
      </c>
      <c r="I475">
        <v>0</v>
      </c>
      <c r="J475" s="727">
        <v>500</v>
      </c>
      <c r="K475" s="554"/>
      <c r="L475" s="554"/>
      <c r="M475" s="554"/>
      <c r="N475" s="735" t="s">
        <v>180</v>
      </c>
      <c r="O475" s="5">
        <v>5</v>
      </c>
      <c r="P475">
        <v>1</v>
      </c>
    </row>
    <row r="476" spans="1:16">
      <c r="B476" s="5"/>
      <c r="C476" s="599"/>
      <c r="E476" s="167" t="s">
        <v>3161</v>
      </c>
      <c r="F476" s="167" t="s">
        <v>3161</v>
      </c>
      <c r="G476" s="167" t="s">
        <v>3161</v>
      </c>
      <c r="J476" s="553"/>
      <c r="K476" s="554"/>
      <c r="L476" s="554"/>
      <c r="M476" s="554"/>
      <c r="N476" s="554"/>
    </row>
    <row r="477" spans="1:16">
      <c r="A477" s="565" t="s">
        <v>90</v>
      </c>
      <c r="B477">
        <v>402</v>
      </c>
      <c r="C477" s="3" t="s">
        <v>2276</v>
      </c>
      <c r="D477" t="s">
        <v>3579</v>
      </c>
      <c r="E477" s="167">
        <f>INDEX($I477:$O477,cbalEvent402Duration + 1)</f>
        <v>0</v>
      </c>
      <c r="F477" s="167">
        <f>INDEX($I477:$O477,cbalEvent402Duration + 1)</f>
        <v>0</v>
      </c>
      <c r="G477" s="167">
        <f>INDEX($I477:$O477,cbalEvent402Duration + 1)</f>
        <v>0</v>
      </c>
      <c r="I477">
        <v>0</v>
      </c>
      <c r="J477" s="554"/>
      <c r="K477" s="554"/>
      <c r="L477" s="554"/>
      <c r="M477" s="554"/>
      <c r="N477" s="554"/>
    </row>
    <row r="478" spans="1:16">
      <c r="B478">
        <v>402</v>
      </c>
      <c r="C478" s="736" t="s">
        <v>2746</v>
      </c>
      <c r="E478" s="167" t="s">
        <v>3161</v>
      </c>
      <c r="F478" s="167" t="s">
        <v>3161</v>
      </c>
      <c r="G478" s="167" t="s">
        <v>3161</v>
      </c>
      <c r="J478" s="553"/>
      <c r="K478" s="554"/>
      <c r="L478" s="554"/>
      <c r="M478" s="554"/>
      <c r="N478" s="735"/>
      <c r="O478" s="733"/>
      <c r="P478" s="565"/>
    </row>
    <row r="479" spans="1:16">
      <c r="A479" t="str">
        <f>"Costa"&amp; B479</f>
        <v>Costa402</v>
      </c>
      <c r="B479">
        <v>402</v>
      </c>
      <c r="C479" s="599" t="s">
        <v>2120</v>
      </c>
      <c r="D479" s="565" t="s">
        <v>3527</v>
      </c>
      <c r="E479" s="167">
        <f t="shared" ref="E479:G481" si="79">INDEX($I479:$O479,cbalEvent402Duration + 1)</f>
        <v>0</v>
      </c>
      <c r="F479" s="167">
        <f t="shared" si="79"/>
        <v>0</v>
      </c>
      <c r="G479" s="167">
        <f t="shared" si="79"/>
        <v>0</v>
      </c>
      <c r="H479" t="str">
        <f>C479&amp;"Evt"&amp;B479</f>
        <v>SP-5Evt402</v>
      </c>
      <c r="I479">
        <v>0</v>
      </c>
      <c r="J479" s="727">
        <v>3000000</v>
      </c>
      <c r="K479" s="554"/>
      <c r="L479" s="554"/>
      <c r="M479" s="554"/>
      <c r="N479" s="735" t="s">
        <v>2733</v>
      </c>
      <c r="O479" s="5">
        <v>4</v>
      </c>
      <c r="P479">
        <v>2</v>
      </c>
    </row>
    <row r="480" spans="1:16">
      <c r="A480" t="str">
        <f>"CapExa"&amp; B480</f>
        <v>CapExa402</v>
      </c>
      <c r="B480">
        <v>402</v>
      </c>
      <c r="C480" s="1002" t="s">
        <v>2124</v>
      </c>
      <c r="D480" s="565" t="s">
        <v>3598</v>
      </c>
      <c r="E480" s="167">
        <f>INDEX($I480:$O480,cbalEvent402Duration + 1)</f>
        <v>0</v>
      </c>
      <c r="F480" s="167">
        <f t="shared" si="79"/>
        <v>0</v>
      </c>
      <c r="G480" s="167">
        <f t="shared" si="79"/>
        <v>0</v>
      </c>
      <c r="H480" t="str">
        <f>C480&amp;"Evt"&amp;B480</f>
        <v>SP-9Evt402</v>
      </c>
      <c r="I480">
        <v>0</v>
      </c>
      <c r="J480" s="727">
        <v>7000000</v>
      </c>
      <c r="K480" s="554"/>
      <c r="L480" s="554"/>
      <c r="M480" s="554"/>
      <c r="N480" s="735"/>
      <c r="O480" s="5"/>
    </row>
    <row r="481" spans="1:16">
      <c r="A481" t="str">
        <f>"FTEa"&amp; B481</f>
        <v>FTEa402</v>
      </c>
      <c r="B481">
        <v>402</v>
      </c>
      <c r="C481" s="670" t="s">
        <v>3003</v>
      </c>
      <c r="D481" s="565" t="s">
        <v>3528</v>
      </c>
      <c r="E481" s="167">
        <f t="shared" si="79"/>
        <v>0</v>
      </c>
      <c r="F481" s="167">
        <f t="shared" si="79"/>
        <v>0</v>
      </c>
      <c r="G481" s="167">
        <f t="shared" si="79"/>
        <v>0</v>
      </c>
      <c r="H481" t="str">
        <f>C481&amp;"Evt"&amp;B481</f>
        <v>SP-17Evt402</v>
      </c>
      <c r="I481">
        <v>0</v>
      </c>
      <c r="J481" s="727">
        <v>24</v>
      </c>
      <c r="K481" s="554"/>
      <c r="L481" s="554"/>
      <c r="M481" s="554"/>
      <c r="N481" s="735" t="s">
        <v>180</v>
      </c>
      <c r="O481" s="5">
        <v>5</v>
      </c>
      <c r="P481">
        <v>2</v>
      </c>
    </row>
    <row r="482" spans="1:16">
      <c r="B482">
        <v>402</v>
      </c>
      <c r="C482" s="736" t="s">
        <v>1276</v>
      </c>
      <c r="E482" s="167" t="s">
        <v>3161</v>
      </c>
      <c r="F482" s="167" t="s">
        <v>3161</v>
      </c>
      <c r="G482" s="167" t="s">
        <v>3161</v>
      </c>
      <c r="J482" s="553"/>
      <c r="K482" s="554"/>
      <c r="L482" s="554"/>
      <c r="M482" s="554"/>
      <c r="N482" s="735"/>
      <c r="O482" s="733"/>
      <c r="P482" s="565"/>
    </row>
    <row r="483" spans="1:16">
      <c r="B483">
        <v>402</v>
      </c>
      <c r="C483" s="670" t="s">
        <v>2763</v>
      </c>
      <c r="D483" s="565" t="s">
        <v>3580</v>
      </c>
      <c r="E483" s="167">
        <f t="shared" ref="E483:G484" si="80">INDEX($I483:$O483,cbalEvent402Duration + 1)</f>
        <v>0</v>
      </c>
      <c r="F483" s="167">
        <f t="shared" si="80"/>
        <v>0</v>
      </c>
      <c r="G483" s="167">
        <f t="shared" si="80"/>
        <v>0</v>
      </c>
      <c r="I483">
        <v>0</v>
      </c>
      <c r="J483" s="727">
        <v>1500</v>
      </c>
      <c r="K483" s="554"/>
      <c r="L483" s="554"/>
      <c r="M483" s="554"/>
      <c r="N483" s="735" t="s">
        <v>180</v>
      </c>
      <c r="O483" s="5">
        <v>5</v>
      </c>
      <c r="P483">
        <v>1</v>
      </c>
    </row>
    <row r="484" spans="1:16">
      <c r="B484">
        <v>402</v>
      </c>
      <c r="C484" s="670" t="s">
        <v>1434</v>
      </c>
      <c r="D484" s="565" t="s">
        <v>3564</v>
      </c>
      <c r="E484" s="167">
        <f t="shared" si="80"/>
        <v>0</v>
      </c>
      <c r="F484" s="167">
        <f t="shared" si="80"/>
        <v>0</v>
      </c>
      <c r="G484" s="167">
        <f t="shared" si="80"/>
        <v>0</v>
      </c>
      <c r="I484">
        <v>0</v>
      </c>
      <c r="J484" s="732">
        <v>0.1</v>
      </c>
      <c r="K484" s="385">
        <v>0.1</v>
      </c>
      <c r="L484" s="385">
        <v>0.1</v>
      </c>
      <c r="M484" s="385">
        <v>0.1</v>
      </c>
      <c r="N484" s="735" t="s">
        <v>180</v>
      </c>
      <c r="O484" s="5">
        <v>5</v>
      </c>
      <c r="P484">
        <v>1</v>
      </c>
    </row>
    <row r="485" spans="1:16">
      <c r="B485">
        <v>402</v>
      </c>
      <c r="C485" s="736" t="s">
        <v>2740</v>
      </c>
      <c r="E485" s="167" t="s">
        <v>3161</v>
      </c>
      <c r="F485" s="167" t="s">
        <v>3161</v>
      </c>
      <c r="G485" s="167" t="s">
        <v>3161</v>
      </c>
      <c r="J485" s="553"/>
      <c r="K485" s="554"/>
      <c r="L485" s="554"/>
      <c r="M485" s="554"/>
      <c r="N485" s="735"/>
      <c r="O485" s="733"/>
      <c r="P485" s="565"/>
    </row>
    <row r="486" spans="1:16">
      <c r="B486">
        <v>402</v>
      </c>
      <c r="C486" s="670" t="s">
        <v>1405</v>
      </c>
      <c r="D486" s="565" t="s">
        <v>3544</v>
      </c>
      <c r="E486" s="167">
        <f>INDEX($I486:$O486,cbalEvent402Duration + 1)</f>
        <v>0</v>
      </c>
      <c r="F486" s="167">
        <f>INDEX($I486:$O486,cbalEvent402Duration + 1)</f>
        <v>0</v>
      </c>
      <c r="G486" s="167">
        <f>INDEX($I486:$O486,cbalEvent402Duration + 1)</f>
        <v>0</v>
      </c>
      <c r="I486">
        <v>0</v>
      </c>
      <c r="J486" s="732">
        <v>-0.02</v>
      </c>
      <c r="K486" s="554"/>
      <c r="L486" s="554"/>
      <c r="M486" s="554"/>
      <c r="N486" s="735" t="s">
        <v>182</v>
      </c>
      <c r="O486" s="5">
        <v>3</v>
      </c>
      <c r="P486">
        <v>1</v>
      </c>
    </row>
    <row r="487" spans="1:16">
      <c r="B487">
        <v>402</v>
      </c>
      <c r="C487" s="736" t="s">
        <v>447</v>
      </c>
      <c r="E487" s="167" t="s">
        <v>3161</v>
      </c>
      <c r="F487" s="167" t="s">
        <v>3161</v>
      </c>
      <c r="G487" s="167" t="s">
        <v>3161</v>
      </c>
      <c r="J487" s="553"/>
      <c r="K487" s="554"/>
      <c r="L487" s="554"/>
      <c r="M487" s="554"/>
      <c r="N487" s="735"/>
      <c r="O487" s="733"/>
      <c r="P487" s="565"/>
    </row>
    <row r="488" spans="1:16">
      <c r="B488">
        <v>402</v>
      </c>
      <c r="C488" s="670" t="s">
        <v>2132</v>
      </c>
      <c r="D488" s="565" t="s">
        <v>44</v>
      </c>
      <c r="E488" s="167">
        <f>INDEX($I488:$O488,cbalEvent402Duration + 1)</f>
        <v>0</v>
      </c>
      <c r="F488" s="167">
        <f>INDEX($I488:$O488,cbalEvent402Duration + 1)</f>
        <v>0</v>
      </c>
      <c r="G488" s="167">
        <f>INDEX($I488:$O488,cbalEvent402Duration + 1)</f>
        <v>0</v>
      </c>
      <c r="I488">
        <v>0</v>
      </c>
      <c r="J488" s="732">
        <v>5.0000000000000001E-3</v>
      </c>
      <c r="K488" s="554"/>
      <c r="L488" s="554"/>
      <c r="M488" s="554"/>
      <c r="N488" s="735" t="s">
        <v>182</v>
      </c>
      <c r="O488" s="5">
        <v>3</v>
      </c>
      <c r="P488">
        <v>1</v>
      </c>
    </row>
    <row r="489" spans="1:16">
      <c r="B489">
        <v>402</v>
      </c>
      <c r="C489" s="736" t="s">
        <v>450</v>
      </c>
      <c r="E489" s="167" t="s">
        <v>3161</v>
      </c>
      <c r="F489" s="167" t="s">
        <v>3161</v>
      </c>
      <c r="G489" s="167" t="s">
        <v>3161</v>
      </c>
      <c r="J489" s="553"/>
      <c r="K489" s="554"/>
      <c r="L489" s="554"/>
      <c r="M489" s="554"/>
      <c r="N489" s="735"/>
      <c r="O489" s="733"/>
      <c r="P489" s="565"/>
    </row>
    <row r="490" spans="1:16">
      <c r="B490">
        <v>402</v>
      </c>
      <c r="C490" s="670" t="s">
        <v>2131</v>
      </c>
      <c r="D490" s="565" t="s">
        <v>1044</v>
      </c>
      <c r="E490" s="167">
        <f>INDEX($I490:$O490,cbalEvent402Duration + 1)</f>
        <v>0</v>
      </c>
      <c r="F490" s="167">
        <f>INDEX($I490:$O490,cbalEvent402Duration + 1)</f>
        <v>0</v>
      </c>
      <c r="G490" s="167">
        <f>INDEX($I490:$O490,cbalEvent402Duration + 1)</f>
        <v>0</v>
      </c>
      <c r="I490">
        <v>0</v>
      </c>
      <c r="J490" s="732">
        <v>0.02</v>
      </c>
      <c r="K490" s="554"/>
      <c r="L490" s="554"/>
      <c r="M490" s="554"/>
      <c r="N490" s="735" t="s">
        <v>180</v>
      </c>
      <c r="O490" s="5">
        <v>5</v>
      </c>
      <c r="P490">
        <v>1</v>
      </c>
    </row>
    <row r="491" spans="1:16">
      <c r="B491" s="5"/>
      <c r="C491" s="599"/>
      <c r="E491" s="167" t="s">
        <v>3161</v>
      </c>
      <c r="F491" s="167" t="s">
        <v>3161</v>
      </c>
      <c r="G491" s="167" t="s">
        <v>3161</v>
      </c>
      <c r="J491" s="553"/>
      <c r="K491" s="554"/>
      <c r="L491" s="554"/>
      <c r="M491" s="554"/>
      <c r="N491" s="554"/>
    </row>
    <row r="492" spans="1:16">
      <c r="A492" s="565" t="s">
        <v>2253</v>
      </c>
      <c r="B492">
        <v>403</v>
      </c>
      <c r="C492" s="3" t="s">
        <v>2277</v>
      </c>
      <c r="D492" t="s">
        <v>3581</v>
      </c>
      <c r="E492" s="167">
        <f>INDEX($I492:$O492,cbalEvent403Duration + 1)</f>
        <v>0</v>
      </c>
      <c r="F492" s="167">
        <f>INDEX($I492:$O492,cbalEvent403Duration + 1)</f>
        <v>0</v>
      </c>
      <c r="G492" s="167">
        <f>INDEX($I492:$O492,cbalEvent403Duration + 1)</f>
        <v>0</v>
      </c>
      <c r="I492">
        <v>0</v>
      </c>
      <c r="J492" s="554"/>
      <c r="K492" s="554"/>
      <c r="L492" s="554"/>
      <c r="M492" s="554"/>
      <c r="N492" s="554"/>
    </row>
    <row r="493" spans="1:16">
      <c r="B493">
        <v>403</v>
      </c>
      <c r="C493" s="736" t="s">
        <v>2746</v>
      </c>
      <c r="E493" s="167" t="s">
        <v>3161</v>
      </c>
      <c r="F493" s="167" t="s">
        <v>3161</v>
      </c>
      <c r="G493" s="167" t="s">
        <v>3161</v>
      </c>
      <c r="J493" s="553"/>
      <c r="K493" s="554"/>
      <c r="L493" s="554"/>
      <c r="M493" s="554"/>
      <c r="N493" s="735"/>
      <c r="O493" s="733"/>
      <c r="P493" s="565"/>
    </row>
    <row r="494" spans="1:16">
      <c r="A494" t="str">
        <f>"Costa"&amp; B494</f>
        <v>Costa403</v>
      </c>
      <c r="B494">
        <v>403</v>
      </c>
      <c r="C494" s="599" t="s">
        <v>2120</v>
      </c>
      <c r="D494" s="565" t="s">
        <v>3527</v>
      </c>
      <c r="E494" s="167">
        <f t="shared" ref="E494:G495" si="81">INDEX($I494:$O494,cbalEvent403Duration + 1)</f>
        <v>0</v>
      </c>
      <c r="F494" s="167">
        <f t="shared" si="81"/>
        <v>0</v>
      </c>
      <c r="G494" s="167">
        <f t="shared" si="81"/>
        <v>0</v>
      </c>
      <c r="H494" t="str">
        <f>C494&amp;"Evt"&amp;B494</f>
        <v>SP-5Evt403</v>
      </c>
      <c r="I494">
        <v>0</v>
      </c>
      <c r="J494" s="727">
        <v>5000000</v>
      </c>
      <c r="K494" s="554"/>
      <c r="L494" s="554"/>
      <c r="M494" s="554"/>
      <c r="N494" s="735" t="s">
        <v>182</v>
      </c>
      <c r="O494" s="5">
        <v>3</v>
      </c>
      <c r="P494">
        <v>2</v>
      </c>
    </row>
    <row r="495" spans="1:16">
      <c r="A495" t="str">
        <f>"FTEa"&amp; B495</f>
        <v>FTEa403</v>
      </c>
      <c r="B495">
        <v>403</v>
      </c>
      <c r="C495" s="670" t="s">
        <v>3003</v>
      </c>
      <c r="D495" s="565" t="s">
        <v>3528</v>
      </c>
      <c r="E495" s="167">
        <f t="shared" si="81"/>
        <v>0</v>
      </c>
      <c r="F495" s="167">
        <f t="shared" si="81"/>
        <v>0</v>
      </c>
      <c r="G495" s="167">
        <f t="shared" si="81"/>
        <v>0</v>
      </c>
      <c r="H495" t="str">
        <f>C495&amp;"Evt"&amp;B495</f>
        <v>SP-17Evt403</v>
      </c>
      <c r="I495">
        <v>0</v>
      </c>
      <c r="J495" s="727">
        <v>10</v>
      </c>
      <c r="K495" s="554"/>
      <c r="L495" s="554"/>
      <c r="M495" s="554"/>
      <c r="N495" s="735" t="s">
        <v>182</v>
      </c>
      <c r="O495" s="5">
        <v>3</v>
      </c>
      <c r="P495">
        <v>2</v>
      </c>
    </row>
    <row r="496" spans="1:16">
      <c r="B496">
        <v>403</v>
      </c>
      <c r="C496" s="736" t="s">
        <v>2786</v>
      </c>
      <c r="E496" s="167" t="s">
        <v>3161</v>
      </c>
      <c r="F496" s="167" t="s">
        <v>3161</v>
      </c>
      <c r="G496" s="167" t="s">
        <v>3161</v>
      </c>
      <c r="J496" s="553"/>
      <c r="K496" s="554"/>
      <c r="L496" s="554"/>
      <c r="M496" s="554"/>
      <c r="N496" s="735"/>
      <c r="O496" s="733"/>
      <c r="P496" s="565"/>
    </row>
    <row r="497" spans="1:16">
      <c r="B497">
        <v>403</v>
      </c>
      <c r="C497" s="599" t="s">
        <v>2751</v>
      </c>
      <c r="D497" s="565" t="s">
        <v>3540</v>
      </c>
      <c r="E497" s="167">
        <f>INDEX($I497:$O497,cbalEvent403Duration + 1)</f>
        <v>0</v>
      </c>
      <c r="F497" s="167">
        <f>INDEX($I497:$O497,cbalEvent403Duration + 1)</f>
        <v>0</v>
      </c>
      <c r="G497" s="167">
        <f>INDEX($I497:$O497,cbalEvent403Duration + 1)</f>
        <v>0</v>
      </c>
      <c r="I497">
        <v>0</v>
      </c>
      <c r="J497">
        <v>1</v>
      </c>
      <c r="K497" s="732"/>
      <c r="L497" s="385"/>
      <c r="M497" s="385"/>
      <c r="N497" s="735"/>
      <c r="O497" s="5"/>
    </row>
    <row r="498" spans="1:16">
      <c r="B498">
        <v>403</v>
      </c>
      <c r="C498" s="736" t="s">
        <v>450</v>
      </c>
      <c r="E498" s="167" t="s">
        <v>3161</v>
      </c>
      <c r="F498" s="167" t="s">
        <v>3161</v>
      </c>
      <c r="G498" s="167" t="s">
        <v>3161</v>
      </c>
      <c r="J498" s="553"/>
      <c r="K498" s="554"/>
      <c r="L498" s="554"/>
      <c r="M498" s="554"/>
      <c r="N498" s="735"/>
      <c r="O498" s="733"/>
      <c r="P498" s="565"/>
    </row>
    <row r="499" spans="1:16">
      <c r="B499">
        <v>403</v>
      </c>
      <c r="C499" s="670" t="s">
        <v>2131</v>
      </c>
      <c r="D499" s="565" t="s">
        <v>1044</v>
      </c>
      <c r="E499" s="167">
        <f>INDEX($I499:$O499,cbalEvent403Duration + 1)</f>
        <v>0</v>
      </c>
      <c r="F499" s="167">
        <f>INDEX($I499:$O499,cbalEvent403Duration + 1)</f>
        <v>0</v>
      </c>
      <c r="G499" s="167">
        <f>INDEX($I499:$O499,cbalEvent403Duration + 1)</f>
        <v>0</v>
      </c>
      <c r="I499">
        <v>0</v>
      </c>
      <c r="J499" s="732">
        <v>-5.0000000000000001E-3</v>
      </c>
      <c r="K499" s="554"/>
      <c r="L499" s="554"/>
      <c r="M499" s="554"/>
      <c r="N499" s="735" t="s">
        <v>182</v>
      </c>
      <c r="O499" s="5">
        <v>3</v>
      </c>
      <c r="P499">
        <v>1</v>
      </c>
    </row>
    <row r="500" spans="1:16">
      <c r="B500" s="5"/>
      <c r="C500" s="599"/>
      <c r="E500" s="167" t="s">
        <v>3161</v>
      </c>
      <c r="F500" s="167" t="s">
        <v>3161</v>
      </c>
      <c r="G500" s="167" t="s">
        <v>3161</v>
      </c>
      <c r="J500" s="553"/>
      <c r="K500" s="554"/>
      <c r="L500" s="554"/>
      <c r="M500" s="554"/>
      <c r="N500" s="554"/>
    </row>
    <row r="501" spans="1:16">
      <c r="A501" s="565" t="s">
        <v>91</v>
      </c>
      <c r="B501">
        <v>501</v>
      </c>
      <c r="C501" s="3" t="s">
        <v>2278</v>
      </c>
      <c r="D501" t="s">
        <v>3582</v>
      </c>
      <c r="E501" s="167">
        <f>INDEX($I501:$O501,cbalEvent501Duration + 1)</f>
        <v>0</v>
      </c>
      <c r="F501" s="167">
        <f>INDEX($I501:$O501,cbalEvent501Duration + 1)</f>
        <v>0</v>
      </c>
      <c r="G501" s="167">
        <f>INDEX($I501:$O501,cbalEvent501Duration + 1)</f>
        <v>0</v>
      </c>
      <c r="I501">
        <v>0</v>
      </c>
      <c r="J501" s="554"/>
      <c r="K501" s="554"/>
      <c r="L501" s="554"/>
      <c r="M501" s="554"/>
      <c r="N501" s="554"/>
    </row>
    <row r="502" spans="1:16">
      <c r="B502">
        <v>501</v>
      </c>
      <c r="C502" s="736" t="s">
        <v>2741</v>
      </c>
      <c r="E502" s="167" t="s">
        <v>3161</v>
      </c>
      <c r="F502" s="167" t="s">
        <v>3161</v>
      </c>
      <c r="G502" s="167" t="s">
        <v>3161</v>
      </c>
      <c r="J502" s="553"/>
      <c r="K502" s="554"/>
      <c r="L502" s="554"/>
      <c r="M502" s="554"/>
      <c r="N502" s="735"/>
      <c r="O502" s="733"/>
      <c r="P502" s="565"/>
    </row>
    <row r="503" spans="1:16">
      <c r="B503">
        <v>501</v>
      </c>
      <c r="C503" s="670" t="s">
        <v>2763</v>
      </c>
      <c r="D503" s="565" t="s">
        <v>3580</v>
      </c>
      <c r="E503" s="167">
        <f t="shared" ref="E503:G504" si="82">INDEX($I503:$O503,cbalEvent501Duration + 1)</f>
        <v>0</v>
      </c>
      <c r="F503" s="167">
        <f t="shared" si="82"/>
        <v>0</v>
      </c>
      <c r="G503" s="167">
        <f t="shared" si="82"/>
        <v>0</v>
      </c>
      <c r="I503">
        <v>0</v>
      </c>
      <c r="J503" s="727">
        <v>1000</v>
      </c>
      <c r="K503" s="554"/>
      <c r="L503" s="554"/>
      <c r="M503" s="554"/>
      <c r="N503" s="735" t="s">
        <v>182</v>
      </c>
      <c r="O503" s="5">
        <v>3</v>
      </c>
      <c r="P503">
        <v>1</v>
      </c>
    </row>
    <row r="504" spans="1:16">
      <c r="B504">
        <v>501</v>
      </c>
      <c r="C504" s="670" t="s">
        <v>1434</v>
      </c>
      <c r="D504" s="565" t="s">
        <v>3564</v>
      </c>
      <c r="E504" s="167">
        <f t="shared" si="82"/>
        <v>0</v>
      </c>
      <c r="F504" s="167">
        <f t="shared" si="82"/>
        <v>0</v>
      </c>
      <c r="G504" s="167">
        <f t="shared" si="82"/>
        <v>0</v>
      </c>
      <c r="I504">
        <v>0</v>
      </c>
      <c r="J504" s="732"/>
      <c r="K504" s="554"/>
      <c r="L504" s="554"/>
      <c r="M504" s="554"/>
      <c r="N504" s="735" t="s">
        <v>182</v>
      </c>
      <c r="O504" s="5">
        <v>3</v>
      </c>
      <c r="P504">
        <v>1</v>
      </c>
    </row>
    <row r="505" spans="1:16">
      <c r="B505">
        <v>501</v>
      </c>
      <c r="C505" s="736" t="s">
        <v>3127</v>
      </c>
      <c r="E505" s="167" t="s">
        <v>3161</v>
      </c>
      <c r="F505" s="167" t="s">
        <v>3161</v>
      </c>
      <c r="G505" s="167" t="s">
        <v>3161</v>
      </c>
      <c r="J505" s="553"/>
      <c r="K505" s="554"/>
      <c r="L505" s="554"/>
      <c r="M505" s="554"/>
      <c r="N505" s="735"/>
      <c r="O505" s="733"/>
      <c r="P505" s="565"/>
    </row>
    <row r="506" spans="1:16">
      <c r="B506">
        <v>501</v>
      </c>
      <c r="C506" s="670" t="s">
        <v>1535</v>
      </c>
      <c r="D506" s="565" t="s">
        <v>3583</v>
      </c>
      <c r="E506" s="167">
        <f t="shared" ref="E506:G509" si="83">INDEX($I506:$O506,cbalEvent501Duration + 1)</f>
        <v>0</v>
      </c>
      <c r="F506" s="167">
        <f t="shared" si="83"/>
        <v>0</v>
      </c>
      <c r="G506" s="167">
        <f t="shared" si="83"/>
        <v>0</v>
      </c>
      <c r="I506">
        <v>0</v>
      </c>
      <c r="J506" s="732">
        <v>0.01</v>
      </c>
      <c r="K506" s="385"/>
      <c r="L506" s="385"/>
      <c r="M506" s="385"/>
      <c r="N506" s="735"/>
      <c r="O506" s="5"/>
    </row>
    <row r="507" spans="1:16">
      <c r="B507">
        <v>501</v>
      </c>
      <c r="C507" s="670" t="s">
        <v>1540</v>
      </c>
      <c r="D507" s="565" t="s">
        <v>3584</v>
      </c>
      <c r="E507" s="167">
        <f t="shared" si="83"/>
        <v>0</v>
      </c>
      <c r="F507" s="167">
        <f t="shared" si="83"/>
        <v>0</v>
      </c>
      <c r="G507" s="167">
        <f t="shared" si="83"/>
        <v>0</v>
      </c>
      <c r="I507">
        <v>0</v>
      </c>
      <c r="J507" s="732">
        <v>0.01</v>
      </c>
      <c r="K507" s="385"/>
      <c r="L507" s="385"/>
      <c r="M507" s="385"/>
      <c r="N507" s="735"/>
      <c r="O507" s="5"/>
    </row>
    <row r="508" spans="1:16">
      <c r="B508">
        <v>501</v>
      </c>
      <c r="C508" s="736" t="s">
        <v>450</v>
      </c>
      <c r="E508" s="167" t="s">
        <v>3161</v>
      </c>
      <c r="F508" s="167" t="s">
        <v>3161</v>
      </c>
      <c r="G508" s="167" t="s">
        <v>3161</v>
      </c>
      <c r="J508" s="553"/>
      <c r="K508" s="554"/>
      <c r="L508" s="554"/>
      <c r="M508" s="554"/>
      <c r="N508" s="735"/>
      <c r="O508" s="733"/>
      <c r="P508" s="565"/>
    </row>
    <row r="509" spans="1:16">
      <c r="B509">
        <v>501</v>
      </c>
      <c r="C509" s="670" t="s">
        <v>2131</v>
      </c>
      <c r="D509" s="565" t="s">
        <v>1044</v>
      </c>
      <c r="E509" s="167">
        <f t="shared" si="83"/>
        <v>0</v>
      </c>
      <c r="F509" s="167">
        <f t="shared" si="83"/>
        <v>0</v>
      </c>
      <c r="G509" s="167">
        <f t="shared" si="83"/>
        <v>0</v>
      </c>
      <c r="I509">
        <v>0</v>
      </c>
      <c r="J509" s="732">
        <v>5.0000000000000001E-3</v>
      </c>
      <c r="K509" s="554"/>
      <c r="L509" s="554"/>
      <c r="M509" s="554"/>
      <c r="N509" s="735" t="s">
        <v>182</v>
      </c>
      <c r="O509" s="5">
        <v>3</v>
      </c>
      <c r="P509">
        <v>1</v>
      </c>
    </row>
    <row r="510" spans="1:16">
      <c r="B510" s="5"/>
      <c r="C510" s="599"/>
      <c r="E510" s="167" t="s">
        <v>3161</v>
      </c>
      <c r="F510" s="167" t="s">
        <v>3161</v>
      </c>
      <c r="G510" s="167" t="s">
        <v>3161</v>
      </c>
      <c r="J510" s="553"/>
      <c r="K510" s="554"/>
      <c r="L510" s="554"/>
      <c r="M510" s="554"/>
      <c r="N510" s="554"/>
    </row>
    <row r="511" spans="1:16">
      <c r="A511" s="565" t="s">
        <v>92</v>
      </c>
      <c r="B511">
        <v>502</v>
      </c>
      <c r="C511" s="3" t="s">
        <v>2279</v>
      </c>
      <c r="D511" t="s">
        <v>3585</v>
      </c>
      <c r="E511" s="167">
        <f>INDEX($I511:$O511,cbalEvent502Duration + 1)</f>
        <v>0</v>
      </c>
      <c r="F511" s="167">
        <f>INDEX($I511:$O511,cbalEvent502Duration + 1)</f>
        <v>0</v>
      </c>
      <c r="G511" s="167">
        <f>INDEX($I511:$O511,cbalEvent502Duration + 1)</f>
        <v>0</v>
      </c>
      <c r="I511">
        <v>0</v>
      </c>
      <c r="J511" s="554"/>
      <c r="K511" s="554"/>
      <c r="L511" s="554"/>
      <c r="M511" s="554"/>
      <c r="N511" s="554"/>
    </row>
    <row r="512" spans="1:16">
      <c r="B512">
        <v>502</v>
      </c>
      <c r="C512" s="736" t="s">
        <v>2746</v>
      </c>
      <c r="E512" s="167" t="s">
        <v>3161</v>
      </c>
      <c r="F512" s="167" t="s">
        <v>3161</v>
      </c>
      <c r="G512" s="167" t="s">
        <v>3161</v>
      </c>
      <c r="J512" s="553"/>
      <c r="K512" s="554"/>
      <c r="L512" s="554"/>
      <c r="M512" s="554"/>
      <c r="N512" s="735"/>
      <c r="O512" s="733"/>
      <c r="P512" s="565"/>
    </row>
    <row r="513" spans="1:16">
      <c r="A513" t="str">
        <f>"Costa"&amp; B513</f>
        <v>Costa502</v>
      </c>
      <c r="B513">
        <v>502</v>
      </c>
      <c r="C513" s="599" t="s">
        <v>2120</v>
      </c>
      <c r="D513" s="565" t="s">
        <v>3527</v>
      </c>
      <c r="E513" s="167">
        <f t="shared" ref="E513:G514" si="84">INDEX($I513:$O513,cbalEvent502Duration + 1)</f>
        <v>0</v>
      </c>
      <c r="F513" s="167">
        <f t="shared" si="84"/>
        <v>0</v>
      </c>
      <c r="G513" s="167">
        <f t="shared" si="84"/>
        <v>0</v>
      </c>
      <c r="H513" t="str">
        <f>C513&amp;"Evt"&amp;B513</f>
        <v>SP-5Evt502</v>
      </c>
      <c r="I513">
        <v>0</v>
      </c>
      <c r="J513" s="727">
        <v>10000000</v>
      </c>
      <c r="K513" s="554"/>
      <c r="L513" s="554"/>
      <c r="M513" s="554"/>
      <c r="N513" s="735" t="s">
        <v>180</v>
      </c>
      <c r="O513" s="5">
        <v>5</v>
      </c>
      <c r="P513">
        <v>1</v>
      </c>
    </row>
    <row r="514" spans="1:16">
      <c r="A514" t="str">
        <f>"FTEa"&amp; B514</f>
        <v>FTEa502</v>
      </c>
      <c r="B514">
        <v>502</v>
      </c>
      <c r="C514" s="670" t="s">
        <v>3003</v>
      </c>
      <c r="D514" s="565" t="s">
        <v>3528</v>
      </c>
      <c r="E514" s="167">
        <f t="shared" si="84"/>
        <v>0</v>
      </c>
      <c r="F514" s="167">
        <f t="shared" si="84"/>
        <v>0</v>
      </c>
      <c r="G514" s="167">
        <f t="shared" si="84"/>
        <v>0</v>
      </c>
      <c r="H514" t="str">
        <f>C514&amp;"Evt"&amp;B514</f>
        <v>SP-17Evt502</v>
      </c>
      <c r="I514">
        <v>0</v>
      </c>
      <c r="J514" s="727">
        <v>16</v>
      </c>
      <c r="K514" s="554"/>
      <c r="L514" s="554"/>
      <c r="M514" s="554"/>
      <c r="N514" s="735" t="s">
        <v>2733</v>
      </c>
      <c r="O514" s="5">
        <v>4</v>
      </c>
      <c r="P514">
        <v>2</v>
      </c>
    </row>
    <row r="515" spans="1:16">
      <c r="B515">
        <v>502</v>
      </c>
      <c r="C515" s="736" t="s">
        <v>1276</v>
      </c>
      <c r="E515" s="167" t="s">
        <v>3161</v>
      </c>
      <c r="F515" s="167" t="s">
        <v>3161</v>
      </c>
      <c r="G515" s="167" t="s">
        <v>3161</v>
      </c>
      <c r="J515" s="553"/>
      <c r="K515" s="554"/>
      <c r="L515" s="554"/>
      <c r="M515" s="554"/>
      <c r="N515" s="735"/>
      <c r="O515" s="733"/>
      <c r="P515" s="565"/>
    </row>
    <row r="516" spans="1:16">
      <c r="B516">
        <v>502</v>
      </c>
      <c r="C516" s="670" t="s">
        <v>2763</v>
      </c>
      <c r="D516" s="565" t="s">
        <v>3580</v>
      </c>
      <c r="E516" s="167">
        <f t="shared" ref="E516:G517" si="85">INDEX($I516:$O516,cbalEvent502Duration + 1)</f>
        <v>0</v>
      </c>
      <c r="F516" s="167">
        <f t="shared" si="85"/>
        <v>0</v>
      </c>
      <c r="G516" s="167">
        <f t="shared" si="85"/>
        <v>0</v>
      </c>
      <c r="I516">
        <v>0</v>
      </c>
      <c r="J516" s="727">
        <v>1500</v>
      </c>
      <c r="K516" s="554"/>
      <c r="L516" s="554"/>
      <c r="M516" s="554"/>
      <c r="N516" s="735" t="s">
        <v>180</v>
      </c>
      <c r="O516" s="5">
        <v>5</v>
      </c>
      <c r="P516">
        <v>1</v>
      </c>
    </row>
    <row r="517" spans="1:16">
      <c r="B517">
        <v>502</v>
      </c>
      <c r="C517" s="670" t="s">
        <v>1434</v>
      </c>
      <c r="D517" s="565" t="s">
        <v>3564</v>
      </c>
      <c r="E517" s="167">
        <f t="shared" si="85"/>
        <v>0</v>
      </c>
      <c r="F517" s="167">
        <f t="shared" si="85"/>
        <v>0</v>
      </c>
      <c r="G517" s="167">
        <f t="shared" si="85"/>
        <v>0</v>
      </c>
      <c r="I517">
        <v>0</v>
      </c>
      <c r="J517" s="732">
        <v>0.15</v>
      </c>
      <c r="K517" s="732">
        <v>0.15</v>
      </c>
      <c r="L517" s="732">
        <v>0.15</v>
      </c>
      <c r="M517" s="732">
        <v>0.15</v>
      </c>
      <c r="N517" s="735" t="s">
        <v>180</v>
      </c>
      <c r="O517" s="5">
        <v>5</v>
      </c>
      <c r="P517">
        <v>1</v>
      </c>
    </row>
    <row r="518" spans="1:16">
      <c r="B518">
        <v>502</v>
      </c>
      <c r="C518" s="736" t="s">
        <v>2774</v>
      </c>
      <c r="E518" s="167" t="s">
        <v>3161</v>
      </c>
      <c r="F518" s="167" t="s">
        <v>3161</v>
      </c>
      <c r="G518" s="167" t="s">
        <v>3161</v>
      </c>
      <c r="J518" s="553"/>
      <c r="K518" s="554"/>
      <c r="L518" s="554"/>
      <c r="M518" s="554"/>
      <c r="N518" s="735"/>
      <c r="O518" s="733"/>
      <c r="P518" s="565"/>
    </row>
    <row r="519" spans="1:16">
      <c r="B519">
        <v>502</v>
      </c>
      <c r="C519" s="670" t="s">
        <v>1405</v>
      </c>
      <c r="D519" s="565" t="s">
        <v>3544</v>
      </c>
      <c r="E519" s="167">
        <f>INDEX($I519:$O519,cbalEvent502Duration + 1)</f>
        <v>0</v>
      </c>
      <c r="F519" s="167">
        <f>INDEX($I519:$O519,cbalEvent502Duration + 1)</f>
        <v>0</v>
      </c>
      <c r="G519" s="167">
        <f>INDEX($I519:$O519,cbalEvent502Duration + 1)</f>
        <v>0</v>
      </c>
      <c r="I519">
        <v>0</v>
      </c>
      <c r="J519">
        <v>0</v>
      </c>
      <c r="K519" s="732">
        <v>-0.02</v>
      </c>
      <c r="L519" s="554"/>
      <c r="M519" s="554"/>
      <c r="N519" s="735" t="s">
        <v>182</v>
      </c>
      <c r="O519" s="5">
        <v>3</v>
      </c>
      <c r="P519">
        <v>1</v>
      </c>
    </row>
    <row r="520" spans="1:16">
      <c r="B520">
        <v>502</v>
      </c>
      <c r="C520" s="736" t="s">
        <v>2786</v>
      </c>
      <c r="E520" s="167" t="s">
        <v>3161</v>
      </c>
      <c r="F520" s="167" t="s">
        <v>3161</v>
      </c>
      <c r="G520" s="167" t="s">
        <v>3161</v>
      </c>
      <c r="J520" s="553"/>
      <c r="K520" s="554"/>
      <c r="L520" s="554"/>
      <c r="M520" s="554"/>
      <c r="N520" s="735"/>
      <c r="O520" s="733"/>
      <c r="P520" s="565"/>
    </row>
    <row r="521" spans="1:16">
      <c r="B521">
        <v>502</v>
      </c>
      <c r="C521" s="599" t="s">
        <v>2751</v>
      </c>
      <c r="D521" s="565" t="s">
        <v>3540</v>
      </c>
      <c r="E521" s="167">
        <f>INDEX($I521:$O521,cbalEvent502Duration + 1)</f>
        <v>0</v>
      </c>
      <c r="F521" s="167">
        <f>INDEX($I521:$O521,cbalEvent502Duration + 1)</f>
        <v>0</v>
      </c>
      <c r="G521" s="167">
        <f>INDEX($I521:$O521,cbalEvent502Duration + 1)</f>
        <v>0</v>
      </c>
      <c r="I521">
        <v>0</v>
      </c>
      <c r="J521">
        <v>1</v>
      </c>
      <c r="K521" s="732"/>
      <c r="L521" s="385"/>
      <c r="M521" s="385"/>
      <c r="N521" s="735"/>
      <c r="O521" s="5"/>
    </row>
    <row r="522" spans="1:16">
      <c r="B522">
        <v>502</v>
      </c>
      <c r="C522" s="736" t="s">
        <v>450</v>
      </c>
      <c r="E522" s="167" t="s">
        <v>3161</v>
      </c>
      <c r="F522" s="167" t="s">
        <v>3161</v>
      </c>
      <c r="G522" s="167" t="s">
        <v>3161</v>
      </c>
      <c r="J522" s="553"/>
      <c r="K522" s="554"/>
      <c r="L522" s="554"/>
      <c r="M522" s="554"/>
      <c r="N522" s="735"/>
      <c r="O522" s="733"/>
      <c r="P522" s="565"/>
    </row>
    <row r="523" spans="1:16">
      <c r="B523">
        <v>502</v>
      </c>
      <c r="C523" s="670" t="s">
        <v>2131</v>
      </c>
      <c r="D523" s="565" t="s">
        <v>1044</v>
      </c>
      <c r="E523" s="167">
        <f>INDEX($I523:$O523,cbalEvent502Duration + 1)</f>
        <v>0</v>
      </c>
      <c r="F523" s="167">
        <f>INDEX($I523:$O523,cbalEvent502Duration + 1)</f>
        <v>0</v>
      </c>
      <c r="G523" s="167">
        <f>INDEX($I523:$O523,cbalEvent502Duration + 1)</f>
        <v>0</v>
      </c>
      <c r="I523">
        <v>0</v>
      </c>
      <c r="J523" s="732">
        <v>2E-3</v>
      </c>
      <c r="K523" s="554"/>
      <c r="L523" s="554"/>
      <c r="M523" s="554"/>
      <c r="N523" s="735" t="s">
        <v>182</v>
      </c>
      <c r="O523" s="5">
        <v>3</v>
      </c>
      <c r="P523">
        <v>1</v>
      </c>
    </row>
    <row r="524" spans="1:16">
      <c r="B524" s="5"/>
      <c r="C524" s="599"/>
      <c r="E524" s="167" t="s">
        <v>3161</v>
      </c>
      <c r="F524" s="167" t="s">
        <v>3161</v>
      </c>
      <c r="G524" s="167" t="s">
        <v>3161</v>
      </c>
      <c r="J524" s="553"/>
      <c r="K524" s="554"/>
      <c r="L524" s="554"/>
      <c r="M524" s="554"/>
      <c r="N524" s="554"/>
    </row>
    <row r="525" spans="1:16">
      <c r="A525" s="565" t="s">
        <v>2254</v>
      </c>
      <c r="B525">
        <v>503</v>
      </c>
      <c r="C525" s="3" t="s">
        <v>3179</v>
      </c>
      <c r="D525" t="s">
        <v>3586</v>
      </c>
      <c r="E525" s="167">
        <f>INDEX($I525:$O525,cbalEvent503Duration + 1)</f>
        <v>0</v>
      </c>
      <c r="F525" s="167">
        <f>INDEX($I525:$O525,cbalEvent503Duration + 1)</f>
        <v>0</v>
      </c>
      <c r="G525" s="167">
        <f>INDEX($I525:$O525,cbalEvent503Duration + 1)</f>
        <v>0</v>
      </c>
      <c r="I525">
        <v>0</v>
      </c>
      <c r="J525" s="554"/>
      <c r="K525" s="554"/>
      <c r="L525" s="554"/>
      <c r="M525" s="554"/>
      <c r="N525" s="554"/>
    </row>
    <row r="526" spans="1:16">
      <c r="B526">
        <v>503</v>
      </c>
      <c r="C526" s="736" t="s">
        <v>2746</v>
      </c>
      <c r="E526" s="167" t="s">
        <v>3161</v>
      </c>
      <c r="F526" s="167" t="s">
        <v>3161</v>
      </c>
      <c r="G526" s="167" t="s">
        <v>3161</v>
      </c>
      <c r="J526" s="553"/>
      <c r="K526" s="554"/>
      <c r="L526" s="554"/>
      <c r="M526" s="554"/>
      <c r="N526" s="735"/>
      <c r="O526" s="733"/>
      <c r="P526" s="565"/>
    </row>
    <row r="527" spans="1:16">
      <c r="A527" t="str">
        <f>"Costa"&amp; B527</f>
        <v>Costa503</v>
      </c>
      <c r="B527">
        <v>503</v>
      </c>
      <c r="C527" s="599" t="s">
        <v>2120</v>
      </c>
      <c r="D527" s="565" t="s">
        <v>3527</v>
      </c>
      <c r="E527" s="167">
        <f t="shared" ref="E527:G528" si="86">INDEX($I527:$O527,cbalEvent503Duration + 1)</f>
        <v>0</v>
      </c>
      <c r="F527" s="167">
        <f t="shared" si="86"/>
        <v>0</v>
      </c>
      <c r="G527" s="167">
        <f t="shared" si="86"/>
        <v>0</v>
      </c>
      <c r="H527" t="str">
        <f>C527&amp;"Evt"&amp;B527</f>
        <v>SP-5Evt503</v>
      </c>
      <c r="I527">
        <v>0</v>
      </c>
      <c r="J527" s="727">
        <v>10000000</v>
      </c>
      <c r="K527" s="554"/>
      <c r="L527" s="554"/>
      <c r="M527" s="554"/>
      <c r="N527" s="735" t="s">
        <v>180</v>
      </c>
      <c r="O527" s="5">
        <v>5</v>
      </c>
      <c r="P527">
        <v>1</v>
      </c>
    </row>
    <row r="528" spans="1:16">
      <c r="A528" t="str">
        <f>"FTEa"&amp; B528</f>
        <v>FTEa503</v>
      </c>
      <c r="B528">
        <v>503</v>
      </c>
      <c r="C528" s="670" t="s">
        <v>3003</v>
      </c>
      <c r="D528" s="565" t="s">
        <v>3528</v>
      </c>
      <c r="E528" s="167">
        <f t="shared" si="86"/>
        <v>0</v>
      </c>
      <c r="F528" s="167">
        <f t="shared" si="86"/>
        <v>0</v>
      </c>
      <c r="G528" s="167">
        <f t="shared" si="86"/>
        <v>0</v>
      </c>
      <c r="H528" t="str">
        <f>C528&amp;"Evt"&amp;B528</f>
        <v>SP-17Evt503</v>
      </c>
      <c r="I528">
        <v>0</v>
      </c>
      <c r="J528" s="727">
        <v>16</v>
      </c>
      <c r="K528" s="554"/>
      <c r="L528" s="554"/>
      <c r="M528" s="554"/>
      <c r="N528" s="735" t="s">
        <v>2733</v>
      </c>
      <c r="O528" s="5">
        <v>4</v>
      </c>
      <c r="P528">
        <v>2</v>
      </c>
    </row>
    <row r="529" spans="1:16">
      <c r="B529">
        <v>503</v>
      </c>
      <c r="C529" s="736" t="s">
        <v>1276</v>
      </c>
      <c r="E529" s="167" t="s">
        <v>3161</v>
      </c>
      <c r="F529" s="167" t="s">
        <v>3161</v>
      </c>
      <c r="G529" s="167" t="s">
        <v>3161</v>
      </c>
      <c r="J529" s="553"/>
      <c r="K529" s="554"/>
      <c r="L529" s="554"/>
      <c r="M529" s="554"/>
      <c r="N529" s="735"/>
      <c r="O529" s="733"/>
      <c r="P529" s="565"/>
    </row>
    <row r="530" spans="1:16">
      <c r="B530">
        <v>503</v>
      </c>
      <c r="C530" s="670" t="s">
        <v>2763</v>
      </c>
      <c r="D530" s="565" t="s">
        <v>3580</v>
      </c>
      <c r="E530" s="167">
        <f t="shared" ref="E530:G531" si="87">INDEX($I530:$O530,cbalEvent503Duration + 1)</f>
        <v>0</v>
      </c>
      <c r="F530" s="167">
        <f t="shared" si="87"/>
        <v>0</v>
      </c>
      <c r="G530" s="167">
        <f t="shared" si="87"/>
        <v>0</v>
      </c>
      <c r="I530">
        <v>0</v>
      </c>
      <c r="J530" s="727">
        <v>1000</v>
      </c>
      <c r="K530" s="554"/>
      <c r="L530" s="554"/>
      <c r="M530" s="554"/>
      <c r="N530" s="735" t="s">
        <v>2733</v>
      </c>
      <c r="O530" s="5">
        <v>4</v>
      </c>
      <c r="P530">
        <v>1</v>
      </c>
    </row>
    <row r="531" spans="1:16">
      <c r="B531">
        <v>503</v>
      </c>
      <c r="C531" s="670" t="s">
        <v>1434</v>
      </c>
      <c r="D531" s="565" t="s">
        <v>3564</v>
      </c>
      <c r="E531" s="167">
        <f t="shared" si="87"/>
        <v>0</v>
      </c>
      <c r="F531" s="167">
        <f t="shared" si="87"/>
        <v>0</v>
      </c>
      <c r="G531" s="167">
        <f t="shared" si="87"/>
        <v>0</v>
      </c>
      <c r="I531">
        <v>0</v>
      </c>
      <c r="J531" s="732">
        <v>0</v>
      </c>
      <c r="K531" s="385">
        <v>0</v>
      </c>
      <c r="L531" s="385">
        <v>0</v>
      </c>
      <c r="M531" s="385">
        <v>0</v>
      </c>
      <c r="N531" s="735" t="s">
        <v>2733</v>
      </c>
      <c r="O531" s="5">
        <v>4</v>
      </c>
      <c r="P531">
        <v>1</v>
      </c>
    </row>
    <row r="532" spans="1:16">
      <c r="B532">
        <v>503</v>
      </c>
      <c r="C532" s="736" t="s">
        <v>2774</v>
      </c>
      <c r="E532" s="167" t="s">
        <v>3161</v>
      </c>
      <c r="F532" s="167" t="s">
        <v>3161</v>
      </c>
      <c r="G532" s="167" t="s">
        <v>3161</v>
      </c>
      <c r="J532" s="553"/>
      <c r="K532" s="554"/>
      <c r="L532" s="554"/>
      <c r="M532" s="554"/>
      <c r="N532" s="735"/>
      <c r="O532" s="733"/>
      <c r="P532" s="565"/>
    </row>
    <row r="533" spans="1:16">
      <c r="B533">
        <v>503</v>
      </c>
      <c r="C533" s="670" t="s">
        <v>1405</v>
      </c>
      <c r="D533" s="565" t="s">
        <v>3544</v>
      </c>
      <c r="E533" s="167">
        <f>INDEX($I533:$O533,cbalEvent503Duration + 1)</f>
        <v>0</v>
      </c>
      <c r="F533" s="167">
        <f>INDEX($I533:$O533,cbalEvent503Duration + 1)</f>
        <v>0</v>
      </c>
      <c r="G533" s="167">
        <f>INDEX($I533:$O533,cbalEvent503Duration + 1)</f>
        <v>0</v>
      </c>
      <c r="I533">
        <v>0</v>
      </c>
      <c r="J533">
        <v>0</v>
      </c>
      <c r="K533" s="732">
        <v>-0.05</v>
      </c>
      <c r="L533" s="554"/>
      <c r="M533" s="554"/>
      <c r="N533" s="735" t="s">
        <v>2733</v>
      </c>
      <c r="O533" s="5">
        <v>4</v>
      </c>
      <c r="P533">
        <v>1</v>
      </c>
    </row>
    <row r="534" spans="1:16">
      <c r="B534">
        <v>503</v>
      </c>
      <c r="C534" s="736" t="s">
        <v>2786</v>
      </c>
      <c r="E534" s="167" t="s">
        <v>3161</v>
      </c>
      <c r="F534" s="167" t="s">
        <v>3161</v>
      </c>
      <c r="G534" s="167" t="s">
        <v>3161</v>
      </c>
      <c r="J534" s="553"/>
      <c r="K534" s="554"/>
      <c r="L534" s="554"/>
      <c r="M534" s="554"/>
      <c r="N534" s="735"/>
      <c r="O534" s="733"/>
      <c r="P534" s="565"/>
    </row>
    <row r="535" spans="1:16">
      <c r="B535">
        <v>503</v>
      </c>
      <c r="C535" s="599" t="s">
        <v>2751</v>
      </c>
      <c r="D535" s="565" t="s">
        <v>3540</v>
      </c>
      <c r="E535" s="167">
        <f>INDEX($I535:$O535,cbalEvent503Duration + 1)</f>
        <v>0</v>
      </c>
      <c r="F535" s="167">
        <f>INDEX($I535:$O535,cbalEvent503Duration + 1)</f>
        <v>0</v>
      </c>
      <c r="G535" s="167">
        <f>INDEX($I535:$O535,cbalEvent503Duration + 1)</f>
        <v>0</v>
      </c>
      <c r="I535">
        <v>0</v>
      </c>
      <c r="J535">
        <v>1</v>
      </c>
      <c r="K535" s="732"/>
      <c r="L535" s="385"/>
      <c r="M535" s="385"/>
      <c r="N535" s="735"/>
      <c r="O535" s="5"/>
    </row>
    <row r="536" spans="1:16">
      <c r="B536">
        <v>503</v>
      </c>
      <c r="C536" s="736" t="s">
        <v>450</v>
      </c>
      <c r="E536" s="167" t="s">
        <v>3161</v>
      </c>
      <c r="F536" s="167" t="s">
        <v>3161</v>
      </c>
      <c r="G536" s="167" t="s">
        <v>3161</v>
      </c>
      <c r="J536" s="553"/>
      <c r="K536" s="554"/>
      <c r="L536" s="554"/>
      <c r="M536" s="554"/>
      <c r="N536" s="735"/>
      <c r="O536" s="733"/>
      <c r="P536" s="565"/>
    </row>
    <row r="537" spans="1:16">
      <c r="B537">
        <v>503</v>
      </c>
      <c r="C537" s="670" t="s">
        <v>2131</v>
      </c>
      <c r="D537" s="565" t="s">
        <v>1044</v>
      </c>
      <c r="E537" s="167">
        <f>INDEX($I537:$O537,cbalEvent503Duration + 1)</f>
        <v>0</v>
      </c>
      <c r="F537" s="167">
        <f>INDEX($I537:$O537,cbalEvent503Duration + 1)</f>
        <v>0</v>
      </c>
      <c r="G537" s="167">
        <f>INDEX($I537:$O537,cbalEvent503Duration + 1)</f>
        <v>0</v>
      </c>
      <c r="I537">
        <v>0</v>
      </c>
      <c r="J537" s="732">
        <v>1.4999999999999999E-2</v>
      </c>
      <c r="K537" s="554"/>
      <c r="L537" s="554"/>
      <c r="M537" s="554"/>
      <c r="N537" s="735" t="s">
        <v>2733</v>
      </c>
      <c r="O537" s="5">
        <v>4</v>
      </c>
      <c r="P537">
        <v>1</v>
      </c>
    </row>
    <row r="538" spans="1:16">
      <c r="B538" s="5"/>
      <c r="C538" s="599"/>
      <c r="E538" s="167" t="s">
        <v>3161</v>
      </c>
      <c r="F538" s="167" t="s">
        <v>3161</v>
      </c>
      <c r="G538" s="167" t="s">
        <v>3161</v>
      </c>
      <c r="J538" s="553"/>
      <c r="K538" s="554"/>
      <c r="L538" s="554"/>
      <c r="M538" s="554"/>
      <c r="N538" s="554"/>
    </row>
    <row r="539" spans="1:16">
      <c r="A539" s="565" t="s">
        <v>93</v>
      </c>
      <c r="B539">
        <v>601</v>
      </c>
      <c r="C539" s="3" t="s">
        <v>2281</v>
      </c>
      <c r="D539" t="s">
        <v>3587</v>
      </c>
      <c r="E539" s="167">
        <f>INDEX($I539:$O539,cbalEvent601Duration + 1)</f>
        <v>0</v>
      </c>
      <c r="F539" s="167">
        <f>INDEX($I539:$O539,cbalEvent601Duration + 1)</f>
        <v>0</v>
      </c>
      <c r="G539" s="167">
        <f>INDEX($I539:$O539,cbalEvent601Duration + 1)</f>
        <v>0</v>
      </c>
      <c r="I539">
        <v>0</v>
      </c>
      <c r="J539" s="554"/>
      <c r="K539" s="554"/>
      <c r="L539" s="554"/>
      <c r="M539" s="554"/>
      <c r="N539" s="554"/>
    </row>
    <row r="540" spans="1:16">
      <c r="B540">
        <v>601</v>
      </c>
      <c r="C540" s="736" t="s">
        <v>3103</v>
      </c>
      <c r="E540" s="167" t="s">
        <v>3161</v>
      </c>
      <c r="F540" s="167" t="s">
        <v>3161</v>
      </c>
      <c r="G540" s="167" t="s">
        <v>3161</v>
      </c>
      <c r="J540" s="553"/>
      <c r="K540" s="554"/>
      <c r="L540" s="554"/>
      <c r="M540" s="554"/>
      <c r="N540" s="735"/>
      <c r="O540" s="733"/>
      <c r="P540" s="565"/>
    </row>
    <row r="541" spans="1:16">
      <c r="A541" t="str">
        <f>"CashAcqa"&amp; B541</f>
        <v>CashAcqa601</v>
      </c>
      <c r="B541">
        <v>601</v>
      </c>
      <c r="C541" s="599" t="s">
        <v>2122</v>
      </c>
      <c r="D541" s="565" t="s">
        <v>3588</v>
      </c>
      <c r="E541" s="167">
        <f t="shared" ref="E541:G542" si="88">INDEX($I541:$O541,cbalEvent601Duration + 1)</f>
        <v>0</v>
      </c>
      <c r="F541" s="167">
        <f t="shared" si="88"/>
        <v>0</v>
      </c>
      <c r="G541" s="167">
        <f t="shared" si="88"/>
        <v>0</v>
      </c>
      <c r="H541" t="str">
        <f>C541&amp;"Evt"&amp;B541</f>
        <v>SP-7Evt601</v>
      </c>
      <c r="I541">
        <v>0</v>
      </c>
      <c r="J541" s="751">
        <v>20000000</v>
      </c>
      <c r="K541" s="554"/>
      <c r="L541" s="554"/>
      <c r="M541" s="554"/>
      <c r="N541" s="735"/>
      <c r="O541" s="5"/>
    </row>
    <row r="542" spans="1:16">
      <c r="A542" t="str">
        <f>"FTEa"&amp; B542</f>
        <v>FTEa601</v>
      </c>
      <c r="B542">
        <v>601</v>
      </c>
      <c r="C542" s="670" t="s">
        <v>3003</v>
      </c>
      <c r="D542" s="565" t="s">
        <v>3528</v>
      </c>
      <c r="E542" s="167">
        <f t="shared" si="88"/>
        <v>0</v>
      </c>
      <c r="F542" s="167">
        <f t="shared" si="88"/>
        <v>0</v>
      </c>
      <c r="G542" s="167">
        <f t="shared" si="88"/>
        <v>0</v>
      </c>
      <c r="H542" t="str">
        <f>C542&amp;"Evt"&amp;B542</f>
        <v>SP-17Evt601</v>
      </c>
      <c r="I542">
        <v>0</v>
      </c>
      <c r="J542" s="727">
        <v>24</v>
      </c>
      <c r="K542" s="554"/>
      <c r="L542" s="554"/>
      <c r="M542" s="554"/>
      <c r="N542" s="735" t="s">
        <v>180</v>
      </c>
      <c r="O542" s="5">
        <v>5</v>
      </c>
      <c r="P542">
        <v>2</v>
      </c>
    </row>
    <row r="543" spans="1:16">
      <c r="B543">
        <v>601</v>
      </c>
      <c r="C543" s="736" t="s">
        <v>1276</v>
      </c>
      <c r="E543" s="167" t="s">
        <v>3161</v>
      </c>
      <c r="F543" s="167" t="s">
        <v>3161</v>
      </c>
      <c r="G543" s="167" t="s">
        <v>3161</v>
      </c>
      <c r="J543" s="553"/>
      <c r="K543" s="554"/>
      <c r="L543" s="554"/>
      <c r="M543" s="554"/>
      <c r="N543" s="735"/>
      <c r="O543" s="733"/>
      <c r="P543" s="565"/>
    </row>
    <row r="544" spans="1:16">
      <c r="B544">
        <v>601</v>
      </c>
      <c r="C544" s="670" t="s">
        <v>2763</v>
      </c>
      <c r="D544" s="565" t="s">
        <v>3580</v>
      </c>
      <c r="E544" s="167">
        <f t="shared" ref="E544:G545" si="89">INDEX($I544:$O544,cbalEvent601Duration + 1)</f>
        <v>0</v>
      </c>
      <c r="F544" s="167">
        <f t="shared" si="89"/>
        <v>0</v>
      </c>
      <c r="G544" s="167">
        <f t="shared" si="89"/>
        <v>0</v>
      </c>
      <c r="I544">
        <v>0</v>
      </c>
      <c r="J544" s="727">
        <v>1500</v>
      </c>
      <c r="K544" s="554"/>
      <c r="L544" s="554"/>
      <c r="M544" s="554"/>
      <c r="N544" s="735" t="s">
        <v>180</v>
      </c>
      <c r="O544" s="5">
        <v>5</v>
      </c>
      <c r="P544">
        <v>1</v>
      </c>
    </row>
    <row r="545" spans="1:16">
      <c r="B545">
        <v>601</v>
      </c>
      <c r="C545" s="670" t="s">
        <v>1434</v>
      </c>
      <c r="D545" s="565" t="s">
        <v>3564</v>
      </c>
      <c r="E545" s="167">
        <f t="shared" si="89"/>
        <v>0</v>
      </c>
      <c r="F545" s="167">
        <f t="shared" si="89"/>
        <v>0</v>
      </c>
      <c r="G545" s="167">
        <f t="shared" si="89"/>
        <v>0</v>
      </c>
      <c r="I545">
        <v>0</v>
      </c>
      <c r="J545" s="732">
        <v>0.1</v>
      </c>
      <c r="K545" s="385">
        <v>0.1</v>
      </c>
      <c r="L545" s="385">
        <v>0.1</v>
      </c>
      <c r="M545" s="385">
        <v>0.1</v>
      </c>
      <c r="N545" s="735" t="s">
        <v>180</v>
      </c>
      <c r="O545" s="5">
        <v>5</v>
      </c>
      <c r="P545">
        <v>1</v>
      </c>
    </row>
    <row r="546" spans="1:16">
      <c r="B546">
        <v>601</v>
      </c>
      <c r="C546" s="736" t="s">
        <v>2775</v>
      </c>
      <c r="E546" s="167" t="s">
        <v>3161</v>
      </c>
      <c r="F546" s="167" t="s">
        <v>3161</v>
      </c>
      <c r="G546" s="167" t="s">
        <v>3161</v>
      </c>
      <c r="J546" s="553"/>
      <c r="K546" s="554"/>
      <c r="L546" s="554"/>
      <c r="M546" s="554"/>
      <c r="N546" s="735"/>
      <c r="O546" s="733"/>
      <c r="P546" s="565"/>
    </row>
    <row r="547" spans="1:16">
      <c r="B547">
        <v>601</v>
      </c>
      <c r="C547" s="670" t="s">
        <v>2125</v>
      </c>
      <c r="D547" s="565" t="s">
        <v>3524</v>
      </c>
      <c r="E547" s="167">
        <f t="shared" ref="E547:G548" si="90">INDEX($I547:$O547,cbalEvent601Duration + 1)</f>
        <v>0</v>
      </c>
      <c r="F547" s="167">
        <f t="shared" si="90"/>
        <v>0</v>
      </c>
      <c r="G547" s="167">
        <f t="shared" si="90"/>
        <v>0</v>
      </c>
      <c r="I547">
        <v>0</v>
      </c>
      <c r="J547">
        <v>0</v>
      </c>
      <c r="K547" s="732">
        <v>0.03</v>
      </c>
      <c r="L547" s="385">
        <v>0.03</v>
      </c>
      <c r="M547" s="385">
        <v>0.03</v>
      </c>
      <c r="N547" s="735" t="s">
        <v>2733</v>
      </c>
      <c r="O547" s="5">
        <v>4</v>
      </c>
      <c r="P547">
        <v>1</v>
      </c>
    </row>
    <row r="548" spans="1:16">
      <c r="B548">
        <v>601</v>
      </c>
      <c r="C548" s="670" t="s">
        <v>2126</v>
      </c>
      <c r="D548" s="565" t="s">
        <v>3525</v>
      </c>
      <c r="E548" s="167">
        <f t="shared" si="90"/>
        <v>0</v>
      </c>
      <c r="F548" s="167">
        <f t="shared" si="90"/>
        <v>0</v>
      </c>
      <c r="G548" s="167">
        <f t="shared" si="90"/>
        <v>0</v>
      </c>
      <c r="I548">
        <v>0</v>
      </c>
      <c r="J548">
        <v>0</v>
      </c>
      <c r="K548" s="732">
        <v>0.03</v>
      </c>
      <c r="L548" s="385">
        <v>0.03</v>
      </c>
      <c r="M548" s="385">
        <v>0.03</v>
      </c>
      <c r="N548" s="735" t="s">
        <v>2733</v>
      </c>
      <c r="O548" s="5">
        <v>4</v>
      </c>
      <c r="P548">
        <v>1</v>
      </c>
    </row>
    <row r="549" spans="1:16">
      <c r="B549">
        <v>601</v>
      </c>
      <c r="C549" s="736" t="s">
        <v>1759</v>
      </c>
      <c r="E549" s="167" t="s">
        <v>3161</v>
      </c>
      <c r="F549" s="167" t="s">
        <v>3161</v>
      </c>
      <c r="G549" s="167" t="s">
        <v>3161</v>
      </c>
      <c r="J549" s="553"/>
      <c r="K549" s="554"/>
      <c r="L549" s="554"/>
      <c r="M549" s="554"/>
      <c r="N549" s="735"/>
      <c r="O549" s="733"/>
      <c r="P549" s="565"/>
    </row>
    <row r="550" spans="1:16">
      <c r="B550">
        <v>601</v>
      </c>
      <c r="C550" s="599" t="s">
        <v>2758</v>
      </c>
      <c r="D550" s="565" t="s">
        <v>2787</v>
      </c>
      <c r="E550" s="167">
        <f>INDEX($I550:$O550,cbalEvent601Duration + 1)</f>
        <v>0</v>
      </c>
      <c r="F550" s="167">
        <f>INDEX($I550:$O550,cbalEvent601Duration + 1)</f>
        <v>0</v>
      </c>
      <c r="G550" s="167">
        <f>INDEX($I550:$O550,cbalEvent601Duration + 1)</f>
        <v>0</v>
      </c>
      <c r="I550">
        <v>0</v>
      </c>
      <c r="J550">
        <v>1</v>
      </c>
      <c r="K550" s="732"/>
      <c r="L550" s="385"/>
      <c r="M550" s="385"/>
      <c r="N550" s="735"/>
      <c r="O550" s="5"/>
    </row>
    <row r="551" spans="1:16">
      <c r="B551" s="5"/>
      <c r="C551" s="599"/>
      <c r="E551" s="167" t="s">
        <v>3161</v>
      </c>
      <c r="F551" s="167" t="s">
        <v>3161</v>
      </c>
      <c r="G551" s="167" t="s">
        <v>3161</v>
      </c>
      <c r="J551" s="553"/>
      <c r="K551" s="554"/>
      <c r="L551" s="554"/>
      <c r="M551" s="554"/>
      <c r="N551" s="554"/>
    </row>
    <row r="552" spans="1:16">
      <c r="A552" s="565" t="s">
        <v>94</v>
      </c>
      <c r="B552">
        <v>602</v>
      </c>
      <c r="C552" s="3" t="s">
        <v>2282</v>
      </c>
      <c r="D552" t="s">
        <v>3589</v>
      </c>
      <c r="E552" s="167">
        <f>INDEX($I552:$O552,cbalEvent602Duration + 1)</f>
        <v>0</v>
      </c>
      <c r="F552" s="167">
        <f>INDEX($I552:$O552,cbalEvent602Duration + 1)</f>
        <v>0</v>
      </c>
      <c r="G552" s="167">
        <f>INDEX($I552:$O552,cbalEvent602Duration + 1)</f>
        <v>0</v>
      </c>
      <c r="I552">
        <v>0</v>
      </c>
      <c r="J552" s="554"/>
      <c r="K552" s="554"/>
      <c r="L552" s="554"/>
      <c r="M552" s="554"/>
      <c r="N552" s="554"/>
    </row>
    <row r="553" spans="1:16">
      <c r="B553">
        <v>602</v>
      </c>
      <c r="C553" s="736" t="s">
        <v>2746</v>
      </c>
      <c r="E553" s="167" t="s">
        <v>3161</v>
      </c>
      <c r="F553" s="167" t="s">
        <v>3161</v>
      </c>
      <c r="G553" s="167" t="s">
        <v>3161</v>
      </c>
      <c r="J553" s="553"/>
      <c r="K553" s="554"/>
      <c r="L553" s="554"/>
      <c r="M553" s="554"/>
      <c r="N553" s="735"/>
      <c r="O553" s="733"/>
      <c r="P553" s="565"/>
    </row>
    <row r="554" spans="1:16">
      <c r="A554" t="str">
        <f>"CapExa"&amp; B554</f>
        <v>CapExa602</v>
      </c>
      <c r="B554">
        <v>602</v>
      </c>
      <c r="C554" s="1002" t="s">
        <v>2124</v>
      </c>
      <c r="D554" s="565" t="s">
        <v>3598</v>
      </c>
      <c r="E554" s="167">
        <f>INDEX($I554:$O554,cbalEvent602Duration + 1)</f>
        <v>0</v>
      </c>
      <c r="F554" s="167">
        <f t="shared" ref="E554:G555" si="91">INDEX($I554:$O554,cbalEvent602Duration + 1)</f>
        <v>0</v>
      </c>
      <c r="G554" s="167">
        <f>INDEX($I554:$O554,cbalEvent602Duration + 1)</f>
        <v>0</v>
      </c>
      <c r="H554" t="str">
        <f>C554&amp;"Evt"&amp;B554</f>
        <v>SP-9Evt602</v>
      </c>
      <c r="I554">
        <v>0</v>
      </c>
      <c r="J554" s="727">
        <v>15000000</v>
      </c>
      <c r="K554" s="554"/>
      <c r="L554" s="554"/>
      <c r="M554" s="554"/>
      <c r="N554" s="735" t="s">
        <v>180</v>
      </c>
      <c r="O554" s="5">
        <v>5</v>
      </c>
      <c r="P554">
        <v>1.5</v>
      </c>
    </row>
    <row r="555" spans="1:16">
      <c r="A555" t="str">
        <f>"FTEa"&amp; B555</f>
        <v>FTEa602</v>
      </c>
      <c r="B555">
        <v>602</v>
      </c>
      <c r="C555" s="670" t="s">
        <v>3003</v>
      </c>
      <c r="D555" s="565" t="s">
        <v>3528</v>
      </c>
      <c r="E555" s="167">
        <f t="shared" si="91"/>
        <v>0</v>
      </c>
      <c r="F555" s="167">
        <f t="shared" si="91"/>
        <v>0</v>
      </c>
      <c r="G555" s="167">
        <f t="shared" si="91"/>
        <v>0</v>
      </c>
      <c r="H555" t="str">
        <f>C555&amp;"Evt"&amp;B555</f>
        <v>SP-17Evt602</v>
      </c>
      <c r="I555">
        <v>0</v>
      </c>
      <c r="J555" s="727">
        <v>24</v>
      </c>
      <c r="K555" s="554"/>
      <c r="L555" s="554"/>
      <c r="M555" s="554"/>
      <c r="N555" s="735" t="s">
        <v>180</v>
      </c>
      <c r="O555" s="5">
        <v>5</v>
      </c>
      <c r="P555">
        <v>2</v>
      </c>
    </row>
    <row r="556" spans="1:16">
      <c r="B556">
        <v>602</v>
      </c>
      <c r="C556" s="736" t="s">
        <v>1276</v>
      </c>
      <c r="E556" s="167" t="s">
        <v>3161</v>
      </c>
      <c r="F556" s="167" t="s">
        <v>3161</v>
      </c>
      <c r="G556" s="167" t="s">
        <v>3161</v>
      </c>
      <c r="J556" s="553"/>
      <c r="K556" s="554"/>
      <c r="L556" s="554"/>
      <c r="M556" s="554"/>
      <c r="N556" s="735"/>
      <c r="O556" s="733"/>
      <c r="P556" s="565"/>
    </row>
    <row r="557" spans="1:16">
      <c r="B557">
        <v>602</v>
      </c>
      <c r="C557" s="670" t="s">
        <v>2763</v>
      </c>
      <c r="D557" s="565" t="s">
        <v>3580</v>
      </c>
      <c r="E557" s="167">
        <f t="shared" ref="E557:G558" si="92">INDEX($I557:$O557,cbalEvent602Duration + 1)</f>
        <v>0</v>
      </c>
      <c r="F557" s="167">
        <f t="shared" si="92"/>
        <v>0</v>
      </c>
      <c r="G557" s="167">
        <f t="shared" si="92"/>
        <v>0</v>
      </c>
      <c r="I557">
        <v>0</v>
      </c>
      <c r="J557" s="727">
        <v>500</v>
      </c>
      <c r="K557" s="554"/>
      <c r="L557" s="554"/>
      <c r="M557" s="554"/>
      <c r="N557" s="735" t="s">
        <v>182</v>
      </c>
      <c r="O557" s="5">
        <v>3</v>
      </c>
      <c r="P557">
        <v>1</v>
      </c>
    </row>
    <row r="558" spans="1:16">
      <c r="B558">
        <v>602</v>
      </c>
      <c r="C558" s="670" t="s">
        <v>1434</v>
      </c>
      <c r="D558" s="565" t="s">
        <v>3564</v>
      </c>
      <c r="E558" s="167">
        <f t="shared" si="92"/>
        <v>0</v>
      </c>
      <c r="F558" s="167">
        <f t="shared" si="92"/>
        <v>0</v>
      </c>
      <c r="G558" s="167">
        <f t="shared" si="92"/>
        <v>0</v>
      </c>
      <c r="I558">
        <v>0</v>
      </c>
      <c r="J558" s="732">
        <v>0.02</v>
      </c>
      <c r="K558" s="385">
        <v>0.02</v>
      </c>
      <c r="L558" s="385">
        <v>0.02</v>
      </c>
      <c r="M558" s="385">
        <v>0.02</v>
      </c>
      <c r="N558" s="735" t="s">
        <v>182</v>
      </c>
      <c r="O558" s="5">
        <v>3</v>
      </c>
      <c r="P558">
        <v>1</v>
      </c>
    </row>
    <row r="559" spans="1:16">
      <c r="B559">
        <v>602</v>
      </c>
      <c r="C559" s="736" t="s">
        <v>2775</v>
      </c>
      <c r="E559" s="167" t="s">
        <v>3161</v>
      </c>
      <c r="F559" s="167" t="s">
        <v>3161</v>
      </c>
      <c r="G559" s="167" t="s">
        <v>3161</v>
      </c>
      <c r="J559" s="553"/>
      <c r="K559" s="554"/>
      <c r="L559" s="554"/>
      <c r="M559" s="554"/>
      <c r="N559" s="735"/>
      <c r="O559" s="733"/>
      <c r="P559" s="565"/>
    </row>
    <row r="560" spans="1:16">
      <c r="B560">
        <v>602</v>
      </c>
      <c r="C560" s="670" t="s">
        <v>2125</v>
      </c>
      <c r="D560" s="565" t="s">
        <v>3524</v>
      </c>
      <c r="E560" s="167">
        <f t="shared" ref="E560:G561" si="93">INDEX($I560:$O560,cbalEvent602Duration + 1)</f>
        <v>0</v>
      </c>
      <c r="F560" s="167">
        <f t="shared" si="93"/>
        <v>0</v>
      </c>
      <c r="G560" s="167">
        <f t="shared" si="93"/>
        <v>0</v>
      </c>
      <c r="I560">
        <v>0</v>
      </c>
      <c r="J560">
        <v>0</v>
      </c>
      <c r="K560" s="732">
        <v>0.03</v>
      </c>
      <c r="L560" s="385">
        <v>0.03</v>
      </c>
      <c r="M560" s="385">
        <v>0.03</v>
      </c>
      <c r="N560" s="735" t="s">
        <v>2733</v>
      </c>
      <c r="O560" s="5">
        <v>4</v>
      </c>
      <c r="P560">
        <v>1</v>
      </c>
    </row>
    <row r="561" spans="1:16">
      <c r="B561">
        <v>602</v>
      </c>
      <c r="C561" s="670" t="s">
        <v>2126</v>
      </c>
      <c r="D561" s="565" t="s">
        <v>3525</v>
      </c>
      <c r="E561" s="167">
        <f t="shared" si="93"/>
        <v>0</v>
      </c>
      <c r="F561" s="167">
        <f t="shared" si="93"/>
        <v>0</v>
      </c>
      <c r="G561" s="167">
        <f t="shared" si="93"/>
        <v>0</v>
      </c>
      <c r="I561">
        <v>0</v>
      </c>
      <c r="J561">
        <v>0</v>
      </c>
      <c r="K561" s="732">
        <v>0.03</v>
      </c>
      <c r="L561" s="385">
        <v>0.03</v>
      </c>
      <c r="M561" s="385">
        <v>0.03</v>
      </c>
      <c r="N561" s="735" t="s">
        <v>2733</v>
      </c>
      <c r="O561" s="5">
        <v>4</v>
      </c>
      <c r="P561">
        <v>1</v>
      </c>
    </row>
    <row r="562" spans="1:16">
      <c r="B562">
        <v>602</v>
      </c>
      <c r="C562" s="736" t="s">
        <v>1759</v>
      </c>
      <c r="E562" s="167" t="s">
        <v>3161</v>
      </c>
      <c r="F562" s="167" t="s">
        <v>3161</v>
      </c>
      <c r="G562" s="167" t="s">
        <v>3161</v>
      </c>
      <c r="J562" s="553"/>
      <c r="K562" s="554"/>
      <c r="L562" s="554"/>
      <c r="M562" s="554"/>
      <c r="N562" s="735"/>
      <c r="O562" s="733"/>
      <c r="P562" s="565"/>
    </row>
    <row r="563" spans="1:16">
      <c r="B563">
        <v>602</v>
      </c>
      <c r="C563" s="599" t="s">
        <v>2758</v>
      </c>
      <c r="D563" s="565" t="s">
        <v>2787</v>
      </c>
      <c r="E563" s="167">
        <f>INDEX($I563:$O563,cbalEvent602Duration + 1)</f>
        <v>0</v>
      </c>
      <c r="F563" s="167">
        <f>INDEX($I563:$O563,cbalEvent602Duration + 1)</f>
        <v>0</v>
      </c>
      <c r="G563" s="167">
        <f>INDEX($I563:$O563,cbalEvent602Duration + 1)</f>
        <v>0</v>
      </c>
      <c r="I563">
        <v>0</v>
      </c>
      <c r="J563">
        <v>1</v>
      </c>
      <c r="K563" s="732"/>
      <c r="L563" s="385"/>
      <c r="M563" s="385"/>
      <c r="N563" s="735"/>
      <c r="O563" s="5"/>
    </row>
    <row r="564" spans="1:16">
      <c r="B564" s="5"/>
      <c r="C564" s="599"/>
      <c r="E564" s="167" t="s">
        <v>3161</v>
      </c>
      <c r="F564" s="167" t="s">
        <v>3161</v>
      </c>
      <c r="G564" s="167" t="s">
        <v>3161</v>
      </c>
      <c r="J564" s="553"/>
      <c r="K564" s="554"/>
      <c r="L564" s="554"/>
      <c r="M564" s="554"/>
      <c r="N564" s="554"/>
    </row>
    <row r="565" spans="1:16">
      <c r="A565" s="565" t="s">
        <v>2255</v>
      </c>
      <c r="B565">
        <v>603</v>
      </c>
      <c r="C565" s="3" t="s">
        <v>2283</v>
      </c>
      <c r="D565" t="s">
        <v>3590</v>
      </c>
      <c r="E565" s="167">
        <f>INDEX($I565:$O565,cbalEvent603Duration + 1)</f>
        <v>0</v>
      </c>
      <c r="F565" s="167">
        <f>INDEX($I565:$O565,cbalEvent603Duration + 1)</f>
        <v>0</v>
      </c>
      <c r="G565" s="167">
        <f>INDEX($I565:$O565,cbalEvent603Duration + 1)</f>
        <v>0</v>
      </c>
      <c r="I565">
        <v>0</v>
      </c>
      <c r="J565" s="554"/>
      <c r="K565" s="554"/>
      <c r="L565" s="554"/>
      <c r="M565" s="554"/>
      <c r="N565" s="554"/>
    </row>
    <row r="566" spans="1:16">
      <c r="B566">
        <v>603</v>
      </c>
      <c r="C566" s="736" t="s">
        <v>2746</v>
      </c>
      <c r="E566" s="167" t="s">
        <v>3161</v>
      </c>
      <c r="F566" s="167" t="s">
        <v>3161</v>
      </c>
      <c r="G566" s="167" t="s">
        <v>3161</v>
      </c>
      <c r="J566" s="553"/>
      <c r="K566" s="554"/>
      <c r="L566" s="554"/>
      <c r="M566" s="554"/>
      <c r="N566" s="735"/>
      <c r="O566" s="733"/>
      <c r="P566" s="565"/>
    </row>
    <row r="567" spans="1:16">
      <c r="A567" t="str">
        <f>"FTEa"&amp; B567</f>
        <v>FTEa603</v>
      </c>
      <c r="B567">
        <v>603</v>
      </c>
      <c r="C567" s="670" t="s">
        <v>3003</v>
      </c>
      <c r="D567" s="565" t="s">
        <v>3528</v>
      </c>
      <c r="E567" s="167">
        <f>INDEX($I567:$O567,cbalEvent603Duration + 1)</f>
        <v>0</v>
      </c>
      <c r="F567" s="167">
        <f>INDEX($I567:$O567,cbalEvent603Duration + 1)</f>
        <v>0</v>
      </c>
      <c r="G567" s="167">
        <f>INDEX($I567:$O567,cbalEvent603Duration + 1)</f>
        <v>0</v>
      </c>
      <c r="H567" t="str">
        <f>C567&amp;"Evt"&amp;B567</f>
        <v>SP-17Evt603</v>
      </c>
      <c r="I567">
        <v>0</v>
      </c>
      <c r="J567" s="727">
        <v>10</v>
      </c>
      <c r="K567" s="554"/>
      <c r="L567" s="554"/>
      <c r="M567" s="554"/>
      <c r="N567" s="735" t="s">
        <v>182</v>
      </c>
      <c r="O567" s="5">
        <v>3</v>
      </c>
      <c r="P567">
        <v>2</v>
      </c>
    </row>
    <row r="568" spans="1:16">
      <c r="B568">
        <v>603</v>
      </c>
      <c r="C568" s="736" t="s">
        <v>1276</v>
      </c>
      <c r="E568" s="167" t="s">
        <v>3161</v>
      </c>
      <c r="F568" s="167" t="s">
        <v>3161</v>
      </c>
      <c r="G568" s="167" t="s">
        <v>3161</v>
      </c>
      <c r="J568" s="553"/>
      <c r="K568" s="554"/>
      <c r="L568" s="554"/>
      <c r="M568" s="554"/>
      <c r="N568" s="735"/>
      <c r="O568" s="733"/>
      <c r="P568" s="565"/>
    </row>
    <row r="569" spans="1:16">
      <c r="B569">
        <v>603</v>
      </c>
      <c r="C569" s="670" t="s">
        <v>2763</v>
      </c>
      <c r="D569" s="565" t="s">
        <v>3580</v>
      </c>
      <c r="E569" s="167">
        <f t="shared" ref="E569:G570" si="94">INDEX($I569:$O569,cbalEvent603Duration + 1)</f>
        <v>0</v>
      </c>
      <c r="F569" s="167">
        <f t="shared" si="94"/>
        <v>0</v>
      </c>
      <c r="G569" s="167">
        <f t="shared" si="94"/>
        <v>0</v>
      </c>
      <c r="I569">
        <v>0</v>
      </c>
      <c r="J569" s="727">
        <v>500</v>
      </c>
      <c r="K569" s="554"/>
      <c r="L569" s="554"/>
      <c r="M569" s="554"/>
      <c r="N569" s="735" t="s">
        <v>182</v>
      </c>
      <c r="O569" s="5">
        <v>3</v>
      </c>
      <c r="P569">
        <v>1</v>
      </c>
    </row>
    <row r="570" spans="1:16">
      <c r="B570">
        <v>603</v>
      </c>
      <c r="C570" s="670" t="s">
        <v>1434</v>
      </c>
      <c r="D570" s="565" t="s">
        <v>3564</v>
      </c>
      <c r="E570" s="167">
        <f t="shared" si="94"/>
        <v>0</v>
      </c>
      <c r="F570" s="167">
        <f t="shared" si="94"/>
        <v>0</v>
      </c>
      <c r="G570" s="167">
        <f t="shared" si="94"/>
        <v>0</v>
      </c>
      <c r="I570">
        <v>0</v>
      </c>
      <c r="J570" s="732">
        <v>0.02</v>
      </c>
      <c r="K570" s="385">
        <v>0.02</v>
      </c>
      <c r="L570" s="385">
        <v>0.02</v>
      </c>
      <c r="M570" s="385">
        <v>0.02</v>
      </c>
      <c r="N570" s="735" t="s">
        <v>182</v>
      </c>
      <c r="O570" s="5">
        <v>3</v>
      </c>
      <c r="P570">
        <v>1</v>
      </c>
    </row>
    <row r="571" spans="1:16">
      <c r="B571" s="5"/>
      <c r="C571" s="599"/>
      <c r="E571" s="167" t="s">
        <v>3161</v>
      </c>
      <c r="F571" s="167" t="s">
        <v>3161</v>
      </c>
      <c r="G571" s="167" t="s">
        <v>3161</v>
      </c>
      <c r="J571" s="553"/>
      <c r="K571" s="554"/>
      <c r="L571" s="554"/>
      <c r="M571" s="554"/>
      <c r="N571" s="554"/>
    </row>
    <row r="572" spans="1:16">
      <c r="A572" s="565" t="s">
        <v>95</v>
      </c>
      <c r="B572">
        <v>701</v>
      </c>
      <c r="C572" s="3" t="s">
        <v>2284</v>
      </c>
      <c r="D572" t="s">
        <v>3591</v>
      </c>
      <c r="E572" s="167">
        <f>INDEX($I572:$O572,cbalEvent701Duration + 1)</f>
        <v>0</v>
      </c>
      <c r="F572" s="167">
        <f>INDEX($I572:$O572,cbalEvent701Duration + 1)</f>
        <v>0</v>
      </c>
      <c r="G572" s="167">
        <f>INDEX($I572:$O572,cbalEvent701Duration + 1)</f>
        <v>0</v>
      </c>
      <c r="I572">
        <v>0</v>
      </c>
      <c r="J572" s="554"/>
      <c r="K572" s="554"/>
      <c r="L572" s="554"/>
      <c r="M572" s="554"/>
      <c r="N572" s="554"/>
    </row>
    <row r="573" spans="1:16">
      <c r="B573">
        <v>701</v>
      </c>
      <c r="C573" s="736" t="s">
        <v>2746</v>
      </c>
      <c r="E573" s="167" t="s">
        <v>3161</v>
      </c>
      <c r="F573" s="167" t="s">
        <v>3161</v>
      </c>
      <c r="G573" s="167" t="s">
        <v>3161</v>
      </c>
      <c r="J573" s="553"/>
      <c r="K573" s="554"/>
      <c r="L573" s="554"/>
      <c r="M573" s="554"/>
      <c r="N573" s="735"/>
      <c r="O573" s="733"/>
      <c r="P573" s="565"/>
    </row>
    <row r="574" spans="1:16">
      <c r="A574" t="str">
        <f>"Costa"&amp; B574</f>
        <v>Costa701</v>
      </c>
      <c r="B574">
        <v>701</v>
      </c>
      <c r="C574" s="599" t="s">
        <v>2120</v>
      </c>
      <c r="D574" s="565" t="s">
        <v>3527</v>
      </c>
      <c r="E574" s="167">
        <f t="shared" ref="E574:G575" si="95">INDEX($I574:$O574,cbalEvent701Duration + 1)</f>
        <v>0</v>
      </c>
      <c r="F574" s="167">
        <f t="shared" si="95"/>
        <v>0</v>
      </c>
      <c r="G574" s="167">
        <f t="shared" si="95"/>
        <v>0</v>
      </c>
      <c r="H574" t="str">
        <f>C574&amp;"Evt"&amp;B574</f>
        <v>SP-5Evt701</v>
      </c>
      <c r="I574">
        <v>0</v>
      </c>
      <c r="J574" s="727">
        <v>10000000</v>
      </c>
      <c r="K574" s="554"/>
      <c r="L574" s="554"/>
      <c r="M574" s="554"/>
      <c r="N574" s="735" t="s">
        <v>2733</v>
      </c>
      <c r="O574" s="5">
        <v>4</v>
      </c>
      <c r="P574">
        <v>2</v>
      </c>
    </row>
    <row r="575" spans="1:16">
      <c r="A575" t="str">
        <f>"FTEa"&amp; B575</f>
        <v>FTEa701</v>
      </c>
      <c r="B575">
        <v>701</v>
      </c>
      <c r="C575" s="670" t="s">
        <v>3003</v>
      </c>
      <c r="D575" s="565" t="s">
        <v>3528</v>
      </c>
      <c r="E575" s="167">
        <f t="shared" si="95"/>
        <v>0</v>
      </c>
      <c r="F575" s="167">
        <f t="shared" si="95"/>
        <v>0</v>
      </c>
      <c r="G575" s="167">
        <f t="shared" si="95"/>
        <v>0</v>
      </c>
      <c r="H575" t="str">
        <f>C575&amp;"Evt"&amp;B575</f>
        <v>SP-17Evt701</v>
      </c>
      <c r="I575">
        <v>0</v>
      </c>
      <c r="J575" s="727">
        <v>10</v>
      </c>
      <c r="K575" s="554"/>
      <c r="L575" s="554"/>
      <c r="M575" s="554"/>
      <c r="N575" s="735" t="s">
        <v>182</v>
      </c>
      <c r="O575" s="5">
        <v>3</v>
      </c>
      <c r="P575">
        <v>2</v>
      </c>
    </row>
    <row r="576" spans="1:16">
      <c r="B576">
        <v>701</v>
      </c>
      <c r="C576" s="736" t="s">
        <v>1276</v>
      </c>
      <c r="E576" s="167" t="s">
        <v>3161</v>
      </c>
      <c r="F576" s="167" t="s">
        <v>3161</v>
      </c>
      <c r="G576" s="167" t="s">
        <v>3161</v>
      </c>
      <c r="J576" s="553"/>
      <c r="K576" s="554"/>
      <c r="L576" s="554"/>
      <c r="M576" s="554"/>
      <c r="N576" s="735"/>
      <c r="O576" s="733"/>
      <c r="P576" s="565"/>
    </row>
    <row r="577" spans="1:16">
      <c r="B577">
        <v>701</v>
      </c>
      <c r="C577" s="670" t="s">
        <v>2763</v>
      </c>
      <c r="D577" s="565" t="s">
        <v>3580</v>
      </c>
      <c r="E577" s="167">
        <f t="shared" ref="E577:G578" si="96">INDEX($I577:$O577,cbalEvent701Duration + 1)</f>
        <v>0</v>
      </c>
      <c r="F577" s="167">
        <f t="shared" si="96"/>
        <v>0</v>
      </c>
      <c r="G577" s="167">
        <f t="shared" si="96"/>
        <v>0</v>
      </c>
      <c r="I577">
        <v>0</v>
      </c>
      <c r="J577" s="727">
        <v>1000</v>
      </c>
      <c r="K577" s="554"/>
      <c r="L577" s="554"/>
      <c r="M577" s="554"/>
      <c r="N577" s="735" t="s">
        <v>2733</v>
      </c>
      <c r="O577" s="5">
        <v>4</v>
      </c>
      <c r="P577">
        <v>1</v>
      </c>
    </row>
    <row r="578" spans="1:16">
      <c r="B578">
        <v>701</v>
      </c>
      <c r="C578" s="670" t="s">
        <v>1434</v>
      </c>
      <c r="D578" s="565" t="s">
        <v>3564</v>
      </c>
      <c r="E578" s="167">
        <f t="shared" si="96"/>
        <v>0</v>
      </c>
      <c r="F578" s="167">
        <f t="shared" si="96"/>
        <v>0</v>
      </c>
      <c r="G578" s="167">
        <f t="shared" si="96"/>
        <v>0</v>
      </c>
      <c r="I578">
        <v>0</v>
      </c>
      <c r="J578" s="732">
        <v>0.05</v>
      </c>
      <c r="K578" s="385">
        <v>0.05</v>
      </c>
      <c r="L578" s="385">
        <v>0.05</v>
      </c>
      <c r="M578" s="385">
        <v>0.05</v>
      </c>
      <c r="N578" s="735" t="s">
        <v>2733</v>
      </c>
      <c r="O578" s="5">
        <v>4</v>
      </c>
      <c r="P578">
        <v>1</v>
      </c>
    </row>
    <row r="579" spans="1:16">
      <c r="B579">
        <v>701</v>
      </c>
      <c r="C579" s="736" t="s">
        <v>447</v>
      </c>
      <c r="E579" s="167" t="s">
        <v>3161</v>
      </c>
      <c r="F579" s="167" t="s">
        <v>3161</v>
      </c>
      <c r="G579" s="167" t="s">
        <v>3161</v>
      </c>
      <c r="J579" s="553"/>
      <c r="K579" s="554"/>
      <c r="L579" s="554"/>
      <c r="M579" s="554"/>
      <c r="N579" s="735"/>
      <c r="O579" s="733"/>
      <c r="P579" s="565"/>
    </row>
    <row r="580" spans="1:16">
      <c r="B580">
        <v>701</v>
      </c>
      <c r="C580" s="670" t="s">
        <v>2132</v>
      </c>
      <c r="D580" s="565" t="s">
        <v>44</v>
      </c>
      <c r="E580" s="167">
        <f>INDEX($I580:$O580,cbalEvent701Duration + 1)</f>
        <v>0</v>
      </c>
      <c r="F580" s="167">
        <f>INDEX($I580:$O580,cbalEvent701Duration + 1)</f>
        <v>0</v>
      </c>
      <c r="G580" s="167">
        <f>INDEX($I580:$O580,cbalEvent701Duration + 1)</f>
        <v>0</v>
      </c>
      <c r="I580">
        <v>0</v>
      </c>
      <c r="J580" s="732">
        <v>0.02</v>
      </c>
      <c r="K580" s="554"/>
      <c r="L580" s="554"/>
      <c r="M580" s="554"/>
      <c r="N580" s="735" t="s">
        <v>180</v>
      </c>
      <c r="O580" s="5">
        <v>5</v>
      </c>
      <c r="P580">
        <v>1</v>
      </c>
    </row>
    <row r="581" spans="1:16">
      <c r="B581" s="5"/>
      <c r="C581" s="599"/>
      <c r="E581" s="167" t="s">
        <v>3161</v>
      </c>
      <c r="F581" s="167" t="s">
        <v>3161</v>
      </c>
      <c r="G581" s="167" t="s">
        <v>3161</v>
      </c>
      <c r="J581" s="553"/>
      <c r="K581" s="554"/>
      <c r="L581" s="554"/>
      <c r="M581" s="554"/>
      <c r="N581" s="554"/>
    </row>
    <row r="582" spans="1:16">
      <c r="A582" s="565" t="s">
        <v>96</v>
      </c>
      <c r="B582">
        <v>702</v>
      </c>
      <c r="C582" s="3" t="s">
        <v>3180</v>
      </c>
      <c r="D582" t="s">
        <v>3592</v>
      </c>
      <c r="E582" s="167">
        <f>INDEX($I582:$O582,cbalEvent702Duration + 1)</f>
        <v>0</v>
      </c>
      <c r="F582" s="167">
        <f>INDEX($I582:$O582,cbalEvent702Duration + 1)</f>
        <v>0</v>
      </c>
      <c r="G582" s="167">
        <f>INDEX($I582:$O582,cbalEvent702Duration + 1)</f>
        <v>0</v>
      </c>
      <c r="I582">
        <v>0</v>
      </c>
      <c r="J582" s="554"/>
      <c r="K582" s="554"/>
      <c r="L582" s="554"/>
      <c r="M582" s="554"/>
      <c r="N582" s="554"/>
    </row>
    <row r="583" spans="1:16">
      <c r="B583">
        <v>702</v>
      </c>
      <c r="C583" s="736" t="s">
        <v>2746</v>
      </c>
      <c r="E583" s="167" t="s">
        <v>3161</v>
      </c>
      <c r="F583" s="167" t="s">
        <v>3161</v>
      </c>
      <c r="G583" s="167" t="s">
        <v>3161</v>
      </c>
      <c r="J583" s="553"/>
      <c r="K583" s="554"/>
      <c r="L583" s="554"/>
      <c r="M583" s="554"/>
      <c r="N583" s="735"/>
      <c r="O583" s="733"/>
      <c r="P583" s="565"/>
    </row>
    <row r="584" spans="1:16">
      <c r="A584" t="str">
        <f>"Costa"&amp; B584</f>
        <v>Costa702</v>
      </c>
      <c r="B584">
        <v>702</v>
      </c>
      <c r="C584" s="599" t="s">
        <v>2120</v>
      </c>
      <c r="D584" s="565" t="s">
        <v>3527</v>
      </c>
      <c r="E584" s="167">
        <f t="shared" ref="E584:G585" si="97">INDEX($I584:$O584,cbalEvent702Duration + 1)</f>
        <v>0</v>
      </c>
      <c r="F584" s="167">
        <f t="shared" si="97"/>
        <v>0</v>
      </c>
      <c r="G584" s="167">
        <f t="shared" si="97"/>
        <v>0</v>
      </c>
      <c r="H584" t="str">
        <f>C584&amp;"Evt"&amp;B584</f>
        <v>SP-5Evt702</v>
      </c>
      <c r="I584">
        <v>0</v>
      </c>
      <c r="J584" s="727">
        <v>5000000</v>
      </c>
      <c r="K584" s="554"/>
      <c r="L584" s="554"/>
      <c r="M584" s="554"/>
      <c r="N584" s="735" t="s">
        <v>182</v>
      </c>
      <c r="O584" s="5">
        <v>3</v>
      </c>
      <c r="P584">
        <v>2</v>
      </c>
    </row>
    <row r="585" spans="1:16">
      <c r="A585" t="str">
        <f>"FTEa"&amp; B585</f>
        <v>FTEa702</v>
      </c>
      <c r="B585">
        <v>702</v>
      </c>
      <c r="C585" s="670" t="s">
        <v>3003</v>
      </c>
      <c r="D585" s="565" t="s">
        <v>3528</v>
      </c>
      <c r="E585" s="167">
        <f t="shared" si="97"/>
        <v>0</v>
      </c>
      <c r="F585" s="167">
        <f t="shared" si="97"/>
        <v>0</v>
      </c>
      <c r="G585" s="167">
        <f t="shared" si="97"/>
        <v>0</v>
      </c>
      <c r="H585" t="str">
        <f>C585&amp;"Evt"&amp;B585</f>
        <v>SP-17Evt702</v>
      </c>
      <c r="I585">
        <v>0</v>
      </c>
      <c r="J585" s="727">
        <v>16</v>
      </c>
      <c r="K585" s="554"/>
      <c r="L585" s="554"/>
      <c r="M585" s="554"/>
      <c r="N585" s="735" t="s">
        <v>2733</v>
      </c>
      <c r="O585" s="5">
        <v>4</v>
      </c>
      <c r="P585">
        <v>2</v>
      </c>
    </row>
    <row r="586" spans="1:16">
      <c r="B586">
        <v>702</v>
      </c>
      <c r="C586" s="736" t="s">
        <v>447</v>
      </c>
      <c r="E586" s="167" t="s">
        <v>3161</v>
      </c>
      <c r="F586" s="167" t="s">
        <v>3161</v>
      </c>
      <c r="G586" s="167" t="s">
        <v>3161</v>
      </c>
      <c r="J586" s="553"/>
      <c r="K586" s="554"/>
      <c r="L586" s="554"/>
      <c r="M586" s="554"/>
      <c r="N586" s="735"/>
      <c r="O586" s="733"/>
      <c r="P586" s="565"/>
    </row>
    <row r="587" spans="1:16">
      <c r="B587">
        <v>702</v>
      </c>
      <c r="C587" s="670" t="s">
        <v>2132</v>
      </c>
      <c r="D587" s="565" t="s">
        <v>44</v>
      </c>
      <c r="E587" s="167">
        <f>INDEX($I587:$O587,cbalEvent702Duration + 1)</f>
        <v>0</v>
      </c>
      <c r="F587" s="167">
        <f>INDEX($I587:$O587,cbalEvent702Duration + 1)</f>
        <v>0</v>
      </c>
      <c r="G587" s="167">
        <f>INDEX($I587:$O587,cbalEvent702Duration + 1)</f>
        <v>0</v>
      </c>
      <c r="I587">
        <v>0</v>
      </c>
      <c r="J587" s="732">
        <v>-1.4999999999999999E-2</v>
      </c>
      <c r="K587" s="554"/>
      <c r="L587" s="554"/>
      <c r="M587" s="554"/>
      <c r="N587" s="735" t="s">
        <v>2733</v>
      </c>
      <c r="O587" s="5">
        <v>4</v>
      </c>
      <c r="P587">
        <v>1</v>
      </c>
    </row>
    <row r="588" spans="1:16">
      <c r="B588">
        <v>702</v>
      </c>
      <c r="C588" s="736" t="s">
        <v>2747</v>
      </c>
      <c r="E588" s="167" t="s">
        <v>3161</v>
      </c>
      <c r="F588" s="167" t="s">
        <v>3161</v>
      </c>
      <c r="G588" s="167" t="s">
        <v>3161</v>
      </c>
      <c r="J588" s="553"/>
      <c r="K588" s="554"/>
      <c r="L588" s="554"/>
      <c r="M588" s="554"/>
      <c r="N588" s="735"/>
      <c r="O588" s="733"/>
      <c r="P588" s="565"/>
    </row>
    <row r="589" spans="1:16">
      <c r="B589">
        <v>702</v>
      </c>
      <c r="C589" s="670" t="s">
        <v>1495</v>
      </c>
      <c r="D589" s="565" t="s">
        <v>1496</v>
      </c>
      <c r="E589" s="167">
        <f>INDEX($I589:$O589,cbalEvent702Duration + 1)</f>
        <v>0</v>
      </c>
      <c r="F589" s="167">
        <f>INDEX($I589:$O589,cbalEvent702Duration + 1)</f>
        <v>0</v>
      </c>
      <c r="G589" s="167">
        <f>INDEX($I589:$O589,cbalEvent702Duration + 1)</f>
        <v>0</v>
      </c>
      <c r="I589">
        <v>0</v>
      </c>
      <c r="J589" s="732">
        <v>-0.02</v>
      </c>
      <c r="K589" s="554"/>
      <c r="L589" s="554"/>
      <c r="M589" s="554"/>
      <c r="N589" s="735" t="s">
        <v>180</v>
      </c>
      <c r="O589" s="5">
        <v>5</v>
      </c>
      <c r="P589">
        <v>1</v>
      </c>
    </row>
    <row r="590" spans="1:16">
      <c r="B590">
        <v>702</v>
      </c>
      <c r="C590" s="670" t="s">
        <v>2067</v>
      </c>
      <c r="D590" s="565" t="s">
        <v>3536</v>
      </c>
      <c r="E590" s="167">
        <f t="shared" ref="E590:G590" si="98">INDEX($I590:$O590,cbalEvent702Duration + 1)</f>
        <v>0</v>
      </c>
      <c r="F590" s="167">
        <f t="shared" si="98"/>
        <v>0</v>
      </c>
      <c r="G590" s="167">
        <f t="shared" si="98"/>
        <v>0</v>
      </c>
      <c r="I590">
        <v>0</v>
      </c>
      <c r="J590" s="732">
        <v>-0.2</v>
      </c>
      <c r="K590" s="554"/>
      <c r="L590" s="554"/>
      <c r="M590" s="554"/>
      <c r="N590" s="735" t="s">
        <v>180</v>
      </c>
      <c r="O590" s="5">
        <v>5</v>
      </c>
      <c r="P590">
        <v>1</v>
      </c>
    </row>
    <row r="591" spans="1:16">
      <c r="B591" s="5"/>
      <c r="C591" s="599"/>
      <c r="E591" s="167" t="s">
        <v>3161</v>
      </c>
      <c r="F591" s="167" t="s">
        <v>3161</v>
      </c>
      <c r="G591" s="167" t="s">
        <v>3161</v>
      </c>
      <c r="J591" s="553"/>
      <c r="K591" s="554"/>
      <c r="L591" s="554"/>
      <c r="M591" s="554"/>
      <c r="N591" s="554"/>
    </row>
    <row r="592" spans="1:16">
      <c r="A592" s="565" t="s">
        <v>2256</v>
      </c>
      <c r="B592" s="5">
        <v>703</v>
      </c>
      <c r="C592" s="3" t="s">
        <v>2286</v>
      </c>
      <c r="D592" t="s">
        <v>3593</v>
      </c>
      <c r="E592" s="167">
        <f>INDEX($I592:$O592,cbalEvent703Duration + 1)</f>
        <v>0</v>
      </c>
      <c r="F592" s="167">
        <f>INDEX($I592:$O592,cbalEvent703Duration + 1)</f>
        <v>0</v>
      </c>
      <c r="G592" s="167">
        <f>INDEX($I592:$O592,cbalEvent703Duration + 1)</f>
        <v>0</v>
      </c>
      <c r="I592">
        <v>0</v>
      </c>
      <c r="J592" s="554"/>
      <c r="K592" s="554"/>
      <c r="L592" s="554"/>
      <c r="M592" s="554"/>
      <c r="N592" s="554"/>
    </row>
    <row r="593" spans="1:16">
      <c r="A593" s="565"/>
      <c r="B593" s="5"/>
      <c r="C593" s="565"/>
      <c r="E593" s="167" t="s">
        <v>3161</v>
      </c>
      <c r="F593" s="167" t="s">
        <v>3161</v>
      </c>
      <c r="G593" s="167" t="s">
        <v>3161</v>
      </c>
      <c r="J593" s="554"/>
      <c r="K593" s="554"/>
      <c r="L593" s="554"/>
      <c r="M593" s="554"/>
      <c r="N593" s="554"/>
    </row>
    <row r="594" spans="1:16">
      <c r="A594" s="565" t="s">
        <v>97</v>
      </c>
      <c r="B594">
        <v>801</v>
      </c>
      <c r="C594" s="3" t="s">
        <v>3181</v>
      </c>
      <c r="D594" t="s">
        <v>3594</v>
      </c>
      <c r="E594" s="167">
        <f>INDEX($I594:$O594,cbalEvent801Duration + 1)</f>
        <v>0</v>
      </c>
      <c r="F594" s="167">
        <f>INDEX($I594:$O594,cbalEvent801Duration + 1)</f>
        <v>0</v>
      </c>
      <c r="G594" s="167">
        <f>INDEX($I594:$O594,cbalEvent801Duration + 1)</f>
        <v>0</v>
      </c>
      <c r="I594">
        <v>0</v>
      </c>
      <c r="J594" s="554"/>
      <c r="K594" s="554"/>
      <c r="L594" s="554"/>
      <c r="M594" s="554"/>
      <c r="N594" s="554"/>
    </row>
    <row r="595" spans="1:16">
      <c r="B595">
        <v>801</v>
      </c>
      <c r="C595" s="736" t="s">
        <v>2746</v>
      </c>
      <c r="E595" s="167" t="s">
        <v>3161</v>
      </c>
      <c r="F595" s="167" t="s">
        <v>3161</v>
      </c>
      <c r="G595" s="167" t="s">
        <v>3161</v>
      </c>
      <c r="J595" s="553"/>
      <c r="K595" s="554"/>
      <c r="L595" s="554"/>
      <c r="M595" s="554"/>
      <c r="N595" s="735"/>
      <c r="O595" s="733"/>
      <c r="P595" s="565"/>
    </row>
    <row r="596" spans="1:16">
      <c r="A596" t="str">
        <f>"FTEa"&amp; B596</f>
        <v>FTEa801</v>
      </c>
      <c r="B596">
        <v>801</v>
      </c>
      <c r="C596" s="670" t="s">
        <v>3002</v>
      </c>
      <c r="D596" s="565" t="s">
        <v>3531</v>
      </c>
      <c r="E596" s="167">
        <f>INDEX($I596:$O596,cbalEvent801Duration + 1)</f>
        <v>0</v>
      </c>
      <c r="F596" s="167">
        <f>INDEX($I596:$O596,cbalEvent801Duration + 1)</f>
        <v>0</v>
      </c>
      <c r="G596" s="167">
        <f>INDEX($I596:$O596,cbalEvent801Duration + 1)</f>
        <v>0</v>
      </c>
      <c r="H596" t="str">
        <f>C596&amp;"Evt"&amp;B596</f>
        <v>SP-16Evt801</v>
      </c>
      <c r="I596">
        <v>0</v>
      </c>
      <c r="J596" s="727">
        <v>24</v>
      </c>
      <c r="K596" s="554"/>
      <c r="L596" s="554"/>
      <c r="M596" s="554"/>
      <c r="N596" s="735" t="s">
        <v>180</v>
      </c>
      <c r="O596" s="5">
        <v>5</v>
      </c>
      <c r="P596">
        <v>2</v>
      </c>
    </row>
    <row r="597" spans="1:16">
      <c r="B597">
        <v>801</v>
      </c>
      <c r="C597" s="736" t="s">
        <v>447</v>
      </c>
      <c r="E597" s="167" t="s">
        <v>3161</v>
      </c>
      <c r="F597" s="167" t="s">
        <v>3161</v>
      </c>
      <c r="G597" s="167" t="s">
        <v>3161</v>
      </c>
      <c r="J597" s="553"/>
      <c r="K597" s="554"/>
      <c r="L597" s="554"/>
      <c r="M597" s="554"/>
      <c r="N597" s="735"/>
      <c r="O597" s="733"/>
      <c r="P597" s="565"/>
    </row>
    <row r="598" spans="1:16">
      <c r="B598">
        <v>801</v>
      </c>
      <c r="C598" s="670" t="s">
        <v>2132</v>
      </c>
      <c r="D598" s="565" t="s">
        <v>44</v>
      </c>
      <c r="E598" s="167">
        <f>INDEX($I598:$O598,cbalEvent801Duration + 1)</f>
        <v>0</v>
      </c>
      <c r="F598" s="167">
        <f>INDEX($I598:$O598,cbalEvent801Duration + 1)</f>
        <v>0</v>
      </c>
      <c r="G598" s="167">
        <f>INDEX($I598:$O598,cbalEvent801Duration + 1)</f>
        <v>0</v>
      </c>
      <c r="I598">
        <v>0</v>
      </c>
      <c r="J598" s="1114">
        <v>-0.01</v>
      </c>
      <c r="K598" s="554"/>
      <c r="L598" s="554"/>
      <c r="M598" s="554"/>
      <c r="N598" s="735" t="s">
        <v>2733</v>
      </c>
      <c r="O598" s="5">
        <v>4</v>
      </c>
      <c r="P598">
        <v>1</v>
      </c>
    </row>
    <row r="599" spans="1:16">
      <c r="B599">
        <v>801</v>
      </c>
      <c r="C599" s="736" t="s">
        <v>2747</v>
      </c>
      <c r="E599" s="167" t="s">
        <v>3161</v>
      </c>
      <c r="F599" s="167" t="s">
        <v>3161</v>
      </c>
      <c r="G599" s="167" t="s">
        <v>3161</v>
      </c>
      <c r="J599" s="553"/>
      <c r="K599" s="554"/>
      <c r="L599" s="554"/>
      <c r="M599" s="554"/>
      <c r="N599" s="735"/>
      <c r="O599" s="733"/>
      <c r="P599" s="565"/>
    </row>
    <row r="600" spans="1:16">
      <c r="B600">
        <v>801</v>
      </c>
      <c r="C600" s="670" t="s">
        <v>1517</v>
      </c>
      <c r="D600" s="565" t="s">
        <v>3533</v>
      </c>
      <c r="E600" s="167">
        <f t="shared" ref="E600:G601" si="99">INDEX($I600:$O600,cbalEvent801Duration + 1)</f>
        <v>0</v>
      </c>
      <c r="F600" s="167">
        <f t="shared" si="99"/>
        <v>0</v>
      </c>
      <c r="G600" s="167">
        <f t="shared" si="99"/>
        <v>0</v>
      </c>
      <c r="I600">
        <v>0</v>
      </c>
      <c r="J600" s="732">
        <v>-6.0000000000000005E-2</v>
      </c>
      <c r="K600" s="554"/>
      <c r="L600" s="554"/>
      <c r="M600" s="554"/>
      <c r="N600" s="735" t="s">
        <v>180</v>
      </c>
      <c r="O600" s="5">
        <v>5</v>
      </c>
      <c r="P600">
        <v>1</v>
      </c>
    </row>
    <row r="601" spans="1:16">
      <c r="B601">
        <v>801</v>
      </c>
      <c r="C601" s="670" t="s">
        <v>2065</v>
      </c>
      <c r="D601" s="565" t="s">
        <v>3534</v>
      </c>
      <c r="E601" s="167">
        <f t="shared" si="99"/>
        <v>0</v>
      </c>
      <c r="F601" s="167">
        <f t="shared" si="99"/>
        <v>0</v>
      </c>
      <c r="G601" s="167">
        <f t="shared" si="99"/>
        <v>0</v>
      </c>
      <c r="I601">
        <v>0</v>
      </c>
      <c r="J601" s="732">
        <v>-6.0000000000000005E-2</v>
      </c>
      <c r="K601" s="554"/>
      <c r="L601" s="554"/>
      <c r="M601" s="554"/>
      <c r="N601" s="735" t="s">
        <v>180</v>
      </c>
      <c r="O601" s="5">
        <v>5</v>
      </c>
      <c r="P601">
        <v>1</v>
      </c>
    </row>
    <row r="602" spans="1:16">
      <c r="B602" s="5"/>
      <c r="C602" s="599"/>
      <c r="E602" s="167" t="s">
        <v>3161</v>
      </c>
      <c r="F602" s="167" t="s">
        <v>3161</v>
      </c>
      <c r="G602" s="167" t="s">
        <v>3161</v>
      </c>
      <c r="J602" s="553"/>
      <c r="K602" s="554"/>
      <c r="L602" s="554"/>
      <c r="M602" s="554"/>
      <c r="N602" s="554"/>
    </row>
    <row r="603" spans="1:16">
      <c r="A603" s="565" t="s">
        <v>2257</v>
      </c>
      <c r="B603">
        <v>802</v>
      </c>
      <c r="C603" s="3" t="s">
        <v>2286</v>
      </c>
      <c r="D603" t="s">
        <v>3595</v>
      </c>
      <c r="E603" s="167">
        <f>INDEX($I603:$O603,cbalEvent802Duration + 1)</f>
        <v>0</v>
      </c>
      <c r="F603" s="167">
        <f>INDEX($I603:$O603,cbalEvent802Duration + 1)</f>
        <v>0</v>
      </c>
      <c r="G603" s="167">
        <f>INDEX($I603:$O603,cbalEvent802Duration + 1)</f>
        <v>0</v>
      </c>
      <c r="I603">
        <v>0</v>
      </c>
      <c r="J603" s="554"/>
      <c r="K603" s="554"/>
      <c r="L603" s="554"/>
      <c r="M603" s="554"/>
      <c r="N603" s="554"/>
    </row>
    <row r="604" spans="1:16">
      <c r="B604">
        <v>802</v>
      </c>
      <c r="C604" s="736" t="s">
        <v>447</v>
      </c>
      <c r="E604" s="167" t="s">
        <v>3161</v>
      </c>
      <c r="F604" s="167" t="s">
        <v>3161</v>
      </c>
      <c r="G604" s="167" t="s">
        <v>3161</v>
      </c>
      <c r="J604" s="553"/>
      <c r="K604" s="554"/>
      <c r="L604" s="554"/>
      <c r="M604" s="554"/>
      <c r="N604" s="735"/>
      <c r="O604" s="733"/>
      <c r="P604" s="565"/>
    </row>
    <row r="605" spans="1:16">
      <c r="B605">
        <v>802</v>
      </c>
      <c r="C605" s="670" t="s">
        <v>2132</v>
      </c>
      <c r="D605" s="565" t="s">
        <v>44</v>
      </c>
      <c r="E605" s="167">
        <f>INDEX($I605:$O605,cbalEvent802Duration + 1)</f>
        <v>0</v>
      </c>
      <c r="F605" s="167">
        <f>INDEX($I605:$O605,cbalEvent802Duration + 1)</f>
        <v>0</v>
      </c>
      <c r="G605" s="167">
        <f>INDEX($I605:$O605,cbalEvent802Duration + 1)</f>
        <v>0</v>
      </c>
      <c r="I605">
        <v>0</v>
      </c>
      <c r="J605" s="732">
        <v>5.0000000000000001E-3</v>
      </c>
      <c r="K605" s="554"/>
      <c r="L605" s="554"/>
      <c r="M605" s="554"/>
      <c r="N605" s="735" t="s">
        <v>182</v>
      </c>
      <c r="O605" s="5">
        <v>3</v>
      </c>
      <c r="P605">
        <v>1</v>
      </c>
    </row>
    <row r="606" spans="1:16">
      <c r="B606" s="5"/>
      <c r="C606" s="599"/>
      <c r="E606" s="167" t="s">
        <v>3161</v>
      </c>
      <c r="F606" s="167" t="s">
        <v>3161</v>
      </c>
      <c r="G606" s="167" t="s">
        <v>3161</v>
      </c>
      <c r="J606" s="553"/>
      <c r="K606" s="554"/>
      <c r="L606" s="554"/>
      <c r="M606" s="554"/>
      <c r="N606" s="554"/>
    </row>
    <row r="607" spans="1:16">
      <c r="A607" s="565" t="s">
        <v>2258</v>
      </c>
      <c r="B607">
        <v>803</v>
      </c>
      <c r="C607" s="3" t="s">
        <v>3182</v>
      </c>
      <c r="D607" t="s">
        <v>3596</v>
      </c>
      <c r="E607" s="167">
        <f>INDEX($I607:$O607,cbalEvent803Duration + 1)</f>
        <v>0</v>
      </c>
      <c r="F607" s="167">
        <f>INDEX($I607:$O607,cbalEvent803Duration + 1)</f>
        <v>0</v>
      </c>
      <c r="G607" s="167">
        <f>INDEX($I607:$O607,cbalEvent803Duration + 1)</f>
        <v>0</v>
      </c>
      <c r="I607">
        <v>0</v>
      </c>
      <c r="J607" s="554"/>
      <c r="K607" s="554"/>
      <c r="L607" s="554"/>
      <c r="M607" s="554"/>
      <c r="N607" s="554"/>
    </row>
    <row r="608" spans="1:16">
      <c r="B608">
        <v>803</v>
      </c>
      <c r="C608" s="736" t="s">
        <v>2746</v>
      </c>
      <c r="E608" s="167" t="s">
        <v>3161</v>
      </c>
      <c r="F608" s="167" t="s">
        <v>3161</v>
      </c>
      <c r="G608" s="167" t="s">
        <v>3161</v>
      </c>
      <c r="J608" s="553"/>
      <c r="K608" s="554"/>
      <c r="L608" s="554"/>
      <c r="M608" s="554"/>
      <c r="N608" s="735"/>
      <c r="O608" s="733"/>
      <c r="P608" s="565"/>
    </row>
    <row r="609" spans="1:16">
      <c r="A609" t="str">
        <f>"FTEa"&amp; B609</f>
        <v>FTEa803</v>
      </c>
      <c r="B609">
        <v>803</v>
      </c>
      <c r="C609" s="670" t="s">
        <v>3002</v>
      </c>
      <c r="D609" s="565" t="s">
        <v>3531</v>
      </c>
      <c r="E609" s="167">
        <f>INDEX($I609:$O609,cbalEvent803Duration + 1)</f>
        <v>0</v>
      </c>
      <c r="F609" s="167">
        <f>INDEX($I609:$O609,cbalEvent803Duration + 1)</f>
        <v>0</v>
      </c>
      <c r="G609" s="167">
        <f>INDEX($I609:$O609,cbalEvent803Duration + 1)</f>
        <v>0</v>
      </c>
      <c r="H609" t="str">
        <f>C609&amp;"Evt"&amp;B609</f>
        <v>SP-16Evt803</v>
      </c>
      <c r="I609">
        <v>0</v>
      </c>
      <c r="J609" s="727">
        <v>16</v>
      </c>
      <c r="K609" s="554"/>
      <c r="L609" s="554"/>
      <c r="M609" s="554"/>
      <c r="N609" s="735" t="s">
        <v>2733</v>
      </c>
      <c r="O609" s="5">
        <v>4</v>
      </c>
      <c r="P609">
        <v>2</v>
      </c>
    </row>
    <row r="610" spans="1:16">
      <c r="B610">
        <v>803</v>
      </c>
      <c r="C610" s="736" t="s">
        <v>2775</v>
      </c>
      <c r="E610" s="167" t="s">
        <v>3161</v>
      </c>
      <c r="F610" s="167" t="s">
        <v>3161</v>
      </c>
      <c r="G610" s="167" t="s">
        <v>3161</v>
      </c>
      <c r="J610" s="553"/>
      <c r="K610" s="554"/>
      <c r="L610" s="554"/>
      <c r="M610" s="554"/>
      <c r="N610" s="735"/>
      <c r="O610" s="733"/>
      <c r="P610" s="565"/>
    </row>
    <row r="611" spans="1:16">
      <c r="B611">
        <v>803</v>
      </c>
      <c r="C611" s="670" t="s">
        <v>2125</v>
      </c>
      <c r="D611" s="565" t="s">
        <v>3524</v>
      </c>
      <c r="E611" s="167">
        <f>INDEX($I611:$O611,cbalEvent803Duration + 1)</f>
        <v>0</v>
      </c>
      <c r="F611" s="167">
        <f>INDEX($I611:$O611,cbalEvent803Duration + 1)</f>
        <v>0</v>
      </c>
      <c r="G611" s="167">
        <f>INDEX($I611:$O611,cbalEvent803Duration + 1)</f>
        <v>0</v>
      </c>
      <c r="I611">
        <v>0</v>
      </c>
      <c r="J611">
        <v>0</v>
      </c>
      <c r="K611" s="732">
        <v>0</v>
      </c>
      <c r="L611" s="385">
        <v>0</v>
      </c>
      <c r="M611" s="385">
        <v>0</v>
      </c>
      <c r="N611" s="735" t="s">
        <v>182</v>
      </c>
      <c r="O611" s="5">
        <v>3</v>
      </c>
      <c r="P611">
        <v>1</v>
      </c>
    </row>
    <row r="612" spans="1:16">
      <c r="B612">
        <v>803</v>
      </c>
      <c r="C612" s="736" t="s">
        <v>447</v>
      </c>
      <c r="E612" s="167" t="s">
        <v>3161</v>
      </c>
      <c r="F612" s="167" t="s">
        <v>3161</v>
      </c>
      <c r="G612" s="167" t="s">
        <v>3161</v>
      </c>
      <c r="J612" s="553"/>
      <c r="K612" s="554"/>
      <c r="L612" s="554"/>
      <c r="M612" s="554"/>
      <c r="N612" s="735"/>
      <c r="O612" s="733"/>
      <c r="P612" s="565"/>
    </row>
    <row r="613" spans="1:16">
      <c r="B613">
        <v>803</v>
      </c>
      <c r="C613" s="670" t="s">
        <v>2132</v>
      </c>
      <c r="D613" s="565" t="s">
        <v>44</v>
      </c>
      <c r="E613" s="167">
        <f>INDEX($I613:$O613,cbalEvent803Duration + 1)</f>
        <v>0</v>
      </c>
      <c r="F613" s="167">
        <f>INDEX($I613:$O613,cbalEvent803Duration + 1)</f>
        <v>0</v>
      </c>
      <c r="G613" s="167">
        <f>INDEX($I613:$O613,cbalEvent803Duration + 1)</f>
        <v>0</v>
      </c>
      <c r="I613">
        <v>0</v>
      </c>
      <c r="J613" s="732">
        <v>-0.02</v>
      </c>
      <c r="K613" s="554"/>
      <c r="L613" s="554"/>
      <c r="M613" s="554"/>
      <c r="N613" s="735" t="s">
        <v>180</v>
      </c>
      <c r="O613" s="5">
        <v>5</v>
      </c>
      <c r="P613">
        <v>1</v>
      </c>
    </row>
    <row r="614" spans="1:16">
      <c r="B614">
        <v>803</v>
      </c>
      <c r="C614" s="736" t="s">
        <v>2747</v>
      </c>
      <c r="E614" s="167" t="s">
        <v>3161</v>
      </c>
      <c r="F614" s="167" t="s">
        <v>3161</v>
      </c>
      <c r="G614" s="167" t="s">
        <v>3161</v>
      </c>
      <c r="J614" s="553"/>
      <c r="K614" s="554"/>
      <c r="L614" s="554"/>
      <c r="M614" s="554"/>
      <c r="N614" s="735"/>
      <c r="O614" s="733"/>
      <c r="P614" s="565"/>
    </row>
    <row r="615" spans="1:16">
      <c r="B615">
        <v>803</v>
      </c>
      <c r="C615" s="670" t="s">
        <v>1517</v>
      </c>
      <c r="D615" s="565" t="s">
        <v>3533</v>
      </c>
      <c r="E615" s="167">
        <f t="shared" ref="E615:G616" si="100">INDEX($I615:$O615,cbalEvent803Duration + 1)</f>
        <v>0</v>
      </c>
      <c r="F615" s="167">
        <f t="shared" si="100"/>
        <v>0</v>
      </c>
      <c r="G615" s="167">
        <f t="shared" si="100"/>
        <v>0</v>
      </c>
      <c r="I615">
        <v>0</v>
      </c>
      <c r="J615" s="732">
        <v>-0.04</v>
      </c>
      <c r="K615" s="554"/>
      <c r="L615" s="554"/>
      <c r="M615" s="554"/>
      <c r="N615" s="735" t="s">
        <v>2733</v>
      </c>
      <c r="O615" s="5">
        <v>4</v>
      </c>
      <c r="P615">
        <v>1</v>
      </c>
    </row>
    <row r="616" spans="1:16">
      <c r="B616">
        <v>803</v>
      </c>
      <c r="C616" s="670" t="s">
        <v>2065</v>
      </c>
      <c r="D616" s="565" t="s">
        <v>3534</v>
      </c>
      <c r="E616" s="167">
        <f t="shared" si="100"/>
        <v>0</v>
      </c>
      <c r="F616" s="167">
        <f t="shared" si="100"/>
        <v>0</v>
      </c>
      <c r="G616" s="167">
        <f t="shared" si="100"/>
        <v>0</v>
      </c>
      <c r="I616">
        <v>0</v>
      </c>
      <c r="J616" s="732">
        <v>-0.04</v>
      </c>
      <c r="K616" s="554"/>
      <c r="L616" s="554"/>
      <c r="M616" s="554"/>
      <c r="N616" s="735" t="s">
        <v>2733</v>
      </c>
      <c r="O616" s="5">
        <v>4</v>
      </c>
      <c r="P616">
        <v>1</v>
      </c>
    </row>
    <row r="617" spans="1:16">
      <c r="B617" s="5"/>
      <c r="C617" s="599"/>
      <c r="E617" s="167" t="s">
        <v>3161</v>
      </c>
      <c r="F617" s="167" t="s">
        <v>3161</v>
      </c>
      <c r="G617" s="167" t="s">
        <v>3161</v>
      </c>
      <c r="J617" s="553"/>
      <c r="K617" s="554"/>
      <c r="L617" s="554"/>
      <c r="M617" s="554"/>
      <c r="N617" s="554"/>
    </row>
    <row r="618" spans="1:16">
      <c r="A618" s="565" t="s">
        <v>98</v>
      </c>
      <c r="B618">
        <v>901</v>
      </c>
      <c r="C618" s="3" t="s">
        <v>3183</v>
      </c>
      <c r="D618" t="s">
        <v>3597</v>
      </c>
      <c r="E618" s="167">
        <f>INDEX($I618:$O618,cbalEvent901Duration + 1)</f>
        <v>0</v>
      </c>
      <c r="F618" s="167">
        <f>INDEX($I618:$O618,cbalEvent901Duration + 1)</f>
        <v>0</v>
      </c>
      <c r="G618" s="167">
        <f>INDEX($I618:$O618,cbalEvent901Duration + 1)</f>
        <v>0</v>
      </c>
      <c r="I618">
        <v>0</v>
      </c>
      <c r="J618" s="554"/>
      <c r="K618" s="554"/>
      <c r="L618" s="554"/>
      <c r="M618" s="554"/>
      <c r="N618" s="554"/>
    </row>
    <row r="619" spans="1:16">
      <c r="B619">
        <v>901</v>
      </c>
      <c r="C619" s="736" t="s">
        <v>3103</v>
      </c>
      <c r="E619" s="167" t="s">
        <v>3161</v>
      </c>
      <c r="F619" s="167" t="s">
        <v>3161</v>
      </c>
      <c r="G619" s="167" t="s">
        <v>3161</v>
      </c>
      <c r="J619" s="553"/>
      <c r="K619" s="554"/>
      <c r="L619" s="554"/>
      <c r="M619" s="554"/>
      <c r="N619" s="735"/>
      <c r="O619" s="733"/>
      <c r="P619" s="565"/>
    </row>
    <row r="620" spans="1:16">
      <c r="A620" t="str">
        <f>"Costa"&amp; B620</f>
        <v>Costa901</v>
      </c>
      <c r="B620">
        <v>901</v>
      </c>
      <c r="C620" s="1002" t="s">
        <v>2120</v>
      </c>
      <c r="D620" s="565" t="s">
        <v>3527</v>
      </c>
      <c r="E620" s="167">
        <f>INDEX($I620:$O620,cbalEvent901Duration + 1)</f>
        <v>0</v>
      </c>
      <c r="F620" s="167">
        <f>INDEX($I620:$O620,cbalEvent901Duration + 1)</f>
        <v>0</v>
      </c>
      <c r="G620" s="167">
        <f>INDEX($I620:$O620,cbalEvent901Duration + 1)</f>
        <v>0</v>
      </c>
      <c r="H620" t="str">
        <f>C620&amp;"Evt"&amp;B620</f>
        <v>SP-5Evt901</v>
      </c>
      <c r="I620">
        <v>0</v>
      </c>
      <c r="J620" s="1113">
        <v>4500000</v>
      </c>
      <c r="K620" s="554"/>
      <c r="L620" s="554"/>
      <c r="M620" s="554"/>
      <c r="N620" s="735" t="s">
        <v>180</v>
      </c>
      <c r="O620" s="5">
        <v>5</v>
      </c>
      <c r="P620">
        <v>2</v>
      </c>
    </row>
    <row r="621" spans="1:16">
      <c r="A621" t="str">
        <f>"CapExa"&amp; B621</f>
        <v>CapExa901</v>
      </c>
      <c r="B621">
        <v>901</v>
      </c>
      <c r="C621" s="599" t="s">
        <v>2124</v>
      </c>
      <c r="D621" s="565" t="s">
        <v>3598</v>
      </c>
      <c r="E621" s="167">
        <f t="shared" ref="E621:G622" si="101">INDEX($I621:$O621,cbalEvent901Duration + 1)</f>
        <v>0</v>
      </c>
      <c r="F621" s="167">
        <f t="shared" si="101"/>
        <v>0</v>
      </c>
      <c r="G621" s="167">
        <f t="shared" si="101"/>
        <v>0</v>
      </c>
      <c r="H621" t="str">
        <f>C621&amp;"Evt"&amp;B621</f>
        <v>SP-9Evt901</v>
      </c>
      <c r="I621">
        <v>0</v>
      </c>
      <c r="J621" s="1113">
        <v>10500000</v>
      </c>
      <c r="K621" s="554"/>
      <c r="L621" s="554"/>
      <c r="M621" s="554"/>
      <c r="N621" s="735"/>
      <c r="O621" s="5"/>
    </row>
    <row r="622" spans="1:16">
      <c r="A622" t="str">
        <f>"FTEa"&amp; B622</f>
        <v>FTEa901</v>
      </c>
      <c r="B622">
        <v>901</v>
      </c>
      <c r="C622" s="670" t="s">
        <v>3003</v>
      </c>
      <c r="D622" s="565" t="s">
        <v>3528</v>
      </c>
      <c r="E622" s="167">
        <f t="shared" si="101"/>
        <v>0</v>
      </c>
      <c r="F622" s="167">
        <f t="shared" si="101"/>
        <v>0</v>
      </c>
      <c r="G622" s="167">
        <f t="shared" si="101"/>
        <v>0</v>
      </c>
      <c r="H622" t="str">
        <f>C622&amp;"Evt"&amp;B622</f>
        <v>SP-17Evt901</v>
      </c>
      <c r="I622">
        <v>0</v>
      </c>
      <c r="J622" s="727">
        <v>24</v>
      </c>
      <c r="K622" s="554"/>
      <c r="L622" s="554"/>
      <c r="M622" s="554"/>
      <c r="N622" s="735" t="s">
        <v>180</v>
      </c>
      <c r="O622" s="5">
        <v>5</v>
      </c>
      <c r="P622">
        <v>2</v>
      </c>
    </row>
    <row r="623" spans="1:16">
      <c r="B623">
        <v>901</v>
      </c>
      <c r="C623" s="736" t="s">
        <v>1276</v>
      </c>
      <c r="E623" s="167" t="s">
        <v>3161</v>
      </c>
      <c r="F623" s="167" t="s">
        <v>3161</v>
      </c>
      <c r="G623" s="167" t="s">
        <v>3161</v>
      </c>
      <c r="J623" s="553"/>
      <c r="K623" s="554"/>
      <c r="L623" s="554"/>
      <c r="M623" s="554"/>
      <c r="N623" s="735"/>
      <c r="O623" s="733"/>
      <c r="P623" s="565"/>
    </row>
    <row r="624" spans="1:16">
      <c r="B624">
        <v>901</v>
      </c>
      <c r="C624" s="670" t="s">
        <v>2763</v>
      </c>
      <c r="D624" s="565" t="s">
        <v>3580</v>
      </c>
      <c r="E624" s="167">
        <f t="shared" ref="E624:G625" si="102">INDEX($I624:$O624,cbalEvent901Duration + 1)</f>
        <v>0</v>
      </c>
      <c r="F624" s="167">
        <f t="shared" si="102"/>
        <v>0</v>
      </c>
      <c r="G624" s="167">
        <f t="shared" si="102"/>
        <v>0</v>
      </c>
      <c r="I624">
        <v>0</v>
      </c>
      <c r="J624" s="727">
        <v>1000</v>
      </c>
      <c r="K624" s="554"/>
      <c r="L624" s="554"/>
      <c r="M624" s="554"/>
      <c r="N624" s="735" t="s">
        <v>2733</v>
      </c>
      <c r="O624" s="5">
        <v>4</v>
      </c>
      <c r="P624">
        <v>1</v>
      </c>
    </row>
    <row r="625" spans="1:19">
      <c r="B625">
        <v>901</v>
      </c>
      <c r="C625" s="670" t="s">
        <v>1434</v>
      </c>
      <c r="D625" s="565" t="s">
        <v>3564</v>
      </c>
      <c r="E625" s="167">
        <f t="shared" si="102"/>
        <v>0</v>
      </c>
      <c r="F625" s="167">
        <f t="shared" si="102"/>
        <v>0</v>
      </c>
      <c r="G625" s="167">
        <f t="shared" si="102"/>
        <v>0</v>
      </c>
      <c r="I625">
        <v>0</v>
      </c>
      <c r="J625" s="732">
        <v>0.05</v>
      </c>
      <c r="K625" s="385">
        <v>0.05</v>
      </c>
      <c r="L625" s="385">
        <v>0.05</v>
      </c>
      <c r="M625" s="385">
        <v>0.05</v>
      </c>
      <c r="N625" s="735" t="s">
        <v>2733</v>
      </c>
      <c r="O625" s="5">
        <v>4</v>
      </c>
      <c r="P625">
        <v>1</v>
      </c>
    </row>
    <row r="626" spans="1:19">
      <c r="B626">
        <v>901</v>
      </c>
      <c r="C626" s="736" t="s">
        <v>2774</v>
      </c>
      <c r="E626" s="167" t="s">
        <v>3161</v>
      </c>
      <c r="F626" s="167" t="s">
        <v>3161</v>
      </c>
      <c r="G626" s="167" t="s">
        <v>3161</v>
      </c>
      <c r="J626" s="553"/>
      <c r="K626" s="554"/>
      <c r="L626" s="554"/>
      <c r="M626" s="554"/>
      <c r="N626" s="735"/>
      <c r="O626" s="733"/>
      <c r="P626" s="565"/>
    </row>
    <row r="627" spans="1:19">
      <c r="B627">
        <v>901</v>
      </c>
      <c r="C627" s="670" t="s">
        <v>1405</v>
      </c>
      <c r="D627" s="565" t="s">
        <v>3544</v>
      </c>
      <c r="E627" s="167">
        <f>INDEX($I627:$O627,cbalEvent901Duration + 1)</f>
        <v>0</v>
      </c>
      <c r="F627" s="167">
        <f>INDEX($I627:$O627,cbalEvent901Duration + 1)</f>
        <v>0</v>
      </c>
      <c r="G627" s="167">
        <f>INDEX($I627:$O627,cbalEvent901Duration + 1)</f>
        <v>0</v>
      </c>
      <c r="I627">
        <v>0</v>
      </c>
      <c r="J627">
        <v>0</v>
      </c>
      <c r="K627" s="732">
        <v>-0.05</v>
      </c>
      <c r="L627" s="554"/>
      <c r="M627" s="554"/>
      <c r="N627" s="735" t="s">
        <v>2733</v>
      </c>
      <c r="O627" s="5">
        <v>4</v>
      </c>
      <c r="P627">
        <v>1</v>
      </c>
    </row>
    <row r="628" spans="1:19">
      <c r="B628">
        <v>901</v>
      </c>
      <c r="C628" s="736" t="s">
        <v>2786</v>
      </c>
      <c r="E628" s="167" t="s">
        <v>3161</v>
      </c>
      <c r="F628" s="167" t="s">
        <v>3161</v>
      </c>
      <c r="G628" s="167" t="s">
        <v>3161</v>
      </c>
      <c r="J628" s="553"/>
      <c r="K628" s="554"/>
      <c r="L628" s="554"/>
      <c r="M628" s="554"/>
      <c r="N628" s="735"/>
      <c r="O628" s="733"/>
      <c r="P628" s="565"/>
    </row>
    <row r="629" spans="1:19">
      <c r="B629">
        <v>901</v>
      </c>
      <c r="C629" s="599" t="s">
        <v>2751</v>
      </c>
      <c r="D629" s="565" t="s">
        <v>3540</v>
      </c>
      <c r="E629" s="167">
        <f>INDEX($I629:$O629,cbalEvent901Duration + 1)</f>
        <v>0</v>
      </c>
      <c r="F629" s="167">
        <f>INDEX($I629:$O629,cbalEvent901Duration + 1)</f>
        <v>0</v>
      </c>
      <c r="G629" s="167">
        <f>INDEX($I629:$O629,cbalEvent901Duration + 1)</f>
        <v>0</v>
      </c>
      <c r="I629">
        <v>0</v>
      </c>
      <c r="J629">
        <v>1</v>
      </c>
      <c r="K629" s="732"/>
      <c r="L629" s="385"/>
      <c r="M629" s="385"/>
      <c r="N629" s="735"/>
      <c r="O629" s="5"/>
    </row>
    <row r="630" spans="1:19">
      <c r="B630">
        <v>901</v>
      </c>
      <c r="C630" s="736" t="s">
        <v>450</v>
      </c>
      <c r="E630" s="167" t="s">
        <v>3161</v>
      </c>
      <c r="F630" s="167" t="s">
        <v>3161</v>
      </c>
      <c r="G630" s="167" t="s">
        <v>3161</v>
      </c>
      <c r="J630" s="553"/>
      <c r="K630" s="554"/>
      <c r="L630" s="554"/>
      <c r="M630" s="554"/>
      <c r="N630" s="735"/>
      <c r="O630" s="733"/>
      <c r="P630" s="565"/>
    </row>
    <row r="631" spans="1:19">
      <c r="B631">
        <v>901</v>
      </c>
      <c r="C631" s="670" t="s">
        <v>2131</v>
      </c>
      <c r="D631" s="565" t="s">
        <v>1044</v>
      </c>
      <c r="E631" s="167">
        <f>INDEX($I631:$O631,cbalEvent901Duration + 1)</f>
        <v>0</v>
      </c>
      <c r="F631" s="167">
        <f>INDEX($I631:$O631,cbalEvent901Duration + 1)</f>
        <v>0</v>
      </c>
      <c r="G631" s="167">
        <f>INDEX($I631:$O631,cbalEvent901Duration + 1)</f>
        <v>0</v>
      </c>
      <c r="I631">
        <v>0</v>
      </c>
      <c r="J631" s="732">
        <v>5.0000000000000001E-3</v>
      </c>
      <c r="K631" s="554"/>
      <c r="L631" s="554"/>
      <c r="M631" s="554"/>
      <c r="N631" s="735" t="s">
        <v>182</v>
      </c>
      <c r="O631" s="5">
        <v>3</v>
      </c>
      <c r="P631">
        <v>1</v>
      </c>
    </row>
    <row r="632" spans="1:19">
      <c r="B632" s="5"/>
      <c r="C632" s="599"/>
      <c r="E632" s="167" t="s">
        <v>3161</v>
      </c>
      <c r="F632" s="167" t="s">
        <v>3161</v>
      </c>
      <c r="G632" s="167" t="s">
        <v>3161</v>
      </c>
      <c r="J632" s="553"/>
      <c r="K632" s="554"/>
      <c r="L632" s="554"/>
      <c r="M632" s="554"/>
      <c r="N632" s="554"/>
    </row>
    <row r="633" spans="1:19">
      <c r="A633" s="565" t="s">
        <v>99</v>
      </c>
      <c r="B633">
        <v>902</v>
      </c>
      <c r="C633" s="3" t="s">
        <v>2290</v>
      </c>
      <c r="D633" t="s">
        <v>3599</v>
      </c>
      <c r="E633" s="167">
        <f>INDEX($I633:$O633,cbalEvent902Duration + 1)</f>
        <v>0</v>
      </c>
      <c r="F633" s="167">
        <f>INDEX($I633:$O633,cbalEvent902Duration + 1)</f>
        <v>0</v>
      </c>
      <c r="G633" s="167">
        <f>INDEX($I633:$O633,cbalEvent902Duration + 1)</f>
        <v>0</v>
      </c>
      <c r="I633">
        <v>0</v>
      </c>
      <c r="J633" s="554"/>
      <c r="K633" s="554"/>
      <c r="L633" s="554"/>
      <c r="M633" s="554"/>
      <c r="N633" s="554"/>
    </row>
    <row r="634" spans="1:19">
      <c r="B634">
        <v>902</v>
      </c>
      <c r="C634" s="736" t="s">
        <v>450</v>
      </c>
      <c r="E634" s="167" t="s">
        <v>3161</v>
      </c>
      <c r="F634" s="167" t="s">
        <v>3161</v>
      </c>
      <c r="G634" s="167" t="s">
        <v>3161</v>
      </c>
      <c r="J634" s="553"/>
      <c r="K634" s="554"/>
      <c r="L634" s="554"/>
      <c r="M634" s="554"/>
      <c r="N634" s="735"/>
      <c r="O634" s="733"/>
      <c r="P634" s="565"/>
    </row>
    <row r="635" spans="1:19">
      <c r="B635">
        <v>902</v>
      </c>
      <c r="C635" s="670" t="s">
        <v>2131</v>
      </c>
      <c r="D635" s="565" t="s">
        <v>1044</v>
      </c>
      <c r="E635" s="167">
        <f>INDEX($I635:$O635,cbalEvent902Duration + 1)</f>
        <v>0</v>
      </c>
      <c r="F635" s="167">
        <f>INDEX($I635:$O635,cbalEvent902Duration + 1)</f>
        <v>0</v>
      </c>
      <c r="G635" s="167">
        <f>INDEX($I635:$O635,cbalEvent902Duration + 1)</f>
        <v>0</v>
      </c>
      <c r="I635">
        <v>0</v>
      </c>
      <c r="J635" s="732">
        <v>-5.0000000000000001E-3</v>
      </c>
      <c r="K635" s="554"/>
      <c r="L635" s="554"/>
      <c r="M635" s="554"/>
      <c r="N635" s="735" t="s">
        <v>182</v>
      </c>
      <c r="O635" s="5">
        <v>3</v>
      </c>
      <c r="P635">
        <v>1</v>
      </c>
    </row>
    <row r="636" spans="1:19">
      <c r="B636">
        <v>902</v>
      </c>
      <c r="C636" s="736" t="s">
        <v>1276</v>
      </c>
      <c r="E636" s="167" t="s">
        <v>3161</v>
      </c>
      <c r="F636" s="167" t="s">
        <v>3161</v>
      </c>
      <c r="G636" s="167" t="s">
        <v>3161</v>
      </c>
      <c r="J636" s="553"/>
      <c r="K636" s="554"/>
      <c r="L636" s="554"/>
      <c r="M636" s="554"/>
      <c r="N636" s="735"/>
      <c r="O636" s="733"/>
      <c r="P636" s="565"/>
    </row>
    <row r="637" spans="1:19">
      <c r="B637">
        <v>902</v>
      </c>
      <c r="C637" s="670" t="s">
        <v>2763</v>
      </c>
      <c r="D637" s="565" t="s">
        <v>3580</v>
      </c>
      <c r="E637" s="167">
        <f t="shared" ref="E637:G638" si="103">INDEX($I637:$O637,cbalEvent902Duration + 1)</f>
        <v>0</v>
      </c>
      <c r="F637" s="167">
        <f t="shared" si="103"/>
        <v>0</v>
      </c>
      <c r="G637" s="167">
        <f t="shared" si="103"/>
        <v>0</v>
      </c>
      <c r="I637">
        <v>0</v>
      </c>
      <c r="J637" s="727">
        <v>500</v>
      </c>
      <c r="K637" s="554"/>
      <c r="L637" s="554"/>
      <c r="M637" s="554"/>
      <c r="N637" s="735" t="s">
        <v>182</v>
      </c>
      <c r="O637" s="5">
        <v>3</v>
      </c>
      <c r="P637">
        <v>1</v>
      </c>
    </row>
    <row r="638" spans="1:19">
      <c r="B638">
        <v>902</v>
      </c>
      <c r="C638" s="670" t="s">
        <v>1434</v>
      </c>
      <c r="D638" s="565" t="s">
        <v>3564</v>
      </c>
      <c r="E638" s="167">
        <f t="shared" si="103"/>
        <v>0</v>
      </c>
      <c r="F638" s="167">
        <f t="shared" si="103"/>
        <v>0</v>
      </c>
      <c r="G638" s="167">
        <f t="shared" si="103"/>
        <v>0</v>
      </c>
      <c r="I638">
        <v>0</v>
      </c>
      <c r="J638" s="732">
        <v>0.02</v>
      </c>
      <c r="K638" s="385">
        <v>0.02</v>
      </c>
      <c r="L638" s="385">
        <v>0.02</v>
      </c>
      <c r="M638" s="385">
        <v>0.02</v>
      </c>
      <c r="N638" s="735" t="s">
        <v>182</v>
      </c>
      <c r="O638" s="5">
        <v>3</v>
      </c>
      <c r="P638">
        <v>1</v>
      </c>
    </row>
    <row r="639" spans="1:19">
      <c r="B639" s="5"/>
      <c r="C639" s="599"/>
      <c r="E639" s="167"/>
      <c r="F639" s="167"/>
      <c r="G639" s="167"/>
      <c r="J639" s="553"/>
      <c r="K639" s="554"/>
      <c r="L639" s="554"/>
      <c r="M639" s="554"/>
      <c r="N639" s="554"/>
    </row>
    <row r="640" spans="1:19">
      <c r="A640" s="125"/>
      <c r="B640" s="125"/>
      <c r="C640" s="125"/>
      <c r="D640" s="125"/>
      <c r="E640" s="125"/>
      <c r="F640" s="125"/>
      <c r="G640" s="125"/>
      <c r="H640" s="125"/>
      <c r="I640" s="125"/>
      <c r="J640" s="125"/>
      <c r="K640" s="125"/>
      <c r="L640" s="125"/>
      <c r="M640" s="125"/>
      <c r="N640" s="125"/>
      <c r="O640" s="125"/>
      <c r="P640" s="125"/>
      <c r="Q640" s="125"/>
      <c r="R640" s="125"/>
      <c r="S640" s="125"/>
    </row>
    <row r="642" spans="2:10">
      <c r="B642" s="565" t="s">
        <v>531</v>
      </c>
    </row>
    <row r="654" spans="2:10">
      <c r="J654" s="415"/>
    </row>
  </sheetData>
  <autoFilter ref="A1:W654"/>
  <phoneticPr fontId="0" type="noConversion"/>
  <pageMargins left="0.5" right="0.5" top="0.5" bottom="0.5"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 enableFormatConditionsCalculation="0">
    <tabColor indexed="15"/>
  </sheetPr>
  <dimension ref="A1:R338"/>
  <sheetViews>
    <sheetView workbookViewId="0">
      <pane xSplit="4" ySplit="2" topLeftCell="E111" activePane="bottomRight" state="frozen"/>
      <selection activeCell="L2" sqref="L2"/>
      <selection pane="topRight" activeCell="L2" sqref="L2"/>
      <selection pane="bottomLeft" activeCell="L2" sqref="L2"/>
      <selection pane="bottomRight" activeCell="E136" sqref="E136:H136"/>
    </sheetView>
  </sheetViews>
  <sheetFormatPr defaultRowHeight="11.25"/>
  <cols>
    <col min="1" max="1" width="8.83203125" style="10" customWidth="1"/>
    <col min="2" max="2" width="34.6640625" customWidth="1"/>
    <col min="3" max="3" width="6" customWidth="1"/>
    <col min="4" max="4" width="17.83203125" bestFit="1" customWidth="1"/>
    <col min="5" max="7" width="25" customWidth="1"/>
    <col min="8" max="8" width="25.83203125" bestFit="1" customWidth="1"/>
    <col min="9" max="10" width="9.83203125" customWidth="1"/>
    <col min="16" max="16" width="12.5" bestFit="1" customWidth="1"/>
  </cols>
  <sheetData>
    <row r="1" spans="1:18" s="140" customFormat="1" ht="15.75">
      <c r="A1" s="182" t="s">
        <v>540</v>
      </c>
      <c r="E1" s="138" t="s">
        <v>1231</v>
      </c>
      <c r="F1" s="138" t="s">
        <v>1232</v>
      </c>
      <c r="G1" s="138" t="s">
        <v>1233</v>
      </c>
      <c r="L1" s="138" t="s">
        <v>1231</v>
      </c>
      <c r="M1" s="138" t="s">
        <v>1232</v>
      </c>
      <c r="N1" s="138" t="s">
        <v>1233</v>
      </c>
      <c r="P1" s="138"/>
      <c r="Q1" s="138"/>
      <c r="R1" s="138"/>
    </row>
    <row r="2" spans="1:18">
      <c r="L2" t="s">
        <v>1973</v>
      </c>
      <c r="M2" t="s">
        <v>1973</v>
      </c>
      <c r="N2" t="s">
        <v>1973</v>
      </c>
    </row>
    <row r="3" spans="1:18" s="34" customFormat="1">
      <c r="A3" s="522" t="s">
        <v>678</v>
      </c>
      <c r="B3" s="285" t="s">
        <v>679</v>
      </c>
      <c r="C3" s="285" t="s">
        <v>680</v>
      </c>
      <c r="D3" s="285"/>
      <c r="I3" s="126" t="s">
        <v>460</v>
      </c>
      <c r="J3" s="126" t="s">
        <v>461</v>
      </c>
    </row>
    <row r="4" spans="1:18" s="34" customFormat="1">
      <c r="A4" s="412"/>
      <c r="B4" s="285" t="str">
        <f>DataNameProd1 &amp; " Paramaters"</f>
        <v>Growth Paramaters</v>
      </c>
      <c r="D4" s="126" t="s">
        <v>1077</v>
      </c>
      <c r="E4" s="285" t="s">
        <v>540</v>
      </c>
      <c r="H4" s="285" t="s">
        <v>1080</v>
      </c>
      <c r="I4" s="126" t="s">
        <v>1266</v>
      </c>
      <c r="J4" s="126" t="s">
        <v>462</v>
      </c>
    </row>
    <row r="5" spans="1:18" s="34" customFormat="1">
      <c r="A5" s="599" t="s">
        <v>1389</v>
      </c>
      <c r="B5" s="34" t="str">
        <f>DataNameProd1 &amp; " Cancellation Rate"</f>
        <v>Growth Cancellation Rate</v>
      </c>
      <c r="C5" s="566" t="s">
        <v>677</v>
      </c>
      <c r="D5" s="410">
        <v>1</v>
      </c>
      <c r="E5" s="410">
        <f t="shared" ref="E5:E37" si="0">$D5*(1+L5*($C5="R"))+L5*($C5="A")</f>
        <v>1</v>
      </c>
      <c r="F5" s="410">
        <f t="shared" ref="F5:F37" si="1">$D5*(1+M5*($C5="R"))+M5*($C5="A")</f>
        <v>1</v>
      </c>
      <c r="G5" s="410">
        <f t="shared" ref="G5:G37" si="2">$D5*(1+N5*($C5="R"))+N5*($C5="A")</f>
        <v>1</v>
      </c>
      <c r="H5" s="566" t="s">
        <v>1390</v>
      </c>
      <c r="I5" s="34">
        <f>COUNTIF(adj!$C$31:$C$640,$A5)</f>
        <v>9</v>
      </c>
      <c r="J5" s="137">
        <f>SUMIF(adj!$C$31:$C$640,$A5,adj!L$31:L$640)</f>
        <v>0</v>
      </c>
      <c r="L5" s="34">
        <f>SUMIF(adj!$C$3:$C$640,$A5,adj!E$3:E$640)</f>
        <v>0</v>
      </c>
      <c r="M5" s="34">
        <f>SUMIF(adj!$C$3:$C$640,$A5,adj!F$3:F$640)</f>
        <v>0</v>
      </c>
      <c r="N5" s="34">
        <f>SUMIF(adj!$C$3:$C$640,$A5,adj!G$3:G$640)</f>
        <v>0</v>
      </c>
      <c r="O5" s="34">
        <f>SUMIF(adj!$C$3:$C$640,$A5,adj!H$3:H$640)</f>
        <v>0</v>
      </c>
    </row>
    <row r="6" spans="1:18" s="34" customFormat="1">
      <c r="A6" s="599" t="s">
        <v>1430</v>
      </c>
      <c r="B6" s="34" t="str">
        <f>DataNameProd1 &amp; " Service Price"</f>
        <v>Growth Service Price</v>
      </c>
      <c r="C6" s="566" t="s">
        <v>677</v>
      </c>
      <c r="D6" s="412">
        <v>16000</v>
      </c>
      <c r="E6" s="412">
        <f t="shared" si="0"/>
        <v>16000</v>
      </c>
      <c r="F6" s="412">
        <f t="shared" si="1"/>
        <v>16000</v>
      </c>
      <c r="G6" s="412">
        <f t="shared" si="2"/>
        <v>16000</v>
      </c>
      <c r="H6" s="566" t="s">
        <v>1506</v>
      </c>
      <c r="I6" s="34">
        <f>COUNTIF(adj!$C$31:$C$640,$A6)</f>
        <v>6</v>
      </c>
      <c r="J6" s="137">
        <f>SUMIF(adj!$C$31:$C$640,$A6,adj!L$31:L$640)</f>
        <v>0.24</v>
      </c>
      <c r="L6" s="34">
        <f>SUMIF(adj!$C$3:$C$640,$A6,adj!E$3:E$640)</f>
        <v>0</v>
      </c>
      <c r="M6" s="34">
        <f>SUMIF(adj!$C$3:$C$640,$A6,adj!F$3:F$640)</f>
        <v>0</v>
      </c>
      <c r="N6" s="34">
        <f>SUMIF(adj!$C$3:$C$640,$A6,adj!G$3:G$640)</f>
        <v>0</v>
      </c>
    </row>
    <row r="7" spans="1:18" s="34" customFormat="1">
      <c r="A7" s="599" t="s">
        <v>1431</v>
      </c>
      <c r="B7" s="34" t="str">
        <f>DataNameProd1 &amp; " Service Attach Rate"</f>
        <v>Growth Service Attach Rate</v>
      </c>
      <c r="C7" s="566" t="s">
        <v>677</v>
      </c>
      <c r="D7" s="505">
        <v>0.9</v>
      </c>
      <c r="E7" s="505">
        <f t="shared" si="0"/>
        <v>0.9</v>
      </c>
      <c r="F7" s="505">
        <f t="shared" si="1"/>
        <v>0.9</v>
      </c>
      <c r="G7" s="505">
        <f t="shared" si="2"/>
        <v>0.9</v>
      </c>
      <c r="H7" s="566" t="s">
        <v>1508</v>
      </c>
      <c r="I7" s="34">
        <f>COUNTIF(adj!$C$31:$C$640,$A7)</f>
        <v>5</v>
      </c>
      <c r="J7" s="137">
        <f>SUMIF(adj!$C$31:$C$640,$A7,adj!L$31:L$640)</f>
        <v>0.21</v>
      </c>
      <c r="L7" s="34">
        <f>SUMIF(adj!$C$3:$C$640,$A7,adj!E$3:E$640)</f>
        <v>0</v>
      </c>
      <c r="M7" s="34">
        <f>SUMIF(adj!$C$3:$C$640,$A7,adj!F$3:F$640)</f>
        <v>0</v>
      </c>
      <c r="N7" s="34">
        <f>SUMIF(adj!$C$3:$C$640,$A7,adj!G$3:G$640)</f>
        <v>0</v>
      </c>
    </row>
    <row r="8" spans="1:18" s="34" customFormat="1">
      <c r="A8" s="599" t="s">
        <v>1441</v>
      </c>
      <c r="B8" s="34" t="str">
        <f>DataNameProd1 &amp; " Service Hours Per Contract"</f>
        <v>Growth Service Hours Per Contract</v>
      </c>
      <c r="C8" s="34" t="s">
        <v>1001</v>
      </c>
      <c r="D8" s="412">
        <f>5*40</f>
        <v>200</v>
      </c>
      <c r="E8" s="412">
        <f t="shared" si="0"/>
        <v>200</v>
      </c>
      <c r="F8" s="412">
        <f t="shared" si="1"/>
        <v>200</v>
      </c>
      <c r="G8" s="412">
        <f t="shared" si="2"/>
        <v>200</v>
      </c>
      <c r="H8" s="566" t="s">
        <v>1518</v>
      </c>
      <c r="I8" s="34">
        <f>COUNTIF(adj!$C$31:$C$640,$A8)</f>
        <v>0</v>
      </c>
      <c r="J8" s="137">
        <f>SUMIF(adj!$C$31:$C$640,$A8,adj!L$31:L$640)</f>
        <v>0</v>
      </c>
      <c r="L8" s="34">
        <f>SUMIF(adj!$C$3:$C$640,$A8,adj!E$3:E$640)</f>
        <v>0</v>
      </c>
      <c r="M8" s="34">
        <f>SUMIF(adj!$C$3:$C$640,$A8,adj!F$3:F$640)</f>
        <v>0</v>
      </c>
      <c r="N8" s="34">
        <f>SUMIF(adj!$C$3:$C$640,$A8,adj!G$3:G$640)</f>
        <v>0</v>
      </c>
    </row>
    <row r="9" spans="1:18" s="34" customFormat="1">
      <c r="A9" s="599" t="s">
        <v>1483</v>
      </c>
      <c r="B9" s="34" t="str">
        <f>DataNameProd1 &amp; " DC Capacity Per Sub"</f>
        <v>Growth DC Capacity Per Sub</v>
      </c>
      <c r="C9" s="566" t="s">
        <v>677</v>
      </c>
      <c r="D9" s="137">
        <v>0.22</v>
      </c>
      <c r="E9" s="412">
        <f t="shared" si="0"/>
        <v>0.22</v>
      </c>
      <c r="F9" s="412">
        <f t="shared" si="1"/>
        <v>0.22</v>
      </c>
      <c r="G9" s="412">
        <f t="shared" si="2"/>
        <v>0.22</v>
      </c>
      <c r="H9" s="566" t="s">
        <v>1432</v>
      </c>
      <c r="I9" s="34">
        <f>COUNTIF(adj!$C$31:$C$640,$A9)</f>
        <v>0</v>
      </c>
      <c r="J9" s="137">
        <f>SUMIF(adj!$C$31:$C$640,$A9,adj!L$31:L$640)</f>
        <v>0</v>
      </c>
      <c r="L9" s="34">
        <f>SUMIF(adj!$C$3:$C$640,$A9,adj!E$3:E$640)</f>
        <v>0</v>
      </c>
      <c r="M9" s="34">
        <f>SUMIF(adj!$C$3:$C$640,$A9,adj!F$3:F$640)</f>
        <v>0</v>
      </c>
      <c r="N9" s="34">
        <f>SUMIF(adj!$C$3:$C$640,$A9,adj!G$3:G$640)</f>
        <v>0</v>
      </c>
    </row>
    <row r="10" spans="1:18" s="34" customFormat="1">
      <c r="A10" s="599" t="s">
        <v>1509</v>
      </c>
      <c r="B10" s="34" t="str">
        <f>DataNameProd1 &amp; " FTEs Per Capability Lvl"</f>
        <v>Growth FTEs Per Capability Lvl</v>
      </c>
      <c r="C10" s="34" t="s">
        <v>1001</v>
      </c>
      <c r="D10" s="412">
        <v>70</v>
      </c>
      <c r="E10" s="412">
        <f t="shared" si="0"/>
        <v>70</v>
      </c>
      <c r="F10" s="412">
        <f t="shared" si="1"/>
        <v>70</v>
      </c>
      <c r="G10" s="412">
        <f t="shared" si="2"/>
        <v>70</v>
      </c>
      <c r="H10" s="566" t="s">
        <v>1440</v>
      </c>
      <c r="I10" s="34">
        <f>COUNTIF(adj!$C$31:$C$640,$A10)</f>
        <v>0</v>
      </c>
      <c r="J10" s="137">
        <f>SUMIF(adj!$C$31:$C$640,$A10,adj!L$31:L$640)</f>
        <v>0</v>
      </c>
      <c r="L10" s="34">
        <f>SUMIF(adj!$C$3:$C$640,$A10,adj!E$3:E$640)</f>
        <v>0</v>
      </c>
      <c r="M10" s="34">
        <f>SUMIF(adj!$C$3:$C$640,$A10,adj!F$3:F$640)</f>
        <v>0</v>
      </c>
      <c r="N10" s="34">
        <f>SUMIF(adj!$C$3:$C$640,$A10,adj!G$3:G$640)</f>
        <v>0</v>
      </c>
    </row>
    <row r="11" spans="1:18" s="34" customFormat="1">
      <c r="A11" s="750" t="s">
        <v>1517</v>
      </c>
      <c r="B11" s="34" t="str">
        <f>DataNameProd1 &amp; " Labor Hours Req. Per Sub"</f>
        <v>Growth Labor Hours Req. Per Sub</v>
      </c>
      <c r="C11" s="34" t="s">
        <v>677</v>
      </c>
      <c r="D11" s="34">
        <v>6</v>
      </c>
      <c r="E11" s="412">
        <f t="shared" si="0"/>
        <v>6</v>
      </c>
      <c r="F11" s="412">
        <f t="shared" si="1"/>
        <v>6</v>
      </c>
      <c r="G11" s="412">
        <f t="shared" si="2"/>
        <v>6</v>
      </c>
      <c r="H11" s="566" t="s">
        <v>1486</v>
      </c>
      <c r="I11" s="34">
        <f>COUNTIF(adj!$C$31:$C$640,$A11)</f>
        <v>13</v>
      </c>
      <c r="J11" s="137">
        <f>SUMIF(adj!$C$31:$C$640,$A11,adj!L$31:L$640)</f>
        <v>-0.26</v>
      </c>
      <c r="L11" s="34">
        <f>SUMIF(adj!$C$3:$C$640,$A11,adj!E$3:E$640)</f>
        <v>0</v>
      </c>
      <c r="M11" s="34">
        <f>SUMIF(adj!$C$3:$C$640,$A11,adj!F$3:F$640)</f>
        <v>0</v>
      </c>
      <c r="N11" s="34">
        <f>SUMIF(adj!$C$3:$C$640,$A11,adj!G$3:G$640)</f>
        <v>0</v>
      </c>
    </row>
    <row r="12" spans="1:18" s="34" customFormat="1">
      <c r="A12" s="599" t="s">
        <v>1535</v>
      </c>
      <c r="B12" s="34" t="str">
        <f>DataNameProd1 &amp; " Percent 3rd Party"</f>
        <v>Growth Percent 3rd Party</v>
      </c>
      <c r="C12" s="566" t="s">
        <v>1001</v>
      </c>
      <c r="D12" s="505">
        <v>0</v>
      </c>
      <c r="E12" s="505">
        <f t="shared" si="0"/>
        <v>0</v>
      </c>
      <c r="F12" s="505">
        <f t="shared" si="1"/>
        <v>0</v>
      </c>
      <c r="G12" s="505">
        <f t="shared" si="2"/>
        <v>0</v>
      </c>
      <c r="H12" s="566" t="s">
        <v>1534</v>
      </c>
      <c r="I12" s="34">
        <f>COUNTIF(adj!$C$31:$C$640,$A12)</f>
        <v>1</v>
      </c>
      <c r="J12" s="137">
        <f>SUMIF(adj!$C$31:$C$640,$A12,adj!L$31:L$640)</f>
        <v>0</v>
      </c>
      <c r="L12" s="34">
        <f>SUMIF(adj!$C$3:$C$640,$A12,adj!E$3:E$640)</f>
        <v>0</v>
      </c>
      <c r="M12" s="34">
        <f>SUMIF(adj!$C$3:$C$640,$A12,adj!F$3:F$640)</f>
        <v>0</v>
      </c>
      <c r="N12" s="34">
        <f>SUMIF(adj!$C$3:$C$640,$A12,adj!G$3:G$640)</f>
        <v>0</v>
      </c>
    </row>
    <row r="13" spans="1:18" s="34" customFormat="1">
      <c r="A13" s="599" t="s">
        <v>1536</v>
      </c>
      <c r="B13" s="34" t="str">
        <f>DataNameProd1 &amp; " Royalty Per Sub"</f>
        <v>Growth Royalty Per Sub</v>
      </c>
      <c r="C13" s="34" t="s">
        <v>677</v>
      </c>
      <c r="D13" s="412">
        <v>2800</v>
      </c>
      <c r="E13" s="412">
        <f t="shared" si="0"/>
        <v>2800</v>
      </c>
      <c r="F13" s="412">
        <f t="shared" si="1"/>
        <v>2800</v>
      </c>
      <c r="G13" s="412">
        <f t="shared" si="2"/>
        <v>2800</v>
      </c>
      <c r="H13" s="566" t="s">
        <v>1537</v>
      </c>
      <c r="I13" s="34">
        <f>COUNTIF(adj!$C$31:$C$640,$A13)</f>
        <v>0</v>
      </c>
      <c r="J13" s="137">
        <f>SUMIF(adj!$C$31:$C$640,$A13,adj!L$31:L$640)</f>
        <v>0</v>
      </c>
      <c r="L13" s="34">
        <f>SUMIF(adj!$C$3:$C$640,$A13,adj!E$3:E$640)</f>
        <v>0</v>
      </c>
      <c r="M13" s="34">
        <f>SUMIF(adj!$C$3:$C$640,$A13,adj!F$3:F$640)</f>
        <v>0</v>
      </c>
      <c r="N13" s="34">
        <f>SUMIF(adj!$C$3:$C$640,$A13,adj!G$3:G$640)</f>
        <v>0</v>
      </c>
    </row>
    <row r="14" spans="1:18" s="34" customFormat="1">
      <c r="A14" s="599" t="s">
        <v>1543</v>
      </c>
      <c r="B14" s="34" t="str">
        <f>DataNameProd1 &amp; " Percent Print"</f>
        <v>Growth Percent Print</v>
      </c>
      <c r="C14" s="34" t="s">
        <v>677</v>
      </c>
      <c r="D14" s="405">
        <v>0.19</v>
      </c>
      <c r="E14" s="412">
        <f t="shared" si="0"/>
        <v>0.19</v>
      </c>
      <c r="F14" s="412">
        <f t="shared" si="1"/>
        <v>0.19</v>
      </c>
      <c r="G14" s="412">
        <f t="shared" si="2"/>
        <v>0.19</v>
      </c>
      <c r="H14" s="566" t="s">
        <v>1545</v>
      </c>
      <c r="I14" s="34">
        <f>COUNTIF(adj!$C$31:$C$640,$A14)</f>
        <v>0</v>
      </c>
      <c r="J14" s="137">
        <f>SUMIF(adj!$C$31:$C$640,$A14,adj!L$31:L$640)</f>
        <v>0</v>
      </c>
      <c r="L14" s="34">
        <f>SUMIF(adj!$C$3:$C$640,$A14,adj!E$3:E$640)</f>
        <v>0</v>
      </c>
      <c r="M14" s="34">
        <f>SUMIF(adj!$C$3:$C$640,$A14,adj!F$3:F$640)</f>
        <v>0</v>
      </c>
      <c r="N14" s="34">
        <f>SUMIF(adj!$C$3:$C$640,$A14,adj!G$3:G$640)</f>
        <v>0</v>
      </c>
    </row>
    <row r="15" spans="1:18" s="34" customFormat="1">
      <c r="A15" s="599" t="s">
        <v>1544</v>
      </c>
      <c r="B15" s="34" t="str">
        <f>DataNameProd1 &amp; " Printing Cost Per Sub"</f>
        <v>Growth Printing Cost Per Sub</v>
      </c>
      <c r="C15" s="34" t="s">
        <v>677</v>
      </c>
      <c r="D15" s="412">
        <v>2000</v>
      </c>
      <c r="E15" s="412">
        <f t="shared" si="0"/>
        <v>2000</v>
      </c>
      <c r="F15" s="412">
        <f t="shared" si="1"/>
        <v>2000</v>
      </c>
      <c r="G15" s="412">
        <f t="shared" si="2"/>
        <v>2000</v>
      </c>
      <c r="H15" s="566" t="s">
        <v>1546</v>
      </c>
      <c r="I15" s="34">
        <f>COUNTIF(adj!$C$31:$C$640,$A15)</f>
        <v>0</v>
      </c>
      <c r="J15" s="137">
        <f>SUMIF(adj!$C$31:$C$640,$A15,adj!L$31:L$640)</f>
        <v>0</v>
      </c>
      <c r="L15" s="34">
        <f>SUMIF(adj!$C$3:$C$640,$A15,adj!E$3:E$640)</f>
        <v>0</v>
      </c>
      <c r="M15" s="34">
        <f>SUMIF(adj!$C$3:$C$640,$A15,adj!F$3:F$640)</f>
        <v>0</v>
      </c>
      <c r="N15" s="34">
        <f>SUMIF(adj!$C$3:$C$640,$A15,adj!G$3:G$640)</f>
        <v>0</v>
      </c>
    </row>
    <row r="16" spans="1:18" s="34" customFormat="1">
      <c r="A16" s="599" t="s">
        <v>1552</v>
      </c>
      <c r="B16" s="34" t="str">
        <f>DataNameProd1 &amp; " Other Revenue Cost Per Sub"</f>
        <v>Growth Other Revenue Cost Per Sub</v>
      </c>
      <c r="C16" s="34" t="s">
        <v>677</v>
      </c>
      <c r="D16" s="412">
        <v>0</v>
      </c>
      <c r="E16" s="412">
        <f t="shared" si="0"/>
        <v>0</v>
      </c>
      <c r="F16" s="412">
        <f t="shared" si="1"/>
        <v>0</v>
      </c>
      <c r="G16" s="412">
        <f t="shared" si="2"/>
        <v>0</v>
      </c>
      <c r="H16" s="566" t="s">
        <v>1553</v>
      </c>
      <c r="I16" s="34">
        <f>COUNTIF(adj!$C$31:$C$640,$A16)</f>
        <v>0</v>
      </c>
      <c r="J16" s="137">
        <f>SUMIF(adj!$C$31:$C$640,$A16,adj!L$31:L$640)</f>
        <v>0</v>
      </c>
      <c r="L16" s="34">
        <f>SUMIF(adj!$C$3:$C$640,$A16,adj!E$3:E$640)</f>
        <v>0</v>
      </c>
      <c r="M16" s="34">
        <f>SUMIF(adj!$C$3:$C$640,$A16,adj!F$3:F$640)</f>
        <v>0</v>
      </c>
      <c r="N16" s="34">
        <f>SUMIF(adj!$C$3:$C$640,$A16,adj!G$3:G$640)</f>
        <v>0</v>
      </c>
    </row>
    <row r="17" spans="1:14" s="34" customFormat="1">
      <c r="A17" s="599" t="s">
        <v>2065</v>
      </c>
      <c r="B17" s="34" t="str">
        <f>DataNameProd1 &amp; " Other Costs"</f>
        <v>Growth Other Costs</v>
      </c>
      <c r="C17" s="34" t="s">
        <v>677</v>
      </c>
      <c r="D17" s="135">
        <v>6000000</v>
      </c>
      <c r="E17" s="412">
        <f t="shared" si="0"/>
        <v>6000000</v>
      </c>
      <c r="F17" s="412">
        <f t="shared" si="1"/>
        <v>6000000</v>
      </c>
      <c r="G17" s="412">
        <f t="shared" si="2"/>
        <v>6000000</v>
      </c>
      <c r="H17" s="34" t="s">
        <v>573</v>
      </c>
      <c r="I17" s="34">
        <f>COUNTIF(adj!$C$31:$C$640,$A17)</f>
        <v>13</v>
      </c>
      <c r="J17" s="137">
        <f>SUMIF(adj!$C$31:$C$640,$A17,adj!L$31:L$640)</f>
        <v>-0.26</v>
      </c>
      <c r="L17" s="34">
        <f>SUMIF(adj!$C$3:$C$640,$A17,adj!E$3:E$640)</f>
        <v>0</v>
      </c>
      <c r="M17" s="34">
        <f>SUMIF(adj!$C$3:$C$640,$A17,adj!F$3:F$640)</f>
        <v>0</v>
      </c>
      <c r="N17" s="34">
        <f>SUMIF(adj!$C$3:$C$640,$A17,adj!G$3:G$640)</f>
        <v>0</v>
      </c>
    </row>
    <row r="18" spans="1:14" s="34" customFormat="1">
      <c r="A18" s="599" t="s">
        <v>2066</v>
      </c>
      <c r="B18" s="34" t="str">
        <f>DataNameProd1 &amp; " Base TTM"</f>
        <v>Growth Base TTM</v>
      </c>
      <c r="C18" s="34" t="s">
        <v>677</v>
      </c>
      <c r="D18" s="412">
        <v>366</v>
      </c>
      <c r="E18" s="412">
        <f t="shared" si="0"/>
        <v>366</v>
      </c>
      <c r="F18" s="412">
        <f t="shared" si="1"/>
        <v>366</v>
      </c>
      <c r="G18" s="412">
        <f t="shared" si="2"/>
        <v>366</v>
      </c>
      <c r="H18" s="34" t="s">
        <v>164</v>
      </c>
      <c r="I18" s="34">
        <f>COUNTIF(adj!$C$31:$C$640,$A18)</f>
        <v>0</v>
      </c>
      <c r="J18" s="137">
        <f>SUMIF(adj!$C$31:$C$640,$A18,adj!L$31:L$640)</f>
        <v>0</v>
      </c>
      <c r="L18" s="34">
        <f>SUMIF(adj!$C$3:$C$640,$A18,adj!E$3:E$640)</f>
        <v>0</v>
      </c>
      <c r="M18" s="34">
        <f>SUMIF(adj!$C$3:$C$640,$A18,adj!F$3:F$640)</f>
        <v>0</v>
      </c>
      <c r="N18" s="34">
        <f>SUMIF(adj!$C$3:$C$640,$A18,adj!G$3:G$640)</f>
        <v>0</v>
      </c>
    </row>
    <row r="19" spans="1:14" s="34" customFormat="1">
      <c r="A19" s="599" t="s">
        <v>2749</v>
      </c>
      <c r="B19" s="34" t="str">
        <f>DataNameProd1 &amp; " Additional Prod Tech Lvl"</f>
        <v>Growth Additional Prod Tech Lvl</v>
      </c>
      <c r="C19" s="566" t="s">
        <v>1001</v>
      </c>
      <c r="D19" s="412">
        <v>0</v>
      </c>
      <c r="E19" s="412">
        <f t="shared" ref="E19" si="3">$D19*(1+L19*($C19="R"))+L19*($C19="A")</f>
        <v>0</v>
      </c>
      <c r="F19" s="412">
        <f t="shared" ref="F19" si="4">$D19*(1+M19*($C19="R"))+M19*($C19="A")</f>
        <v>0</v>
      </c>
      <c r="G19" s="412">
        <f t="shared" ref="G19" si="5">$D19*(1+N19*($C19="R"))+N19*($C19="A")</f>
        <v>0</v>
      </c>
      <c r="H19" s="566" t="s">
        <v>2750</v>
      </c>
      <c r="I19" s="34">
        <f>COUNTIF(adj!$C$31:$C$640,$A19)</f>
        <v>4</v>
      </c>
      <c r="J19" s="137">
        <f>SUMIF(adj!$C$31:$C$640,$A19,adj!L$31:L$640)</f>
        <v>0</v>
      </c>
      <c r="L19" s="34">
        <f>SUMIF(adj!$C$3:$C$640,$A19,adj!E$3:E$640)</f>
        <v>0</v>
      </c>
      <c r="M19" s="34">
        <f>SUMIF(adj!$C$3:$C$640,$A19,adj!F$3:F$640)</f>
        <v>0</v>
      </c>
      <c r="N19" s="34">
        <f>SUMIF(adj!$C$3:$C$640,$A19,adj!G$3:G$640)</f>
        <v>0</v>
      </c>
    </row>
    <row r="20" spans="1:14" s="34" customFormat="1">
      <c r="A20" s="599" t="s">
        <v>2761</v>
      </c>
      <c r="B20" s="34" t="str">
        <f>DataNameProd1 &amp; " Additional Subscribers"</f>
        <v>Growth Additional Subscribers</v>
      </c>
      <c r="C20" s="566" t="s">
        <v>1001</v>
      </c>
      <c r="D20" s="412">
        <v>0</v>
      </c>
      <c r="E20" s="412">
        <f t="shared" ref="E20" si="6">$D20*(1+L20*($C20="R"))+L20*($C20="A")</f>
        <v>0</v>
      </c>
      <c r="F20" s="412">
        <f t="shared" ref="F20" si="7">$D20*(1+M20*($C20="R"))+M20*($C20="A")</f>
        <v>0</v>
      </c>
      <c r="G20" s="412">
        <f t="shared" ref="G20" si="8">$D20*(1+N20*($C20="R"))+N20*($C20="A")</f>
        <v>0</v>
      </c>
      <c r="H20" s="566" t="s">
        <v>2762</v>
      </c>
      <c r="I20" s="34">
        <f>COUNTIF(adj!$C$31:$C$640,$A20)</f>
        <v>5</v>
      </c>
      <c r="J20" s="137">
        <f>SUMIF(adj!$C$31:$C$640,$A20,adj!L$31:L$640)</f>
        <v>0</v>
      </c>
      <c r="L20" s="34">
        <f>SUMIF(adj!$C$3:$C$640,$A20,adj!E$3:E$640)</f>
        <v>0</v>
      </c>
      <c r="M20" s="34">
        <f>SUMIF(adj!$C$3:$C$640,$A20,adj!F$3:F$640)</f>
        <v>0</v>
      </c>
      <c r="N20" s="34">
        <f>SUMIF(adj!$C$3:$C$640,$A20,adj!G$3:G$640)</f>
        <v>0</v>
      </c>
    </row>
    <row r="21" spans="1:14" s="34" customFormat="1">
      <c r="A21" s="599" t="s">
        <v>2765</v>
      </c>
      <c r="B21" s="34" t="str">
        <f>DataNameProd1 &amp; " Reduce Subscribers"</f>
        <v>Growth Reduce Subscribers</v>
      </c>
      <c r="C21" s="566" t="s">
        <v>1001</v>
      </c>
      <c r="D21" s="412">
        <v>0</v>
      </c>
      <c r="E21" s="412">
        <f t="shared" ref="E21" si="9">$D21*(1+L21*($C21="R"))+L21*($C21="A")</f>
        <v>0</v>
      </c>
      <c r="F21" s="412">
        <f t="shared" ref="F21" si="10">$D21*(1+M21*($C21="R"))+M21*($C21="A")</f>
        <v>0</v>
      </c>
      <c r="G21" s="412">
        <f t="shared" ref="G21" si="11">$D21*(1+N21*($C21="R"))+N21*($C21="A")</f>
        <v>0</v>
      </c>
      <c r="H21" s="566" t="s">
        <v>2766</v>
      </c>
      <c r="I21" s="34">
        <f>COUNTIF(adj!$C$31:$C$640,$A21)</f>
        <v>1</v>
      </c>
      <c r="J21" s="137">
        <f>SUMIF(adj!$C$31:$C$640,$A21,adj!L$31:L$640)</f>
        <v>0</v>
      </c>
      <c r="L21" s="34">
        <f>SUMIF(adj!$C$3:$C$640,$A21,adj!E$3:E$640)</f>
        <v>0</v>
      </c>
      <c r="M21" s="34">
        <f>SUMIF(adj!$C$3:$C$640,$A21,adj!F$3:F$640)</f>
        <v>0</v>
      </c>
      <c r="N21" s="34">
        <f>SUMIF(adj!$C$3:$C$640,$A21,adj!G$3:G$640)</f>
        <v>0</v>
      </c>
    </row>
    <row r="22" spans="1:14" s="34" customFormat="1">
      <c r="A22" s="599" t="s">
        <v>2889</v>
      </c>
      <c r="B22" s="34" t="str">
        <f>DataNameProd1 &amp; " Canceled Subs Reentering Market"</f>
        <v>Growth Canceled Subs Reentering Market</v>
      </c>
      <c r="C22" s="566" t="s">
        <v>1001</v>
      </c>
      <c r="D22" s="505">
        <v>0</v>
      </c>
      <c r="E22" s="505">
        <f t="shared" ref="E22" si="12">$D22*(1+L22*($C22="R"))+L22*($C22="A")</f>
        <v>0</v>
      </c>
      <c r="F22" s="505">
        <f t="shared" ref="F22" si="13">$D22*(1+M22*($C22="R"))+M22*($C22="A")</f>
        <v>0</v>
      </c>
      <c r="G22" s="505">
        <f t="shared" ref="G22" si="14">$D22*(1+N22*($C22="R"))+N22*($C22="A")</f>
        <v>0</v>
      </c>
      <c r="H22" s="566" t="s">
        <v>2890</v>
      </c>
      <c r="I22" s="34">
        <f>COUNTIF(adj!$C$31:$C$640,$A22)</f>
        <v>0</v>
      </c>
      <c r="J22" s="137">
        <f>SUMIF(adj!$C$31:$C$640,$A22,adj!L$31:L$640)</f>
        <v>0</v>
      </c>
      <c r="L22" s="34">
        <f>SUMIF(adj!$C$3:$C$640,$A22,adj!E$3:E$640)</f>
        <v>0</v>
      </c>
      <c r="M22" s="34">
        <f>SUMIF(adj!$C$3:$C$640,$A22,adj!F$3:F$640)</f>
        <v>0</v>
      </c>
      <c r="N22" s="34">
        <f>SUMIF(adj!$C$3:$C$640,$A22,adj!G$3:G$640)</f>
        <v>0</v>
      </c>
    </row>
    <row r="23" spans="1:14" s="34" customFormat="1">
      <c r="A23" s="412"/>
      <c r="E23" s="412">
        <f t="shared" si="0"/>
        <v>0</v>
      </c>
      <c r="F23" s="412">
        <f t="shared" si="1"/>
        <v>0</v>
      </c>
      <c r="G23" s="412">
        <f t="shared" si="2"/>
        <v>0</v>
      </c>
      <c r="I23" s="34">
        <f>COUNTIF(adj!$C$31:$C$640,$A23)</f>
        <v>0</v>
      </c>
      <c r="J23" s="137">
        <f>SUMIF(adj!$C$31:$C$640,$A23,adj!L$31:L$640)</f>
        <v>0</v>
      </c>
      <c r="L23" s="34">
        <f>SUMIF(adj!$C$3:$C$640,$A23,adj!E$3:E$640)</f>
        <v>0</v>
      </c>
      <c r="M23" s="34">
        <f>SUMIF(adj!$C$3:$C$640,$A23,adj!F$3:F$640)</f>
        <v>0</v>
      </c>
      <c r="N23" s="34">
        <f>SUMIF(adj!$C$3:$C$640,$A23,adj!G$3:G$640)</f>
        <v>0</v>
      </c>
    </row>
    <row r="24" spans="1:14" s="34" customFormat="1" ht="10.5" customHeight="1">
      <c r="A24" s="412"/>
      <c r="B24" s="285" t="str">
        <f>DataNameProd2 &amp; " Paramaters"</f>
        <v>Transform Paramaters</v>
      </c>
      <c r="D24" s="126"/>
      <c r="E24" s="412">
        <f t="shared" si="0"/>
        <v>0</v>
      </c>
      <c r="F24" s="412">
        <f t="shared" si="1"/>
        <v>0</v>
      </c>
      <c r="G24" s="412">
        <f t="shared" si="2"/>
        <v>0</v>
      </c>
      <c r="I24" s="34">
        <f>COUNTIF(adj!$C$31:$C$640,$A24)</f>
        <v>0</v>
      </c>
      <c r="J24" s="137">
        <f>SUMIF(adj!$C$31:$C$640,$A24,adj!L$31:L$640)</f>
        <v>0</v>
      </c>
      <c r="L24" s="34">
        <f>SUMIF(adj!$C$3:$C$640,$A24,adj!E$3:E$640)</f>
        <v>0</v>
      </c>
      <c r="M24" s="34">
        <f>SUMIF(adj!$C$3:$C$640,$A24,adj!F$3:F$640)</f>
        <v>0</v>
      </c>
      <c r="N24" s="34">
        <f>SUMIF(adj!$C$3:$C$640,$A24,adj!G$3:G$640)</f>
        <v>0</v>
      </c>
    </row>
    <row r="25" spans="1:14" s="34" customFormat="1">
      <c r="A25" s="580" t="s">
        <v>1405</v>
      </c>
      <c r="B25" s="34" t="str">
        <f>DataNameProd2 &amp; " Cancellation Rate"</f>
        <v>Transform Cancellation Rate</v>
      </c>
      <c r="C25" s="566" t="s">
        <v>677</v>
      </c>
      <c r="D25" s="410">
        <v>1</v>
      </c>
      <c r="E25" s="410">
        <f t="shared" si="0"/>
        <v>1</v>
      </c>
      <c r="F25" s="410">
        <f t="shared" si="1"/>
        <v>1</v>
      </c>
      <c r="G25" s="410">
        <f t="shared" si="2"/>
        <v>1</v>
      </c>
      <c r="H25" s="566" t="s">
        <v>1406</v>
      </c>
      <c r="I25" s="34">
        <f>COUNTIF(adj!$C$31:$C$640,$A25)</f>
        <v>12</v>
      </c>
      <c r="J25" s="137">
        <f>SUMIF(adj!$C$31:$C$640,$A25,adj!L$31:L$640)</f>
        <v>0</v>
      </c>
      <c r="L25" s="34">
        <f>SUMIF(adj!$C$3:$C$640,$A25,adj!E$3:E$640)</f>
        <v>0</v>
      </c>
      <c r="M25" s="34">
        <f>SUMIF(adj!$C$3:$C$640,$A25,adj!F$3:F$640)</f>
        <v>0</v>
      </c>
      <c r="N25" s="34">
        <f>SUMIF(adj!$C$3:$C$640,$A25,adj!G$3:G$640)</f>
        <v>0</v>
      </c>
    </row>
    <row r="26" spans="1:14" s="34" customFormat="1">
      <c r="A26" s="580" t="s">
        <v>1434</v>
      </c>
      <c r="B26" s="34" t="str">
        <f>DataNameProd2 &amp; " Service Price"</f>
        <v>Transform Service Price</v>
      </c>
      <c r="C26" s="566" t="s">
        <v>677</v>
      </c>
      <c r="D26" s="412">
        <v>16000</v>
      </c>
      <c r="E26" s="412">
        <f t="shared" si="0"/>
        <v>16000</v>
      </c>
      <c r="F26" s="412">
        <f t="shared" si="1"/>
        <v>16000</v>
      </c>
      <c r="G26" s="412">
        <f t="shared" si="2"/>
        <v>16000</v>
      </c>
      <c r="H26" s="566" t="s">
        <v>1507</v>
      </c>
      <c r="I26" s="34">
        <f>COUNTIF(adj!$C$31:$C$640,$A26)</f>
        <v>11</v>
      </c>
      <c r="J26" s="137">
        <f>SUMIF(adj!$C$31:$C$640,$A26,adj!L$31:L$640)</f>
        <v>0.56000000000000005</v>
      </c>
      <c r="L26" s="34">
        <f>SUMIF(adj!$C$3:$C$640,$A26,adj!E$3:E$640)</f>
        <v>0</v>
      </c>
      <c r="M26" s="34">
        <f>SUMIF(adj!$C$3:$C$640,$A26,adj!F$3:F$640)</f>
        <v>0</v>
      </c>
      <c r="N26" s="34">
        <f>SUMIF(adj!$C$3:$C$640,$A26,adj!G$3:G$640)</f>
        <v>0</v>
      </c>
    </row>
    <row r="27" spans="1:14" s="34" customFormat="1">
      <c r="A27" s="599" t="s">
        <v>1435</v>
      </c>
      <c r="B27" s="34" t="str">
        <f>DataNameProd2 &amp; " Service Attach Rate"</f>
        <v>Transform Service Attach Rate</v>
      </c>
      <c r="C27" s="566" t="s">
        <v>677</v>
      </c>
      <c r="D27" s="505">
        <v>0.8</v>
      </c>
      <c r="E27" s="505">
        <f t="shared" si="0"/>
        <v>0.8</v>
      </c>
      <c r="F27" s="505">
        <f t="shared" si="1"/>
        <v>0.8</v>
      </c>
      <c r="G27" s="505">
        <f t="shared" si="2"/>
        <v>0.8</v>
      </c>
      <c r="H27" s="566" t="s">
        <v>1511</v>
      </c>
      <c r="I27" s="34">
        <f>COUNTIF(adj!$C$31:$C$640,$A27)</f>
        <v>5</v>
      </c>
      <c r="J27" s="137">
        <f>SUMIF(adj!$C$31:$C$640,$A27,adj!L$31:L$640)</f>
        <v>0.21</v>
      </c>
      <c r="L27" s="34">
        <f>SUMIF(adj!$C$3:$C$640,$A27,adj!E$3:E$640)</f>
        <v>0</v>
      </c>
      <c r="M27" s="34">
        <f>SUMIF(adj!$C$3:$C$640,$A27,adj!F$3:F$640)</f>
        <v>0</v>
      </c>
      <c r="N27" s="34">
        <f>SUMIF(adj!$C$3:$C$640,$A27,adj!G$3:G$640)</f>
        <v>0</v>
      </c>
    </row>
    <row r="28" spans="1:14" s="34" customFormat="1">
      <c r="A28" s="599" t="s">
        <v>1443</v>
      </c>
      <c r="B28" s="34" t="str">
        <f>DataNameProd2 &amp; " Service Hours Per Contract"</f>
        <v>Transform Service Hours Per Contract</v>
      </c>
      <c r="C28" s="34" t="s">
        <v>1001</v>
      </c>
      <c r="D28" s="412">
        <f>5*40</f>
        <v>200</v>
      </c>
      <c r="E28" s="412">
        <f t="shared" si="0"/>
        <v>200</v>
      </c>
      <c r="F28" s="412">
        <f t="shared" si="1"/>
        <v>200</v>
      </c>
      <c r="G28" s="412">
        <f t="shared" si="2"/>
        <v>200</v>
      </c>
      <c r="H28" s="566" t="s">
        <v>1520</v>
      </c>
      <c r="I28" s="34">
        <f>COUNTIF(adj!$C$31:$C$640,$A28)</f>
        <v>0</v>
      </c>
      <c r="J28" s="137">
        <f>SUMIF(adj!$C$31:$C$640,$A28,adj!L$31:L$640)</f>
        <v>0</v>
      </c>
      <c r="L28" s="34">
        <f>SUMIF(adj!$C$3:$C$640,$A28,adj!E$3:E$640)</f>
        <v>0</v>
      </c>
      <c r="M28" s="34">
        <f>SUMIF(adj!$C$3:$C$640,$A28,adj!F$3:F$640)</f>
        <v>0</v>
      </c>
      <c r="N28" s="34">
        <f>SUMIF(adj!$C$3:$C$640,$A28,adj!G$3:G$640)</f>
        <v>0</v>
      </c>
    </row>
    <row r="29" spans="1:14" s="34" customFormat="1">
      <c r="A29" s="599" t="s">
        <v>1484</v>
      </c>
      <c r="B29" s="34" t="str">
        <f>DataNameProd2 &amp; " DC Capacity Per Sub"</f>
        <v>Transform DC Capacity Per Sub</v>
      </c>
      <c r="C29" s="34" t="s">
        <v>1001</v>
      </c>
      <c r="D29" s="137">
        <v>0.22</v>
      </c>
      <c r="E29" s="412">
        <f t="shared" si="0"/>
        <v>0.22</v>
      </c>
      <c r="F29" s="412">
        <f t="shared" si="1"/>
        <v>0.22</v>
      </c>
      <c r="G29" s="412">
        <f t="shared" si="2"/>
        <v>0.22</v>
      </c>
      <c r="H29" s="566" t="s">
        <v>1433</v>
      </c>
      <c r="I29" s="34">
        <f>COUNTIF(adj!$C$31:$C$640,$A29)</f>
        <v>0</v>
      </c>
      <c r="J29" s="137">
        <f>SUMIF(adj!$C$31:$C$640,$A29,adj!L$31:L$640)</f>
        <v>0</v>
      </c>
      <c r="L29" s="34">
        <f>SUMIF(adj!$C$3:$C$640,$A29,adj!E$3:E$640)</f>
        <v>0</v>
      </c>
      <c r="M29" s="34">
        <f>SUMIF(adj!$C$3:$C$640,$A29,adj!F$3:F$640)</f>
        <v>0</v>
      </c>
      <c r="N29" s="34">
        <f>SUMIF(adj!$C$3:$C$640,$A29,adj!G$3:G$640)</f>
        <v>0</v>
      </c>
    </row>
    <row r="30" spans="1:14" s="34" customFormat="1">
      <c r="A30" s="599" t="s">
        <v>1510</v>
      </c>
      <c r="B30" s="34" t="str">
        <f>DataNameProd2 &amp; " FTEs Per Capability Lvl"</f>
        <v>Transform FTEs Per Capability Lvl</v>
      </c>
      <c r="C30" s="34" t="s">
        <v>1001</v>
      </c>
      <c r="D30" s="412">
        <v>70</v>
      </c>
      <c r="E30" s="412">
        <f t="shared" si="0"/>
        <v>70</v>
      </c>
      <c r="F30" s="412">
        <f t="shared" si="1"/>
        <v>70</v>
      </c>
      <c r="G30" s="412">
        <f t="shared" si="2"/>
        <v>70</v>
      </c>
      <c r="H30" s="566" t="s">
        <v>1442</v>
      </c>
      <c r="I30" s="34">
        <f>COUNTIF(adj!$C$31:$C$640,$A30)</f>
        <v>0</v>
      </c>
      <c r="J30" s="137">
        <f>SUMIF(adj!$C$31:$C$640,$A30,adj!L$31:L$640)</f>
        <v>0</v>
      </c>
      <c r="L30" s="34">
        <f>SUMIF(adj!$C$3:$C$640,$A30,adj!E$3:E$640)</f>
        <v>0</v>
      </c>
      <c r="M30" s="34">
        <f>SUMIF(adj!$C$3:$C$640,$A30,adj!F$3:F$640)</f>
        <v>0</v>
      </c>
      <c r="N30" s="34">
        <f>SUMIF(adj!$C$3:$C$640,$A30,adj!G$3:G$640)</f>
        <v>0</v>
      </c>
    </row>
    <row r="31" spans="1:14" s="34" customFormat="1" ht="10.5" customHeight="1">
      <c r="A31" s="750" t="s">
        <v>1519</v>
      </c>
      <c r="B31" s="34" t="str">
        <f>DataNameProd2 &amp; " Labor Hours Req. Per Sub"</f>
        <v>Transform Labor Hours Req. Per Sub</v>
      </c>
      <c r="C31" s="34" t="s">
        <v>677</v>
      </c>
      <c r="D31" s="566">
        <v>4</v>
      </c>
      <c r="E31" s="412">
        <f t="shared" si="0"/>
        <v>4</v>
      </c>
      <c r="F31" s="412">
        <f t="shared" si="1"/>
        <v>4</v>
      </c>
      <c r="G31" s="412">
        <f t="shared" si="2"/>
        <v>4</v>
      </c>
      <c r="H31" s="566" t="s">
        <v>1485</v>
      </c>
      <c r="I31" s="34">
        <f>COUNTIF(adj!$C$31:$C$640,$A31)</f>
        <v>11</v>
      </c>
      <c r="J31" s="137">
        <f>SUMIF(adj!$C$31:$C$640,$A31,adj!L$31:L$640)</f>
        <v>-0.34000000000000008</v>
      </c>
      <c r="L31" s="34">
        <f>SUMIF(adj!$C$3:$C$640,$A31,adj!E$3:E$640)</f>
        <v>0</v>
      </c>
      <c r="M31" s="34">
        <f>SUMIF(adj!$C$3:$C$640,$A31,adj!F$3:F$640)</f>
        <v>0</v>
      </c>
      <c r="N31" s="34">
        <f>SUMIF(adj!$C$3:$C$640,$A31,adj!G$3:G$640)</f>
        <v>0</v>
      </c>
    </row>
    <row r="32" spans="1:14" s="34" customFormat="1">
      <c r="A32" s="599" t="s">
        <v>1540</v>
      </c>
      <c r="B32" s="34" t="str">
        <f>DataNameProd2 &amp; " Percent 3rd Party"</f>
        <v>Transform Percent 3rd Party</v>
      </c>
      <c r="C32" s="566" t="s">
        <v>1001</v>
      </c>
      <c r="D32" s="505">
        <v>0</v>
      </c>
      <c r="E32" s="505">
        <f t="shared" si="0"/>
        <v>0</v>
      </c>
      <c r="F32" s="505">
        <f t="shared" si="1"/>
        <v>0</v>
      </c>
      <c r="G32" s="505">
        <f t="shared" si="2"/>
        <v>0</v>
      </c>
      <c r="H32" s="566" t="s">
        <v>1538</v>
      </c>
      <c r="I32" s="34">
        <f>COUNTIF(adj!$C$31:$C$640,$A32)</f>
        <v>1</v>
      </c>
      <c r="J32" s="137">
        <f>SUMIF(adj!$C$31:$C$640,$A32,adj!L$31:L$640)</f>
        <v>0</v>
      </c>
      <c r="L32" s="34">
        <f>SUMIF(adj!$C$3:$C$640,$A32,adj!E$3:E$640)</f>
        <v>0</v>
      </c>
      <c r="M32" s="34">
        <f>SUMIF(adj!$C$3:$C$640,$A32,adj!F$3:F$640)</f>
        <v>0</v>
      </c>
      <c r="N32" s="34">
        <f>SUMIF(adj!$C$3:$C$640,$A32,adj!G$3:G$640)</f>
        <v>0</v>
      </c>
    </row>
    <row r="33" spans="1:14" s="34" customFormat="1">
      <c r="A33" s="599" t="s">
        <v>1541</v>
      </c>
      <c r="B33" s="34" t="str">
        <f>DataNameProd2 &amp; " Royalty Per Sub"</f>
        <v>Transform Royalty Per Sub</v>
      </c>
      <c r="C33" s="34" t="s">
        <v>677</v>
      </c>
      <c r="D33" s="999">
        <v>2000</v>
      </c>
      <c r="E33" s="412">
        <f t="shared" si="0"/>
        <v>2000</v>
      </c>
      <c r="F33" s="412">
        <f t="shared" si="1"/>
        <v>2000</v>
      </c>
      <c r="G33" s="412">
        <f t="shared" si="2"/>
        <v>2000</v>
      </c>
      <c r="H33" s="566" t="s">
        <v>1539</v>
      </c>
      <c r="I33" s="34">
        <f>COUNTIF(adj!$C$31:$C$640,$A33)</f>
        <v>0</v>
      </c>
      <c r="J33" s="137">
        <f>SUMIF(adj!$C$31:$C$640,$A33,adj!L$31:L$640)</f>
        <v>0</v>
      </c>
      <c r="L33" s="34">
        <f>SUMIF(adj!$C$3:$C$640,$A33,adj!E$3:E$640)</f>
        <v>0</v>
      </c>
      <c r="M33" s="34">
        <f>SUMIF(adj!$C$3:$C$640,$A33,adj!F$3:F$640)</f>
        <v>0</v>
      </c>
      <c r="N33" s="34">
        <f>SUMIF(adj!$C$3:$C$640,$A33,adj!G$3:G$640)</f>
        <v>0</v>
      </c>
    </row>
    <row r="34" spans="1:14" s="34" customFormat="1">
      <c r="A34" s="599" t="s">
        <v>1549</v>
      </c>
      <c r="B34" s="34" t="str">
        <f>DataNameProd2 &amp; " Percent Print"</f>
        <v>Transform Percent Print</v>
      </c>
      <c r="C34" s="34" t="s">
        <v>677</v>
      </c>
      <c r="D34" s="405">
        <v>0.39</v>
      </c>
      <c r="E34" s="412">
        <f t="shared" si="0"/>
        <v>0.39</v>
      </c>
      <c r="F34" s="412">
        <f t="shared" si="1"/>
        <v>0.39</v>
      </c>
      <c r="G34" s="412">
        <f t="shared" si="2"/>
        <v>0.39</v>
      </c>
      <c r="H34" s="566" t="s">
        <v>1547</v>
      </c>
      <c r="I34" s="34">
        <f>COUNTIF(adj!$C$31:$C$640,$A34)</f>
        <v>0</v>
      </c>
      <c r="J34" s="137">
        <f>SUMIF(adj!$C$31:$C$640,$A34,adj!L$31:L$640)</f>
        <v>0</v>
      </c>
      <c r="L34" s="34">
        <f>SUMIF(adj!$C$3:$C$640,$A34,adj!E$3:E$640)</f>
        <v>0</v>
      </c>
      <c r="M34" s="34">
        <f>SUMIF(adj!$C$3:$C$640,$A34,adj!F$3:F$640)</f>
        <v>0</v>
      </c>
      <c r="N34" s="34">
        <f>SUMIF(adj!$C$3:$C$640,$A34,adj!G$3:G$640)</f>
        <v>0</v>
      </c>
    </row>
    <row r="35" spans="1:14" s="34" customFormat="1">
      <c r="A35" s="599" t="s">
        <v>1550</v>
      </c>
      <c r="B35" s="34" t="str">
        <f>DataNameProd2 &amp; " Printing Cost Per Sub"</f>
        <v>Transform Printing Cost Per Sub</v>
      </c>
      <c r="C35" s="34" t="s">
        <v>677</v>
      </c>
      <c r="D35" s="412">
        <v>1500</v>
      </c>
      <c r="E35" s="412">
        <f t="shared" si="0"/>
        <v>1500</v>
      </c>
      <c r="F35" s="412">
        <f t="shared" si="1"/>
        <v>1500</v>
      </c>
      <c r="G35" s="412">
        <f t="shared" si="2"/>
        <v>1500</v>
      </c>
      <c r="H35" s="566" t="s">
        <v>1548</v>
      </c>
      <c r="I35" s="34">
        <f>COUNTIF(adj!$C$31:$C$640,$A35)</f>
        <v>0</v>
      </c>
      <c r="J35" s="137">
        <f>SUMIF(adj!$C$31:$C$640,$A35,adj!L$31:L$640)</f>
        <v>0</v>
      </c>
      <c r="L35" s="34">
        <f>SUMIF(adj!$C$3:$C$640,$A35,adj!E$3:E$640)</f>
        <v>0</v>
      </c>
      <c r="M35" s="34">
        <f>SUMIF(adj!$C$3:$C$640,$A35,adj!F$3:F$640)</f>
        <v>0</v>
      </c>
      <c r="N35" s="34">
        <f>SUMIF(adj!$C$3:$C$640,$A35,adj!G$3:G$640)</f>
        <v>0</v>
      </c>
    </row>
    <row r="36" spans="1:14" s="34" customFormat="1">
      <c r="A36" s="599" t="s">
        <v>1554</v>
      </c>
      <c r="B36" s="34" t="str">
        <f>DataNameProd2 &amp; " Other Revenue Cost Per Sub"</f>
        <v>Transform Other Revenue Cost Per Sub</v>
      </c>
      <c r="C36" s="34" t="s">
        <v>677</v>
      </c>
      <c r="D36" s="999">
        <v>0</v>
      </c>
      <c r="E36" s="412">
        <f t="shared" si="0"/>
        <v>0</v>
      </c>
      <c r="F36" s="412">
        <f t="shared" si="1"/>
        <v>0</v>
      </c>
      <c r="G36" s="412">
        <f t="shared" si="2"/>
        <v>0</v>
      </c>
      <c r="H36" s="566" t="s">
        <v>1555</v>
      </c>
      <c r="I36" s="34">
        <f>COUNTIF(adj!$C$31:$C$640,$A36)</f>
        <v>0</v>
      </c>
      <c r="J36" s="137">
        <f>SUMIF(adj!$C$31:$C$640,$A36,adj!L$31:L$640)</f>
        <v>0</v>
      </c>
      <c r="L36" s="34">
        <f>SUMIF(adj!$C$3:$C$640,$A36,adj!E$3:E$640)</f>
        <v>0</v>
      </c>
      <c r="M36" s="34">
        <f>SUMIF(adj!$C$3:$C$640,$A36,adj!F$3:F$640)</f>
        <v>0</v>
      </c>
      <c r="N36" s="34">
        <f>SUMIF(adj!$C$3:$C$640,$A36,adj!G$3:G$640)</f>
        <v>0</v>
      </c>
    </row>
    <row r="37" spans="1:14" s="34" customFormat="1" ht="10.5" customHeight="1">
      <c r="A37" s="599" t="s">
        <v>2067</v>
      </c>
      <c r="B37" s="34" t="str">
        <f>DataNameProd2 &amp; " Other Costs"</f>
        <v>Transform Other Costs</v>
      </c>
      <c r="C37" s="34" t="s">
        <v>677</v>
      </c>
      <c r="D37" s="135">
        <v>5000000</v>
      </c>
      <c r="E37" s="412">
        <f t="shared" si="0"/>
        <v>5000000</v>
      </c>
      <c r="F37" s="412">
        <f t="shared" si="1"/>
        <v>5000000</v>
      </c>
      <c r="G37" s="412">
        <f t="shared" si="2"/>
        <v>5000000</v>
      </c>
      <c r="H37" s="34" t="s">
        <v>750</v>
      </c>
      <c r="I37" s="34">
        <f>COUNTIF(adj!$C$31:$C$640,$A37)</f>
        <v>12</v>
      </c>
      <c r="J37" s="137">
        <f>SUMIF(adj!$C$31:$C$640,$A37,adj!L$31:L$640)</f>
        <v>-0.34000000000000008</v>
      </c>
      <c r="L37" s="34">
        <f>SUMIF(adj!$C$3:$C$640,$A37,adj!E$3:E$640)</f>
        <v>0</v>
      </c>
      <c r="M37" s="34">
        <f>SUMIF(adj!$C$3:$C$640,$A37,adj!F$3:F$640)</f>
        <v>0</v>
      </c>
      <c r="N37" s="34">
        <f>SUMIF(adj!$C$3:$C$640,$A37,adj!G$3:G$640)</f>
        <v>0</v>
      </c>
    </row>
    <row r="38" spans="1:14" s="34" customFormat="1">
      <c r="A38" s="599" t="s">
        <v>2068</v>
      </c>
      <c r="B38" s="34" t="str">
        <f>DataNameProd2 &amp; " Base TTM"</f>
        <v>Transform Base TTM</v>
      </c>
      <c r="C38" s="34" t="s">
        <v>677</v>
      </c>
      <c r="D38" s="412">
        <v>366</v>
      </c>
      <c r="E38" s="412">
        <f t="shared" ref="E38:E49" si="15">$D38*(1+L38*($C38="R"))+L38*($C38="A")</f>
        <v>366</v>
      </c>
      <c r="F38" s="412">
        <f t="shared" ref="F38:F49" si="16">$D38*(1+M38*($C38="R"))+M38*($C38="A")</f>
        <v>366</v>
      </c>
      <c r="G38" s="412">
        <f t="shared" ref="G38:G49" si="17">$D38*(1+N38*($C38="R"))+N38*($C38="A")</f>
        <v>366</v>
      </c>
      <c r="H38" s="34" t="s">
        <v>165</v>
      </c>
      <c r="I38" s="34">
        <f>COUNTIF(adj!$C$31:$C$640,$A38)</f>
        <v>0</v>
      </c>
      <c r="J38" s="137">
        <f>SUMIF(adj!$C$31:$C$640,$A38,adj!L$31:L$640)</f>
        <v>0</v>
      </c>
      <c r="L38" s="34">
        <f>SUMIF(adj!$C$3:$C$640,$A38,adj!E$3:E$640)</f>
        <v>0</v>
      </c>
      <c r="M38" s="34">
        <f>SUMIF(adj!$C$3:$C$640,$A38,adj!F$3:F$640)</f>
        <v>0</v>
      </c>
      <c r="N38" s="34">
        <f>SUMIF(adj!$C$3:$C$640,$A38,adj!G$3:G$640)</f>
        <v>0</v>
      </c>
    </row>
    <row r="39" spans="1:14" s="34" customFormat="1">
      <c r="A39" s="599" t="s">
        <v>2751</v>
      </c>
      <c r="B39" s="34" t="str">
        <f>DataNameProd2 &amp; " Additional Prod Tech Lvl"</f>
        <v>Transform Additional Prod Tech Lvl</v>
      </c>
      <c r="C39" s="566" t="s">
        <v>1001</v>
      </c>
      <c r="D39" s="412">
        <v>0</v>
      </c>
      <c r="E39" s="412">
        <f t="shared" si="15"/>
        <v>0</v>
      </c>
      <c r="F39" s="412">
        <f t="shared" si="16"/>
        <v>0</v>
      </c>
      <c r="G39" s="412">
        <f t="shared" si="17"/>
        <v>0</v>
      </c>
      <c r="H39" s="566" t="s">
        <v>2752</v>
      </c>
      <c r="I39" s="34">
        <f>COUNTIF(adj!$C$31:$C$640,$A39)</f>
        <v>6</v>
      </c>
      <c r="J39" s="137">
        <f>SUMIF(adj!$C$31:$C$640,$A39,adj!L$31:L$640)</f>
        <v>0</v>
      </c>
      <c r="L39" s="34">
        <f>SUMIF(adj!$C$3:$C$640,$A39,adj!E$3:E$640)</f>
        <v>0</v>
      </c>
      <c r="M39" s="34">
        <f>SUMIF(adj!$C$3:$C$640,$A39,adj!F$3:F$640)</f>
        <v>0</v>
      </c>
      <c r="N39" s="34">
        <f>SUMIF(adj!$C$3:$C$640,$A39,adj!G$3:G$640)</f>
        <v>0</v>
      </c>
    </row>
    <row r="40" spans="1:14" s="34" customFormat="1">
      <c r="A40" s="599" t="s">
        <v>2763</v>
      </c>
      <c r="B40" s="34" t="str">
        <f>DataNameProd2 &amp; " Additional Subscribers"</f>
        <v>Transform Additional Subscribers</v>
      </c>
      <c r="C40" s="566" t="s">
        <v>1001</v>
      </c>
      <c r="D40" s="412">
        <v>0</v>
      </c>
      <c r="E40" s="412">
        <f t="shared" si="15"/>
        <v>0</v>
      </c>
      <c r="F40" s="412">
        <f t="shared" si="16"/>
        <v>0</v>
      </c>
      <c r="G40" s="412">
        <f t="shared" si="17"/>
        <v>0</v>
      </c>
      <c r="H40" s="566" t="s">
        <v>2764</v>
      </c>
      <c r="I40" s="34">
        <f>COUNTIF(adj!$C$31:$C$640,$A40)</f>
        <v>11</v>
      </c>
      <c r="J40" s="137">
        <f>SUMIF(adj!$C$31:$C$640,$A40,adj!L$31:L$640)</f>
        <v>0</v>
      </c>
      <c r="L40" s="34">
        <f>SUMIF(adj!$C$3:$C$640,$A40,adj!E$3:E$640)</f>
        <v>0</v>
      </c>
      <c r="M40" s="34">
        <f>SUMIF(adj!$C$3:$C$640,$A40,adj!F$3:F$640)</f>
        <v>0</v>
      </c>
      <c r="N40" s="34">
        <f>SUMIF(adj!$C$3:$C$640,$A40,adj!G$3:G$640)</f>
        <v>0</v>
      </c>
    </row>
    <row r="41" spans="1:14" s="34" customFormat="1">
      <c r="A41" s="599" t="s">
        <v>2767</v>
      </c>
      <c r="B41" s="34" t="str">
        <f>DataNameProd2 &amp; " Reduce Subscribers"</f>
        <v>Transform Reduce Subscribers</v>
      </c>
      <c r="C41" s="566" t="s">
        <v>1001</v>
      </c>
      <c r="D41" s="412">
        <v>0</v>
      </c>
      <c r="E41" s="412">
        <f t="shared" si="15"/>
        <v>0</v>
      </c>
      <c r="F41" s="412">
        <f t="shared" si="16"/>
        <v>0</v>
      </c>
      <c r="G41" s="412">
        <f t="shared" si="17"/>
        <v>0</v>
      </c>
      <c r="H41" s="566" t="s">
        <v>2768</v>
      </c>
      <c r="I41" s="34">
        <f>COUNTIF(adj!$C$31:$C$640,$A41)</f>
        <v>1</v>
      </c>
      <c r="J41" s="137">
        <f>SUMIF(adj!$C$31:$C$640,$A41,adj!L$31:L$640)</f>
        <v>0</v>
      </c>
      <c r="L41" s="34">
        <f>SUMIF(adj!$C$3:$C$640,$A41,adj!E$3:E$640)</f>
        <v>0</v>
      </c>
      <c r="M41" s="34">
        <f>SUMIF(adj!$C$3:$C$640,$A41,adj!F$3:F$640)</f>
        <v>0</v>
      </c>
      <c r="N41" s="34">
        <f>SUMIF(adj!$C$3:$C$640,$A41,adj!G$3:G$640)</f>
        <v>0</v>
      </c>
    </row>
    <row r="42" spans="1:14" s="34" customFormat="1">
      <c r="A42" s="1002" t="s">
        <v>3196</v>
      </c>
      <c r="B42" s="34" t="str">
        <f>DataNameProd2 &amp; " Canceled Subs Reentering Market"</f>
        <v>Transform Canceled Subs Reentering Market</v>
      </c>
      <c r="C42" s="566" t="s">
        <v>1001</v>
      </c>
      <c r="D42" s="505">
        <v>0</v>
      </c>
      <c r="E42" s="505">
        <f t="shared" si="15"/>
        <v>0.2</v>
      </c>
      <c r="F42" s="505">
        <f t="shared" si="16"/>
        <v>0.2</v>
      </c>
      <c r="G42" s="505">
        <f t="shared" si="17"/>
        <v>0.2</v>
      </c>
      <c r="H42" s="566" t="s">
        <v>3197</v>
      </c>
      <c r="I42" s="34">
        <f>COUNTIF(adj!$C$31:$C$640,$A42)</f>
        <v>0</v>
      </c>
      <c r="J42" s="137">
        <f>SUMIF(adj!$C$31:$C$640,$A42,adj!L$31:L$640)</f>
        <v>0</v>
      </c>
      <c r="L42" s="34">
        <f>SUMIF(adj!$C$3:$C$640,$A42,adj!E$3:E$640)</f>
        <v>0.2</v>
      </c>
      <c r="M42" s="34">
        <f>SUMIF(adj!$C$3:$C$640,$A42,adj!F$3:F$640)</f>
        <v>0.2</v>
      </c>
      <c r="N42" s="34">
        <f>SUMIF(adj!$C$3:$C$640,$A42,adj!G$3:G$640)</f>
        <v>0.2</v>
      </c>
    </row>
    <row r="43" spans="1:14" s="34" customFormat="1">
      <c r="A43" s="412"/>
      <c r="E43" s="412">
        <f t="shared" si="15"/>
        <v>0</v>
      </c>
      <c r="F43" s="412">
        <f t="shared" si="16"/>
        <v>0</v>
      </c>
      <c r="G43" s="412">
        <f t="shared" si="17"/>
        <v>0</v>
      </c>
      <c r="J43" s="137"/>
      <c r="L43" s="34">
        <f>SUMIF(adj!$C$3:$C$640,$A43,adj!E$3:E$640)</f>
        <v>0</v>
      </c>
      <c r="M43" s="34">
        <f>SUMIF(adj!$C$3:$C$640,$A43,adj!F$3:F$640)</f>
        <v>0</v>
      </c>
      <c r="N43" s="34">
        <f>SUMIF(adj!$C$3:$C$640,$A43,adj!G$3:G$640)</f>
        <v>0</v>
      </c>
    </row>
    <row r="44" spans="1:14" s="34" customFormat="1" ht="10.5" customHeight="1">
      <c r="A44" s="412"/>
      <c r="B44" s="285" t="s">
        <v>1458</v>
      </c>
      <c r="D44" s="126"/>
      <c r="E44" s="412">
        <f t="shared" si="15"/>
        <v>0</v>
      </c>
      <c r="F44" s="412">
        <f t="shared" si="16"/>
        <v>0</v>
      </c>
      <c r="G44" s="412">
        <f t="shared" si="17"/>
        <v>0</v>
      </c>
      <c r="I44" s="34">
        <f>COUNTIF(adj!$C$31:$C$640,$A44)</f>
        <v>0</v>
      </c>
      <c r="J44" s="137">
        <f>SUMIF(adj!$C$31:$C$640,$A44,adj!L$31:L$640)</f>
        <v>0</v>
      </c>
      <c r="L44" s="34">
        <f>SUMIF(adj!$C$3:$C$640,$A44,adj!E$3:E$640)</f>
        <v>0</v>
      </c>
      <c r="M44" s="34">
        <f>SUMIF(adj!$C$3:$C$640,$A44,adj!F$3:F$640)</f>
        <v>0</v>
      </c>
      <c r="N44" s="34">
        <f>SUMIF(adj!$C$3:$C$640,$A44,adj!G$3:G$640)</f>
        <v>0</v>
      </c>
    </row>
    <row r="45" spans="1:14" s="34" customFormat="1">
      <c r="A45" s="580" t="s">
        <v>2755</v>
      </c>
      <c r="B45" s="566" t="s">
        <v>1459</v>
      </c>
      <c r="C45" s="34" t="s">
        <v>1001</v>
      </c>
      <c r="D45" s="412">
        <v>100</v>
      </c>
      <c r="E45" s="412">
        <f t="shared" si="15"/>
        <v>100</v>
      </c>
      <c r="F45" s="412">
        <f t="shared" si="16"/>
        <v>100</v>
      </c>
      <c r="G45" s="412">
        <f t="shared" si="17"/>
        <v>100</v>
      </c>
      <c r="H45" s="566" t="s">
        <v>1460</v>
      </c>
      <c r="I45" s="34">
        <f>COUNTIF(adj!$C$31:$C$640,$A45)</f>
        <v>0</v>
      </c>
      <c r="J45" s="137">
        <f>SUMIF(adj!$C$31:$C$640,$A45,adj!L$31:L$640)</f>
        <v>0</v>
      </c>
      <c r="L45" s="34">
        <f>SUMIF(adj!$C$3:$C$640,$A45,adj!E$3:E$640)</f>
        <v>0</v>
      </c>
      <c r="M45" s="34">
        <f>SUMIF(adj!$C$3:$C$640,$A45,adj!F$3:F$640)</f>
        <v>0</v>
      </c>
      <c r="N45" s="34">
        <f>SUMIF(adj!$C$3:$C$640,$A45,adj!G$3:G$640)</f>
        <v>0</v>
      </c>
    </row>
    <row r="46" spans="1:14" s="34" customFormat="1">
      <c r="A46" s="599" t="s">
        <v>2756</v>
      </c>
      <c r="B46" s="566" t="s">
        <v>1462</v>
      </c>
      <c r="C46" s="34" t="s">
        <v>1001</v>
      </c>
      <c r="D46" s="505">
        <v>0.25</v>
      </c>
      <c r="E46" s="412">
        <f t="shared" si="15"/>
        <v>0.25</v>
      </c>
      <c r="F46" s="412">
        <f t="shared" si="16"/>
        <v>0.25</v>
      </c>
      <c r="G46" s="412">
        <f t="shared" si="17"/>
        <v>0.25</v>
      </c>
      <c r="H46" s="566" t="s">
        <v>1463</v>
      </c>
      <c r="I46" s="34">
        <f>COUNTIF(adj!$C$31:$C$640,$A46)</f>
        <v>0</v>
      </c>
      <c r="J46" s="137">
        <f>SUMIF(adj!$C$31:$C$640,$A46,adj!L$31:L$640)</f>
        <v>0</v>
      </c>
      <c r="L46" s="34">
        <f>SUMIF(adj!$C$3:$C$640,$A46,adj!E$3:E$640)</f>
        <v>0</v>
      </c>
      <c r="M46" s="34">
        <f>SUMIF(adj!$C$3:$C$640,$A46,adj!F$3:F$640)</f>
        <v>0</v>
      </c>
      <c r="N46" s="34">
        <f>SUMIF(adj!$C$3:$C$640,$A46,adj!G$3:G$640)</f>
        <v>0</v>
      </c>
    </row>
    <row r="47" spans="1:14" s="34" customFormat="1">
      <c r="A47" s="599" t="s">
        <v>2757</v>
      </c>
      <c r="B47" s="566" t="s">
        <v>2141</v>
      </c>
      <c r="C47" s="34" t="s">
        <v>1001</v>
      </c>
      <c r="D47" s="412">
        <v>200</v>
      </c>
      <c r="E47" s="412">
        <f t="shared" si="15"/>
        <v>200</v>
      </c>
      <c r="F47" s="412">
        <f t="shared" si="16"/>
        <v>200</v>
      </c>
      <c r="G47" s="412">
        <f t="shared" si="17"/>
        <v>200</v>
      </c>
      <c r="H47" s="566" t="s">
        <v>1461</v>
      </c>
      <c r="I47" s="34">
        <f>COUNTIF(adj!$C$31:$C$640,$A47)</f>
        <v>0</v>
      </c>
      <c r="J47" s="137">
        <f>SUMIF(adj!$C$31:$C$640,$A47,adj!L$31:L$640)</f>
        <v>0</v>
      </c>
      <c r="L47" s="34">
        <f>SUMIF(adj!$C$3:$C$640,$A47,adj!E$3:E$640)</f>
        <v>0</v>
      </c>
      <c r="M47" s="34">
        <f>SUMIF(adj!$C$3:$C$640,$A47,adj!F$3:F$640)</f>
        <v>0</v>
      </c>
      <c r="N47" s="34">
        <f>SUMIF(adj!$C$3:$C$640,$A47,adj!G$3:G$640)</f>
        <v>0</v>
      </c>
    </row>
    <row r="48" spans="1:14" s="34" customFormat="1">
      <c r="A48" s="599" t="s">
        <v>2758</v>
      </c>
      <c r="B48" s="566" t="s">
        <v>2787</v>
      </c>
      <c r="C48" s="566" t="s">
        <v>1001</v>
      </c>
      <c r="D48" s="412">
        <v>0</v>
      </c>
      <c r="E48" s="412">
        <f t="shared" si="15"/>
        <v>0</v>
      </c>
      <c r="F48" s="412">
        <f t="shared" si="16"/>
        <v>0</v>
      </c>
      <c r="G48" s="412">
        <f t="shared" si="17"/>
        <v>0</v>
      </c>
      <c r="H48" s="566" t="s">
        <v>2759</v>
      </c>
      <c r="I48" s="34">
        <f>COUNTIF(adj!$C$31:$C$640,$A48)</f>
        <v>3</v>
      </c>
      <c r="J48" s="137">
        <f>SUMIF(adj!$C$31:$C$640,$A48,adj!L$31:L$640)</f>
        <v>0</v>
      </c>
      <c r="L48" s="34">
        <f>SUMIF(adj!$C$3:$C$640,$A48,adj!E$3:E$640)</f>
        <v>0</v>
      </c>
      <c r="M48" s="34">
        <f>SUMIF(adj!$C$3:$C$640,$A48,adj!F$3:F$640)</f>
        <v>0</v>
      </c>
      <c r="N48" s="34">
        <f>SUMIF(adj!$C$3:$C$640,$A48,adj!G$3:G$640)</f>
        <v>0</v>
      </c>
    </row>
    <row r="49" spans="1:14" s="34" customFormat="1">
      <c r="A49" s="580"/>
      <c r="D49" s="219"/>
      <c r="E49" s="412">
        <f t="shared" si="15"/>
        <v>0</v>
      </c>
      <c r="F49" s="412">
        <f t="shared" si="16"/>
        <v>0</v>
      </c>
      <c r="G49" s="412">
        <f t="shared" si="17"/>
        <v>0</v>
      </c>
      <c r="H49" s="566"/>
      <c r="J49" s="137"/>
      <c r="L49" s="34">
        <f>SUMIF(adj!$C$3:$C$640,$A49,adj!E$3:E$640)</f>
        <v>0</v>
      </c>
      <c r="M49" s="34">
        <f>SUMIF(adj!$C$3:$C$640,$A49,adj!F$3:F$640)</f>
        <v>0</v>
      </c>
      <c r="N49" s="34">
        <f>SUMIF(adj!$C$3:$C$640,$A49,adj!G$3:G$640)</f>
        <v>0</v>
      </c>
    </row>
    <row r="50" spans="1:14" s="34" customFormat="1">
      <c r="A50" s="599" t="s">
        <v>2069</v>
      </c>
      <c r="B50" s="285" t="str">
        <f>DataNameEmp1 &amp; " Parameters"</f>
        <v>Engineers Parameters</v>
      </c>
      <c r="E50" s="412">
        <f t="shared" ref="E50:E74" si="18">$D50*(1+L50*($C50="R"))+L50*($C50="A")</f>
        <v>0</v>
      </c>
      <c r="F50" s="412">
        <f t="shared" ref="F50:F74" si="19">$D50*(1+M50*($C50="R"))+M50*($C50="A")</f>
        <v>0</v>
      </c>
      <c r="G50" s="412">
        <f t="shared" ref="G50:G74" si="20">$D50*(1+N50*($C50="R"))+N50*($C50="A")</f>
        <v>0</v>
      </c>
      <c r="I50" s="34">
        <f>COUNTIF(adj!$C$31:$C$640,$A50)</f>
        <v>0</v>
      </c>
      <c r="J50" s="137">
        <f>SUMIF(adj!$C$31:$C$640,$A50,adj!L$31:L$640)</f>
        <v>0</v>
      </c>
      <c r="L50" s="34">
        <f>SUMIF(adj!$C$3:$C$640,$A50,adj!E$3:E$640)</f>
        <v>0</v>
      </c>
      <c r="M50" s="34">
        <f>SUMIF(adj!$C$3:$C$640,$A50,adj!F$3:F$640)</f>
        <v>0</v>
      </c>
      <c r="N50" s="34">
        <f>SUMIF(adj!$C$3:$C$640,$A50,adj!G$3:G$640)</f>
        <v>0</v>
      </c>
    </row>
    <row r="51" spans="1:14" s="34" customFormat="1">
      <c r="A51" s="599" t="s">
        <v>2070</v>
      </c>
      <c r="B51" s="34" t="str">
        <f>DataNameEmp1 &amp; " Attrition rate"</f>
        <v>Engineers Attrition rate</v>
      </c>
      <c r="C51" s="34" t="s">
        <v>677</v>
      </c>
      <c r="D51" s="219">
        <v>0.1</v>
      </c>
      <c r="E51" s="412">
        <f t="shared" si="18"/>
        <v>0.1</v>
      </c>
      <c r="F51" s="412">
        <f t="shared" si="19"/>
        <v>0.1</v>
      </c>
      <c r="G51" s="412">
        <f t="shared" si="20"/>
        <v>0.1</v>
      </c>
      <c r="H51" s="34" t="s">
        <v>1282</v>
      </c>
      <c r="I51" s="34">
        <f>COUNTIF(adj!$C$31:$C$640,$A51)</f>
        <v>0</v>
      </c>
      <c r="J51" s="137">
        <f>SUMIF(adj!$C$31:$C$640,$A51,adj!L$31:L$640)</f>
        <v>0</v>
      </c>
      <c r="L51" s="34">
        <f>SUMIF(adj!$C$3:$C$640,$A51,adj!E$3:E$640)</f>
        <v>0</v>
      </c>
      <c r="M51" s="34">
        <f>SUMIF(adj!$C$3:$C$640,$A51,adj!F$3:F$640)</f>
        <v>0</v>
      </c>
      <c r="N51" s="34">
        <f>SUMIF(adj!$C$3:$C$640,$A51,adj!G$3:G$640)</f>
        <v>0</v>
      </c>
    </row>
    <row r="52" spans="1:14" s="34" customFormat="1">
      <c r="A52" s="599" t="s">
        <v>2071</v>
      </c>
      <c r="B52" s="34" t="str">
        <f>DataNameEmp1 &amp; " Salary"</f>
        <v>Engineers Salary</v>
      </c>
      <c r="C52" s="34" t="s">
        <v>677</v>
      </c>
      <c r="D52" s="135">
        <v>250000</v>
      </c>
      <c r="E52" s="412">
        <f t="shared" si="18"/>
        <v>250000</v>
      </c>
      <c r="F52" s="412">
        <f t="shared" si="19"/>
        <v>250000</v>
      </c>
      <c r="G52" s="412">
        <f t="shared" si="20"/>
        <v>250000</v>
      </c>
      <c r="H52" s="34" t="s">
        <v>1283</v>
      </c>
      <c r="I52" s="34">
        <f>COUNTIF(adj!$C$31:$C$640,$A52)</f>
        <v>0</v>
      </c>
      <c r="J52" s="137">
        <f>SUMIF(adj!$C$31:$C$640,$A52,adj!L$31:L$640)</f>
        <v>0</v>
      </c>
      <c r="L52" s="34">
        <f>SUMIF(adj!$C$3:$C$640,$A52,adj!E$3:E$640)</f>
        <v>0</v>
      </c>
      <c r="M52" s="34">
        <f>SUMIF(adj!$C$3:$C$640,$A52,adj!F$3:F$640)</f>
        <v>0</v>
      </c>
      <c r="N52" s="34">
        <f>SUMIF(adj!$C$3:$C$640,$A52,adj!G$3:G$640)</f>
        <v>0</v>
      </c>
    </row>
    <row r="53" spans="1:14" s="34" customFormat="1" ht="12" customHeight="1">
      <c r="A53" s="599" t="s">
        <v>2072</v>
      </c>
      <c r="B53" s="34" t="str">
        <f>DataNameEmp1 &amp; " Recruit/Dismissal Cost"</f>
        <v>Engineers Recruit/Dismissal Cost</v>
      </c>
      <c r="C53" s="34" t="s">
        <v>677</v>
      </c>
      <c r="D53" s="219">
        <v>0.1</v>
      </c>
      <c r="E53" s="412">
        <f t="shared" si="18"/>
        <v>0.1</v>
      </c>
      <c r="F53" s="412">
        <f t="shared" si="19"/>
        <v>0.1</v>
      </c>
      <c r="G53" s="412">
        <f t="shared" si="20"/>
        <v>0.1</v>
      </c>
      <c r="H53" s="34" t="s">
        <v>1284</v>
      </c>
      <c r="I53" s="34">
        <f>COUNTIF(adj!$C$31:$C$640,$A53)</f>
        <v>0</v>
      </c>
      <c r="J53" s="137">
        <f>SUMIF(adj!$C$31:$C$640,$A53,adj!L$31:L$640)</f>
        <v>0</v>
      </c>
      <c r="L53" s="34">
        <f>SUMIF(adj!$C$3:$C$640,$A53,adj!E$3:E$640)</f>
        <v>0</v>
      </c>
      <c r="M53" s="34">
        <f>SUMIF(adj!$C$3:$C$640,$A53,adj!F$3:F$640)</f>
        <v>0</v>
      </c>
      <c r="N53" s="34">
        <f>SUMIF(adj!$C$3:$C$640,$A53,adj!G$3:G$640)</f>
        <v>0</v>
      </c>
    </row>
    <row r="54" spans="1:14" s="34" customFormat="1">
      <c r="A54" s="599" t="s">
        <v>2073</v>
      </c>
      <c r="B54" s="34" t="str">
        <f>DataNameEmp1 &amp; " Admin Cost as Pct of Salary"</f>
        <v>Engineers Admin Cost as Pct of Salary</v>
      </c>
      <c r="C54" s="34" t="s">
        <v>677</v>
      </c>
      <c r="D54" s="219">
        <v>0.05</v>
      </c>
      <c r="E54" s="412">
        <f t="shared" si="18"/>
        <v>0.05</v>
      </c>
      <c r="F54" s="412">
        <f t="shared" si="19"/>
        <v>0.05</v>
      </c>
      <c r="G54" s="412">
        <f t="shared" si="20"/>
        <v>0.05</v>
      </c>
      <c r="H54" s="34" t="s">
        <v>1047</v>
      </c>
      <c r="I54" s="34">
        <f>COUNTIF(adj!$C$31:$C$640,$A54)</f>
        <v>0</v>
      </c>
      <c r="J54" s="137">
        <f>SUMIF(adj!$C$31:$C$640,$A54,adj!L$31:L$640)</f>
        <v>0</v>
      </c>
      <c r="L54" s="34">
        <f>SUMIF(adj!$C$3:$C$640,$A54,adj!E$3:E$640)</f>
        <v>0</v>
      </c>
      <c r="M54" s="34">
        <f>SUMIF(adj!$C$3:$C$640,$A54,adj!F$3:F$640)</f>
        <v>0</v>
      </c>
      <c r="N54" s="34">
        <f>SUMIF(adj!$C$3:$C$640,$A54,adj!G$3:G$640)</f>
        <v>0</v>
      </c>
    </row>
    <row r="55" spans="1:14" s="34" customFormat="1">
      <c r="A55" s="599" t="s">
        <v>2074</v>
      </c>
      <c r="B55" s="34" t="str">
        <f>DataNameEmp1 &amp; " Overtime Rate"</f>
        <v>Engineers Overtime Rate</v>
      </c>
      <c r="C55" s="34" t="s">
        <v>677</v>
      </c>
      <c r="D55" s="219">
        <v>1</v>
      </c>
      <c r="E55" s="412">
        <f t="shared" si="18"/>
        <v>1</v>
      </c>
      <c r="F55" s="412">
        <f t="shared" si="19"/>
        <v>1</v>
      </c>
      <c r="G55" s="412">
        <f t="shared" si="20"/>
        <v>1</v>
      </c>
      <c r="H55" s="34" t="s">
        <v>1027</v>
      </c>
      <c r="I55" s="34">
        <f>COUNTIF(adj!$C$31:$C$640,$A55)</f>
        <v>0</v>
      </c>
      <c r="J55" s="137">
        <f>SUMIF(adj!$C$31:$C$640,$A55,adj!L$31:L$640)</f>
        <v>0</v>
      </c>
      <c r="L55" s="34">
        <f>SUMIF(adj!$C$3:$C$640,$A55,adj!E$3:E$640)</f>
        <v>0</v>
      </c>
      <c r="M55" s="34">
        <f>SUMIF(adj!$C$3:$C$640,$A55,adj!F$3:F$640)</f>
        <v>0</v>
      </c>
      <c r="N55" s="34">
        <f>SUMIF(adj!$C$3:$C$640,$A55,adj!G$3:G$640)</f>
        <v>0</v>
      </c>
    </row>
    <row r="56" spans="1:14" s="34" customFormat="1">
      <c r="A56" s="599" t="s">
        <v>2075</v>
      </c>
      <c r="B56" s="34" t="str">
        <f>DataNameEmp1 &amp; " Hours Per Year"</f>
        <v>Engineers Hours Per Year</v>
      </c>
      <c r="C56" s="34" t="s">
        <v>677</v>
      </c>
      <c r="D56" s="135">
        <v>1500</v>
      </c>
      <c r="E56" s="412">
        <f t="shared" si="18"/>
        <v>1500</v>
      </c>
      <c r="F56" s="412">
        <f t="shared" si="19"/>
        <v>1500</v>
      </c>
      <c r="G56" s="412">
        <f t="shared" si="20"/>
        <v>1500</v>
      </c>
      <c r="H56" s="34" t="s">
        <v>296</v>
      </c>
      <c r="I56" s="34">
        <f>COUNTIF(adj!$C$31:$C$640,$A56)</f>
        <v>0</v>
      </c>
      <c r="J56" s="137">
        <f>SUMIF(adj!$C$31:$C$640,$A56,adj!L$31:L$640)</f>
        <v>0</v>
      </c>
      <c r="L56" s="34">
        <f>SUMIF(adj!$C$3:$C$640,$A56,adj!E$3:E$640)</f>
        <v>0</v>
      </c>
      <c r="M56" s="34">
        <f>SUMIF(adj!$C$3:$C$640,$A56,adj!F$3:F$640)</f>
        <v>0</v>
      </c>
      <c r="N56" s="34">
        <f>SUMIF(adj!$C$3:$C$640,$A56,adj!G$3:G$640)</f>
        <v>0</v>
      </c>
    </row>
    <row r="57" spans="1:14" s="34" customFormat="1">
      <c r="A57" s="599" t="s">
        <v>2076</v>
      </c>
      <c r="B57" s="34" t="str">
        <f>DataNameEmp1 &amp; " FTE Coefficient"</f>
        <v>Engineers FTE Coefficient</v>
      </c>
      <c r="C57" s="34" t="s">
        <v>677</v>
      </c>
      <c r="D57" s="548">
        <v>0.65</v>
      </c>
      <c r="E57" s="137">
        <f t="shared" si="18"/>
        <v>0.66039999999999999</v>
      </c>
      <c r="F57" s="137">
        <f t="shared" si="19"/>
        <v>0.66039999999999999</v>
      </c>
      <c r="G57" s="137">
        <f t="shared" si="20"/>
        <v>0.65780000000000005</v>
      </c>
      <c r="H57" s="34" t="s">
        <v>146</v>
      </c>
      <c r="I57" s="34">
        <f>COUNTIF(adj!$C$31:$C$640,$A57)</f>
        <v>7</v>
      </c>
      <c r="J57" s="137">
        <f>SUMIF(adj!$C$31:$C$640,$A57,adj!L$31:L$640)</f>
        <v>0.15000000000000002</v>
      </c>
      <c r="L57" s="34">
        <f>SUMIF(adj!$C$3:$C$640,$A57,adj!E$3:E$640)</f>
        <v>1.6E-2</v>
      </c>
      <c r="M57" s="34">
        <f>SUMIF(adj!$C$3:$C$640,$A57,adj!F$3:F$640)</f>
        <v>1.6E-2</v>
      </c>
      <c r="N57" s="34">
        <f>SUMIF(adj!$C$3:$C$640,$A57,adj!G$3:G$640)</f>
        <v>1.2E-2</v>
      </c>
    </row>
    <row r="58" spans="1:14" s="34" customFormat="1">
      <c r="A58" s="599" t="s">
        <v>2077</v>
      </c>
      <c r="B58" s="34" t="str">
        <f>DataNameEmp1 &amp; " Recruited"</f>
        <v>Engineers Recruited</v>
      </c>
      <c r="C58" s="34" t="s">
        <v>1001</v>
      </c>
      <c r="D58" s="135">
        <v>500</v>
      </c>
      <c r="E58" s="412">
        <f t="shared" si="18"/>
        <v>500</v>
      </c>
      <c r="F58" s="412">
        <f t="shared" si="19"/>
        <v>500</v>
      </c>
      <c r="G58" s="412">
        <f t="shared" si="20"/>
        <v>500</v>
      </c>
      <c r="H58" s="34" t="s">
        <v>544</v>
      </c>
      <c r="I58" s="34">
        <f>COUNTIF(adj!$C$31:$C$640,$A58)</f>
        <v>0</v>
      </c>
      <c r="J58" s="137">
        <f>SUMIF(adj!$C$31:$C$640,$A58,adj!L$31:L$640)</f>
        <v>0</v>
      </c>
      <c r="L58" s="34">
        <f>SUMIF(adj!$C$3:$C$640,$A58,adj!E$3:E$640)</f>
        <v>0</v>
      </c>
      <c r="M58" s="34">
        <f>SUMIF(adj!$C$3:$C$640,$A58,adj!F$3:F$640)</f>
        <v>0</v>
      </c>
      <c r="N58" s="34">
        <f>SUMIF(adj!$C$3:$C$640,$A58,adj!G$3:G$640)</f>
        <v>0</v>
      </c>
    </row>
    <row r="59" spans="1:14" s="34" customFormat="1">
      <c r="A59" s="599" t="s">
        <v>2078</v>
      </c>
      <c r="B59" s="34" t="s">
        <v>1244</v>
      </c>
      <c r="C59" s="34" t="s">
        <v>1001</v>
      </c>
      <c r="D59" s="34">
        <v>0</v>
      </c>
      <c r="E59" s="412">
        <f t="shared" si="18"/>
        <v>0</v>
      </c>
      <c r="F59" s="412">
        <f t="shared" si="19"/>
        <v>0</v>
      </c>
      <c r="G59" s="412">
        <f t="shared" si="20"/>
        <v>0</v>
      </c>
      <c r="H59" s="34" t="s">
        <v>1245</v>
      </c>
      <c r="I59" s="34">
        <f>COUNTIF(adj!$C$31:$C$640,$A59)</f>
        <v>0</v>
      </c>
      <c r="J59" s="137">
        <f>SUMIF(adj!$C$31:$C$640,$A59,adj!L$31:L$640)</f>
        <v>0</v>
      </c>
      <c r="L59" s="34">
        <f>SUMIF(adj!$C$3:$C$640,$A59,adj!E$3:E$640)</f>
        <v>0</v>
      </c>
      <c r="M59" s="34">
        <f>SUMIF(adj!$C$3:$C$640,$A59,adj!F$3:F$640)</f>
        <v>0</v>
      </c>
      <c r="N59" s="34">
        <f>SUMIF(adj!$C$3:$C$640,$A59,adj!G$3:G$640)</f>
        <v>0</v>
      </c>
    </row>
    <row r="60" spans="1:14" s="34" customFormat="1">
      <c r="A60" s="412"/>
      <c r="E60" s="412"/>
      <c r="F60" s="412"/>
      <c r="G60" s="412"/>
      <c r="J60" s="137"/>
      <c r="L60" s="34">
        <f>SUMIF(adj!$C$3:$C$640,$A60,adj!E$3:E$640)</f>
        <v>0</v>
      </c>
      <c r="M60" s="34">
        <f>SUMIF(adj!$C$3:$C$640,$A60,adj!F$3:F$640)</f>
        <v>0</v>
      </c>
      <c r="N60" s="34">
        <f>SUMIF(adj!$C$3:$C$640,$A60,adj!G$3:G$640)</f>
        <v>0</v>
      </c>
    </row>
    <row r="61" spans="1:14" s="34" customFormat="1">
      <c r="A61" s="599" t="s">
        <v>2079</v>
      </c>
      <c r="B61" s="285" t="str">
        <f>DataNameEmp2 &amp; " Parameters"</f>
        <v>Staff Parameters</v>
      </c>
      <c r="E61" s="412">
        <f t="shared" si="18"/>
        <v>0</v>
      </c>
      <c r="F61" s="412">
        <f t="shared" si="19"/>
        <v>0</v>
      </c>
      <c r="G61" s="412">
        <f t="shared" si="20"/>
        <v>0</v>
      </c>
      <c r="I61" s="34">
        <f>COUNTIF(adj!$C$31:$C$640,$A61)</f>
        <v>0</v>
      </c>
      <c r="J61" s="137">
        <f>SUMIF(adj!$C$31:$C$640,$A61,adj!L$31:L$640)</f>
        <v>0</v>
      </c>
      <c r="L61" s="34">
        <f>SUMIF(adj!$C$3:$C$640,$A61,adj!E$3:E$640)</f>
        <v>0</v>
      </c>
      <c r="M61" s="34">
        <f>SUMIF(adj!$C$3:$C$640,$A61,adj!F$3:F$640)</f>
        <v>0</v>
      </c>
      <c r="N61" s="34">
        <f>SUMIF(adj!$C$3:$C$640,$A61,adj!G$3:G$640)</f>
        <v>0</v>
      </c>
    </row>
    <row r="62" spans="1:14" s="34" customFormat="1">
      <c r="A62" s="599" t="s">
        <v>2080</v>
      </c>
      <c r="B62" s="34" t="str">
        <f>DataNameEmp2 &amp; " Attrition rate"</f>
        <v>Staff Attrition rate</v>
      </c>
      <c r="C62" s="34" t="s">
        <v>677</v>
      </c>
      <c r="D62" s="219">
        <v>0.2</v>
      </c>
      <c r="E62" s="412">
        <f t="shared" si="18"/>
        <v>0.2</v>
      </c>
      <c r="F62" s="412">
        <f t="shared" si="19"/>
        <v>0.2</v>
      </c>
      <c r="G62" s="412">
        <f t="shared" si="20"/>
        <v>0.2</v>
      </c>
      <c r="H62" s="34" t="s">
        <v>1286</v>
      </c>
      <c r="I62" s="34">
        <f>COUNTIF(adj!$C$31:$C$640,$A62)</f>
        <v>0</v>
      </c>
      <c r="J62" s="137">
        <f>SUMIF(adj!$C$31:$C$640,$A62,adj!L$31:L$640)</f>
        <v>0</v>
      </c>
      <c r="L62" s="34">
        <f>SUMIF(adj!$C$3:$C$640,$A62,adj!E$3:E$640)</f>
        <v>0</v>
      </c>
      <c r="M62" s="34">
        <f>SUMIF(adj!$C$3:$C$640,$A62,adj!F$3:F$640)</f>
        <v>0</v>
      </c>
      <c r="N62" s="34">
        <f>SUMIF(adj!$C$3:$C$640,$A62,adj!G$3:G$640)</f>
        <v>0</v>
      </c>
    </row>
    <row r="63" spans="1:14" s="34" customFormat="1">
      <c r="A63" s="599" t="s">
        <v>2081</v>
      </c>
      <c r="B63" s="34" t="str">
        <f>DataNameEmp2 &amp; " Salary"</f>
        <v>Staff Salary</v>
      </c>
      <c r="C63" s="34" t="s">
        <v>677</v>
      </c>
      <c r="D63" s="524">
        <v>112000</v>
      </c>
      <c r="E63" s="412">
        <f t="shared" si="18"/>
        <v>112000</v>
      </c>
      <c r="F63" s="412">
        <f t="shared" si="19"/>
        <v>112000</v>
      </c>
      <c r="G63" s="412">
        <f t="shared" si="20"/>
        <v>112000</v>
      </c>
      <c r="H63" s="34" t="s">
        <v>1287</v>
      </c>
      <c r="I63" s="34">
        <f>COUNTIF(adj!$C$31:$C$640,$A63)</f>
        <v>0</v>
      </c>
      <c r="J63" s="137">
        <f>SUMIF(adj!$C$31:$C$640,$A63,adj!L$31:L$640)</f>
        <v>0</v>
      </c>
      <c r="L63" s="34">
        <f>SUMIF(adj!$C$3:$C$640,$A63,adj!E$3:E$640)</f>
        <v>0</v>
      </c>
      <c r="M63" s="34">
        <f>SUMIF(adj!$C$3:$C$640,$A63,adj!F$3:F$640)</f>
        <v>0</v>
      </c>
      <c r="N63" s="34">
        <f>SUMIF(adj!$C$3:$C$640,$A63,adj!G$3:G$640)</f>
        <v>0</v>
      </c>
    </row>
    <row r="64" spans="1:14" s="34" customFormat="1">
      <c r="A64" s="599" t="s">
        <v>2082</v>
      </c>
      <c r="B64" s="34" t="str">
        <f>DataNameEmp2 &amp; " OT Rate"</f>
        <v>Staff OT Rate</v>
      </c>
      <c r="C64" s="34" t="s">
        <v>677</v>
      </c>
      <c r="D64" s="219">
        <v>1.5</v>
      </c>
      <c r="E64" s="412">
        <f t="shared" si="18"/>
        <v>1.5</v>
      </c>
      <c r="F64" s="412">
        <f t="shared" si="19"/>
        <v>1.5</v>
      </c>
      <c r="G64" s="412">
        <f t="shared" si="20"/>
        <v>1.5</v>
      </c>
      <c r="H64" s="34" t="s">
        <v>1289</v>
      </c>
      <c r="I64" s="34">
        <f>COUNTIF(adj!$C$31:$C$640,$A64)</f>
        <v>0</v>
      </c>
      <c r="J64" s="137">
        <f>SUMIF(adj!$C$31:$C$640,$A64,adj!L$31:L$640)</f>
        <v>0</v>
      </c>
      <c r="L64" s="34">
        <f>SUMIF(adj!$C$3:$C$640,$A64,adj!E$3:E$640)</f>
        <v>0</v>
      </c>
      <c r="M64" s="34">
        <f>SUMIF(adj!$C$3:$C$640,$A64,adj!F$3:F$640)</f>
        <v>0</v>
      </c>
      <c r="N64" s="34">
        <f>SUMIF(adj!$C$3:$C$640,$A64,adj!G$3:G$640)</f>
        <v>0</v>
      </c>
    </row>
    <row r="65" spans="1:14" s="34" customFormat="1">
      <c r="A65" s="599" t="s">
        <v>2083</v>
      </c>
      <c r="B65" s="34" t="str">
        <f>DataNameEmp2 &amp; " Recruit Dismissal"</f>
        <v>Staff Recruit Dismissal</v>
      </c>
      <c r="C65" s="34" t="s">
        <v>677</v>
      </c>
      <c r="D65" s="219">
        <v>0.08</v>
      </c>
      <c r="E65" s="412">
        <f t="shared" si="18"/>
        <v>0.08</v>
      </c>
      <c r="F65" s="412">
        <f t="shared" si="19"/>
        <v>0.08</v>
      </c>
      <c r="G65" s="412">
        <f t="shared" si="20"/>
        <v>0.08</v>
      </c>
      <c r="H65" s="34" t="s">
        <v>1290</v>
      </c>
      <c r="I65" s="34">
        <f>COUNTIF(adj!$C$31:$C$640,$A65)</f>
        <v>0</v>
      </c>
      <c r="J65" s="137">
        <f>SUMIF(adj!$C$31:$C$640,$A65,adj!L$31:L$640)</f>
        <v>0</v>
      </c>
      <c r="L65" s="34">
        <f>SUMIF(adj!$C$3:$C$640,$A65,adj!E$3:E$640)</f>
        <v>0</v>
      </c>
      <c r="M65" s="34">
        <f>SUMIF(adj!$C$3:$C$640,$A65,adj!F$3:F$640)</f>
        <v>0</v>
      </c>
      <c r="N65" s="34">
        <f>SUMIF(adj!$C$3:$C$640,$A65,adj!G$3:G$640)</f>
        <v>0</v>
      </c>
    </row>
    <row r="66" spans="1:14" s="34" customFormat="1">
      <c r="A66" s="599" t="s">
        <v>2084</v>
      </c>
      <c r="B66" s="34" t="str">
        <f>DataNameEmp2 &amp; " Admin %"</f>
        <v>Staff Admin %</v>
      </c>
      <c r="C66" s="34" t="s">
        <v>677</v>
      </c>
      <c r="D66" s="219">
        <v>0.05</v>
      </c>
      <c r="E66" s="412">
        <f t="shared" si="18"/>
        <v>0.05</v>
      </c>
      <c r="F66" s="412">
        <f t="shared" si="19"/>
        <v>0.05</v>
      </c>
      <c r="G66" s="412">
        <f t="shared" si="20"/>
        <v>0.05</v>
      </c>
      <c r="H66" s="34" t="s">
        <v>1285</v>
      </c>
      <c r="I66" s="34">
        <f>COUNTIF(adj!$C$31:$C$640,$A66)</f>
        <v>0</v>
      </c>
      <c r="J66" s="137">
        <f>SUMIF(adj!$C$31:$C$640,$A66,adj!L$31:L$640)</f>
        <v>0</v>
      </c>
      <c r="L66" s="34">
        <f>SUMIF(adj!$C$3:$C$640,$A66,adj!E$3:E$640)</f>
        <v>0</v>
      </c>
      <c r="M66" s="34">
        <f>SUMIF(adj!$C$3:$C$640,$A66,adj!F$3:F$640)</f>
        <v>0</v>
      </c>
      <c r="N66" s="34">
        <f>SUMIF(adj!$C$3:$C$640,$A66,adj!G$3:G$640)</f>
        <v>0</v>
      </c>
    </row>
    <row r="67" spans="1:14" s="34" customFormat="1">
      <c r="A67" s="599" t="s">
        <v>2085</v>
      </c>
      <c r="B67" s="34" t="str">
        <f>DataNameEmp2 &amp; " Hours Per Year"</f>
        <v>Staff Hours Per Year</v>
      </c>
      <c r="C67" s="34" t="s">
        <v>677</v>
      </c>
      <c r="D67" s="135">
        <f>50*40</f>
        <v>2000</v>
      </c>
      <c r="E67" s="412">
        <f t="shared" si="18"/>
        <v>2000</v>
      </c>
      <c r="F67" s="412">
        <f t="shared" si="19"/>
        <v>2000</v>
      </c>
      <c r="G67" s="412">
        <f t="shared" si="20"/>
        <v>2000</v>
      </c>
      <c r="H67" s="34" t="s">
        <v>1288</v>
      </c>
      <c r="I67" s="34">
        <f>COUNTIF(adj!$C$31:$C$640,$A67)</f>
        <v>0</v>
      </c>
      <c r="J67" s="137">
        <f>SUMIF(adj!$C$31:$C$640,$A67,adj!L$31:L$640)</f>
        <v>0</v>
      </c>
      <c r="L67" s="34">
        <f>SUMIF(adj!$C$3:$C$640,$A67,adj!E$3:E$640)</f>
        <v>0</v>
      </c>
      <c r="M67" s="34">
        <f>SUMIF(adj!$C$3:$C$640,$A67,adj!F$3:F$640)</f>
        <v>0</v>
      </c>
      <c r="N67" s="34">
        <f>SUMIF(adj!$C$3:$C$640,$A67,adj!G$3:G$640)</f>
        <v>0</v>
      </c>
    </row>
    <row r="68" spans="1:14" s="34" customFormat="1">
      <c r="A68" s="412"/>
      <c r="E68" s="412">
        <f t="shared" si="18"/>
        <v>0</v>
      </c>
      <c r="F68" s="412">
        <f t="shared" si="19"/>
        <v>0</v>
      </c>
      <c r="G68" s="412">
        <f t="shared" si="20"/>
        <v>0</v>
      </c>
      <c r="I68" s="34">
        <f>COUNTIF(adj!$C$31:$C$640,$A68)</f>
        <v>0</v>
      </c>
      <c r="J68" s="137">
        <f>SUMIF(adj!$C$31:$C$640,$A68,adj!L$31:L$640)</f>
        <v>0</v>
      </c>
      <c r="L68" s="34">
        <f>SUMIF(adj!$C$3:$C$640,$A68,adj!E$3:E$640)</f>
        <v>0</v>
      </c>
      <c r="M68" s="34">
        <f>SUMIF(adj!$C$3:$C$640,$A68,adj!F$3:F$640)</f>
        <v>0</v>
      </c>
      <c r="N68" s="34">
        <f>SUMIF(adj!$C$3:$C$640,$A68,adj!G$3:G$640)</f>
        <v>0</v>
      </c>
    </row>
    <row r="69" spans="1:14" s="34" customFormat="1">
      <c r="A69" s="599" t="s">
        <v>2086</v>
      </c>
      <c r="B69" s="285" t="str">
        <f>DataNameEmp3 &amp; " Parameters"</f>
        <v>Services Personnel Parameters</v>
      </c>
      <c r="E69" s="412">
        <f t="shared" si="18"/>
        <v>0</v>
      </c>
      <c r="F69" s="412">
        <f t="shared" si="19"/>
        <v>0</v>
      </c>
      <c r="G69" s="412">
        <f t="shared" si="20"/>
        <v>0</v>
      </c>
      <c r="I69" s="34">
        <f>COUNTIF(adj!$C$31:$C$640,$A69)</f>
        <v>0</v>
      </c>
      <c r="J69" s="137">
        <f>SUMIF(adj!$C$31:$C$640,$A69,adj!L$31:L$640)</f>
        <v>0</v>
      </c>
      <c r="L69" s="34">
        <f>SUMIF(adj!$C$3:$C$640,$A69,adj!E$3:E$640)</f>
        <v>0</v>
      </c>
      <c r="M69" s="34">
        <f>SUMIF(adj!$C$3:$C$640,$A69,adj!F$3:F$640)</f>
        <v>0</v>
      </c>
      <c r="N69" s="34">
        <f>SUMIF(adj!$C$3:$C$640,$A69,adj!G$3:G$640)</f>
        <v>0</v>
      </c>
    </row>
    <row r="70" spans="1:14" s="34" customFormat="1">
      <c r="A70" s="599" t="s">
        <v>2087</v>
      </c>
      <c r="B70" s="34" t="str">
        <f>DataNameEmp3 &amp; " Attrition rate"</f>
        <v>Services Personnel Attrition rate</v>
      </c>
      <c r="C70" s="34" t="s">
        <v>677</v>
      </c>
      <c r="D70" s="219">
        <v>0.15</v>
      </c>
      <c r="E70" s="412">
        <f t="shared" si="18"/>
        <v>0.15</v>
      </c>
      <c r="F70" s="412">
        <f t="shared" si="19"/>
        <v>0.15</v>
      </c>
      <c r="G70" s="412">
        <f t="shared" si="20"/>
        <v>0.15</v>
      </c>
      <c r="H70" s="34" t="s">
        <v>1292</v>
      </c>
      <c r="I70" s="34">
        <f>COUNTIF(adj!$C$31:$C$640,$A70)</f>
        <v>0</v>
      </c>
      <c r="J70" s="137">
        <f>SUMIF(adj!$C$31:$C$640,$A70,adj!L$31:L$640)</f>
        <v>0</v>
      </c>
      <c r="L70" s="34">
        <f>SUMIF(adj!$C$3:$C$640,$A70,adj!E$3:E$640)</f>
        <v>0</v>
      </c>
      <c r="M70" s="34">
        <f>SUMIF(adj!$C$3:$C$640,$A70,adj!F$3:F$640)</f>
        <v>0</v>
      </c>
      <c r="N70" s="34">
        <f>SUMIF(adj!$C$3:$C$640,$A70,adj!G$3:G$640)</f>
        <v>0</v>
      </c>
    </row>
    <row r="71" spans="1:14" s="34" customFormat="1">
      <c r="A71" s="599" t="s">
        <v>2088</v>
      </c>
      <c r="B71" s="34" t="str">
        <f>DataNameEmp3 &amp; " Salary"</f>
        <v>Services Personnel Salary</v>
      </c>
      <c r="C71" s="34" t="s">
        <v>677</v>
      </c>
      <c r="D71" s="135">
        <v>150000</v>
      </c>
      <c r="E71" s="412">
        <f t="shared" si="18"/>
        <v>150000</v>
      </c>
      <c r="F71" s="412">
        <f t="shared" si="19"/>
        <v>150000</v>
      </c>
      <c r="G71" s="412">
        <f t="shared" si="20"/>
        <v>150000</v>
      </c>
      <c r="H71" s="34" t="s">
        <v>1293</v>
      </c>
      <c r="I71" s="34">
        <f>COUNTIF(adj!$C$31:$C$640,$A71)</f>
        <v>0</v>
      </c>
      <c r="J71" s="137">
        <f>SUMIF(adj!$C$31:$C$640,$A71,adj!L$31:L$640)</f>
        <v>0</v>
      </c>
      <c r="L71" s="34">
        <f>SUMIF(adj!$C$3:$C$640,$A71,adj!E$3:E$640)</f>
        <v>0</v>
      </c>
      <c r="M71" s="34">
        <f>SUMIF(adj!$C$3:$C$640,$A71,adj!F$3:F$640)</f>
        <v>0</v>
      </c>
      <c r="N71" s="34">
        <f>SUMIF(adj!$C$3:$C$640,$A71,adj!G$3:G$640)</f>
        <v>0</v>
      </c>
    </row>
    <row r="72" spans="1:14" s="34" customFormat="1">
      <c r="A72" s="599" t="s">
        <v>2089</v>
      </c>
      <c r="B72" s="34" t="str">
        <f>DataNameEmp3 &amp; " Overtime Rate"</f>
        <v>Services Personnel Overtime Rate</v>
      </c>
      <c r="C72" s="34" t="s">
        <v>677</v>
      </c>
      <c r="D72" s="219">
        <v>1</v>
      </c>
      <c r="E72" s="412">
        <f t="shared" si="18"/>
        <v>1</v>
      </c>
      <c r="F72" s="412">
        <f t="shared" si="19"/>
        <v>1</v>
      </c>
      <c r="G72" s="412">
        <f t="shared" si="20"/>
        <v>1</v>
      </c>
      <c r="H72" s="34" t="s">
        <v>1026</v>
      </c>
      <c r="I72" s="34">
        <f>COUNTIF(adj!$C$31:$C$640,$A72)</f>
        <v>0</v>
      </c>
      <c r="J72" s="137">
        <f>SUMIF(adj!$C$31:$C$640,$A72,adj!L$31:L$640)</f>
        <v>0</v>
      </c>
      <c r="L72" s="34">
        <f>SUMIF(adj!$C$3:$C$640,$A72,adj!E$3:E$640)</f>
        <v>0</v>
      </c>
      <c r="M72" s="34">
        <f>SUMIF(adj!$C$3:$C$640,$A72,adj!F$3:F$640)</f>
        <v>0</v>
      </c>
      <c r="N72" s="34">
        <f>SUMIF(adj!$C$3:$C$640,$A72,adj!G$3:G$640)</f>
        <v>0</v>
      </c>
    </row>
    <row r="73" spans="1:14" s="34" customFormat="1">
      <c r="A73" s="599" t="s">
        <v>2090</v>
      </c>
      <c r="B73" s="34" t="str">
        <f>DataNameEmp3 &amp; " Recruiting/Dismissal Costs"</f>
        <v>Services Personnel Recruiting/Dismissal Costs</v>
      </c>
      <c r="C73" s="34" t="s">
        <v>677</v>
      </c>
      <c r="D73" s="219">
        <v>0.08</v>
      </c>
      <c r="E73" s="412">
        <f t="shared" si="18"/>
        <v>0.08</v>
      </c>
      <c r="F73" s="412">
        <f t="shared" si="19"/>
        <v>0.08</v>
      </c>
      <c r="G73" s="412">
        <f t="shared" si="20"/>
        <v>0.08</v>
      </c>
      <c r="H73" s="34" t="s">
        <v>1294</v>
      </c>
      <c r="I73" s="34">
        <f>COUNTIF(adj!$C$31:$C$640,$A73)</f>
        <v>0</v>
      </c>
      <c r="J73" s="137">
        <f>SUMIF(adj!$C$31:$C$640,$A73,adj!L$31:L$640)</f>
        <v>0</v>
      </c>
      <c r="L73" s="34">
        <f>SUMIF(adj!$C$3:$C$640,$A73,adj!E$3:E$640)</f>
        <v>0</v>
      </c>
      <c r="M73" s="34">
        <f>SUMIF(adj!$C$3:$C$640,$A73,adj!F$3:F$640)</f>
        <v>0</v>
      </c>
      <c r="N73" s="34">
        <f>SUMIF(adj!$C$3:$C$640,$A73,adj!G$3:G$640)</f>
        <v>0</v>
      </c>
    </row>
    <row r="74" spans="1:14" s="34" customFormat="1">
      <c r="A74" s="599" t="s">
        <v>2091</v>
      </c>
      <c r="B74" s="34" t="str">
        <f>DataNameEmp3 &amp; " Admin Cost"</f>
        <v>Services Personnel Admin Cost</v>
      </c>
      <c r="C74" s="34" t="s">
        <v>677</v>
      </c>
      <c r="D74" s="219">
        <v>0.05</v>
      </c>
      <c r="E74" s="412">
        <f t="shared" si="18"/>
        <v>0.05</v>
      </c>
      <c r="F74" s="412">
        <f t="shared" si="19"/>
        <v>0.05</v>
      </c>
      <c r="G74" s="412">
        <f t="shared" si="20"/>
        <v>0.05</v>
      </c>
      <c r="H74" s="34" t="s">
        <v>1291</v>
      </c>
      <c r="I74" s="34">
        <f>COUNTIF(adj!$C$31:$C$640,$A74)</f>
        <v>0</v>
      </c>
      <c r="J74" s="137">
        <f>SUMIF(adj!$C$31:$C$640,$A74,adj!L$31:L$640)</f>
        <v>0</v>
      </c>
      <c r="L74" s="34">
        <f>SUMIF(adj!$C$3:$C$640,$A74,adj!E$3:E$640)</f>
        <v>0</v>
      </c>
      <c r="M74" s="34">
        <f>SUMIF(adj!$C$3:$C$640,$A74,adj!F$3:F$640)</f>
        <v>0</v>
      </c>
      <c r="N74" s="34">
        <f>SUMIF(adj!$C$3:$C$640,$A74,adj!G$3:G$640)</f>
        <v>0</v>
      </c>
    </row>
    <row r="75" spans="1:14" s="34" customFormat="1">
      <c r="A75" s="599" t="s">
        <v>2092</v>
      </c>
      <c r="B75" s="34" t="str">
        <f>DataNameEmp3 &amp; " Hours Per Year"</f>
        <v>Services Personnel Hours Per Year</v>
      </c>
      <c r="C75" s="34" t="s">
        <v>677</v>
      </c>
      <c r="D75" s="135">
        <v>2000</v>
      </c>
      <c r="E75" s="412">
        <f t="shared" ref="E75:E141" si="21">$D75*(1+L75*($C75="R"))+L75*($C75="A")</f>
        <v>2000</v>
      </c>
      <c r="F75" s="412">
        <f t="shared" ref="F75:F141" si="22">$D75*(1+M75*($C75="R"))+M75*($C75="A")</f>
        <v>2000</v>
      </c>
      <c r="G75" s="412">
        <f t="shared" ref="G75:G141" si="23">$D75*(1+N75*($C75="R"))+N75*($C75="A")</f>
        <v>2000</v>
      </c>
      <c r="H75" s="34" t="s">
        <v>776</v>
      </c>
      <c r="I75" s="34">
        <f>COUNTIF(adj!$C$31:$C$640,$A75)</f>
        <v>0</v>
      </c>
      <c r="J75" s="137">
        <f>SUMIF(adj!$C$31:$C$640,$A75,adj!L$31:L$640)</f>
        <v>0</v>
      </c>
      <c r="L75" s="34">
        <f>SUMIF(adj!$C$3:$C$640,$A75,adj!E$3:E$640)</f>
        <v>0</v>
      </c>
      <c r="M75" s="34">
        <f>SUMIF(adj!$C$3:$C$640,$A75,adj!F$3:F$640)</f>
        <v>0</v>
      </c>
      <c r="N75" s="34">
        <f>SUMIF(adj!$C$3:$C$640,$A75,adj!G$3:G$640)</f>
        <v>0</v>
      </c>
    </row>
    <row r="76" spans="1:14" s="34" customFormat="1">
      <c r="A76" s="412"/>
      <c r="E76" s="412">
        <f t="shared" si="21"/>
        <v>0</v>
      </c>
      <c r="F76" s="412">
        <f t="shared" si="22"/>
        <v>0</v>
      </c>
      <c r="G76" s="412">
        <f t="shared" si="23"/>
        <v>0</v>
      </c>
      <c r="I76" s="34">
        <f>COUNTIF(adj!$C$31:$C$640,$A76)</f>
        <v>0</v>
      </c>
      <c r="J76" s="137">
        <f>SUMIF(adj!$C$31:$C$640,$A76,adj!L$31:L$640)</f>
        <v>0</v>
      </c>
      <c r="L76" s="34">
        <f>SUMIF(adj!$C$3:$C$640,$A76,adj!E$3:E$640)</f>
        <v>0</v>
      </c>
      <c r="M76" s="34">
        <f>SUMIF(adj!$C$3:$C$640,$A76,adj!F$3:F$640)</f>
        <v>0</v>
      </c>
      <c r="N76" s="34">
        <f>SUMIF(adj!$C$3:$C$640,$A76,adj!G$3:G$640)</f>
        <v>0</v>
      </c>
    </row>
    <row r="77" spans="1:14" s="34" customFormat="1">
      <c r="A77" s="412"/>
      <c r="B77" s="285" t="str">
        <f>DataNamePlant1 &amp; " Parameters"</f>
        <v>Data Center Parameters</v>
      </c>
      <c r="E77" s="412">
        <f t="shared" si="21"/>
        <v>0</v>
      </c>
      <c r="F77" s="412">
        <f t="shared" si="22"/>
        <v>0</v>
      </c>
      <c r="G77" s="412">
        <f t="shared" si="23"/>
        <v>0</v>
      </c>
      <c r="I77" s="34">
        <f>COUNTIF(adj!$C$31:$C$640,$A77)</f>
        <v>0</v>
      </c>
      <c r="J77" s="137">
        <f>SUMIF(adj!$C$31:$C$640,$A77,adj!L$31:L$640)</f>
        <v>0</v>
      </c>
      <c r="L77" s="34">
        <f>SUMIF(adj!$C$3:$C$640,$A77,adj!E$3:E$640)</f>
        <v>0</v>
      </c>
      <c r="M77" s="34">
        <f>SUMIF(adj!$C$3:$C$640,$A77,adj!F$3:F$640)</f>
        <v>0</v>
      </c>
      <c r="N77" s="34">
        <f>SUMIF(adj!$C$3:$C$640,$A77,adj!G$3:G$640)</f>
        <v>0</v>
      </c>
    </row>
    <row r="78" spans="1:14" s="34" customFormat="1">
      <c r="A78" s="580" t="s">
        <v>1429</v>
      </c>
      <c r="B78" s="34" t="str">
        <f>DataNamePlant1 &amp; " Capacity Per Unit"</f>
        <v>Data Center Capacity Per Unit</v>
      </c>
      <c r="C78" s="779" t="s">
        <v>677</v>
      </c>
      <c r="D78" s="412">
        <v>4500</v>
      </c>
      <c r="E78" s="412">
        <f t="shared" si="21"/>
        <v>4500</v>
      </c>
      <c r="F78" s="412">
        <f t="shared" si="22"/>
        <v>4500</v>
      </c>
      <c r="G78" s="412">
        <f t="shared" si="23"/>
        <v>4500</v>
      </c>
      <c r="H78" s="566" t="s">
        <v>1436</v>
      </c>
      <c r="I78" s="34">
        <f>COUNTIF(adj!$C$31:$C$640,$A78)</f>
        <v>0</v>
      </c>
      <c r="J78" s="137">
        <f>SUMIF(adj!$C$31:$C$640,$A78,adj!L$31:L$640)</f>
        <v>0</v>
      </c>
      <c r="L78" s="34">
        <f>SUMIF(adj!$C$3:$C$640,$A78,adj!E$3:E$640)</f>
        <v>0</v>
      </c>
      <c r="M78" s="34">
        <f>SUMIF(adj!$C$3:$C$640,$A78,adj!F$3:F$640)</f>
        <v>0</v>
      </c>
      <c r="N78" s="34">
        <f>SUMIF(adj!$C$3:$C$640,$A78,adj!G$3:G$640)</f>
        <v>0</v>
      </c>
    </row>
    <row r="79" spans="1:14" s="34" customFormat="1">
      <c r="A79" s="599" t="s">
        <v>2094</v>
      </c>
      <c r="B79" s="34" t="str">
        <f>DataNamePlant1 &amp; " Labor Per Unit"</f>
        <v>Data Center Labor Per Unit</v>
      </c>
      <c r="C79" s="779" t="s">
        <v>677</v>
      </c>
      <c r="D79" s="412">
        <v>225</v>
      </c>
      <c r="E79" s="412">
        <f t="shared" si="21"/>
        <v>225</v>
      </c>
      <c r="F79" s="412">
        <f t="shared" si="22"/>
        <v>225</v>
      </c>
      <c r="G79" s="412">
        <f t="shared" si="23"/>
        <v>225</v>
      </c>
      <c r="H79" s="566" t="s">
        <v>1487</v>
      </c>
      <c r="I79" s="34">
        <f>COUNTIF(adj!$C$31:$C$640,$A79)</f>
        <v>0</v>
      </c>
      <c r="J79" s="137">
        <f>SUMIF(adj!$C$31:$C$640,$A79,adj!L$31:L$640)</f>
        <v>0</v>
      </c>
      <c r="L79" s="34">
        <f>SUMIF(adj!$C$3:$C$640,$A79,adj!E$3:E$640)</f>
        <v>0</v>
      </c>
      <c r="M79" s="34">
        <f>SUMIF(adj!$C$3:$C$640,$A79,adj!F$3:F$640)</f>
        <v>0</v>
      </c>
      <c r="N79" s="34">
        <f>SUMIF(adj!$C$3:$C$640,$A79,adj!G$3:G$640)</f>
        <v>0</v>
      </c>
    </row>
    <row r="80" spans="1:14" s="34" customFormat="1">
      <c r="A80" s="599" t="s">
        <v>2095</v>
      </c>
      <c r="B80" s="34" t="str">
        <f>DataNamePlant1 &amp; " Revenues Per Unit Sold"</f>
        <v>Data Center Revenues Per Unit Sold</v>
      </c>
      <c r="C80" s="779" t="s">
        <v>677</v>
      </c>
      <c r="D80" s="412">
        <v>0</v>
      </c>
      <c r="E80" s="412">
        <f t="shared" si="21"/>
        <v>0</v>
      </c>
      <c r="F80" s="412">
        <f t="shared" si="22"/>
        <v>0</v>
      </c>
      <c r="G80" s="412">
        <f t="shared" si="23"/>
        <v>0</v>
      </c>
      <c r="H80" s="34" t="s">
        <v>131</v>
      </c>
      <c r="I80" s="34">
        <f>COUNTIF(adj!$C$31:$C$640,$A80)</f>
        <v>0</v>
      </c>
      <c r="J80" s="137">
        <f>SUMIF(adj!$C$31:$C$640,$A80,adj!L$31:L$640)</f>
        <v>0</v>
      </c>
      <c r="L80" s="34">
        <f>SUMIF(adj!$C$3:$C$640,$A80,adj!E$3:E$640)</f>
        <v>0</v>
      </c>
      <c r="M80" s="34">
        <f>SUMIF(adj!$C$3:$C$640,$A80,adj!F$3:F$640)</f>
        <v>0</v>
      </c>
      <c r="N80" s="34">
        <f>SUMIF(adj!$C$3:$C$640,$A80,adj!G$3:G$640)</f>
        <v>0</v>
      </c>
    </row>
    <row r="81" spans="1:14" s="34" customFormat="1">
      <c r="A81" s="599" t="s">
        <v>2096</v>
      </c>
      <c r="B81" s="34" t="str">
        <f>DataNamePlant1&amp;" Investment Cost Per Unit"</f>
        <v>Data Center Investment Cost Per Unit</v>
      </c>
      <c r="C81" s="779" t="s">
        <v>677</v>
      </c>
      <c r="D81" s="429">
        <v>55000000</v>
      </c>
      <c r="E81" s="412">
        <f t="shared" si="21"/>
        <v>55000000</v>
      </c>
      <c r="F81" s="412">
        <f t="shared" si="22"/>
        <v>55000000</v>
      </c>
      <c r="G81" s="412">
        <f t="shared" si="23"/>
        <v>55000000</v>
      </c>
      <c r="H81" s="34" t="s">
        <v>235</v>
      </c>
      <c r="I81" s="34">
        <f>COUNTIF(adj!$C$31:$C$640,$A81)</f>
        <v>0</v>
      </c>
      <c r="J81" s="137">
        <f>SUMIF(adj!$C$31:$C$640,$A81,adj!L$31:L$640)</f>
        <v>0</v>
      </c>
      <c r="L81" s="34">
        <f>SUMIF(adj!$C$3:$C$640,$A81,adj!E$3:E$640)</f>
        <v>0</v>
      </c>
      <c r="M81" s="34">
        <f>SUMIF(adj!$C$3:$C$640,$A81,adj!F$3:F$640)</f>
        <v>0</v>
      </c>
      <c r="N81" s="34">
        <f>SUMIF(adj!$C$3:$C$640,$A81,adj!G$3:G$640)</f>
        <v>0</v>
      </c>
    </row>
    <row r="82" spans="1:14" s="34" customFormat="1">
      <c r="A82" s="599" t="s">
        <v>2097</v>
      </c>
      <c r="B82" s="34" t="str">
        <f>DataNamePlant1 &amp; " Machine Hours Per Unit"</f>
        <v>Data Center Machine Hours Per Unit</v>
      </c>
      <c r="C82" s="779" t="s">
        <v>677</v>
      </c>
      <c r="D82" s="523">
        <v>1000000</v>
      </c>
      <c r="E82" s="412">
        <f t="shared" si="21"/>
        <v>1000000</v>
      </c>
      <c r="F82" s="412">
        <f t="shared" si="22"/>
        <v>1000000</v>
      </c>
      <c r="G82" s="412">
        <f t="shared" si="23"/>
        <v>1000000</v>
      </c>
      <c r="H82" s="566" t="s">
        <v>236</v>
      </c>
      <c r="I82" s="34">
        <f>COUNTIF(adj!$C$31:$C$640,$A82)</f>
        <v>0</v>
      </c>
      <c r="J82" s="137">
        <f>SUMIF(adj!$C$31:$C$640,$A82,adj!L$31:L$640)</f>
        <v>0</v>
      </c>
      <c r="L82" s="34">
        <f>SUMIF(adj!$C$3:$C$640,$A82,adj!E$3:E$640)</f>
        <v>0</v>
      </c>
      <c r="M82" s="34">
        <f>SUMIF(adj!$C$3:$C$640,$A82,adj!F$3:F$640)</f>
        <v>0</v>
      </c>
      <c r="N82" s="34">
        <f>SUMIF(adj!$C$3:$C$640,$A82,adj!G$3:G$640)</f>
        <v>0</v>
      </c>
    </row>
    <row r="83" spans="1:14" s="34" customFormat="1">
      <c r="A83" s="599" t="s">
        <v>2098</v>
      </c>
      <c r="B83" s="34" t="str">
        <f>DataNamePlant1 &amp; " Machinery Cost Per Hour"</f>
        <v>Data Center Machinery Cost Per Hour</v>
      </c>
      <c r="C83" s="779" t="s">
        <v>677</v>
      </c>
      <c r="D83" s="998">
        <v>15.5</v>
      </c>
      <c r="E83" s="998">
        <f t="shared" si="21"/>
        <v>15.5</v>
      </c>
      <c r="F83" s="998">
        <f t="shared" si="22"/>
        <v>15.5</v>
      </c>
      <c r="G83" s="998">
        <f t="shared" si="23"/>
        <v>15.5</v>
      </c>
      <c r="H83" s="34" t="s">
        <v>238</v>
      </c>
      <c r="I83" s="34">
        <f>COUNTIF(adj!$C$31:$C$640,$A83)</f>
        <v>0</v>
      </c>
      <c r="J83" s="137">
        <f>SUMIF(adj!$C$31:$C$640,$A83,adj!L$31:L$640)</f>
        <v>0</v>
      </c>
      <c r="L83" s="34">
        <f>SUMIF(adj!$C$3:$C$640,$A83,adj!E$3:E$640)</f>
        <v>0</v>
      </c>
      <c r="M83" s="34">
        <f>SUMIF(adj!$C$3:$C$640,$A83,adj!F$3:F$640)</f>
        <v>0</v>
      </c>
      <c r="N83" s="34">
        <f>SUMIF(adj!$C$3:$C$640,$A83,adj!G$3:G$640)</f>
        <v>0</v>
      </c>
    </row>
    <row r="84" spans="1:14" s="34" customFormat="1">
      <c r="A84" s="599" t="s">
        <v>2099</v>
      </c>
      <c r="B84" s="34" t="str">
        <f>DataNamePlant1 &amp; " Deprecation Rate"</f>
        <v>Data Center Deprecation Rate</v>
      </c>
      <c r="C84" s="779" t="s">
        <v>677</v>
      </c>
      <c r="D84" s="219">
        <v>0.1</v>
      </c>
      <c r="E84" s="412">
        <f t="shared" si="21"/>
        <v>0.1</v>
      </c>
      <c r="F84" s="412">
        <f t="shared" si="22"/>
        <v>0.1</v>
      </c>
      <c r="G84" s="412">
        <f t="shared" si="23"/>
        <v>0.1</v>
      </c>
      <c r="H84" s="34" t="s">
        <v>239</v>
      </c>
      <c r="I84" s="34">
        <f>COUNTIF(adj!$C$31:$C$640,$A84)</f>
        <v>0</v>
      </c>
      <c r="J84" s="137">
        <f>SUMIF(adj!$C$31:$C$640,$A84,adj!L$31:L$640)</f>
        <v>0</v>
      </c>
      <c r="L84" s="34">
        <f>SUMIF(adj!$C$3:$C$640,$A84,adj!E$3:E$640)</f>
        <v>0</v>
      </c>
      <c r="M84" s="34">
        <f>SUMIF(adj!$C$3:$C$640,$A84,adj!F$3:F$640)</f>
        <v>0</v>
      </c>
      <c r="N84" s="34">
        <f>SUMIF(adj!$C$3:$C$640,$A84,adj!G$3:G$640)</f>
        <v>0</v>
      </c>
    </row>
    <row r="85" spans="1:14" s="34" customFormat="1">
      <c r="A85" s="599" t="s">
        <v>2100</v>
      </c>
      <c r="B85" s="34" t="str">
        <f>DataNamePlant1 &amp; " Ramp Up Pct"</f>
        <v>Data Center Ramp Up Pct</v>
      </c>
      <c r="C85" s="779" t="s">
        <v>677</v>
      </c>
      <c r="D85" s="219">
        <v>1</v>
      </c>
      <c r="E85" s="412">
        <f t="shared" si="21"/>
        <v>1</v>
      </c>
      <c r="F85" s="412">
        <f t="shared" si="22"/>
        <v>1</v>
      </c>
      <c r="G85" s="412">
        <f t="shared" si="23"/>
        <v>1</v>
      </c>
      <c r="H85" s="34" t="s">
        <v>720</v>
      </c>
      <c r="I85" s="34">
        <f>COUNTIF(adj!$C$31:$C$640,$A85)</f>
        <v>0</v>
      </c>
      <c r="J85" s="137">
        <f>SUMIF(adj!$C$31:$C$640,$A85,adj!L$31:L$640)</f>
        <v>0</v>
      </c>
      <c r="L85" s="34">
        <f>SUMIF(adj!$C$3:$C$640,$A85,adj!E$3:E$640)</f>
        <v>0</v>
      </c>
      <c r="M85" s="34">
        <f>SUMIF(adj!$C$3:$C$640,$A85,adj!F$3:F$640)</f>
        <v>0</v>
      </c>
      <c r="N85" s="34">
        <f>SUMIF(adj!$C$3:$C$640,$A85,adj!G$3:G$640)</f>
        <v>0</v>
      </c>
    </row>
    <row r="86" spans="1:14" s="412" customFormat="1">
      <c r="A86" s="599" t="s">
        <v>2101</v>
      </c>
      <c r="B86" s="412" t="str">
        <f>DataNamePlant1 &amp; " Fixed Exp Per Facility"</f>
        <v>Data Center Fixed Exp Per Facility</v>
      </c>
      <c r="C86" s="779" t="s">
        <v>677</v>
      </c>
      <c r="D86" s="429">
        <v>125000</v>
      </c>
      <c r="E86" s="412">
        <f t="shared" si="21"/>
        <v>125000</v>
      </c>
      <c r="F86" s="412">
        <f t="shared" si="22"/>
        <v>125000</v>
      </c>
      <c r="G86" s="412">
        <f t="shared" si="23"/>
        <v>125000</v>
      </c>
      <c r="H86" s="412" t="s">
        <v>1099</v>
      </c>
      <c r="I86" s="509">
        <f>COUNTIF(adj!$C$31:$C$640,$A86)</f>
        <v>0</v>
      </c>
      <c r="J86" s="137">
        <f>SUMIF(adj!$C$31:$C$640,$A86,adj!L$31:L$640)</f>
        <v>0</v>
      </c>
      <c r="L86" s="34">
        <f>SUMIF(adj!$C$3:$C$640,$A86,adj!E$3:E$640)</f>
        <v>0</v>
      </c>
      <c r="M86" s="34">
        <f>SUMIF(adj!$C$3:$C$640,$A86,adj!F$3:F$640)</f>
        <v>0</v>
      </c>
      <c r="N86" s="34">
        <f>SUMIF(adj!$C$3:$C$640,$A86,adj!G$3:G$640)</f>
        <v>0</v>
      </c>
    </row>
    <row r="87" spans="1:14" s="34" customFormat="1">
      <c r="A87" s="599" t="s">
        <v>2102</v>
      </c>
      <c r="B87" s="34" t="str">
        <f>DataNamePlant1 &amp; " Sales Price (% of Book)"</f>
        <v>Data Center Sales Price (% of Book)</v>
      </c>
      <c r="C87" s="779" t="s">
        <v>677</v>
      </c>
      <c r="D87" s="410">
        <v>0.4</v>
      </c>
      <c r="E87" s="412">
        <f t="shared" si="21"/>
        <v>0.4</v>
      </c>
      <c r="F87" s="412">
        <f t="shared" si="22"/>
        <v>0.4</v>
      </c>
      <c r="G87" s="412">
        <f t="shared" si="23"/>
        <v>0.4</v>
      </c>
      <c r="H87" s="34" t="s">
        <v>658</v>
      </c>
      <c r="I87" s="34">
        <f>COUNTIF(adj!$C$31:$C$640,$A87)</f>
        <v>0</v>
      </c>
      <c r="J87" s="137">
        <f>SUMIF(adj!$C$31:$C$640,$A87,adj!L$31:L$640)</f>
        <v>0</v>
      </c>
      <c r="L87" s="34">
        <f>SUMIF(adj!$C$3:$C$640,$A87,adj!E$3:E$640)</f>
        <v>0</v>
      </c>
      <c r="M87" s="34">
        <f>SUMIF(adj!$C$3:$C$640,$A87,adj!F$3:F$640)</f>
        <v>0</v>
      </c>
      <c r="N87" s="34">
        <f>SUMIF(adj!$C$3:$C$640,$A87,adj!G$3:G$640)</f>
        <v>0</v>
      </c>
    </row>
    <row r="88" spans="1:14" s="34" customFormat="1">
      <c r="A88" s="599" t="s">
        <v>2801</v>
      </c>
      <c r="B88" s="34" t="str">
        <f>DataNamePlant1 &amp; " Shut Down"</f>
        <v>Data Center Shut Down</v>
      </c>
      <c r="C88" s="780" t="s">
        <v>1001</v>
      </c>
      <c r="D88" s="412">
        <v>0</v>
      </c>
      <c r="E88" s="412">
        <f t="shared" ref="E88:E90" si="24">$D88*(1+L88*($C88="R"))+L88*($C88="A")</f>
        <v>0</v>
      </c>
      <c r="F88" s="412">
        <f t="shared" ref="F88:F90" si="25">$D88*(1+M88*($C88="R"))+M88*($C88="A")</f>
        <v>0</v>
      </c>
      <c r="G88" s="412">
        <f t="shared" ref="G88:G90" si="26">$D88*(1+N88*($C88="R"))+N88*($C88="A")</f>
        <v>0</v>
      </c>
      <c r="H88" s="566" t="s">
        <v>2802</v>
      </c>
      <c r="I88" s="34">
        <f>COUNTIF(adj!$C$31:$C$640,$A88)</f>
        <v>1</v>
      </c>
      <c r="J88" s="137">
        <f>SUMIF(adj!$C$31:$C$640,$A88,adj!L$31:L$640)</f>
        <v>1</v>
      </c>
      <c r="L88" s="34">
        <f>SUMIF(adj!$C$3:$C$640,$A88,adj!E$3:E$640)</f>
        <v>0</v>
      </c>
      <c r="M88" s="34">
        <f>SUMIF(adj!$C$3:$C$640,$A88,adj!F$3:F$640)</f>
        <v>0</v>
      </c>
      <c r="N88" s="34">
        <f>SUMIF(adj!$C$3:$C$640,$A88,adj!G$3:G$640)</f>
        <v>0</v>
      </c>
    </row>
    <row r="89" spans="1:14" s="34" customFormat="1">
      <c r="A89" s="599" t="s">
        <v>3034</v>
      </c>
      <c r="B89" s="34" t="str">
        <f>DataNamePlant1 &amp; " Capacity Consolidate Impact"</f>
        <v>Data Center Capacity Consolidate Impact</v>
      </c>
      <c r="C89" s="779" t="s">
        <v>677</v>
      </c>
      <c r="D89" s="505">
        <v>0.55000000000000004</v>
      </c>
      <c r="E89" s="505">
        <f t="shared" si="24"/>
        <v>0.55000000000000004</v>
      </c>
      <c r="F89" s="505">
        <f t="shared" si="25"/>
        <v>0.55000000000000004</v>
      </c>
      <c r="G89" s="505">
        <f t="shared" si="26"/>
        <v>0.55000000000000004</v>
      </c>
      <c r="H89" s="566" t="s">
        <v>3035</v>
      </c>
      <c r="I89" s="34">
        <f>COUNTIF(adj!$C$31:$C$640,$A89)</f>
        <v>0</v>
      </c>
      <c r="J89" s="137">
        <f>SUMIF(adj!$C$31:$C$640,$A89,adj!L$31:L$640)</f>
        <v>0</v>
      </c>
      <c r="L89" s="34">
        <f>SUMIF(adj!$C$3:$C$640,$A89,adj!E$3:E$640)</f>
        <v>0</v>
      </c>
      <c r="M89" s="34">
        <f>SUMIF(adj!$C$3:$C$640,$A89,adj!F$3:F$640)</f>
        <v>0</v>
      </c>
      <c r="N89" s="34">
        <f>SUMIF(adj!$C$3:$C$640,$A89,adj!G$3:G$640)</f>
        <v>0</v>
      </c>
    </row>
    <row r="90" spans="1:14" s="34" customFormat="1">
      <c r="A90" s="599" t="s">
        <v>3036</v>
      </c>
      <c r="B90" s="34" t="str">
        <f>DataNamePlant1 &amp; " Machine Hours Consolidate Impact"</f>
        <v>Data Center Machine Hours Consolidate Impact</v>
      </c>
      <c r="C90" s="779" t="s">
        <v>677</v>
      </c>
      <c r="D90" s="505">
        <v>0.85</v>
      </c>
      <c r="E90" s="505">
        <f t="shared" si="24"/>
        <v>0.85</v>
      </c>
      <c r="F90" s="505">
        <f t="shared" si="25"/>
        <v>0.85</v>
      </c>
      <c r="G90" s="505">
        <f t="shared" si="26"/>
        <v>0.85</v>
      </c>
      <c r="H90" s="566" t="s">
        <v>3037</v>
      </c>
      <c r="I90" s="34">
        <f>COUNTIF(adj!$C$31:$C$640,$A90)</f>
        <v>0</v>
      </c>
      <c r="J90" s="137">
        <f>SUMIF(adj!$C$31:$C$640,$A90,adj!L$31:L$640)</f>
        <v>0</v>
      </c>
      <c r="L90" s="34">
        <f>SUMIF(adj!$C$3:$C$640,$A90,adj!E$3:E$640)</f>
        <v>0</v>
      </c>
      <c r="M90" s="34">
        <f>SUMIF(adj!$C$3:$C$640,$A90,adj!F$3:F$640)</f>
        <v>0</v>
      </c>
      <c r="N90" s="34">
        <f>SUMIF(adj!$C$3:$C$640,$A90,adj!G$3:G$640)</f>
        <v>0</v>
      </c>
    </row>
    <row r="91" spans="1:14" s="34" customFormat="1">
      <c r="A91" s="599" t="s">
        <v>3038</v>
      </c>
      <c r="B91" s="34" t="str">
        <f>DataNamePlant1 &amp; " Labor Consolidate Impact"</f>
        <v>Data Center Labor Consolidate Impact</v>
      </c>
      <c r="C91" s="779" t="s">
        <v>677</v>
      </c>
      <c r="D91" s="505">
        <v>0.75</v>
      </c>
      <c r="E91" s="505">
        <f t="shared" ref="E91" si="27">$D91*(1+L91*($C91="R"))+L91*($C91="A")</f>
        <v>0.75</v>
      </c>
      <c r="F91" s="505">
        <f t="shared" ref="F91" si="28">$D91*(1+M91*($C91="R"))+M91*($C91="A")</f>
        <v>0.75</v>
      </c>
      <c r="G91" s="505">
        <f t="shared" ref="G91" si="29">$D91*(1+N91*($C91="R"))+N91*($C91="A")</f>
        <v>0.75</v>
      </c>
      <c r="H91" s="566" t="s">
        <v>3039</v>
      </c>
      <c r="I91" s="34">
        <f>COUNTIF(adj!$C$31:$C$640,$A91)</f>
        <v>0</v>
      </c>
      <c r="J91" s="137">
        <f>SUMIF(adj!$C$31:$C$640,$A91,adj!L$31:L$640)</f>
        <v>0</v>
      </c>
      <c r="L91" s="34">
        <f>SUMIF(adj!$C$3:$C$640,$A91,adj!E$3:E$640)</f>
        <v>0</v>
      </c>
      <c r="M91" s="34">
        <f>SUMIF(adj!$C$3:$C$640,$A91,adj!F$3:F$640)</f>
        <v>0</v>
      </c>
      <c r="N91" s="34">
        <f>SUMIF(adj!$C$3:$C$640,$A91,adj!G$3:G$640)</f>
        <v>0</v>
      </c>
    </row>
    <row r="92" spans="1:14" s="34" customFormat="1">
      <c r="A92" s="599" t="s">
        <v>3048</v>
      </c>
      <c r="B92" s="34" t="str">
        <f>DataNamePlant1 &amp; " 3rd Party Cost"</f>
        <v>Data Center 3rd Party Cost</v>
      </c>
      <c r="C92" s="779" t="s">
        <v>677</v>
      </c>
      <c r="D92" s="412">
        <v>1200000000</v>
      </c>
      <c r="E92" s="412">
        <f t="shared" ref="E92" si="30">$D92*(1+L92*($C92="R"))+L92*($C92="A")</f>
        <v>1200000000</v>
      </c>
      <c r="F92" s="412">
        <f t="shared" ref="F92" si="31">$D92*(1+M92*($C92="R"))+M92*($C92="A")</f>
        <v>1200000000</v>
      </c>
      <c r="G92" s="412">
        <f t="shared" ref="G92" si="32">$D92*(1+N92*($C92="R"))+N92*($C92="A")</f>
        <v>1200000000</v>
      </c>
      <c r="H92" s="566" t="s">
        <v>3049</v>
      </c>
      <c r="I92" s="34">
        <f>COUNTIF(adj!$C$31:$C$640,$A92)</f>
        <v>0</v>
      </c>
      <c r="J92" s="137">
        <f>SUMIF(adj!$C$31:$C$640,$A92,adj!L$31:L$640)</f>
        <v>0</v>
      </c>
      <c r="L92" s="34">
        <f>SUMIF(adj!$C$3:$C$640,$A92,adj!E$3:E$640)</f>
        <v>0</v>
      </c>
      <c r="M92" s="34">
        <f>SUMIF(adj!$C$3:$C$640,$A92,adj!F$3:F$640)</f>
        <v>0</v>
      </c>
      <c r="N92" s="34">
        <f>SUMIF(adj!$C$3:$C$640,$A92,adj!G$3:G$640)</f>
        <v>0</v>
      </c>
    </row>
    <row r="93" spans="1:14" s="34" customFormat="1">
      <c r="A93" s="412"/>
      <c r="D93" s="523"/>
      <c r="E93" s="412">
        <f t="shared" si="21"/>
        <v>0</v>
      </c>
      <c r="F93" s="412">
        <f t="shared" si="22"/>
        <v>0</v>
      </c>
      <c r="G93" s="412">
        <f t="shared" si="23"/>
        <v>0</v>
      </c>
      <c r="I93" s="34">
        <f>COUNTIF(adj!$C$31:$C$640,$A93)</f>
        <v>0</v>
      </c>
      <c r="J93" s="137">
        <f>SUMIF(adj!$C$31:$C$640,$A93,adj!L$31:L$640)</f>
        <v>0</v>
      </c>
      <c r="L93" s="34">
        <f>SUMIF(adj!$C$3:$C$640,$A93,adj!E$3:E$640)</f>
        <v>0</v>
      </c>
      <c r="M93" s="34">
        <f>SUMIF(adj!$C$3:$C$640,$A93,adj!F$3:F$640)</f>
        <v>0</v>
      </c>
      <c r="N93" s="34">
        <f>SUMIF(adj!$C$3:$C$640,$A93,adj!G$3:G$640)</f>
        <v>0</v>
      </c>
    </row>
    <row r="94" spans="1:14" s="34" customFormat="1">
      <c r="A94" s="412"/>
      <c r="B94" s="285" t="str">
        <f>DataNamePlant2 &amp; " Parameters"</f>
        <v>Property Parameters</v>
      </c>
      <c r="E94" s="412">
        <f t="shared" si="21"/>
        <v>0</v>
      </c>
      <c r="F94" s="412">
        <f t="shared" si="22"/>
        <v>0</v>
      </c>
      <c r="G94" s="412">
        <f t="shared" si="23"/>
        <v>0</v>
      </c>
      <c r="I94" s="34">
        <f>COUNTIF(adj!$C$31:$C$640,$A94)</f>
        <v>0</v>
      </c>
      <c r="J94" s="137">
        <f>SUMIF(adj!$C$31:$C$640,$A94,adj!L$31:L$640)</f>
        <v>0</v>
      </c>
      <c r="L94" s="34">
        <f>SUMIF(adj!$C$3:$C$640,$A94,adj!E$3:E$640)</f>
        <v>0</v>
      </c>
      <c r="M94" s="34">
        <f>SUMIF(adj!$C$3:$C$640,$A94,adj!F$3:F$640)</f>
        <v>0</v>
      </c>
      <c r="N94" s="34">
        <f>SUMIF(adj!$C$3:$C$640,$A94,adj!G$3:G$640)</f>
        <v>0</v>
      </c>
    </row>
    <row r="95" spans="1:14" s="34" customFormat="1">
      <c r="A95" s="599" t="s">
        <v>1650</v>
      </c>
      <c r="B95" s="137" t="str">
        <f>DataNamePlant2 &amp; " Labor Per Unit"</f>
        <v>Property Labor Per Unit</v>
      </c>
      <c r="C95" s="34" t="s">
        <v>677</v>
      </c>
      <c r="D95" s="412">
        <v>500</v>
      </c>
      <c r="E95" s="412">
        <f t="shared" si="21"/>
        <v>500</v>
      </c>
      <c r="F95" s="412">
        <f t="shared" si="22"/>
        <v>500</v>
      </c>
      <c r="G95" s="412">
        <f t="shared" si="23"/>
        <v>500</v>
      </c>
      <c r="H95" s="566" t="s">
        <v>1645</v>
      </c>
      <c r="I95" s="34">
        <f>COUNTIF(adj!$C$31:$C$640,$A95)</f>
        <v>0</v>
      </c>
      <c r="J95" s="137">
        <f>SUMIF(adj!$C$31:$C$640,$A95,adj!L$31:L$640)</f>
        <v>0</v>
      </c>
      <c r="L95" s="34">
        <f>SUMIF(adj!$C$3:$C$640,$A95,adj!E$3:E$640)</f>
        <v>0</v>
      </c>
      <c r="M95" s="34">
        <f>SUMIF(adj!$C$3:$C$640,$A95,adj!F$3:F$640)</f>
        <v>0</v>
      </c>
      <c r="N95" s="34">
        <f>SUMIF(adj!$C$3:$C$640,$A95,adj!G$3:G$640)</f>
        <v>0</v>
      </c>
    </row>
    <row r="96" spans="1:14" s="34" customFormat="1">
      <c r="A96" s="599" t="s">
        <v>1651</v>
      </c>
      <c r="B96" s="137" t="str">
        <f>DataNamePlant2&amp;" Investment Cost Per Unit"</f>
        <v>Property Investment Cost Per Unit</v>
      </c>
      <c r="C96" s="34" t="s">
        <v>677</v>
      </c>
      <c r="D96" s="429">
        <v>25000000</v>
      </c>
      <c r="E96" s="412">
        <f t="shared" si="21"/>
        <v>25000000</v>
      </c>
      <c r="F96" s="412">
        <f t="shared" si="22"/>
        <v>25000000</v>
      </c>
      <c r="G96" s="412">
        <f t="shared" si="23"/>
        <v>25000000</v>
      </c>
      <c r="H96" s="34" t="s">
        <v>1646</v>
      </c>
      <c r="I96" s="34">
        <f>COUNTIF(adj!$C$31:$C$640,$A96)</f>
        <v>0</v>
      </c>
      <c r="J96" s="137">
        <f>SUMIF(adj!$C$31:$C$640,$A96,adj!L$31:L$640)</f>
        <v>0</v>
      </c>
      <c r="L96" s="34">
        <f>SUMIF(adj!$C$3:$C$640,$A96,adj!E$3:E$640)</f>
        <v>0</v>
      </c>
      <c r="M96" s="34">
        <f>SUMIF(adj!$C$3:$C$640,$A96,adj!F$3:F$640)</f>
        <v>0</v>
      </c>
      <c r="N96" s="34">
        <f>SUMIF(adj!$C$3:$C$640,$A96,adj!G$3:G$640)</f>
        <v>0</v>
      </c>
    </row>
    <row r="97" spans="1:16" s="412" customFormat="1">
      <c r="A97" s="599" t="s">
        <v>1652</v>
      </c>
      <c r="B97" s="137" t="str">
        <f>DataNamePlant2 &amp; " Fixed Exp Per Facility"</f>
        <v>Property Fixed Exp Per Facility</v>
      </c>
      <c r="C97" s="412" t="s">
        <v>677</v>
      </c>
      <c r="D97" s="429">
        <v>5000000</v>
      </c>
      <c r="E97" s="412">
        <f t="shared" si="21"/>
        <v>5000000</v>
      </c>
      <c r="F97" s="412">
        <f t="shared" si="22"/>
        <v>5000000</v>
      </c>
      <c r="G97" s="412">
        <f t="shared" si="23"/>
        <v>5000000</v>
      </c>
      <c r="H97" s="412" t="s">
        <v>1647</v>
      </c>
      <c r="I97" s="509">
        <f>COUNTIF(adj!$C$31:$C$640,$A97)</f>
        <v>0</v>
      </c>
      <c r="J97" s="137">
        <f>SUMIF(adj!$C$31:$C$640,$A97,adj!L$31:L$640)</f>
        <v>0</v>
      </c>
      <c r="L97" s="34">
        <f>SUMIF(adj!$C$3:$C$640,$A97,adj!E$3:E$640)</f>
        <v>0</v>
      </c>
      <c r="M97" s="34">
        <f>SUMIF(adj!$C$3:$C$640,$A97,adj!F$3:F$640)</f>
        <v>0</v>
      </c>
      <c r="N97" s="34">
        <f>SUMIF(adj!$C$3:$C$640,$A97,adj!G$3:G$640)</f>
        <v>0</v>
      </c>
    </row>
    <row r="98" spans="1:16" s="34" customFormat="1">
      <c r="A98" s="599" t="s">
        <v>1653</v>
      </c>
      <c r="B98" s="137" t="str">
        <f>DataNamePlant2 &amp; " Sales Price (% of Book)"</f>
        <v>Property Sales Price (% of Book)</v>
      </c>
      <c r="C98" s="34" t="s">
        <v>677</v>
      </c>
      <c r="D98" s="410">
        <v>0.7</v>
      </c>
      <c r="E98" s="412">
        <f t="shared" si="21"/>
        <v>0.7</v>
      </c>
      <c r="F98" s="412">
        <f t="shared" si="22"/>
        <v>0.7</v>
      </c>
      <c r="G98" s="412">
        <f t="shared" si="23"/>
        <v>0.7</v>
      </c>
      <c r="H98" s="34" t="s">
        <v>1648</v>
      </c>
      <c r="I98" s="34">
        <f>COUNTIF(adj!$C$31:$C$640,$A98)</f>
        <v>0</v>
      </c>
      <c r="J98" s="137">
        <f>SUMIF(adj!$C$31:$C$640,$A98,adj!L$31:L$640)</f>
        <v>0</v>
      </c>
      <c r="L98" s="34">
        <f>SUMIF(adj!$C$3:$C$640,$A98,adj!E$3:E$640)</f>
        <v>0</v>
      </c>
      <c r="M98" s="34">
        <f>SUMIF(adj!$C$3:$C$640,$A98,adj!F$3:F$640)</f>
        <v>0</v>
      </c>
      <c r="N98" s="34">
        <f>SUMIF(adj!$C$3:$C$640,$A98,adj!G$3:G$640)</f>
        <v>0</v>
      </c>
      <c r="P98" s="596"/>
    </row>
    <row r="99" spans="1:16" s="34" customFormat="1">
      <c r="A99" s="599" t="s">
        <v>1681</v>
      </c>
      <c r="B99" s="34" t="str">
        <f>DataNamePlant2 &amp; " Deprecation Rate"</f>
        <v>Property Deprecation Rate</v>
      </c>
      <c r="C99" s="34" t="s">
        <v>677</v>
      </c>
      <c r="D99" s="219">
        <v>0.1</v>
      </c>
      <c r="E99" s="412">
        <f t="shared" si="21"/>
        <v>0.1</v>
      </c>
      <c r="F99" s="412">
        <f t="shared" si="22"/>
        <v>0.1</v>
      </c>
      <c r="G99" s="412">
        <f t="shared" si="23"/>
        <v>0.1</v>
      </c>
      <c r="H99" s="34" t="s">
        <v>1682</v>
      </c>
      <c r="I99" s="34">
        <f>COUNTIF(adj!$C$31:$C$640,$A99)</f>
        <v>0</v>
      </c>
      <c r="J99" s="137">
        <f>SUMIF(adj!$C$31:$C$640,$A99,adj!L$31:L$640)</f>
        <v>0</v>
      </c>
      <c r="L99" s="34">
        <f>SUMIF(adj!$C$3:$C$640,$A99,adj!E$3:E$640)</f>
        <v>0</v>
      </c>
      <c r="M99" s="34">
        <f>SUMIF(adj!$C$3:$C$640,$A99,adj!F$3:F$640)</f>
        <v>0</v>
      </c>
      <c r="N99" s="34">
        <f>SUMIF(adj!$C$3:$C$640,$A99,adj!G$3:G$640)</f>
        <v>0</v>
      </c>
    </row>
    <row r="100" spans="1:16" s="34" customFormat="1">
      <c r="A100" s="599"/>
      <c r="D100" s="219"/>
      <c r="E100" s="412">
        <f t="shared" si="21"/>
        <v>0</v>
      </c>
      <c r="F100" s="412">
        <f t="shared" si="22"/>
        <v>0</v>
      </c>
      <c r="G100" s="412">
        <f t="shared" si="23"/>
        <v>0</v>
      </c>
      <c r="J100" s="137"/>
      <c r="L100" s="34">
        <f>SUMIF(adj!$C$3:$C$640,$A100,adj!E$3:E$640)</f>
        <v>0</v>
      </c>
      <c r="M100" s="34">
        <f>SUMIF(adj!$C$3:$C$640,$A100,adj!F$3:F$640)</f>
        <v>0</v>
      </c>
      <c r="N100" s="34">
        <f>SUMIF(adj!$C$3:$C$640,$A100,adj!G$3:G$640)</f>
        <v>0</v>
      </c>
    </row>
    <row r="101" spans="1:16" s="34" customFormat="1">
      <c r="A101" s="412"/>
      <c r="B101" s="285" t="s">
        <v>1684</v>
      </c>
      <c r="E101" s="412">
        <f t="shared" si="21"/>
        <v>0</v>
      </c>
      <c r="F101" s="412">
        <f t="shared" si="22"/>
        <v>0</v>
      </c>
      <c r="G101" s="412">
        <f t="shared" si="23"/>
        <v>0</v>
      </c>
      <c r="I101" s="34">
        <f>COUNTIF(adj!$C$31:$C$640,$A101)</f>
        <v>0</v>
      </c>
      <c r="J101" s="137">
        <f>SUMIF(adj!$C$31:$C$640,$A101,adj!L$31:L$640)</f>
        <v>0</v>
      </c>
      <c r="L101" s="34">
        <f>SUMIF(adj!$C$3:$C$640,$A101,adj!E$3:E$640)</f>
        <v>0</v>
      </c>
      <c r="M101" s="34">
        <f>SUMIF(adj!$C$3:$C$640,$A101,adj!F$3:F$640)</f>
        <v>0</v>
      </c>
      <c r="N101" s="34">
        <f>SUMIF(adj!$C$3:$C$640,$A101,adj!G$3:G$640)</f>
        <v>0</v>
      </c>
    </row>
    <row r="102" spans="1:16" s="34" customFormat="1">
      <c r="A102" s="599" t="s">
        <v>1686</v>
      </c>
      <c r="B102" s="566" t="str">
        <f>"Base Software Asset Value - "&amp; DataNameProd1</f>
        <v>Base Software Asset Value - Growth</v>
      </c>
      <c r="C102" s="34" t="s">
        <v>677</v>
      </c>
      <c r="D102" s="599">
        <f>571880000*0.4</f>
        <v>228752000</v>
      </c>
      <c r="E102" s="412">
        <f t="shared" si="21"/>
        <v>228752000</v>
      </c>
      <c r="F102" s="412">
        <f t="shared" si="22"/>
        <v>228752000</v>
      </c>
      <c r="G102" s="412">
        <f t="shared" si="23"/>
        <v>228752000</v>
      </c>
      <c r="H102" s="566" t="s">
        <v>1692</v>
      </c>
      <c r="I102" s="34">
        <f>COUNTIF(adj!$C$31:$C$640,$A102)</f>
        <v>0</v>
      </c>
      <c r="J102" s="137">
        <f>SUMIF(adj!$C$31:$C$640,$A102,adj!L$31:L$640)</f>
        <v>0</v>
      </c>
      <c r="L102" s="34">
        <f>SUMIF(adj!$C$3:$C$640,$A102,adj!E$3:E$640)</f>
        <v>0</v>
      </c>
      <c r="M102" s="34">
        <f>SUMIF(adj!$C$3:$C$640,$A102,adj!F$3:F$640)</f>
        <v>0</v>
      </c>
      <c r="N102" s="34">
        <f>SUMIF(adj!$C$3:$C$640,$A102,adj!G$3:G$640)</f>
        <v>0</v>
      </c>
    </row>
    <row r="103" spans="1:16" s="34" customFormat="1">
      <c r="A103" s="599" t="s">
        <v>1687</v>
      </c>
      <c r="B103" s="566" t="str">
        <f>"Base Software Asset Value - "&amp; DataNameProd2</f>
        <v>Base Software Asset Value - Transform</v>
      </c>
      <c r="C103" s="34" t="s">
        <v>677</v>
      </c>
      <c r="D103" s="599">
        <f>571880000*0.6</f>
        <v>343128000</v>
      </c>
      <c r="E103" s="412">
        <f t="shared" si="21"/>
        <v>343128000</v>
      </c>
      <c r="F103" s="412">
        <f t="shared" si="22"/>
        <v>343128000</v>
      </c>
      <c r="G103" s="412">
        <f t="shared" si="23"/>
        <v>343128000</v>
      </c>
      <c r="H103" s="566" t="s">
        <v>1693</v>
      </c>
      <c r="I103" s="34">
        <f>COUNTIF(adj!$C$31:$C$640,$A103)</f>
        <v>0</v>
      </c>
      <c r="J103" s="137">
        <f>SUMIF(adj!$C$31:$C$640,$A103,adj!L$31:L$640)</f>
        <v>0</v>
      </c>
      <c r="L103" s="34">
        <f>SUMIF(adj!$C$3:$C$640,$A103,adj!E$3:E$640)</f>
        <v>0</v>
      </c>
      <c r="M103" s="34">
        <f>SUMIF(adj!$C$3:$C$640,$A103,adj!F$3:F$640)</f>
        <v>0</v>
      </c>
      <c r="N103" s="34">
        <f>SUMIF(adj!$C$3:$C$640,$A103,adj!G$3:G$640)</f>
        <v>0</v>
      </c>
    </row>
    <row r="104" spans="1:16" s="34" customFormat="1">
      <c r="A104" s="599" t="s">
        <v>1688</v>
      </c>
      <c r="B104" s="566" t="s">
        <v>1685</v>
      </c>
      <c r="C104" s="34" t="s">
        <v>677</v>
      </c>
      <c r="D104" s="592">
        <v>0.7</v>
      </c>
      <c r="E104" s="412">
        <f t="shared" si="21"/>
        <v>0.7</v>
      </c>
      <c r="F104" s="412">
        <f t="shared" si="22"/>
        <v>0.7</v>
      </c>
      <c r="G104" s="412">
        <f t="shared" si="23"/>
        <v>0.7</v>
      </c>
      <c r="H104" s="566" t="s">
        <v>1564</v>
      </c>
      <c r="I104" s="34">
        <f>COUNTIF(adj!$C$31:$C$640,$A104)</f>
        <v>0</v>
      </c>
      <c r="J104" s="137">
        <f>SUMIF(adj!$C$31:$C$640,$A104,adj!L$31:L$640)</f>
        <v>0</v>
      </c>
      <c r="L104" s="34">
        <f>SUMIF(adj!$C$3:$C$640,$A104,adj!E$3:E$640)</f>
        <v>0</v>
      </c>
      <c r="M104" s="34">
        <f>SUMIF(adj!$C$3:$C$640,$A104,adj!F$3:F$640)</f>
        <v>0</v>
      </c>
      <c r="N104" s="34">
        <f>SUMIF(adj!$C$3:$C$640,$A104,adj!G$3:G$640)</f>
        <v>0</v>
      </c>
    </row>
    <row r="105" spans="1:16" s="34" customFormat="1">
      <c r="A105" s="599" t="s">
        <v>1691</v>
      </c>
      <c r="B105" s="566" t="s">
        <v>1702</v>
      </c>
      <c r="C105" s="34" t="s">
        <v>677</v>
      </c>
      <c r="D105" s="410">
        <v>0.2</v>
      </c>
      <c r="E105" s="412">
        <f t="shared" si="21"/>
        <v>0.2</v>
      </c>
      <c r="F105" s="412">
        <f t="shared" si="22"/>
        <v>0.2</v>
      </c>
      <c r="G105" s="412">
        <f t="shared" si="23"/>
        <v>0.2</v>
      </c>
      <c r="H105" s="566" t="s">
        <v>1703</v>
      </c>
      <c r="I105" s="34">
        <f>COUNTIF(adj!$C$31:$C$640,$A105)</f>
        <v>0</v>
      </c>
      <c r="J105" s="137">
        <f>SUMIF(adj!$C$31:$C$640,$A105,adj!L$31:L$640)</f>
        <v>0</v>
      </c>
      <c r="L105" s="34">
        <f>SUMIF(adj!$C$3:$C$640,$A105,adj!E$3:E$640)</f>
        <v>0</v>
      </c>
      <c r="M105" s="34">
        <f>SUMIF(adj!$C$3:$C$640,$A105,adj!F$3:F$640)</f>
        <v>0</v>
      </c>
      <c r="N105" s="34">
        <f>SUMIF(adj!$C$3:$C$640,$A105,adj!G$3:G$640)</f>
        <v>0</v>
      </c>
    </row>
    <row r="106" spans="1:16" s="34" customFormat="1">
      <c r="A106" s="412"/>
      <c r="D106" s="523"/>
      <c r="E106" s="412">
        <f t="shared" si="21"/>
        <v>0</v>
      </c>
      <c r="F106" s="412">
        <f t="shared" si="22"/>
        <v>0</v>
      </c>
      <c r="G106" s="412">
        <f t="shared" si="23"/>
        <v>0</v>
      </c>
      <c r="I106" s="34">
        <f>COUNTIF(adj!$C$31:$C$640,$A106)</f>
        <v>0</v>
      </c>
      <c r="J106" s="137">
        <f>SUMIF(adj!$C$31:$C$640,$A106,adj!L$31:L$640)</f>
        <v>0</v>
      </c>
      <c r="L106" s="34">
        <f>SUMIF(adj!$C$3:$C$640,$A106,adj!E$3:E$640)</f>
        <v>0</v>
      </c>
      <c r="M106" s="34">
        <f>SUMIF(adj!$C$3:$C$640,$A106,adj!F$3:F$640)</f>
        <v>0</v>
      </c>
      <c r="N106" s="34">
        <f>SUMIF(adj!$C$3:$C$640,$A106,adj!G$3:G$640)</f>
        <v>0</v>
      </c>
    </row>
    <row r="107" spans="1:16" s="34" customFormat="1">
      <c r="A107" s="412"/>
      <c r="B107" s="285" t="s">
        <v>1128</v>
      </c>
      <c r="E107" s="412">
        <f t="shared" si="21"/>
        <v>0</v>
      </c>
      <c r="F107" s="412">
        <f t="shared" si="22"/>
        <v>0</v>
      </c>
      <c r="G107" s="412">
        <f t="shared" si="23"/>
        <v>0</v>
      </c>
      <c r="I107" s="34">
        <f>COUNTIF(adj!$C$31:$C$640,$A107)</f>
        <v>0</v>
      </c>
      <c r="J107" s="137">
        <f>SUMIF(adj!$C$31:$C$640,$A107,adj!L$31:L$640)</f>
        <v>0</v>
      </c>
      <c r="L107" s="34">
        <f>SUMIF(adj!$C$3:$C$640,$A107,adj!E$3:E$640)</f>
        <v>0</v>
      </c>
      <c r="M107" s="34">
        <f>SUMIF(adj!$C$3:$C$640,$A107,adj!F$3:F$640)</f>
        <v>0</v>
      </c>
      <c r="N107" s="34">
        <f>SUMIF(adj!$C$3:$C$640,$A107,adj!G$3:G$640)</f>
        <v>0</v>
      </c>
      <c r="P107" s="596"/>
    </row>
    <row r="108" spans="1:16" s="34" customFormat="1">
      <c r="A108" s="580" t="s">
        <v>1464</v>
      </c>
      <c r="B108" s="34" t="s">
        <v>955</v>
      </c>
      <c r="C108" s="34" t="s">
        <v>677</v>
      </c>
      <c r="D108" s="412">
        <v>5</v>
      </c>
      <c r="E108" s="412">
        <f t="shared" si="21"/>
        <v>5</v>
      </c>
      <c r="F108" s="412">
        <f t="shared" si="22"/>
        <v>5</v>
      </c>
      <c r="G108" s="412">
        <f t="shared" si="23"/>
        <v>5</v>
      </c>
      <c r="H108" s="566" t="s">
        <v>1468</v>
      </c>
      <c r="I108" s="34">
        <f>COUNTIF(adj!$C$31:$C$640,$A108)</f>
        <v>0</v>
      </c>
      <c r="J108" s="137">
        <f>SUMIF(adj!$C$31:$C$640,$A108,adj!L$31:L$640)</f>
        <v>0</v>
      </c>
      <c r="L108" s="34">
        <f>SUMIF(adj!$C$3:$C$640,$A108,adj!E$3:E$640)</f>
        <v>0</v>
      </c>
      <c r="M108" s="34">
        <f>SUMIF(adj!$C$3:$C$640,$A108,adj!F$3:F$640)</f>
        <v>0</v>
      </c>
      <c r="N108" s="34">
        <f>SUMIF(adj!$C$3:$C$640,$A108,adj!G$3:G$640)</f>
        <v>0</v>
      </c>
    </row>
    <row r="109" spans="1:16" s="34" customFormat="1">
      <c r="A109" s="580" t="s">
        <v>1465</v>
      </c>
      <c r="B109" s="566" t="s">
        <v>1466</v>
      </c>
      <c r="C109" s="34" t="s">
        <v>677</v>
      </c>
      <c r="D109" s="412">
        <v>5</v>
      </c>
      <c r="E109" s="412">
        <f t="shared" si="21"/>
        <v>5</v>
      </c>
      <c r="F109" s="412">
        <f t="shared" si="22"/>
        <v>5</v>
      </c>
      <c r="G109" s="412">
        <f t="shared" si="23"/>
        <v>5</v>
      </c>
      <c r="H109" s="566" t="s">
        <v>1467</v>
      </c>
      <c r="I109" s="34">
        <f>COUNTIF(adj!$C$31:$C$640,$A109)</f>
        <v>0</v>
      </c>
      <c r="J109" s="137">
        <f>SUMIF(adj!$C$31:$C$640,$A109,adj!L$31:L$640)</f>
        <v>0</v>
      </c>
      <c r="L109" s="34">
        <f>SUMIF(adj!$C$3:$C$640,$A109,adj!E$3:E$640)</f>
        <v>0</v>
      </c>
      <c r="M109" s="34">
        <f>SUMIF(adj!$C$3:$C$640,$A109,adj!F$3:F$640)</f>
        <v>0</v>
      </c>
      <c r="N109" s="34">
        <f>SUMIF(adj!$C$3:$C$640,$A109,adj!G$3:G$640)</f>
        <v>0</v>
      </c>
    </row>
    <row r="110" spans="1:16" s="34" customFormat="1">
      <c r="A110" s="599" t="s">
        <v>1469</v>
      </c>
      <c r="B110" s="566" t="s">
        <v>1492</v>
      </c>
      <c r="C110" s="34" t="s">
        <v>677</v>
      </c>
      <c r="D110" s="580">
        <v>10</v>
      </c>
      <c r="E110" s="412">
        <f t="shared" si="21"/>
        <v>10</v>
      </c>
      <c r="F110" s="412">
        <f t="shared" si="22"/>
        <v>10</v>
      </c>
      <c r="G110" s="412">
        <f t="shared" si="23"/>
        <v>10</v>
      </c>
      <c r="H110" s="566" t="s">
        <v>1470</v>
      </c>
      <c r="I110" s="34">
        <f>COUNTIF(adj!$C$31:$C$640,$A110)</f>
        <v>0</v>
      </c>
      <c r="J110" s="137">
        <f>SUMIF(adj!$C$31:$C$640,$A110,adj!L$31:L$640)</f>
        <v>0</v>
      </c>
      <c r="L110" s="34">
        <f>SUMIF(adj!$C$3:$C$640,$A110,adj!E$3:E$640)</f>
        <v>0</v>
      </c>
      <c r="M110" s="34">
        <f>SUMIF(adj!$C$3:$C$640,$A110,adj!F$3:F$640)</f>
        <v>0</v>
      </c>
      <c r="N110" s="34">
        <f>SUMIF(adj!$C$3:$C$640,$A110,adj!G$3:G$640)</f>
        <v>0</v>
      </c>
    </row>
    <row r="111" spans="1:16" s="34" customFormat="1">
      <c r="A111" s="599" t="s">
        <v>1475</v>
      </c>
      <c r="B111" s="566" t="s">
        <v>1493</v>
      </c>
      <c r="C111" s="34" t="s">
        <v>677</v>
      </c>
      <c r="D111" s="580">
        <v>150</v>
      </c>
      <c r="E111" s="412">
        <f t="shared" si="21"/>
        <v>150</v>
      </c>
      <c r="F111" s="412">
        <f t="shared" si="22"/>
        <v>150</v>
      </c>
      <c r="G111" s="412">
        <f t="shared" si="23"/>
        <v>150</v>
      </c>
      <c r="H111" s="566" t="s">
        <v>1494</v>
      </c>
      <c r="I111" s="34">
        <f>COUNTIF(adj!$C$31:$C$640,$A111)</f>
        <v>11</v>
      </c>
      <c r="J111" s="137">
        <f>SUMIF(adj!$C$31:$C$640,$A111,adj!L$31:L$640)</f>
        <v>-0.32000000000000006</v>
      </c>
      <c r="L111" s="34">
        <f>SUMIF(adj!$C$3:$C$640,$A111,adj!E$3:E$640)</f>
        <v>0</v>
      </c>
      <c r="M111" s="34">
        <f>SUMIF(adj!$C$3:$C$640,$A111,adj!F$3:F$640)</f>
        <v>0</v>
      </c>
      <c r="N111" s="34">
        <f>SUMIF(adj!$C$3:$C$640,$A111,adj!G$3:G$640)</f>
        <v>0</v>
      </c>
    </row>
    <row r="112" spans="1:16" s="34" customFormat="1">
      <c r="A112" s="599" t="s">
        <v>1495</v>
      </c>
      <c r="B112" s="566" t="s">
        <v>1496</v>
      </c>
      <c r="C112" s="34" t="s">
        <v>677</v>
      </c>
      <c r="D112" s="580">
        <v>5000</v>
      </c>
      <c r="E112" s="412">
        <f t="shared" si="21"/>
        <v>5000</v>
      </c>
      <c r="F112" s="412">
        <f t="shared" si="22"/>
        <v>5000</v>
      </c>
      <c r="G112" s="412">
        <f t="shared" si="23"/>
        <v>5000</v>
      </c>
      <c r="H112" s="566" t="s">
        <v>1497</v>
      </c>
      <c r="I112" s="34">
        <f>COUNTIF(adj!$C$31:$C$640,$A112)</f>
        <v>12</v>
      </c>
      <c r="J112" s="137">
        <f>SUMIF(adj!$C$31:$C$640,$A112,adj!L$31:L$640)</f>
        <v>-0.32000000000000006</v>
      </c>
      <c r="L112" s="34">
        <f>SUMIF(adj!$C$3:$C$640,$A112,adj!E$3:E$640)</f>
        <v>0</v>
      </c>
      <c r="M112" s="34">
        <f>SUMIF(adj!$C$3:$C$640,$A112,adj!F$3:F$640)</f>
        <v>0</v>
      </c>
      <c r="N112" s="34">
        <f>SUMIF(adj!$C$3:$C$640,$A112,adj!G$3:G$640)</f>
        <v>0</v>
      </c>
    </row>
    <row r="113" spans="1:14" s="34" customFormat="1">
      <c r="A113" s="599" t="s">
        <v>1563</v>
      </c>
      <c r="B113" s="566" t="s">
        <v>1566</v>
      </c>
      <c r="C113" s="34" t="s">
        <v>677</v>
      </c>
      <c r="D113" s="580">
        <v>225000</v>
      </c>
      <c r="E113" s="412">
        <f t="shared" si="21"/>
        <v>225000</v>
      </c>
      <c r="F113" s="412">
        <f t="shared" si="22"/>
        <v>225000</v>
      </c>
      <c r="G113" s="412">
        <f t="shared" si="23"/>
        <v>225000</v>
      </c>
      <c r="H113" s="566" t="s">
        <v>1567</v>
      </c>
      <c r="I113" s="34">
        <f>COUNTIF(adj!$C$31:$C$640,$A113)</f>
        <v>0</v>
      </c>
      <c r="J113" s="137">
        <f>SUMIF(adj!$C$31:$C$640,$A113,adj!L$31:L$640)</f>
        <v>0</v>
      </c>
      <c r="L113" s="34">
        <f>SUMIF(adj!$C$3:$C$640,$A113,adj!E$3:E$640)</f>
        <v>0</v>
      </c>
      <c r="M113" s="34">
        <f>SUMIF(adj!$C$3:$C$640,$A113,adj!F$3:F$640)</f>
        <v>0</v>
      </c>
      <c r="N113" s="34">
        <f>SUMIF(adj!$C$3:$C$640,$A113,adj!G$3:G$640)</f>
        <v>0</v>
      </c>
    </row>
    <row r="114" spans="1:14" s="34" customFormat="1">
      <c r="A114" s="599" t="s">
        <v>1725</v>
      </c>
      <c r="B114" s="566" t="s">
        <v>1726</v>
      </c>
      <c r="C114" s="34" t="s">
        <v>677</v>
      </c>
      <c r="D114" s="421">
        <v>3.5000000000000003E-2</v>
      </c>
      <c r="E114" s="412">
        <f t="shared" si="21"/>
        <v>3.5000000000000003E-2</v>
      </c>
      <c r="F114" s="412">
        <f t="shared" si="22"/>
        <v>3.5000000000000003E-2</v>
      </c>
      <c r="G114" s="412">
        <f t="shared" si="23"/>
        <v>3.5000000000000003E-2</v>
      </c>
      <c r="H114" s="566" t="s">
        <v>1727</v>
      </c>
      <c r="I114" s="34">
        <f>COUNTIF(adj!$C$31:$C$640,$A114)</f>
        <v>0</v>
      </c>
      <c r="J114" s="137">
        <f>SUMIF(adj!$C$31:$C$640,$A114,adj!L$31:L$640)</f>
        <v>0</v>
      </c>
      <c r="L114" s="34">
        <f>SUMIF(adj!$C$3:$C$640,$A114,adj!E$3:E$640)</f>
        <v>0</v>
      </c>
      <c r="M114" s="34">
        <f>SUMIF(adj!$C$3:$C$640,$A114,adj!F$3:F$640)</f>
        <v>0</v>
      </c>
      <c r="N114" s="34">
        <f>SUMIF(adj!$C$3:$C$640,$A114,adj!G$3:G$640)</f>
        <v>0</v>
      </c>
    </row>
    <row r="115" spans="1:14" s="34" customFormat="1">
      <c r="A115" s="599" t="s">
        <v>1975</v>
      </c>
      <c r="B115" s="566" t="s">
        <v>1943</v>
      </c>
      <c r="C115" s="34" t="s">
        <v>677</v>
      </c>
      <c r="D115" s="610">
        <v>0.55000000000000004</v>
      </c>
      <c r="E115" s="505">
        <f t="shared" si="21"/>
        <v>0.55000000000000004</v>
      </c>
      <c r="F115" s="505">
        <f t="shared" si="22"/>
        <v>0.55000000000000004</v>
      </c>
      <c r="G115" s="505">
        <f t="shared" si="23"/>
        <v>0.55000000000000004</v>
      </c>
      <c r="H115" s="566" t="s">
        <v>1944</v>
      </c>
      <c r="I115" s="34">
        <f>COUNTIF(adj!$C$31:$C$640,$A115)</f>
        <v>0</v>
      </c>
      <c r="J115" s="137">
        <f>SUMIF(adj!$C$31:$C$640,$A115,adj!L$31:L$640)</f>
        <v>0</v>
      </c>
      <c r="L115" s="34">
        <f>SUMIF(adj!$C$3:$C$640,$A115,adj!E$3:E$640)</f>
        <v>0</v>
      </c>
      <c r="M115" s="34">
        <f>SUMIF(adj!$C$3:$C$640,$A115,adj!F$3:F$640)</f>
        <v>0</v>
      </c>
      <c r="N115" s="34">
        <f>SUMIF(adj!$C$3:$C$640,$A115,adj!G$3:G$640)</f>
        <v>0</v>
      </c>
    </row>
    <row r="116" spans="1:14" s="34" customFormat="1">
      <c r="A116" s="599" t="s">
        <v>1976</v>
      </c>
      <c r="B116" s="566" t="s">
        <v>1977</v>
      </c>
      <c r="C116" s="566" t="s">
        <v>1001</v>
      </c>
      <c r="D116" s="423">
        <v>5</v>
      </c>
      <c r="E116" s="412">
        <f t="shared" ref="E116" si="33">$D116*(1+L116*($C116="R"))+L116*($C116="A")</f>
        <v>5</v>
      </c>
      <c r="F116" s="412">
        <f t="shared" ref="F116" si="34">$D116*(1+M116*($C116="R"))+M116*($C116="A")</f>
        <v>5</v>
      </c>
      <c r="G116" s="412">
        <f t="shared" ref="G116" si="35">$D116*(1+N116*($C116="R"))+N116*($C116="A")</f>
        <v>5</v>
      </c>
      <c r="H116" s="566" t="s">
        <v>1978</v>
      </c>
      <c r="I116" s="34">
        <f>COUNTIF(adj!$C$31:$C$640,$A116)</f>
        <v>0</v>
      </c>
      <c r="J116" s="137">
        <f>SUMIF(adj!$C$31:$C$640,$A116,adj!L$31:L$640)</f>
        <v>0</v>
      </c>
      <c r="L116" s="34">
        <f>SUMIF(adj!$C$3:$C$640,$A116,adj!E$3:E$640)</f>
        <v>0</v>
      </c>
      <c r="M116" s="34">
        <f>SUMIF(adj!$C$3:$C$640,$A116,adj!F$3:F$640)</f>
        <v>0</v>
      </c>
      <c r="N116" s="34">
        <f>SUMIF(adj!$C$3:$C$640,$A116,adj!G$3:G$640)</f>
        <v>0</v>
      </c>
    </row>
    <row r="117" spans="1:14" s="34" customFormat="1">
      <c r="A117" s="599" t="s">
        <v>1982</v>
      </c>
      <c r="B117" s="566" t="s">
        <v>1983</v>
      </c>
      <c r="C117" s="566" t="s">
        <v>1001</v>
      </c>
      <c r="D117" s="423">
        <v>5000000</v>
      </c>
      <c r="E117" s="412">
        <f t="shared" ref="E117" si="36">$D117*(1+L117*($C117="R"))+L117*($C117="A")</f>
        <v>5000000</v>
      </c>
      <c r="F117" s="412">
        <f t="shared" ref="F117" si="37">$D117*(1+M117*($C117="R"))+M117*($C117="A")</f>
        <v>5000000</v>
      </c>
      <c r="G117" s="412">
        <f t="shared" ref="G117" si="38">$D117*(1+N117*($C117="R"))+N117*($C117="A")</f>
        <v>5000000</v>
      </c>
      <c r="H117" s="566" t="s">
        <v>1984</v>
      </c>
      <c r="I117" s="34">
        <f>COUNTIF(adj!$C$31:$C$640,$A117)</f>
        <v>0</v>
      </c>
      <c r="J117" s="137">
        <f>SUMIF(adj!$C$31:$C$640,$A117,adj!L$31:L$640)</f>
        <v>0</v>
      </c>
      <c r="L117" s="34">
        <f>SUMIF(adj!$C$3:$C$640,$A117,adj!E$3:E$640)</f>
        <v>0</v>
      </c>
      <c r="M117" s="34">
        <f>SUMIF(adj!$C$3:$C$640,$A117,adj!F$3:F$640)</f>
        <v>0</v>
      </c>
      <c r="N117" s="34">
        <f>SUMIF(adj!$C$3:$C$640,$A117,adj!G$3:G$640)</f>
        <v>0</v>
      </c>
    </row>
    <row r="118" spans="1:14" s="34" customFormat="1">
      <c r="A118" s="599" t="s">
        <v>2006</v>
      </c>
      <c r="B118" s="566" t="s">
        <v>2007</v>
      </c>
      <c r="C118" s="566" t="s">
        <v>1001</v>
      </c>
      <c r="D118" s="423">
        <v>10000000</v>
      </c>
      <c r="E118" s="412">
        <f t="shared" ref="E118" si="39">$D118*(1+L118*($C118="R"))+L118*($C118="A")</f>
        <v>10000000</v>
      </c>
      <c r="F118" s="412">
        <f t="shared" ref="F118" si="40">$D118*(1+M118*($C118="R"))+M118*($C118="A")</f>
        <v>10000000</v>
      </c>
      <c r="G118" s="412">
        <f t="shared" ref="G118" si="41">$D118*(1+N118*($C118="R"))+N118*($C118="A")</f>
        <v>10000000</v>
      </c>
      <c r="H118" s="566" t="s">
        <v>2008</v>
      </c>
      <c r="I118" s="34">
        <f>COUNTIF(adj!$C$31:$C$640,$A118)</f>
        <v>0</v>
      </c>
      <c r="J118" s="137">
        <f>SUMIF(adj!$C$31:$C$640,$A118,adj!L$31:L$640)</f>
        <v>0</v>
      </c>
      <c r="L118" s="34">
        <f>SUMIF(adj!$C$3:$C$640,$A118,adj!E$3:E$640)</f>
        <v>0</v>
      </c>
      <c r="M118" s="34">
        <f>SUMIF(adj!$C$3:$C$640,$A118,adj!F$3:F$640)</f>
        <v>0</v>
      </c>
      <c r="N118" s="34">
        <f>SUMIF(adj!$C$3:$C$640,$A118,adj!G$3:G$640)</f>
        <v>0</v>
      </c>
    </row>
    <row r="119" spans="1:14" s="34" customFormat="1">
      <c r="A119" s="599" t="s">
        <v>2013</v>
      </c>
      <c r="B119" s="566" t="s">
        <v>2014</v>
      </c>
      <c r="C119" s="566" t="s">
        <v>1001</v>
      </c>
      <c r="D119" s="423">
        <v>2000000</v>
      </c>
      <c r="E119" s="412">
        <f t="shared" ref="E119" si="42">$D119*(1+L119*($C119="R"))+L119*($C119="A")</f>
        <v>2000000</v>
      </c>
      <c r="F119" s="412">
        <f t="shared" ref="F119" si="43">$D119*(1+M119*($C119="R"))+M119*($C119="A")</f>
        <v>2000000</v>
      </c>
      <c r="G119" s="412">
        <f t="shared" ref="G119" si="44">$D119*(1+N119*($C119="R"))+N119*($C119="A")</f>
        <v>2000000</v>
      </c>
      <c r="H119" s="566" t="s">
        <v>2015</v>
      </c>
      <c r="I119" s="34">
        <f>COUNTIF(adj!$C$31:$C$640,$A119)</f>
        <v>0</v>
      </c>
      <c r="J119" s="137">
        <f>SUMIF(adj!$C$31:$C$640,$A119,adj!L$31:L$640)</f>
        <v>0</v>
      </c>
      <c r="L119" s="34">
        <f>SUMIF(adj!$C$3:$C$640,$A119,adj!E$3:E$640)</f>
        <v>0</v>
      </c>
      <c r="M119" s="34">
        <f>SUMIF(adj!$C$3:$C$640,$A119,adj!F$3:F$640)</f>
        <v>0</v>
      </c>
      <c r="N119" s="34">
        <f>SUMIF(adj!$C$3:$C$640,$A119,adj!G$3:G$640)</f>
        <v>0</v>
      </c>
    </row>
    <row r="120" spans="1:14" s="34" customFormat="1">
      <c r="A120" s="599" t="s">
        <v>2103</v>
      </c>
      <c r="B120" s="34" t="s">
        <v>1129</v>
      </c>
      <c r="C120" s="34" t="s">
        <v>677</v>
      </c>
      <c r="D120" s="420">
        <v>0.3</v>
      </c>
      <c r="E120" s="412">
        <f t="shared" si="21"/>
        <v>0.3</v>
      </c>
      <c r="F120" s="412">
        <f t="shared" si="22"/>
        <v>0.3</v>
      </c>
      <c r="G120" s="412">
        <f t="shared" si="23"/>
        <v>0.3</v>
      </c>
      <c r="H120" s="34" t="s">
        <v>892</v>
      </c>
      <c r="I120" s="34">
        <f>COUNTIF(adj!$C$31:$C$640,$A120)</f>
        <v>0</v>
      </c>
      <c r="J120" s="137">
        <f>SUMIF(adj!$C$31:$C$640,$A120,adj!L$31:L$640)</f>
        <v>0</v>
      </c>
      <c r="L120" s="34">
        <f>SUMIF(adj!$C$3:$C$640,$A120,adj!E$3:E$640)</f>
        <v>0</v>
      </c>
      <c r="M120" s="34">
        <f>SUMIF(adj!$C$3:$C$640,$A120,adj!F$3:F$640)</f>
        <v>0</v>
      </c>
      <c r="N120" s="34">
        <f>SUMIF(adj!$C$3:$C$640,$A120,adj!G$3:G$640)</f>
        <v>0</v>
      </c>
    </row>
    <row r="121" spans="1:14" s="34" customFormat="1">
      <c r="A121" s="599" t="s">
        <v>2104</v>
      </c>
      <c r="B121" s="34" t="s">
        <v>888</v>
      </c>
      <c r="C121" s="34" t="s">
        <v>677</v>
      </c>
      <c r="D121" s="421">
        <v>0.02</v>
      </c>
      <c r="E121" s="412">
        <f t="shared" si="21"/>
        <v>0.02</v>
      </c>
      <c r="F121" s="412">
        <f t="shared" si="22"/>
        <v>0.02</v>
      </c>
      <c r="G121" s="412">
        <f t="shared" si="23"/>
        <v>0.02</v>
      </c>
      <c r="H121" s="34" t="s">
        <v>889</v>
      </c>
      <c r="I121" s="34">
        <f>COUNTIF(adj!$C$31:$C$640,$A121)</f>
        <v>0</v>
      </c>
      <c r="J121" s="137">
        <f>SUMIF(adj!$C$31:$C$640,$A121,adj!L$31:L$640)</f>
        <v>0</v>
      </c>
      <c r="L121" s="34">
        <f>SUMIF(adj!$C$3:$C$640,$A121,adj!E$3:E$640)</f>
        <v>0</v>
      </c>
      <c r="M121" s="34">
        <f>SUMIF(adj!$C$3:$C$640,$A121,adj!F$3:F$640)</f>
        <v>0</v>
      </c>
      <c r="N121" s="34">
        <f>SUMIF(adj!$C$3:$C$640,$A121,adj!G$3:G$640)</f>
        <v>0</v>
      </c>
    </row>
    <row r="122" spans="1:14" s="34" customFormat="1">
      <c r="A122" s="599" t="s">
        <v>2105</v>
      </c>
      <c r="B122" s="34" t="s">
        <v>890</v>
      </c>
      <c r="C122" s="34" t="s">
        <v>677</v>
      </c>
      <c r="D122" s="420">
        <v>6.1940387155358087E-2</v>
      </c>
      <c r="E122" s="412">
        <f t="shared" si="21"/>
        <v>6.1940387155358087E-2</v>
      </c>
      <c r="F122" s="412">
        <f t="shared" si="22"/>
        <v>6.1940387155358087E-2</v>
      </c>
      <c r="G122" s="412">
        <f t="shared" si="23"/>
        <v>6.1940387155358087E-2</v>
      </c>
      <c r="H122" s="34" t="s">
        <v>891</v>
      </c>
      <c r="I122" s="34">
        <f>COUNTIF(adj!$C$31:$C$640,$A122)</f>
        <v>0</v>
      </c>
      <c r="J122" s="137">
        <f>SUMIF(adj!$C$31:$C$640,$A122,adj!L$31:L$640)</f>
        <v>0</v>
      </c>
      <c r="L122" s="34">
        <f>SUMIF(adj!$C$3:$C$640,$A122,adj!E$3:E$640)</f>
        <v>0</v>
      </c>
      <c r="M122" s="34">
        <f>SUMIF(adj!$C$3:$C$640,$A122,adj!F$3:F$640)</f>
        <v>0</v>
      </c>
      <c r="N122" s="34">
        <f>SUMIF(adj!$C$3:$C$640,$A122,adj!G$3:G$640)</f>
        <v>0</v>
      </c>
    </row>
    <row r="123" spans="1:14" s="34" customFormat="1">
      <c r="A123" s="599" t="s">
        <v>2106</v>
      </c>
      <c r="B123" s="34" t="s">
        <v>1137</v>
      </c>
      <c r="C123" s="34" t="s">
        <v>677</v>
      </c>
      <c r="D123" s="421">
        <v>0.2</v>
      </c>
      <c r="E123" s="412">
        <f t="shared" si="21"/>
        <v>0.2</v>
      </c>
      <c r="F123" s="412">
        <f t="shared" si="22"/>
        <v>0.2</v>
      </c>
      <c r="G123" s="412">
        <f t="shared" si="23"/>
        <v>0.2</v>
      </c>
      <c r="H123" s="34" t="s">
        <v>1138</v>
      </c>
      <c r="I123" s="34">
        <f>COUNTIF(adj!$C$31:$C$640,$A123)</f>
        <v>0</v>
      </c>
      <c r="J123" s="137">
        <f>SUMIF(adj!$C$31:$C$640,$A123,adj!L$31:L$640)</f>
        <v>0</v>
      </c>
      <c r="L123" s="34">
        <f>SUMIF(adj!$C$3:$C$640,$A123,adj!E$3:E$640)</f>
        <v>0</v>
      </c>
      <c r="M123" s="34">
        <f>SUMIF(adj!$C$3:$C$640,$A123,adj!F$3:F$640)</f>
        <v>0</v>
      </c>
      <c r="N123" s="34">
        <f>SUMIF(adj!$C$3:$C$640,$A123,adj!G$3:G$640)</f>
        <v>0</v>
      </c>
    </row>
    <row r="124" spans="1:14" s="34" customFormat="1">
      <c r="A124" s="599" t="s">
        <v>2107</v>
      </c>
      <c r="B124" s="34" t="s">
        <v>352</v>
      </c>
      <c r="C124" s="34" t="s">
        <v>677</v>
      </c>
      <c r="D124" s="422">
        <v>10</v>
      </c>
      <c r="E124" s="412">
        <f t="shared" si="21"/>
        <v>10</v>
      </c>
      <c r="F124" s="412">
        <f t="shared" si="22"/>
        <v>10</v>
      </c>
      <c r="G124" s="412">
        <f t="shared" si="23"/>
        <v>10</v>
      </c>
      <c r="H124" s="34" t="s">
        <v>353</v>
      </c>
      <c r="I124" s="34">
        <f>COUNTIF(adj!$C$31:$C$640,$A124)</f>
        <v>0</v>
      </c>
      <c r="J124" s="137">
        <f>SUMIF(adj!$C$31:$C$640,$A124,adj!L$31:L$640)</f>
        <v>0</v>
      </c>
      <c r="L124" s="34">
        <f>SUMIF(adj!$C$3:$C$640,$A124,adj!E$3:E$640)</f>
        <v>0</v>
      </c>
      <c r="M124" s="34">
        <f>SUMIF(adj!$C$3:$C$640,$A124,adj!F$3:F$640)</f>
        <v>0</v>
      </c>
      <c r="N124" s="34">
        <f>SUMIF(adj!$C$3:$C$640,$A124,adj!G$3:G$640)</f>
        <v>0</v>
      </c>
    </row>
    <row r="125" spans="1:14" s="34" customFormat="1">
      <c r="A125" s="599" t="s">
        <v>2108</v>
      </c>
      <c r="B125" s="34" t="s">
        <v>132</v>
      </c>
      <c r="C125" s="34" t="s">
        <v>677</v>
      </c>
      <c r="D125" s="422">
        <v>100</v>
      </c>
      <c r="E125" s="412">
        <f t="shared" si="21"/>
        <v>100</v>
      </c>
      <c r="F125" s="412">
        <f t="shared" si="22"/>
        <v>100</v>
      </c>
      <c r="G125" s="412">
        <f t="shared" si="23"/>
        <v>100</v>
      </c>
      <c r="H125" s="34" t="s">
        <v>114</v>
      </c>
      <c r="I125" s="34">
        <f>COUNTIF(adj!$C$31:$C$640,$A125)</f>
        <v>0</v>
      </c>
      <c r="J125" s="137">
        <f>SUMIF(adj!$C$31:$C$640,$A125,adj!L$31:L$640)</f>
        <v>0</v>
      </c>
      <c r="L125" s="34">
        <f>SUMIF(adj!$C$3:$C$640,$A125,adj!E$3:E$640)</f>
        <v>0</v>
      </c>
      <c r="M125" s="34">
        <f>SUMIF(adj!$C$3:$C$640,$A125,adj!F$3:F$640)</f>
        <v>0</v>
      </c>
      <c r="N125" s="34">
        <f>SUMIF(adj!$C$3:$C$640,$A125,adj!G$3:G$640)</f>
        <v>0</v>
      </c>
    </row>
    <row r="126" spans="1:14" s="34" customFormat="1">
      <c r="A126" s="599" t="s">
        <v>2109</v>
      </c>
      <c r="B126" s="34" t="s">
        <v>265</v>
      </c>
      <c r="C126" s="34" t="s">
        <v>677</v>
      </c>
      <c r="D126" s="422">
        <v>365</v>
      </c>
      <c r="E126" s="412">
        <f t="shared" si="21"/>
        <v>365</v>
      </c>
      <c r="F126" s="412">
        <f t="shared" si="22"/>
        <v>365</v>
      </c>
      <c r="G126" s="412">
        <f t="shared" si="23"/>
        <v>365</v>
      </c>
      <c r="H126" s="34" t="s">
        <v>266</v>
      </c>
      <c r="I126" s="34">
        <f>COUNTIF(adj!$C$31:$C$640,$A126)</f>
        <v>0</v>
      </c>
      <c r="J126" s="137">
        <f>SUMIF(adj!$C$31:$C$640,$A126,adj!L$31:L$640)</f>
        <v>0</v>
      </c>
      <c r="L126" s="34">
        <f>SUMIF(adj!$C$3:$C$640,$A126,adj!E$3:E$640)</f>
        <v>0</v>
      </c>
      <c r="M126" s="34">
        <f>SUMIF(adj!$C$3:$C$640,$A126,adj!F$3:F$640)</f>
        <v>0</v>
      </c>
      <c r="N126" s="34">
        <f>SUMIF(adj!$C$3:$C$640,$A126,adj!G$3:G$640)</f>
        <v>0</v>
      </c>
    </row>
    <row r="127" spans="1:14" s="34" customFormat="1">
      <c r="A127" s="599" t="s">
        <v>2110</v>
      </c>
      <c r="B127" s="34" t="s">
        <v>1228</v>
      </c>
      <c r="C127" s="34" t="s">
        <v>677</v>
      </c>
      <c r="D127" s="421">
        <v>3.5000000000000003E-2</v>
      </c>
      <c r="E127" s="412">
        <f t="shared" si="21"/>
        <v>3.5000000000000003E-2</v>
      </c>
      <c r="F127" s="412">
        <f t="shared" si="22"/>
        <v>3.5000000000000003E-2</v>
      </c>
      <c r="G127" s="412">
        <f t="shared" si="23"/>
        <v>3.5000000000000003E-2</v>
      </c>
      <c r="H127" s="34" t="s">
        <v>606</v>
      </c>
      <c r="I127" s="34">
        <f>COUNTIF(adj!$C$31:$C$640,$A127)</f>
        <v>0</v>
      </c>
      <c r="J127" s="137">
        <f>SUMIF(adj!$C$31:$C$640,$A127,adj!L$31:L$640)</f>
        <v>0</v>
      </c>
      <c r="L127" s="34">
        <f>SUMIF(adj!$C$3:$C$640,$A127,adj!E$3:E$640)</f>
        <v>0</v>
      </c>
      <c r="M127" s="34">
        <f>SUMIF(adj!$C$3:$C$640,$A127,adj!F$3:F$640)</f>
        <v>0</v>
      </c>
      <c r="N127" s="34">
        <f>SUMIF(adj!$C$3:$C$640,$A127,adj!G$3:G$640)</f>
        <v>0</v>
      </c>
    </row>
    <row r="128" spans="1:14" s="34" customFormat="1">
      <c r="A128" s="599" t="s">
        <v>2111</v>
      </c>
      <c r="B128" s="34" t="s">
        <v>627</v>
      </c>
      <c r="C128" s="34" t="s">
        <v>677</v>
      </c>
      <c r="D128" s="421">
        <v>1</v>
      </c>
      <c r="E128" s="412">
        <f t="shared" si="21"/>
        <v>1</v>
      </c>
      <c r="F128" s="412">
        <f t="shared" si="22"/>
        <v>1</v>
      </c>
      <c r="G128" s="412">
        <f t="shared" si="23"/>
        <v>1</v>
      </c>
      <c r="H128" s="34" t="s">
        <v>628</v>
      </c>
      <c r="I128" s="34">
        <f>COUNTIF(adj!$C$31:$C$640,$A128)</f>
        <v>0</v>
      </c>
      <c r="J128" s="137">
        <f>SUMIF(adj!$C$31:$C$640,$A128,adj!L$31:L$640)</f>
        <v>0</v>
      </c>
      <c r="L128" s="34">
        <f>SUMIF(adj!$C$3:$C$640,$A128,adj!E$3:E$640)</f>
        <v>0</v>
      </c>
      <c r="M128" s="34">
        <f>SUMIF(adj!$C$3:$C$640,$A128,adj!F$3:F$640)</f>
        <v>0</v>
      </c>
      <c r="N128" s="34">
        <f>SUMIF(adj!$C$3:$C$640,$A128,adj!G$3:G$640)</f>
        <v>0</v>
      </c>
    </row>
    <row r="129" spans="1:14" s="34" customFormat="1">
      <c r="A129" s="599" t="s">
        <v>2112</v>
      </c>
      <c r="B129" s="34" t="s">
        <v>595</v>
      </c>
      <c r="C129" s="34" t="s">
        <v>677</v>
      </c>
      <c r="D129" s="423">
        <v>60</v>
      </c>
      <c r="E129" s="412">
        <f t="shared" si="21"/>
        <v>60</v>
      </c>
      <c r="F129" s="412">
        <f t="shared" si="22"/>
        <v>60</v>
      </c>
      <c r="G129" s="412">
        <f t="shared" si="23"/>
        <v>60</v>
      </c>
      <c r="H129" s="34" t="s">
        <v>1131</v>
      </c>
      <c r="I129" s="34">
        <f>COUNTIF(adj!$C$31:$C$640,$A129)</f>
        <v>0</v>
      </c>
      <c r="J129" s="137">
        <f>SUMIF(adj!$C$31:$C$640,$A129,adj!L$31:L$640)</f>
        <v>0</v>
      </c>
      <c r="L129" s="34">
        <f>SUMIF(adj!$C$3:$C$640,$A129,adj!E$3:E$640)</f>
        <v>0</v>
      </c>
      <c r="M129" s="34">
        <f>SUMIF(adj!$C$3:$C$640,$A129,adj!F$3:F$640)</f>
        <v>0</v>
      </c>
      <c r="N129" s="34">
        <f>SUMIF(adj!$C$3:$C$640,$A129,adj!G$3:G$640)</f>
        <v>0</v>
      </c>
    </row>
    <row r="130" spans="1:14" s="34" customFormat="1">
      <c r="A130" s="599" t="s">
        <v>2113</v>
      </c>
      <c r="B130" s="34" t="s">
        <v>947</v>
      </c>
      <c r="C130" s="34" t="s">
        <v>677</v>
      </c>
      <c r="D130" s="419">
        <v>542313.45664251898</v>
      </c>
      <c r="E130" s="412">
        <f t="shared" si="21"/>
        <v>542313.45664251898</v>
      </c>
      <c r="F130" s="412">
        <f t="shared" si="22"/>
        <v>542313.45664251898</v>
      </c>
      <c r="G130" s="412">
        <f t="shared" si="23"/>
        <v>542313.45664251898</v>
      </c>
      <c r="H130" s="34" t="s">
        <v>948</v>
      </c>
      <c r="I130" s="34">
        <f>COUNTIF(adj!$C$31:$C$640,$A130)</f>
        <v>0</v>
      </c>
      <c r="J130" s="137">
        <f>SUMIF(adj!$C$31:$C$640,$A130,adj!L$31:L$640)</f>
        <v>0</v>
      </c>
      <c r="L130" s="34">
        <f>SUMIF(adj!$C$3:$C$640,$A130,adj!E$3:E$640)</f>
        <v>0</v>
      </c>
      <c r="M130" s="34">
        <f>SUMIF(adj!$C$3:$C$640,$A130,adj!F$3:F$640)</f>
        <v>0</v>
      </c>
      <c r="N130" s="34">
        <f>SUMIF(adj!$C$3:$C$640,$A130,adj!G$3:G$640)</f>
        <v>0</v>
      </c>
    </row>
    <row r="131" spans="1:14" s="34" customFormat="1">
      <c r="A131" s="599" t="s">
        <v>2114</v>
      </c>
      <c r="B131" s="34" t="s">
        <v>964</v>
      </c>
      <c r="C131" s="34" t="s">
        <v>677</v>
      </c>
      <c r="D131" s="420">
        <v>0.12368565772596407</v>
      </c>
      <c r="E131" s="412">
        <f t="shared" si="21"/>
        <v>0.12368565772596407</v>
      </c>
      <c r="F131" s="412">
        <f t="shared" si="22"/>
        <v>0.12368565772596407</v>
      </c>
      <c r="G131" s="412">
        <f t="shared" si="23"/>
        <v>0.12368565772596407</v>
      </c>
      <c r="H131" s="34" t="s">
        <v>965</v>
      </c>
      <c r="I131" s="34">
        <f>COUNTIF(adj!$C$31:$C$640,$A131)</f>
        <v>0</v>
      </c>
      <c r="J131" s="137">
        <f>SUMIF(adj!$C$31:$C$640,$A131,adj!L$31:L$640)</f>
        <v>0</v>
      </c>
      <c r="L131" s="34">
        <f>SUMIF(adj!$C$3:$C$640,$A131,adj!E$3:E$640)</f>
        <v>0</v>
      </c>
      <c r="M131" s="34">
        <f>SUMIF(adj!$C$3:$C$640,$A131,adj!F$3:F$640)</f>
        <v>0</v>
      </c>
      <c r="N131" s="34">
        <f>SUMIF(adj!$C$3:$C$640,$A131,adj!G$3:G$640)</f>
        <v>0</v>
      </c>
    </row>
    <row r="132" spans="1:14" s="34" customFormat="1">
      <c r="A132" s="599" t="s">
        <v>2115</v>
      </c>
      <c r="B132" s="143" t="s">
        <v>774</v>
      </c>
      <c r="C132" s="34" t="s">
        <v>1001</v>
      </c>
      <c r="D132" s="525">
        <v>0.1</v>
      </c>
      <c r="E132" s="412">
        <f t="shared" si="21"/>
        <v>0.1</v>
      </c>
      <c r="F132" s="412">
        <f t="shared" si="22"/>
        <v>0.1</v>
      </c>
      <c r="G132" s="412">
        <f t="shared" si="23"/>
        <v>0.1</v>
      </c>
      <c r="H132" s="34" t="s">
        <v>775</v>
      </c>
      <c r="I132" s="34">
        <f>COUNTIF(adj!$C$31:$C$640,$A132)</f>
        <v>0</v>
      </c>
      <c r="J132" s="137">
        <f>SUMIF(adj!$C$31:$C$640,$A132,adj!L$31:L$640)</f>
        <v>0</v>
      </c>
      <c r="L132" s="34">
        <f>SUMIF(adj!$C$3:$C$640,$A132,adj!E$3:E$640)</f>
        <v>0</v>
      </c>
      <c r="M132" s="34">
        <f>SUMIF(adj!$C$3:$C$640,$A132,adj!F$3:F$640)</f>
        <v>0</v>
      </c>
      <c r="N132" s="34">
        <f>SUMIF(adj!$C$3:$C$640,$A132,adj!G$3:G$640)</f>
        <v>0</v>
      </c>
    </row>
    <row r="133" spans="1:14" s="34" customFormat="1">
      <c r="A133" s="599" t="s">
        <v>2743</v>
      </c>
      <c r="B133" s="608" t="s">
        <v>2744</v>
      </c>
      <c r="C133" s="566" t="s">
        <v>677</v>
      </c>
      <c r="D133" s="525">
        <v>1</v>
      </c>
      <c r="E133" s="410">
        <f t="shared" ref="E133" si="45">$D133*(1+L133*($C133="R"))+L133*($C133="A")</f>
        <v>1</v>
      </c>
      <c r="F133" s="410">
        <f t="shared" ref="F133" si="46">$D133*(1+M133*($C133="R"))+M133*($C133="A")</f>
        <v>1</v>
      </c>
      <c r="G133" s="410">
        <f t="shared" ref="G133" si="47">$D133*(1+N133*($C133="R"))+N133*($C133="A")</f>
        <v>1</v>
      </c>
      <c r="H133" s="566" t="s">
        <v>2745</v>
      </c>
      <c r="I133" s="34">
        <f>COUNTIF(adj!$C$31:$C$640,$A133)</f>
        <v>8</v>
      </c>
      <c r="J133" s="137">
        <f>SUMIF(adj!$C$31:$C$640,$A133,adj!L$31:L$640)</f>
        <v>0.14000000000000001</v>
      </c>
      <c r="L133" s="34">
        <f>SUMIF(adj!$C$3:$C$640,$A133,adj!E$3:E$640)</f>
        <v>0</v>
      </c>
      <c r="M133" s="34">
        <f>SUMIF(adj!$C$3:$C$640,$A133,adj!F$3:F$640)</f>
        <v>0</v>
      </c>
      <c r="N133" s="34">
        <f>SUMIF(adj!$C$3:$C$640,$A133,adj!G$3:G$640)</f>
        <v>0</v>
      </c>
    </row>
    <row r="134" spans="1:14" s="34" customFormat="1">
      <c r="A134" s="1002" t="s">
        <v>3057</v>
      </c>
      <c r="B134" s="608" t="s">
        <v>3058</v>
      </c>
      <c r="C134" s="566" t="s">
        <v>677</v>
      </c>
      <c r="D134" s="423">
        <v>320000000</v>
      </c>
      <c r="E134" s="412">
        <f t="shared" ref="E134" si="48">$D134*(1+L134*($C134="R"))+L134*($C134="A")</f>
        <v>326337786.73989737</v>
      </c>
      <c r="F134" s="412">
        <f t="shared" ref="F134" si="49">$D134*(1+M134*($C134="R"))+M134*($C134="A")</f>
        <v>329347202.32700366</v>
      </c>
      <c r="G134" s="412">
        <f t="shared" ref="G134" si="50">$D134*(1+N134*($C134="R"))+N134*($C134="A")</f>
        <v>326337786.73989737</v>
      </c>
      <c r="H134" s="566" t="s">
        <v>3059</v>
      </c>
      <c r="I134" s="34">
        <f>COUNTIF(adj!$C$31:$C$640,$A134)</f>
        <v>0</v>
      </c>
      <c r="J134" s="137">
        <f>SUMIF(adj!$C$31:$C$640,$A134,adj!L$31:L$640)</f>
        <v>0</v>
      </c>
      <c r="L134" s="34">
        <f>SUMIF(adj!$C$3:$C$640,$A134,adj!E$3:E$640)</f>
        <v>1.9805583562179277E-2</v>
      </c>
      <c r="M134" s="34">
        <f>SUMIF(adj!$C$3:$C$640,$A134,adj!F$3:F$640)</f>
        <v>2.9210007271886374E-2</v>
      </c>
      <c r="N134" s="34">
        <f>SUMIF(adj!$C$3:$C$640,$A134,adj!G$3:G$640)</f>
        <v>1.9805583562179277E-2</v>
      </c>
    </row>
    <row r="135" spans="1:14" s="34" customFormat="1">
      <c r="A135" s="1002" t="s">
        <v>3069</v>
      </c>
      <c r="B135" s="608" t="s">
        <v>4449</v>
      </c>
      <c r="C135" s="566" t="s">
        <v>677</v>
      </c>
      <c r="D135" s="423">
        <v>150000000</v>
      </c>
      <c r="E135" s="412">
        <f t="shared" ref="E135" si="51">$D135*(1+L135*($C135="R"))+L135*($C135="A")</f>
        <v>150000000</v>
      </c>
      <c r="F135" s="412">
        <f t="shared" ref="F135" si="52">$D135*(1+M135*($C135="R"))+M135*($C135="A")</f>
        <v>150000000</v>
      </c>
      <c r="G135" s="412">
        <f t="shared" ref="G135" si="53">$D135*(1+N135*($C135="R"))+N135*($C135="A")</f>
        <v>150000000</v>
      </c>
      <c r="H135" s="566" t="s">
        <v>4450</v>
      </c>
      <c r="I135" s="34">
        <f>COUNTIF(adj!$C$31:$C$640,$A135)</f>
        <v>0</v>
      </c>
      <c r="J135" s="137">
        <f>SUMIF(adj!$C$31:$C$640,$A135,adj!L$31:L$640)</f>
        <v>0</v>
      </c>
      <c r="L135" s="34">
        <f>SUMIF(adj!$C$3:$C$640,$A135,adj!E$3:E$640)</f>
        <v>0</v>
      </c>
      <c r="M135" s="34">
        <f>SUMIF(adj!$C$3:$C$640,$A135,adj!F$3:F$640)</f>
        <v>0</v>
      </c>
      <c r="N135" s="34">
        <f>SUMIF(adj!$C$3:$C$640,$A135,adj!G$3:G$640)</f>
        <v>0</v>
      </c>
    </row>
    <row r="136" spans="1:14" s="34" customFormat="1">
      <c r="A136" s="1002" t="s">
        <v>4448</v>
      </c>
      <c r="B136" s="608" t="s">
        <v>3070</v>
      </c>
      <c r="C136" s="566" t="s">
        <v>677</v>
      </c>
      <c r="D136" s="423">
        <v>5000000</v>
      </c>
      <c r="E136" s="412">
        <f t="shared" ref="E136" si="54">$D136*(1+L136*($C136="R"))+L136*($C136="A")</f>
        <v>5000000</v>
      </c>
      <c r="F136" s="412">
        <f t="shared" ref="F136" si="55">$D136*(1+M136*($C136="R"))+M136*($C136="A")</f>
        <v>5000000</v>
      </c>
      <c r="G136" s="412">
        <f t="shared" ref="G136" si="56">$D136*(1+N136*($C136="R"))+N136*($C136="A")</f>
        <v>5000000</v>
      </c>
      <c r="H136" s="566" t="s">
        <v>3071</v>
      </c>
      <c r="I136" s="34">
        <f>COUNTIF(adj!$C$31:$C$640,$A136)</f>
        <v>0</v>
      </c>
      <c r="J136" s="137">
        <f>SUMIF(adj!$C$31:$C$640,$A136,adj!L$31:L$640)</f>
        <v>0</v>
      </c>
      <c r="L136" s="34">
        <f>SUMIF(adj!$C$3:$C$640,$A136,adj!E$3:E$640)</f>
        <v>0</v>
      </c>
      <c r="M136" s="34">
        <f>SUMIF(adj!$C$3:$C$640,$A136,adj!F$3:F$640)</f>
        <v>0</v>
      </c>
      <c r="N136" s="34">
        <f>SUMIF(adj!$C$3:$C$640,$A136,adj!G$3:G$640)</f>
        <v>0</v>
      </c>
    </row>
    <row r="137" spans="1:14" s="34" customFormat="1">
      <c r="A137" s="599"/>
      <c r="B137" s="143"/>
      <c r="D137" s="525"/>
      <c r="E137" s="412"/>
      <c r="F137" s="412"/>
      <c r="G137" s="412"/>
      <c r="J137" s="137"/>
      <c r="L137" s="34">
        <f>SUMIF(adj!$C$3:$C$640,$A137,adj!E$3:E$640)</f>
        <v>0</v>
      </c>
      <c r="M137" s="34">
        <f>SUMIF(adj!$C$3:$C$640,$A137,adj!F$3:F$640)</f>
        <v>0</v>
      </c>
      <c r="N137" s="34">
        <f>SUMIF(adj!$C$3:$C$640,$A137,adj!G$3:G$640)</f>
        <v>0</v>
      </c>
    </row>
    <row r="138" spans="1:14" s="34" customFormat="1">
      <c r="A138" s="412"/>
      <c r="B138" s="285" t="s">
        <v>451</v>
      </c>
      <c r="D138" s="550"/>
      <c r="E138" s="412">
        <f t="shared" si="21"/>
        <v>0</v>
      </c>
      <c r="F138" s="412">
        <f t="shared" si="22"/>
        <v>0</v>
      </c>
      <c r="G138" s="412">
        <f t="shared" si="23"/>
        <v>0</v>
      </c>
      <c r="I138" s="34">
        <f>COUNTIF(adj!$C$31:$C$640,$A138)</f>
        <v>0</v>
      </c>
      <c r="J138" s="137">
        <f>SUMIF(adj!$C$31:$C$640,$A138,adj!L$31:L$640)</f>
        <v>0</v>
      </c>
      <c r="L138" s="34">
        <f>SUMIF(adj!$C$3:$C$640,$A138,adj!E$3:E$640)</f>
        <v>0</v>
      </c>
      <c r="M138" s="34">
        <f>SUMIF(adj!$C$3:$C$640,$A138,adj!F$3:F$640)</f>
        <v>0</v>
      </c>
      <c r="N138" s="34">
        <f>SUMIF(adj!$C$3:$C$640,$A138,adj!G$3:G$640)</f>
        <v>0</v>
      </c>
    </row>
    <row r="139" spans="1:14" s="34" customFormat="1">
      <c r="A139" s="599" t="s">
        <v>2116</v>
      </c>
      <c r="B139" s="566" t="s">
        <v>1476</v>
      </c>
      <c r="C139" s="34" t="s">
        <v>1001</v>
      </c>
      <c r="D139" s="550">
        <v>0</v>
      </c>
      <c r="E139" s="412">
        <f t="shared" ref="E139:G140" si="57">$D139*(1+L139*($C139="R"))+L139*($C139="A")</f>
        <v>0</v>
      </c>
      <c r="F139" s="412">
        <f t="shared" si="57"/>
        <v>0</v>
      </c>
      <c r="G139" s="412">
        <f t="shared" si="57"/>
        <v>0</v>
      </c>
      <c r="H139" s="566" t="s">
        <v>1477</v>
      </c>
      <c r="I139" s="34">
        <f>COUNTIF(adj!$C$31:$C$640,$A139)</f>
        <v>0</v>
      </c>
      <c r="J139" s="137">
        <f>SUMIF(adj!$C$31:$C$640,$A139,adj!L$31:L$640)</f>
        <v>0</v>
      </c>
      <c r="L139" s="34">
        <f>SUMIF(adj!$C$3:$C$640,$A139,adj!E$3:E$640)</f>
        <v>0</v>
      </c>
      <c r="M139" s="34">
        <f>SUMIF(adj!$C$3:$C$640,$A139,adj!F$3:F$640)</f>
        <v>0</v>
      </c>
      <c r="N139" s="34">
        <f>SUMIF(adj!$C$3:$C$640,$A139,adj!G$3:G$640)</f>
        <v>0</v>
      </c>
    </row>
    <row r="140" spans="1:14" s="34" customFormat="1">
      <c r="A140" s="599" t="s">
        <v>2117</v>
      </c>
      <c r="B140" s="34" t="s">
        <v>762</v>
      </c>
      <c r="C140" s="34" t="s">
        <v>1001</v>
      </c>
      <c r="D140" s="550">
        <v>0</v>
      </c>
      <c r="E140" s="412">
        <f t="shared" si="57"/>
        <v>0</v>
      </c>
      <c r="F140" s="412">
        <f t="shared" si="57"/>
        <v>0</v>
      </c>
      <c r="G140" s="412">
        <f t="shared" si="57"/>
        <v>0</v>
      </c>
      <c r="H140" s="34" t="s">
        <v>763</v>
      </c>
      <c r="I140" s="34">
        <f>COUNTIF(adj!$C$31:$C$640,$A140)</f>
        <v>16</v>
      </c>
      <c r="J140" s="137">
        <f>SUMIF(adj!$C$31:$C$640,$A140,adj!L$31:L$640)</f>
        <v>0</v>
      </c>
      <c r="L140" s="34">
        <f>SUMIF(adj!$C$3:$C$640,$A140,adj!E$3:E$640)</f>
        <v>0</v>
      </c>
      <c r="M140" s="34">
        <f>SUMIF(adj!$C$3:$C$640,$A140,adj!F$3:F$640)</f>
        <v>0</v>
      </c>
      <c r="N140" s="34">
        <f>SUMIF(adj!$C$3:$C$640,$A140,adj!G$3:G$640)</f>
        <v>0</v>
      </c>
    </row>
    <row r="141" spans="1:14" s="34" customFormat="1">
      <c r="A141" s="599" t="s">
        <v>2118</v>
      </c>
      <c r="B141" s="519" t="s">
        <v>1000</v>
      </c>
      <c r="C141" s="34" t="s">
        <v>1001</v>
      </c>
      <c r="D141" s="550">
        <v>0</v>
      </c>
      <c r="E141" s="412">
        <f t="shared" si="21"/>
        <v>60000000</v>
      </c>
      <c r="F141" s="412">
        <f t="shared" si="22"/>
        <v>60000000</v>
      </c>
      <c r="G141" s="412">
        <f t="shared" si="23"/>
        <v>60000000</v>
      </c>
      <c r="H141" s="34" t="s">
        <v>354</v>
      </c>
      <c r="I141" s="34">
        <f>COUNTIF(adj!$C$31:$C$640,$A141)</f>
        <v>12</v>
      </c>
      <c r="J141" s="137">
        <f>SUMIF(adj!$C$31:$C$640,$A141,adj!L$31:L$640)</f>
        <v>0</v>
      </c>
      <c r="L141" s="34">
        <f>SUMIF(adj!$C$3:$C$640,$A141,adj!E$3:E$640)</f>
        <v>60000000</v>
      </c>
      <c r="M141" s="34">
        <f>SUMIF(adj!$C$3:$C$640,$A141,adj!F$3:F$640)</f>
        <v>60000000</v>
      </c>
      <c r="N141" s="34">
        <f>SUMIF(adj!$C$3:$C$640,$A141,adj!G$3:G$640)</f>
        <v>60000000</v>
      </c>
    </row>
    <row r="142" spans="1:14" s="34" customFormat="1">
      <c r="A142" s="599" t="s">
        <v>2119</v>
      </c>
      <c r="B142" s="519" t="str">
        <f>"Special Programs Expense " &amp; DataNameProd1</f>
        <v>Special Programs Expense Growth</v>
      </c>
      <c r="C142" s="34" t="s">
        <v>1001</v>
      </c>
      <c r="D142" s="550">
        <v>0</v>
      </c>
      <c r="E142" s="412">
        <f t="shared" ref="E142:E162" si="58">$D142*(1+L142*($C142="R"))+L142*($C142="A")</f>
        <v>0</v>
      </c>
      <c r="F142" s="412">
        <f t="shared" ref="F142:F162" si="59">$D142*(1+M142*($C142="R"))+M142*($C142="A")</f>
        <v>0</v>
      </c>
      <c r="G142" s="412">
        <f t="shared" ref="G142:G162" si="60">$D142*(1+N142*($C142="R"))+N142*($C142="A")</f>
        <v>0</v>
      </c>
      <c r="H142" s="566" t="s">
        <v>9</v>
      </c>
      <c r="I142" s="34">
        <f>COUNTIF(adj!$C$31:$C$640,$A142)</f>
        <v>9</v>
      </c>
      <c r="J142" s="137">
        <f>SUMIF(adj!$C$31:$C$640,$A142,adj!L$31:L$640)</f>
        <v>0</v>
      </c>
      <c r="L142" s="34">
        <f>SUMIF(adj!$C$3:$C$640,$A142,adj!E$3:E$640)</f>
        <v>0</v>
      </c>
      <c r="M142" s="34">
        <f>SUMIF(adj!$C$3:$C$640,$A142,adj!F$3:F$640)</f>
        <v>0</v>
      </c>
      <c r="N142" s="34">
        <f>SUMIF(adj!$C$3:$C$640,$A142,adj!G$3:G$640)</f>
        <v>0</v>
      </c>
    </row>
    <row r="143" spans="1:14" s="34" customFormat="1">
      <c r="A143" s="599" t="s">
        <v>2120</v>
      </c>
      <c r="B143" s="519" t="str">
        <f>"Special Programs Expense " &amp; DataNameProd2</f>
        <v>Special Programs Expense Transform</v>
      </c>
      <c r="C143" s="34" t="s">
        <v>1001</v>
      </c>
      <c r="D143" s="550">
        <v>0</v>
      </c>
      <c r="E143" s="412">
        <f t="shared" si="58"/>
        <v>0</v>
      </c>
      <c r="F143" s="412">
        <f t="shared" si="59"/>
        <v>0</v>
      </c>
      <c r="G143" s="412">
        <f t="shared" si="60"/>
        <v>0</v>
      </c>
      <c r="H143" s="34" t="s">
        <v>312</v>
      </c>
      <c r="I143" s="34">
        <f>COUNTIF(adj!$C$31:$C$640,$A143)</f>
        <v>12</v>
      </c>
      <c r="J143" s="137">
        <f>SUMIF(adj!$C$31:$C$640,$A143,adj!L$31:L$640)</f>
        <v>0</v>
      </c>
      <c r="L143" s="34">
        <f>SUMIF(adj!$C$3:$C$640,$A143,adj!E$3:E$640)</f>
        <v>0</v>
      </c>
      <c r="M143" s="34">
        <f>SUMIF(adj!$C$3:$C$640,$A143,adj!F$3:F$640)</f>
        <v>0</v>
      </c>
      <c r="N143" s="34">
        <f>SUMIF(adj!$C$3:$C$640,$A143,adj!G$3:G$640)</f>
        <v>0</v>
      </c>
    </row>
    <row r="144" spans="1:14" s="34" customFormat="1">
      <c r="A144" s="753" t="s">
        <v>2121</v>
      </c>
      <c r="B144" s="519" t="str">
        <f>"Special Programs Acquistion CapEx " &amp; DataNameProd1</f>
        <v>Special Programs Acquistion CapEx Growth</v>
      </c>
      <c r="C144" s="34" t="s">
        <v>1001</v>
      </c>
      <c r="D144" s="550">
        <v>0</v>
      </c>
      <c r="E144" s="412">
        <f t="shared" si="58"/>
        <v>0</v>
      </c>
      <c r="F144" s="412">
        <f t="shared" si="59"/>
        <v>0</v>
      </c>
      <c r="G144" s="412">
        <f t="shared" si="60"/>
        <v>0</v>
      </c>
      <c r="H144" s="566" t="s">
        <v>3118</v>
      </c>
      <c r="I144" s="34">
        <f>COUNTIF(adj!$C$31:$C$640,$A144)</f>
        <v>1</v>
      </c>
      <c r="J144" s="137">
        <f>SUMIF(adj!$C$31:$C$640,$A144,adj!L$31:L$640)</f>
        <v>0</v>
      </c>
      <c r="L144" s="34">
        <f>SUMIF(adj!$C$3:$C$640,$A144,adj!E$3:E$640)</f>
        <v>0</v>
      </c>
      <c r="M144" s="34">
        <f>SUMIF(adj!$C$3:$C$640,$A144,adj!F$3:F$640)</f>
        <v>0</v>
      </c>
      <c r="N144" s="34">
        <f>SUMIF(adj!$C$3:$C$640,$A144,adj!G$3:G$640)</f>
        <v>0</v>
      </c>
    </row>
    <row r="145" spans="1:14" s="34" customFormat="1">
      <c r="A145" s="753" t="s">
        <v>2122</v>
      </c>
      <c r="B145" s="519" t="str">
        <f>"Special Programs Acquistion CapEx " &amp; DataNameProd2</f>
        <v>Special Programs Acquistion CapEx Transform</v>
      </c>
      <c r="C145" s="34" t="s">
        <v>1001</v>
      </c>
      <c r="D145" s="550">
        <v>0</v>
      </c>
      <c r="E145" s="412">
        <f t="shared" si="58"/>
        <v>0</v>
      </c>
      <c r="F145" s="412">
        <f t="shared" si="59"/>
        <v>0</v>
      </c>
      <c r="G145" s="412">
        <f t="shared" si="60"/>
        <v>0</v>
      </c>
      <c r="H145" s="566" t="s">
        <v>3119</v>
      </c>
      <c r="I145" s="34">
        <f>COUNTIF(adj!$C$31:$C$640,$A145)</f>
        <v>1</v>
      </c>
      <c r="J145" s="137">
        <f>SUMIF(adj!$C$31:$C$640,$A145,adj!L$31:L$640)</f>
        <v>0</v>
      </c>
      <c r="L145" s="34">
        <f>SUMIF(adj!$C$3:$C$640,$A145,adj!E$3:E$640)</f>
        <v>0</v>
      </c>
      <c r="M145" s="34">
        <f>SUMIF(adj!$C$3:$C$640,$A145,adj!F$3:F$640)</f>
        <v>0</v>
      </c>
      <c r="N145" s="34">
        <f>SUMIF(adj!$C$3:$C$640,$A145,adj!G$3:G$640)</f>
        <v>0</v>
      </c>
    </row>
    <row r="146" spans="1:14" s="34" customFormat="1">
      <c r="A146" s="753" t="s">
        <v>2123</v>
      </c>
      <c r="B146" s="519" t="str">
        <f>"Special Programs Tech CapEx " &amp; DataNameProd1</f>
        <v>Special Programs Tech CapEx Growth</v>
      </c>
      <c r="C146" s="34" t="s">
        <v>1001</v>
      </c>
      <c r="D146" s="550">
        <v>0</v>
      </c>
      <c r="E146" s="412">
        <f t="shared" si="58"/>
        <v>0</v>
      </c>
      <c r="F146" s="412">
        <f t="shared" si="59"/>
        <v>0</v>
      </c>
      <c r="G146" s="412">
        <f t="shared" si="60"/>
        <v>0</v>
      </c>
      <c r="H146" s="566" t="s">
        <v>3120</v>
      </c>
      <c r="I146" s="34">
        <f>COUNTIF(adj!$C$31:$C$640,$A146)</f>
        <v>1</v>
      </c>
      <c r="J146" s="137">
        <f>SUMIF(adj!$C$31:$C$640,$A146,adj!L$31:L$640)</f>
        <v>0</v>
      </c>
      <c r="L146" s="34">
        <f>SUMIF(adj!$C$3:$C$640,$A146,adj!E$3:E$640)</f>
        <v>0</v>
      </c>
      <c r="M146" s="34">
        <f>SUMIF(adj!$C$3:$C$640,$A146,adj!F$3:F$640)</f>
        <v>0</v>
      </c>
      <c r="N146" s="34">
        <f>SUMIF(adj!$C$3:$C$640,$A146,adj!G$3:G$640)</f>
        <v>0</v>
      </c>
    </row>
    <row r="147" spans="1:14" s="34" customFormat="1">
      <c r="A147" s="753" t="s">
        <v>2124</v>
      </c>
      <c r="B147" s="519" t="str">
        <f>"Special Programs Tech CapEx " &amp; DataNameProd2</f>
        <v>Special Programs Tech CapEx Transform</v>
      </c>
      <c r="C147" s="34" t="s">
        <v>1001</v>
      </c>
      <c r="D147" s="550">
        <v>0</v>
      </c>
      <c r="E147" s="412">
        <f t="shared" si="58"/>
        <v>0</v>
      </c>
      <c r="F147" s="412">
        <f t="shared" si="59"/>
        <v>0</v>
      </c>
      <c r="G147" s="412">
        <f t="shared" si="60"/>
        <v>0</v>
      </c>
      <c r="H147" s="566" t="s">
        <v>3121</v>
      </c>
      <c r="I147" s="34">
        <f>COUNTIF(adj!$C$31:$C$640,$A147)</f>
        <v>4</v>
      </c>
      <c r="J147" s="137">
        <f>SUMIF(adj!$C$31:$C$640,$A147,adj!L$31:L$640)</f>
        <v>0</v>
      </c>
      <c r="L147" s="34">
        <f>SUMIF(adj!$C$3:$C$640,$A147,adj!E$3:E$640)</f>
        <v>0</v>
      </c>
      <c r="M147" s="34">
        <f>SUMIF(adj!$C$3:$C$640,$A147,adj!F$3:F$640)</f>
        <v>0</v>
      </c>
      <c r="N147" s="34">
        <f>SUMIF(adj!$C$3:$C$640,$A147,adj!G$3:G$640)</f>
        <v>0</v>
      </c>
    </row>
    <row r="148" spans="1:14" s="34" customFormat="1">
      <c r="A148" s="599" t="s">
        <v>2125</v>
      </c>
      <c r="B148" s="34" t="str">
        <f>"Special Program Sales " &amp; DataNameProd1</f>
        <v>Special Program Sales Growth</v>
      </c>
      <c r="C148" s="34" t="s">
        <v>1001</v>
      </c>
      <c r="D148" s="550">
        <v>0</v>
      </c>
      <c r="E148" s="505">
        <f t="shared" si="58"/>
        <v>0</v>
      </c>
      <c r="F148" s="505">
        <f t="shared" si="59"/>
        <v>0</v>
      </c>
      <c r="G148" s="505">
        <f t="shared" si="60"/>
        <v>0</v>
      </c>
      <c r="H148" s="34" t="s">
        <v>1029</v>
      </c>
      <c r="I148" s="34">
        <f>COUNTIF(adj!$C$31:$C$640,$A148)</f>
        <v>19</v>
      </c>
      <c r="J148" s="137">
        <f>SUMIF(adj!$C$31:$C$640,$A148,adj!L$31:L$640)</f>
        <v>0.48000000000000009</v>
      </c>
      <c r="L148" s="34">
        <f>SUMIF(adj!$C$3:$C$640,$A148,adj!E$3:E$640)</f>
        <v>0</v>
      </c>
      <c r="M148" s="34">
        <f>SUMIF(adj!$C$3:$C$640,$A148,adj!F$3:F$640)</f>
        <v>0</v>
      </c>
      <c r="N148" s="34">
        <f>SUMIF(adj!$C$3:$C$640,$A148,adj!G$3:G$640)</f>
        <v>0</v>
      </c>
    </row>
    <row r="149" spans="1:14" s="34" customFormat="1">
      <c r="A149" s="599" t="s">
        <v>2126</v>
      </c>
      <c r="B149" s="34" t="str">
        <f>"Special Program Sales " &amp; DataNameProd2</f>
        <v>Special Program Sales Transform</v>
      </c>
      <c r="C149" s="34" t="s">
        <v>1001</v>
      </c>
      <c r="D149" s="550">
        <v>0</v>
      </c>
      <c r="E149" s="505">
        <f t="shared" si="58"/>
        <v>0</v>
      </c>
      <c r="F149" s="505">
        <f t="shared" si="59"/>
        <v>0</v>
      </c>
      <c r="G149" s="505">
        <f t="shared" si="60"/>
        <v>0</v>
      </c>
      <c r="H149" s="34" t="s">
        <v>767</v>
      </c>
      <c r="I149" s="34">
        <f>COUNTIF(adj!$C$31:$C$640,$A149)</f>
        <v>17</v>
      </c>
      <c r="J149" s="137">
        <f>SUMIF(adj!$C$31:$C$640,$A149,adj!L$31:L$640)</f>
        <v>0.47000000000000008</v>
      </c>
      <c r="L149" s="34">
        <f>SUMIF(adj!$C$3:$C$640,$A149,adj!E$3:E$640)</f>
        <v>0</v>
      </c>
      <c r="M149" s="34">
        <f>SUMIF(adj!$C$3:$C$640,$A149,adj!F$3:F$640)</f>
        <v>0</v>
      </c>
      <c r="N149" s="34">
        <f>SUMIF(adj!$C$3:$C$640,$A149,adj!G$3:G$640)</f>
        <v>0</v>
      </c>
    </row>
    <row r="150" spans="1:14" s="34" customFormat="1">
      <c r="A150" s="599" t="s">
        <v>2127</v>
      </c>
      <c r="B150" s="34" t="str">
        <f>"Special Program Sales " &amp; DataNameProd3</f>
        <v>Special Program Sales Consumer</v>
      </c>
      <c r="C150" s="34" t="s">
        <v>1001</v>
      </c>
      <c r="D150" s="550">
        <v>0</v>
      </c>
      <c r="E150" s="505">
        <f t="shared" si="58"/>
        <v>0</v>
      </c>
      <c r="F150" s="505">
        <f t="shared" si="59"/>
        <v>0</v>
      </c>
      <c r="G150" s="505">
        <f t="shared" si="60"/>
        <v>0</v>
      </c>
      <c r="H150" s="34" t="s">
        <v>549</v>
      </c>
      <c r="I150" s="34">
        <f>COUNTIF(adj!$C$31:$C$640,$A150)</f>
        <v>0</v>
      </c>
      <c r="J150" s="137">
        <f>SUMIF(adj!$C$31:$C$640,$A150,adj!L$31:L$640)</f>
        <v>0</v>
      </c>
      <c r="L150" s="34">
        <f>SUMIF(adj!$C$3:$C$640,$A150,adj!E$3:E$640)</f>
        <v>0</v>
      </c>
      <c r="M150" s="34">
        <f>SUMIF(adj!$C$3:$C$640,$A150,adj!F$3:F$640)</f>
        <v>0</v>
      </c>
      <c r="N150" s="34">
        <f>SUMIF(adj!$C$3:$C$640,$A150,adj!G$3:G$640)</f>
        <v>0</v>
      </c>
    </row>
    <row r="151" spans="1:14" s="34" customFormat="1">
      <c r="A151" s="753" t="s">
        <v>2128</v>
      </c>
      <c r="B151" s="34" t="str">
        <f>"Special Program Sales " &amp; DataNameProd4</f>
        <v>Special Program Sales Consumer Consumables</v>
      </c>
      <c r="C151" s="34" t="s">
        <v>1001</v>
      </c>
      <c r="D151" s="550">
        <v>0</v>
      </c>
      <c r="E151" s="412">
        <f t="shared" si="58"/>
        <v>0</v>
      </c>
      <c r="F151" s="412">
        <f t="shared" si="59"/>
        <v>0</v>
      </c>
      <c r="G151" s="412">
        <f t="shared" si="60"/>
        <v>0</v>
      </c>
      <c r="H151" s="34" t="s">
        <v>1220</v>
      </c>
      <c r="I151" s="34">
        <f>COUNTIF(adj!$C$31:$C$640,$A151)</f>
        <v>0</v>
      </c>
      <c r="J151" s="137">
        <f>SUMIF(adj!$C$31:$C$640,$A151,adj!L$31:L$640)</f>
        <v>0</v>
      </c>
      <c r="L151" s="34">
        <f>SUMIF(adj!$C$3:$C$640,$A151,adj!E$3:E$640)</f>
        <v>0</v>
      </c>
      <c r="M151" s="34">
        <f>SUMIF(adj!$C$3:$C$640,$A151,adj!F$3:F$640)</f>
        <v>0</v>
      </c>
      <c r="N151" s="34">
        <f>SUMIF(adj!$C$3:$C$640,$A151,adj!G$3:G$640)</f>
        <v>0</v>
      </c>
    </row>
    <row r="152" spans="1:14" s="34" customFormat="1">
      <c r="A152" s="753" t="s">
        <v>2129</v>
      </c>
      <c r="B152" s="34" t="str">
        <f>"Special Program Sales " &amp; DataNameProd5</f>
        <v>Special Program Sales Services</v>
      </c>
      <c r="C152" s="34" t="s">
        <v>1001</v>
      </c>
      <c r="D152" s="550">
        <v>0</v>
      </c>
      <c r="E152" s="412">
        <f t="shared" si="58"/>
        <v>0</v>
      </c>
      <c r="F152" s="412">
        <f t="shared" si="59"/>
        <v>0</v>
      </c>
      <c r="G152" s="412">
        <f t="shared" si="60"/>
        <v>0</v>
      </c>
      <c r="H152" s="34" t="s">
        <v>1221</v>
      </c>
      <c r="I152" s="34">
        <f>COUNTIF(adj!$C$31:$C$640,$A152)</f>
        <v>0</v>
      </c>
      <c r="J152" s="137">
        <f>SUMIF(adj!$C$31:$C$640,$A152,adj!L$31:L$640)</f>
        <v>0</v>
      </c>
      <c r="L152" s="34">
        <f>SUMIF(adj!$C$3:$C$640,$A152,adj!E$3:E$640)</f>
        <v>0</v>
      </c>
      <c r="M152" s="34">
        <f>SUMIF(adj!$C$3:$C$640,$A152,adj!F$3:F$640)</f>
        <v>0</v>
      </c>
      <c r="N152" s="34">
        <f>SUMIF(adj!$C$3:$C$640,$A152,adj!G$3:G$640)</f>
        <v>0</v>
      </c>
    </row>
    <row r="153" spans="1:14" s="34" customFormat="1">
      <c r="A153" s="753" t="s">
        <v>2130</v>
      </c>
      <c r="B153" s="34" t="str">
        <f>"Special Program Sales " &amp; DataNameProd6</f>
        <v>Special Program Sales Services</v>
      </c>
      <c r="C153" s="34" t="s">
        <v>1001</v>
      </c>
      <c r="D153" s="550">
        <v>0</v>
      </c>
      <c r="E153" s="412">
        <f t="shared" si="58"/>
        <v>0</v>
      </c>
      <c r="F153" s="412">
        <f t="shared" si="59"/>
        <v>0</v>
      </c>
      <c r="G153" s="412">
        <f t="shared" si="60"/>
        <v>0</v>
      </c>
      <c r="H153" s="34" t="s">
        <v>1222</v>
      </c>
      <c r="I153" s="34">
        <f>COUNTIF(adj!$C$31:$C$640,$A153)</f>
        <v>0</v>
      </c>
      <c r="J153" s="137">
        <f>SUMIF(adj!$C$31:$C$640,$A153,adj!L$31:L$640)</f>
        <v>0</v>
      </c>
      <c r="L153" s="34">
        <f>SUMIF(adj!$C$3:$C$640,$A153,adj!E$3:E$640)</f>
        <v>0</v>
      </c>
      <c r="M153" s="34">
        <f>SUMIF(adj!$C$3:$C$640,$A153,adj!F$3:F$640)</f>
        <v>0</v>
      </c>
      <c r="N153" s="34">
        <f>SUMIF(adj!$C$3:$C$640,$A153,adj!G$3:G$640)</f>
        <v>0</v>
      </c>
    </row>
    <row r="154" spans="1:14" s="34" customFormat="1">
      <c r="A154" s="599" t="s">
        <v>3002</v>
      </c>
      <c r="B154" s="34" t="str">
        <f>"Special Program "&amp;DataNameProd1&amp; " FTEsRequired"</f>
        <v>Special Program Growth FTEsRequired</v>
      </c>
      <c r="C154" s="34" t="s">
        <v>1001</v>
      </c>
      <c r="D154" s="550">
        <v>0</v>
      </c>
      <c r="E154" s="412">
        <f t="shared" si="58"/>
        <v>0</v>
      </c>
      <c r="F154" s="412">
        <f t="shared" si="59"/>
        <v>0</v>
      </c>
      <c r="G154" s="412">
        <f t="shared" si="60"/>
        <v>0</v>
      </c>
      <c r="H154" s="566" t="s">
        <v>3004</v>
      </c>
      <c r="I154" s="34">
        <f>COUNTIF(adj!$C$31:$C$640,$A154)</f>
        <v>14</v>
      </c>
      <c r="J154" s="137">
        <f>SUMIF(adj!$C$31:$C$640,$A154,adj!L$31:L$640)</f>
        <v>0</v>
      </c>
      <c r="L154" s="34">
        <f>SUMIF(adj!$C$3:$C$640,$A154,adj!E$3:E$640)</f>
        <v>0</v>
      </c>
      <c r="M154" s="34">
        <f>SUMIF(adj!$C$3:$C$640,$A154,adj!F$3:F$640)</f>
        <v>0</v>
      </c>
      <c r="N154" s="34">
        <f>SUMIF(adj!$C$3:$C$640,$A154,adj!G$3:G$640)</f>
        <v>0</v>
      </c>
    </row>
    <row r="155" spans="1:14" s="34" customFormat="1">
      <c r="A155" s="599" t="s">
        <v>3003</v>
      </c>
      <c r="B155" s="34" t="str">
        <f>"Special Program "&amp;DataNameProd2 &amp; " FTEsRequired"</f>
        <v>Special Program Transform FTEsRequired</v>
      </c>
      <c r="C155" s="34" t="s">
        <v>1001</v>
      </c>
      <c r="D155" s="550">
        <v>0</v>
      </c>
      <c r="E155" s="412">
        <f t="shared" ref="E155" si="61">$D155*(1+L155*($C155="R"))+L155*($C155="A")</f>
        <v>0</v>
      </c>
      <c r="F155" s="412">
        <f t="shared" ref="F155" si="62">$D155*(1+M155*($C155="R"))+M155*($C155="A")</f>
        <v>0</v>
      </c>
      <c r="G155" s="412">
        <f t="shared" ref="G155" si="63">$D155*(1+N155*($C155="R"))+N155*($C155="A")</f>
        <v>0</v>
      </c>
      <c r="H155" s="566" t="s">
        <v>3005</v>
      </c>
      <c r="I155" s="34">
        <f>COUNTIF(adj!$C$31:$C$640,$A155)</f>
        <v>18</v>
      </c>
      <c r="J155" s="137">
        <f>SUMIF(adj!$C$31:$C$640,$A155,adj!L$31:L$640)</f>
        <v>0</v>
      </c>
      <c r="L155" s="34">
        <f>SUMIF(adj!$C$3:$C$640,$A155,adj!E$3:E$640)</f>
        <v>0</v>
      </c>
      <c r="M155" s="34">
        <f>SUMIF(adj!$C$3:$C$640,$A155,adj!F$3:F$640)</f>
        <v>0</v>
      </c>
      <c r="N155" s="34">
        <f>SUMIF(adj!$C$3:$C$640,$A155,adj!G$3:G$640)</f>
        <v>0</v>
      </c>
    </row>
    <row r="156" spans="1:14" s="34" customFormat="1">
      <c r="A156" s="599"/>
      <c r="D156" s="550"/>
      <c r="E156" s="412"/>
      <c r="F156" s="412"/>
      <c r="G156" s="412"/>
      <c r="J156" s="137"/>
      <c r="L156" s="34">
        <f>SUMIF(adj!$C$3:$C$640,$A156,adj!E$3:E$640)</f>
        <v>0</v>
      </c>
      <c r="M156" s="34">
        <f>SUMIF(adj!$C$3:$C$640,$A156,adj!F$3:F$640)</f>
        <v>0</v>
      </c>
      <c r="N156" s="34">
        <f>SUMIF(adj!$C$3:$C$640,$A156,adj!G$3:G$640)</f>
        <v>0</v>
      </c>
    </row>
    <row r="157" spans="1:14" s="34" customFormat="1">
      <c r="A157" s="412"/>
      <c r="B157" s="285" t="s">
        <v>722</v>
      </c>
      <c r="E157" s="412">
        <f t="shared" si="58"/>
        <v>0</v>
      </c>
      <c r="F157" s="412">
        <f t="shared" si="59"/>
        <v>0</v>
      </c>
      <c r="G157" s="412">
        <f t="shared" si="60"/>
        <v>0</v>
      </c>
      <c r="I157" s="34">
        <f>COUNTIF(adj!$C$31:$C$640,$A157)</f>
        <v>0</v>
      </c>
      <c r="J157" s="137">
        <f>SUMIF(adj!$C$31:$C$640,$A157,adj!L$31:L$640)</f>
        <v>0</v>
      </c>
      <c r="L157" s="34">
        <f>SUMIF(adj!$C$3:$C$640,$A157,adj!E$3:E$640)</f>
        <v>0</v>
      </c>
      <c r="M157" s="34">
        <f>SUMIF(adj!$C$3:$C$640,$A157,adj!F$3:F$640)</f>
        <v>0</v>
      </c>
      <c r="N157" s="34">
        <f>SUMIF(adj!$C$3:$C$640,$A157,adj!G$3:G$640)</f>
        <v>0</v>
      </c>
    </row>
    <row r="158" spans="1:14" s="34" customFormat="1">
      <c r="A158" s="599" t="s">
        <v>2131</v>
      </c>
      <c r="B158" s="34" t="s">
        <v>1044</v>
      </c>
      <c r="C158" s="34" t="s">
        <v>1001</v>
      </c>
      <c r="D158" s="219">
        <v>0</v>
      </c>
      <c r="E158" s="412">
        <f t="shared" si="58"/>
        <v>0</v>
      </c>
      <c r="F158" s="412">
        <f t="shared" si="59"/>
        <v>0</v>
      </c>
      <c r="G158" s="412">
        <f t="shared" si="60"/>
        <v>0</v>
      </c>
      <c r="H158" s="34" t="s">
        <v>41</v>
      </c>
      <c r="I158" s="34">
        <f>COUNTIF(adj!$C$31:$C$640,$A158)</f>
        <v>21</v>
      </c>
      <c r="J158" s="137">
        <f>SUMIF(adj!$C$31:$C$640,$A158,adj!L$31:L$640)</f>
        <v>0</v>
      </c>
      <c r="L158" s="34">
        <f>SUMIF(adj!$C$3:$C$640,$A158,adj!E$3:E$640)</f>
        <v>0</v>
      </c>
      <c r="M158" s="34">
        <f>SUMIF(adj!$C$3:$C$640,$A158,adj!F$3:F$640)</f>
        <v>0</v>
      </c>
      <c r="N158" s="34">
        <f>SUMIF(adj!$C$3:$C$640,$A158,adj!G$3:G$640)</f>
        <v>0</v>
      </c>
    </row>
    <row r="159" spans="1:14" s="34" customFormat="1">
      <c r="A159" s="599" t="s">
        <v>2132</v>
      </c>
      <c r="B159" s="34" t="s">
        <v>44</v>
      </c>
      <c r="C159" s="34" t="s">
        <v>1001</v>
      </c>
      <c r="D159" s="219">
        <v>0</v>
      </c>
      <c r="E159" s="412">
        <f t="shared" si="58"/>
        <v>0</v>
      </c>
      <c r="F159" s="412">
        <f t="shared" si="59"/>
        <v>0</v>
      </c>
      <c r="G159" s="412">
        <f t="shared" si="60"/>
        <v>0</v>
      </c>
      <c r="H159" s="34" t="s">
        <v>45</v>
      </c>
      <c r="I159" s="34">
        <f>COUNTIF(adj!$C$31:$C$640,$A159)</f>
        <v>18</v>
      </c>
      <c r="J159" s="137">
        <f>SUMIF(adj!$C$31:$C$640,$A159,adj!L$31:L$640)</f>
        <v>0</v>
      </c>
      <c r="L159" s="34">
        <f>SUMIF(adj!$C$3:$C$640,$A159,adj!E$3:E$640)</f>
        <v>0</v>
      </c>
      <c r="M159" s="34">
        <f>SUMIF(adj!$C$3:$C$640,$A159,adj!F$3:F$640)</f>
        <v>0</v>
      </c>
      <c r="N159" s="34">
        <f>SUMIF(adj!$C$3:$C$640,$A159,adj!G$3:G$640)</f>
        <v>0</v>
      </c>
    </row>
    <row r="160" spans="1:14" s="34" customFormat="1">
      <c r="A160" s="599" t="s">
        <v>2133</v>
      </c>
      <c r="B160" s="34" t="s">
        <v>765</v>
      </c>
      <c r="C160" s="34" t="s">
        <v>1001</v>
      </c>
      <c r="D160" s="547">
        <v>0</v>
      </c>
      <c r="E160" s="412">
        <f t="shared" si="58"/>
        <v>0</v>
      </c>
      <c r="F160" s="412">
        <f t="shared" si="59"/>
        <v>0</v>
      </c>
      <c r="G160" s="412">
        <f t="shared" si="60"/>
        <v>0</v>
      </c>
      <c r="H160" s="34" t="s">
        <v>766</v>
      </c>
      <c r="I160" s="34">
        <f>COUNTIF(adj!$C$31:$C$640,$A160)</f>
        <v>0</v>
      </c>
      <c r="J160" s="137">
        <f>SUMIF(adj!$C$31:$C$640,$A160,adj!L$31:L$640)</f>
        <v>0</v>
      </c>
      <c r="L160" s="34">
        <f>SUMIF(adj!$C$3:$C$640,$A160,adj!E$3:E$640)</f>
        <v>0</v>
      </c>
      <c r="M160" s="34">
        <f>SUMIF(adj!$C$3:$C$640,$A160,adj!F$3:F$640)</f>
        <v>0</v>
      </c>
      <c r="N160" s="34">
        <f>SUMIF(adj!$C$3:$C$640,$A160,adj!G$3:G$640)</f>
        <v>0</v>
      </c>
    </row>
    <row r="161" spans="1:16" s="34" customFormat="1">
      <c r="A161" s="1002" t="s">
        <v>3122</v>
      </c>
      <c r="B161" s="566" t="s">
        <v>3123</v>
      </c>
      <c r="C161" s="34" t="s">
        <v>1001</v>
      </c>
      <c r="D161" s="505">
        <v>0.2</v>
      </c>
      <c r="E161" s="505">
        <f t="shared" ref="E161" si="64">$D161*(1+L161*($C161="R"))+L161*($C161="A")</f>
        <v>0.2</v>
      </c>
      <c r="F161" s="505">
        <f t="shared" ref="F161" si="65">$D161*(1+M161*($C161="R"))+M161*($C161="A")</f>
        <v>0.2</v>
      </c>
      <c r="G161" s="505">
        <f t="shared" ref="G161" si="66">$D161*(1+N161*($C161="R"))+N161*($C161="A")</f>
        <v>0.2</v>
      </c>
      <c r="H161" s="566" t="s">
        <v>3124</v>
      </c>
      <c r="I161" s="34">
        <f>COUNTIF(adj!$C$31:$C$640,$A161)</f>
        <v>0</v>
      </c>
      <c r="J161" s="137">
        <f>SUMIF(adj!$C$31:$C$640,$A161,adj!L$31:L$640)</f>
        <v>0</v>
      </c>
      <c r="L161" s="34">
        <f>SUMIF(adj!$C$3:$C$640,$A161,adj!E$3:E$640)</f>
        <v>0</v>
      </c>
      <c r="M161" s="34">
        <f>SUMIF(adj!$C$3:$C$640,$A161,adj!F$3:F$640)</f>
        <v>0</v>
      </c>
      <c r="N161" s="34">
        <f>SUMIF(adj!$C$3:$C$640,$A161,adj!G$3:G$640)</f>
        <v>0</v>
      </c>
    </row>
    <row r="162" spans="1:16" s="34" customFormat="1">
      <c r="A162" s="137"/>
      <c r="E162" s="412">
        <f t="shared" si="58"/>
        <v>0</v>
      </c>
      <c r="F162" s="412">
        <f t="shared" si="59"/>
        <v>0</v>
      </c>
      <c r="G162" s="412">
        <f t="shared" si="60"/>
        <v>0</v>
      </c>
    </row>
    <row r="163" spans="1:16" s="34" customFormat="1">
      <c r="A163" s="614"/>
      <c r="B163" s="615"/>
      <c r="C163" s="615"/>
      <c r="D163" s="615"/>
      <c r="E163" s="615"/>
      <c r="F163" s="615"/>
      <c r="G163" s="615"/>
      <c r="H163" s="615"/>
      <c r="I163" s="615"/>
      <c r="J163" s="615"/>
      <c r="K163" s="615"/>
      <c r="L163" s="615"/>
      <c r="M163" s="615"/>
      <c r="N163" s="615"/>
      <c r="O163" s="615"/>
      <c r="P163" s="615"/>
    </row>
    <row r="164" spans="1:16" s="34" customFormat="1">
      <c r="A164" s="137"/>
    </row>
    <row r="165" spans="1:16" s="34" customFormat="1">
      <c r="A165" s="137"/>
    </row>
    <row r="166" spans="1:16" s="34" customFormat="1">
      <c r="A166" s="137"/>
    </row>
    <row r="167" spans="1:16" s="34" customFormat="1">
      <c r="A167" s="137"/>
    </row>
    <row r="168" spans="1:16" s="34" customFormat="1">
      <c r="A168" s="137"/>
    </row>
    <row r="169" spans="1:16" s="34" customFormat="1">
      <c r="A169" s="137"/>
    </row>
    <row r="170" spans="1:16" s="34" customFormat="1">
      <c r="A170" s="137"/>
    </row>
    <row r="171" spans="1:16" s="34" customFormat="1">
      <c r="A171" s="137"/>
    </row>
    <row r="172" spans="1:16" s="34" customFormat="1">
      <c r="A172" s="137"/>
    </row>
    <row r="173" spans="1:16" s="34" customFormat="1">
      <c r="A173" s="137"/>
    </row>
    <row r="174" spans="1:16" s="34" customFormat="1">
      <c r="A174" s="137"/>
    </row>
    <row r="175" spans="1:16" s="34" customFormat="1">
      <c r="A175" s="137"/>
    </row>
    <row r="176" spans="1:16" s="34" customFormat="1">
      <c r="A176" s="137"/>
    </row>
    <row r="177" spans="1:1" s="34" customFormat="1">
      <c r="A177" s="137"/>
    </row>
    <row r="178" spans="1:1" s="34" customFormat="1">
      <c r="A178" s="137"/>
    </row>
    <row r="179" spans="1:1" s="34" customFormat="1">
      <c r="A179" s="137"/>
    </row>
    <row r="180" spans="1:1" s="34" customFormat="1">
      <c r="A180" s="137"/>
    </row>
    <row r="181" spans="1:1" s="34" customFormat="1">
      <c r="A181" s="137"/>
    </row>
    <row r="182" spans="1:1" s="34" customFormat="1">
      <c r="A182" s="137"/>
    </row>
    <row r="183" spans="1:1" s="34" customFormat="1">
      <c r="A183" s="137"/>
    </row>
    <row r="184" spans="1:1" s="34" customFormat="1">
      <c r="A184" s="137"/>
    </row>
    <row r="185" spans="1:1" s="34" customFormat="1">
      <c r="A185" s="137"/>
    </row>
    <row r="186" spans="1:1" s="34" customFormat="1">
      <c r="A186" s="137"/>
    </row>
    <row r="187" spans="1:1" s="34" customFormat="1">
      <c r="A187" s="137"/>
    </row>
    <row r="188" spans="1:1" s="34" customFormat="1">
      <c r="A188" s="137"/>
    </row>
    <row r="189" spans="1:1" s="34" customFormat="1">
      <c r="A189" s="137"/>
    </row>
    <row r="190" spans="1:1" s="34" customFormat="1">
      <c r="A190" s="137"/>
    </row>
    <row r="191" spans="1:1" s="34" customFormat="1">
      <c r="A191" s="137"/>
    </row>
    <row r="192" spans="1:1" s="34" customFormat="1">
      <c r="A192" s="137"/>
    </row>
    <row r="193" spans="1:1" s="34" customFormat="1">
      <c r="A193" s="137"/>
    </row>
    <row r="194" spans="1:1" s="34" customFormat="1">
      <c r="A194" s="137"/>
    </row>
    <row r="195" spans="1:1" s="34" customFormat="1">
      <c r="A195" s="137"/>
    </row>
    <row r="196" spans="1:1" s="34" customFormat="1">
      <c r="A196" s="137"/>
    </row>
    <row r="197" spans="1:1" s="34" customFormat="1">
      <c r="A197" s="137"/>
    </row>
    <row r="198" spans="1:1" s="34" customFormat="1">
      <c r="A198" s="137"/>
    </row>
    <row r="199" spans="1:1" s="34" customFormat="1">
      <c r="A199" s="137"/>
    </row>
    <row r="200" spans="1:1" s="34" customFormat="1">
      <c r="A200" s="137"/>
    </row>
    <row r="201" spans="1:1" s="34" customFormat="1">
      <c r="A201" s="137"/>
    </row>
    <row r="202" spans="1:1" s="34" customFormat="1">
      <c r="A202" s="137"/>
    </row>
    <row r="203" spans="1:1" s="34" customFormat="1">
      <c r="A203" s="137"/>
    </row>
    <row r="204" spans="1:1" s="34" customFormat="1">
      <c r="A204" s="137"/>
    </row>
    <row r="205" spans="1:1" s="34" customFormat="1">
      <c r="A205" s="137"/>
    </row>
    <row r="206" spans="1:1" s="34" customFormat="1">
      <c r="A206" s="137"/>
    </row>
    <row r="207" spans="1:1" s="34" customFormat="1">
      <c r="A207" s="137"/>
    </row>
    <row r="208" spans="1:1" s="34" customFormat="1">
      <c r="A208" s="137"/>
    </row>
    <row r="209" spans="1:1" s="34" customFormat="1">
      <c r="A209" s="137"/>
    </row>
    <row r="210" spans="1:1" s="34" customFormat="1">
      <c r="A210" s="137"/>
    </row>
    <row r="211" spans="1:1" s="34" customFormat="1">
      <c r="A211" s="137"/>
    </row>
    <row r="212" spans="1:1" s="34" customFormat="1">
      <c r="A212" s="137"/>
    </row>
    <row r="213" spans="1:1" s="34" customFormat="1">
      <c r="A213" s="137"/>
    </row>
    <row r="214" spans="1:1" s="34" customFormat="1">
      <c r="A214" s="137"/>
    </row>
    <row r="215" spans="1:1" s="34" customFormat="1">
      <c r="A215" s="137"/>
    </row>
    <row r="216" spans="1:1" s="34" customFormat="1">
      <c r="A216" s="137"/>
    </row>
    <row r="217" spans="1:1" s="34" customFormat="1">
      <c r="A217" s="137"/>
    </row>
    <row r="218" spans="1:1" s="34" customFormat="1">
      <c r="A218" s="137"/>
    </row>
    <row r="219" spans="1:1" s="34" customFormat="1">
      <c r="A219" s="137"/>
    </row>
    <row r="220" spans="1:1" s="34" customFormat="1">
      <c r="A220" s="137"/>
    </row>
    <row r="221" spans="1:1" s="34" customFormat="1">
      <c r="A221" s="137"/>
    </row>
    <row r="222" spans="1:1" s="34" customFormat="1">
      <c r="A222" s="137"/>
    </row>
    <row r="223" spans="1:1" s="34" customFormat="1">
      <c r="A223" s="137"/>
    </row>
    <row r="224" spans="1:1" s="34" customFormat="1">
      <c r="A224" s="137"/>
    </row>
    <row r="225" spans="1:1" s="34" customFormat="1">
      <c r="A225" s="137"/>
    </row>
    <row r="226" spans="1:1" s="34" customFormat="1">
      <c r="A226" s="137"/>
    </row>
    <row r="227" spans="1:1" s="34" customFormat="1">
      <c r="A227" s="137"/>
    </row>
    <row r="228" spans="1:1" s="34" customFormat="1">
      <c r="A228" s="137"/>
    </row>
    <row r="229" spans="1:1" s="34" customFormat="1">
      <c r="A229" s="137"/>
    </row>
    <row r="230" spans="1:1" s="34" customFormat="1">
      <c r="A230" s="137"/>
    </row>
    <row r="231" spans="1:1" s="34" customFormat="1">
      <c r="A231" s="137"/>
    </row>
    <row r="232" spans="1:1" s="34" customFormat="1">
      <c r="A232" s="137"/>
    </row>
    <row r="233" spans="1:1" s="34" customFormat="1">
      <c r="A233" s="137"/>
    </row>
    <row r="234" spans="1:1" s="34" customFormat="1">
      <c r="A234" s="137"/>
    </row>
    <row r="235" spans="1:1" s="34" customFormat="1">
      <c r="A235" s="137"/>
    </row>
    <row r="236" spans="1:1" s="34" customFormat="1">
      <c r="A236" s="137"/>
    </row>
    <row r="237" spans="1:1" s="34" customFormat="1">
      <c r="A237" s="137"/>
    </row>
    <row r="238" spans="1:1" s="34" customFormat="1">
      <c r="A238" s="137"/>
    </row>
    <row r="239" spans="1:1" s="34" customFormat="1">
      <c r="A239" s="137"/>
    </row>
    <row r="240" spans="1:1" s="34" customFormat="1">
      <c r="A240" s="137"/>
    </row>
    <row r="241" spans="1:1" s="34" customFormat="1">
      <c r="A241" s="137"/>
    </row>
    <row r="242" spans="1:1" s="34" customFormat="1">
      <c r="A242" s="137"/>
    </row>
    <row r="243" spans="1:1" s="34" customFormat="1">
      <c r="A243" s="137"/>
    </row>
    <row r="244" spans="1:1" s="34" customFormat="1">
      <c r="A244" s="137"/>
    </row>
    <row r="245" spans="1:1" s="34" customFormat="1">
      <c r="A245" s="137"/>
    </row>
    <row r="246" spans="1:1" s="34" customFormat="1">
      <c r="A246" s="137"/>
    </row>
    <row r="247" spans="1:1" s="34" customFormat="1">
      <c r="A247" s="137"/>
    </row>
    <row r="248" spans="1:1" s="34" customFormat="1">
      <c r="A248" s="137"/>
    </row>
    <row r="249" spans="1:1" s="34" customFormat="1">
      <c r="A249" s="137"/>
    </row>
    <row r="250" spans="1:1" s="34" customFormat="1">
      <c r="A250" s="137"/>
    </row>
    <row r="251" spans="1:1" s="34" customFormat="1">
      <c r="A251" s="137"/>
    </row>
    <row r="252" spans="1:1" s="34" customFormat="1">
      <c r="A252" s="137"/>
    </row>
    <row r="253" spans="1:1" s="34" customFormat="1">
      <c r="A253" s="137"/>
    </row>
    <row r="254" spans="1:1" s="34" customFormat="1">
      <c r="A254" s="137"/>
    </row>
    <row r="255" spans="1:1" s="34" customFormat="1">
      <c r="A255" s="137"/>
    </row>
    <row r="256" spans="1:1" s="34" customFormat="1">
      <c r="A256" s="137"/>
    </row>
    <row r="257" spans="1:1" s="34" customFormat="1">
      <c r="A257" s="137"/>
    </row>
    <row r="258" spans="1:1" s="34" customFormat="1">
      <c r="A258" s="137"/>
    </row>
    <row r="259" spans="1:1" s="34" customFormat="1">
      <c r="A259" s="137"/>
    </row>
    <row r="260" spans="1:1" s="34" customFormat="1">
      <c r="A260" s="137"/>
    </row>
    <row r="261" spans="1:1" s="34" customFormat="1">
      <c r="A261" s="137"/>
    </row>
    <row r="262" spans="1:1" s="34" customFormat="1">
      <c r="A262" s="137"/>
    </row>
    <row r="263" spans="1:1" s="34" customFormat="1">
      <c r="A263" s="137"/>
    </row>
    <row r="264" spans="1:1" s="34" customFormat="1">
      <c r="A264" s="137"/>
    </row>
    <row r="265" spans="1:1" s="34" customFormat="1">
      <c r="A265" s="137"/>
    </row>
    <row r="266" spans="1:1" s="34" customFormat="1">
      <c r="A266" s="137"/>
    </row>
    <row r="267" spans="1:1" s="34" customFormat="1">
      <c r="A267" s="137"/>
    </row>
    <row r="268" spans="1:1" s="34" customFormat="1">
      <c r="A268" s="137"/>
    </row>
    <row r="269" spans="1:1" s="34" customFormat="1">
      <c r="A269" s="137"/>
    </row>
    <row r="270" spans="1:1" s="34" customFormat="1">
      <c r="A270" s="137"/>
    </row>
    <row r="271" spans="1:1" s="34" customFormat="1">
      <c r="A271" s="137"/>
    </row>
    <row r="272" spans="1:1" s="34" customFormat="1">
      <c r="A272" s="137"/>
    </row>
    <row r="273" spans="1:1" s="34" customFormat="1">
      <c r="A273" s="137"/>
    </row>
    <row r="274" spans="1:1" s="34" customFormat="1">
      <c r="A274" s="137"/>
    </row>
    <row r="275" spans="1:1" s="34" customFormat="1">
      <c r="A275" s="137"/>
    </row>
    <row r="276" spans="1:1" s="34" customFormat="1">
      <c r="A276" s="137"/>
    </row>
    <row r="277" spans="1:1" s="34" customFormat="1">
      <c r="A277" s="137"/>
    </row>
    <row r="278" spans="1:1" s="34" customFormat="1">
      <c r="A278" s="137"/>
    </row>
    <row r="279" spans="1:1" s="34" customFormat="1">
      <c r="A279" s="137"/>
    </row>
    <row r="280" spans="1:1" s="34" customFormat="1">
      <c r="A280" s="137"/>
    </row>
    <row r="281" spans="1:1" s="34" customFormat="1">
      <c r="A281" s="137"/>
    </row>
    <row r="282" spans="1:1" s="34" customFormat="1">
      <c r="A282" s="137"/>
    </row>
    <row r="283" spans="1:1" s="34" customFormat="1">
      <c r="A283" s="137"/>
    </row>
    <row r="284" spans="1:1" s="34" customFormat="1">
      <c r="A284" s="137"/>
    </row>
    <row r="285" spans="1:1" s="34" customFormat="1">
      <c r="A285" s="137"/>
    </row>
    <row r="286" spans="1:1" s="34" customFormat="1">
      <c r="A286" s="137"/>
    </row>
    <row r="287" spans="1:1" s="34" customFormat="1">
      <c r="A287" s="137"/>
    </row>
    <row r="288" spans="1:1" s="34" customFormat="1">
      <c r="A288" s="137"/>
    </row>
    <row r="289" spans="1:1" s="34" customFormat="1">
      <c r="A289" s="137"/>
    </row>
    <row r="290" spans="1:1" s="34" customFormat="1">
      <c r="A290" s="137"/>
    </row>
    <row r="291" spans="1:1" s="34" customFormat="1">
      <c r="A291" s="137"/>
    </row>
    <row r="292" spans="1:1" s="34" customFormat="1">
      <c r="A292" s="137"/>
    </row>
    <row r="293" spans="1:1" s="34" customFormat="1">
      <c r="A293" s="137"/>
    </row>
    <row r="294" spans="1:1" s="34" customFormat="1">
      <c r="A294" s="137"/>
    </row>
    <row r="295" spans="1:1" s="34" customFormat="1">
      <c r="A295" s="137"/>
    </row>
    <row r="296" spans="1:1" s="34" customFormat="1">
      <c r="A296" s="137"/>
    </row>
    <row r="297" spans="1:1" s="34" customFormat="1">
      <c r="A297" s="137"/>
    </row>
    <row r="298" spans="1:1" s="34" customFormat="1">
      <c r="A298" s="137"/>
    </row>
    <row r="299" spans="1:1" s="34" customFormat="1">
      <c r="A299" s="137"/>
    </row>
    <row r="300" spans="1:1" s="34" customFormat="1">
      <c r="A300" s="137"/>
    </row>
    <row r="301" spans="1:1" s="34" customFormat="1">
      <c r="A301" s="137"/>
    </row>
    <row r="302" spans="1:1" s="34" customFormat="1">
      <c r="A302" s="137"/>
    </row>
    <row r="303" spans="1:1" s="34" customFormat="1">
      <c r="A303" s="137"/>
    </row>
    <row r="304" spans="1:1" s="34" customFormat="1">
      <c r="A304" s="137"/>
    </row>
    <row r="305" spans="1:1" s="34" customFormat="1">
      <c r="A305" s="137"/>
    </row>
    <row r="306" spans="1:1" s="34" customFormat="1">
      <c r="A306" s="137"/>
    </row>
    <row r="307" spans="1:1" s="34" customFormat="1">
      <c r="A307" s="137"/>
    </row>
    <row r="308" spans="1:1" s="34" customFormat="1">
      <c r="A308" s="137"/>
    </row>
    <row r="309" spans="1:1" s="34" customFormat="1">
      <c r="A309" s="137"/>
    </row>
    <row r="310" spans="1:1" s="34" customFormat="1">
      <c r="A310" s="137"/>
    </row>
    <row r="311" spans="1:1" s="34" customFormat="1">
      <c r="A311" s="137"/>
    </row>
    <row r="312" spans="1:1" s="34" customFormat="1">
      <c r="A312" s="137"/>
    </row>
    <row r="313" spans="1:1" s="34" customFormat="1">
      <c r="A313" s="137"/>
    </row>
    <row r="314" spans="1:1" s="34" customFormat="1">
      <c r="A314" s="137"/>
    </row>
    <row r="315" spans="1:1" s="34" customFormat="1">
      <c r="A315" s="137"/>
    </row>
    <row r="316" spans="1:1" s="34" customFormat="1">
      <c r="A316" s="137"/>
    </row>
    <row r="317" spans="1:1" s="34" customFormat="1">
      <c r="A317" s="137"/>
    </row>
    <row r="318" spans="1:1" s="34" customFormat="1">
      <c r="A318" s="137"/>
    </row>
    <row r="319" spans="1:1" s="34" customFormat="1">
      <c r="A319" s="137"/>
    </row>
    <row r="320" spans="1:1" s="34" customFormat="1">
      <c r="A320" s="137"/>
    </row>
    <row r="321" spans="1:1" s="34" customFormat="1">
      <c r="A321" s="137"/>
    </row>
    <row r="322" spans="1:1" s="34" customFormat="1">
      <c r="A322" s="137"/>
    </row>
    <row r="323" spans="1:1" s="34" customFormat="1">
      <c r="A323" s="137"/>
    </row>
    <row r="324" spans="1:1" s="34" customFormat="1">
      <c r="A324" s="137"/>
    </row>
    <row r="325" spans="1:1" s="34" customFormat="1">
      <c r="A325" s="137"/>
    </row>
    <row r="326" spans="1:1" s="34" customFormat="1">
      <c r="A326" s="137"/>
    </row>
    <row r="327" spans="1:1" s="34" customFormat="1">
      <c r="A327" s="137"/>
    </row>
    <row r="328" spans="1:1" s="34" customFormat="1">
      <c r="A328" s="137"/>
    </row>
    <row r="329" spans="1:1" s="34" customFormat="1">
      <c r="A329" s="137"/>
    </row>
    <row r="330" spans="1:1" s="34" customFormat="1">
      <c r="A330" s="137"/>
    </row>
    <row r="331" spans="1:1" s="34" customFormat="1">
      <c r="A331" s="137"/>
    </row>
    <row r="332" spans="1:1" s="34" customFormat="1">
      <c r="A332" s="137"/>
    </row>
    <row r="333" spans="1:1" s="34" customFormat="1">
      <c r="A333" s="137"/>
    </row>
    <row r="334" spans="1:1" s="34" customFormat="1">
      <c r="A334" s="137"/>
    </row>
    <row r="335" spans="1:1" s="34" customFormat="1">
      <c r="A335" s="137"/>
    </row>
    <row r="336" spans="1:1" s="34" customFormat="1">
      <c r="A336" s="137"/>
    </row>
    <row r="337" spans="1:1" s="34" customFormat="1">
      <c r="A337" s="137"/>
    </row>
    <row r="338" spans="1:1" s="34" customFormat="1">
      <c r="A338" s="137"/>
    </row>
  </sheetData>
  <sheetProtection formatCells="0"/>
  <phoneticPr fontId="0" type="noConversion"/>
  <pageMargins left="0.5" right="0.5" top="0.5" bottom="0.5" header="0.5" footer="0.5"/>
  <pageSetup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MProd1" enableFormatConditionsCalculation="0">
    <tabColor indexed="10"/>
  </sheetPr>
  <dimension ref="A1:M369"/>
  <sheetViews>
    <sheetView showGridLines="0" workbookViewId="0">
      <pane ySplit="1" topLeftCell="A2" activePane="bottomLeft" state="frozen"/>
      <selection activeCell="D99" sqref="D99"/>
      <selection pane="bottomLeft" activeCell="A2" sqref="A2"/>
    </sheetView>
  </sheetViews>
  <sheetFormatPr defaultRowHeight="11.25"/>
  <cols>
    <col min="1" max="1" width="11.5" customWidth="1"/>
    <col min="2" max="2" width="18.83203125" customWidth="1"/>
    <col min="3" max="3" width="15.83203125" customWidth="1"/>
    <col min="4" max="4" width="18.83203125" customWidth="1"/>
    <col min="5" max="7" width="25" customWidth="1"/>
    <col min="8" max="8" width="17.5" bestFit="1" customWidth="1"/>
    <col min="9" max="9" width="11.5" customWidth="1"/>
    <col min="10" max="10" width="11.1640625" customWidth="1"/>
  </cols>
  <sheetData>
    <row r="1" spans="1:10" s="140" customFormat="1" ht="15.75">
      <c r="A1" s="141" t="str">
        <f>"Market Model "&amp; DataNameProd1</f>
        <v>Market Model Growth</v>
      </c>
      <c r="E1" s="138">
        <v>1</v>
      </c>
      <c r="F1" s="138">
        <v>2</v>
      </c>
      <c r="G1" s="138">
        <v>3</v>
      </c>
    </row>
    <row r="2" spans="1:10">
      <c r="A2" s="4"/>
      <c r="B2" s="4"/>
      <c r="C2" s="4"/>
      <c r="D2" s="4"/>
      <c r="E2" s="4"/>
      <c r="F2" s="4"/>
      <c r="G2" s="4"/>
      <c r="H2" s="4"/>
      <c r="I2" s="4"/>
    </row>
    <row r="3" spans="1:10">
      <c r="A3" s="4"/>
      <c r="B3" s="4"/>
      <c r="C3" s="3" t="s">
        <v>1207</v>
      </c>
      <c r="D3" s="3">
        <v>-1</v>
      </c>
      <c r="E3" s="3">
        <v>0</v>
      </c>
      <c r="F3" s="3">
        <v>1</v>
      </c>
      <c r="G3" s="3">
        <v>2</v>
      </c>
      <c r="H3" s="3"/>
      <c r="I3" s="3">
        <v>10</v>
      </c>
      <c r="J3" s="4"/>
    </row>
    <row r="4" spans="1:10">
      <c r="A4" s="4"/>
      <c r="B4" s="4"/>
      <c r="C4" s="26" t="str">
        <f>DataNameProd1</f>
        <v>Growth</v>
      </c>
      <c r="D4" s="357"/>
      <c r="E4" s="357"/>
      <c r="F4" s="357"/>
      <c r="G4" s="357"/>
      <c r="H4" s="357"/>
      <c r="I4" s="357"/>
      <c r="J4" s="4"/>
    </row>
    <row r="5" spans="1:10">
      <c r="A5" s="4"/>
      <c r="B5" s="4"/>
      <c r="C5" s="26"/>
      <c r="D5" s="357"/>
      <c r="E5" s="357"/>
      <c r="F5" s="357"/>
      <c r="G5" s="357"/>
      <c r="H5" s="357"/>
      <c r="I5" s="357"/>
      <c r="J5" s="4"/>
    </row>
    <row r="6" spans="1:10">
      <c r="A6" s="4"/>
      <c r="B6" s="4"/>
      <c r="C6" s="26"/>
      <c r="D6" s="357"/>
      <c r="E6" s="357"/>
      <c r="F6" s="357"/>
      <c r="G6" s="357"/>
      <c r="H6" s="357"/>
      <c r="I6" s="357"/>
      <c r="J6" s="4"/>
    </row>
    <row r="7" spans="1:10">
      <c r="A7" s="4"/>
      <c r="B7" s="4"/>
      <c r="C7" s="26"/>
      <c r="D7" s="357"/>
      <c r="E7" s="357"/>
      <c r="F7" s="357"/>
      <c r="G7" s="357"/>
      <c r="H7" s="357"/>
      <c r="I7" s="357"/>
      <c r="J7" s="4"/>
    </row>
    <row r="8" spans="1:10">
      <c r="A8" s="4"/>
      <c r="B8" s="4"/>
      <c r="C8" s="26"/>
      <c r="D8" s="357"/>
      <c r="E8" s="357"/>
      <c r="F8" s="357"/>
      <c r="G8" s="357"/>
      <c r="H8" s="357"/>
      <c r="I8" s="357"/>
      <c r="J8" s="4"/>
    </row>
    <row r="9" spans="1:10">
      <c r="A9" s="4"/>
      <c r="B9" s="4"/>
      <c r="C9" s="4"/>
      <c r="D9" s="4"/>
      <c r="E9" s="4"/>
      <c r="F9" s="4"/>
      <c r="G9" s="4"/>
      <c r="H9" s="4"/>
      <c r="I9" s="4"/>
      <c r="J9" s="4"/>
    </row>
    <row r="10" spans="1:10">
      <c r="A10" s="4"/>
      <c r="B10" s="4"/>
      <c r="C10" s="71" t="s">
        <v>703</v>
      </c>
      <c r="D10" s="3">
        <v>-1</v>
      </c>
      <c r="E10" s="3">
        <v>0</v>
      </c>
      <c r="F10" s="3">
        <v>1</v>
      </c>
      <c r="G10" s="3">
        <v>2</v>
      </c>
      <c r="H10" s="3"/>
      <c r="I10" s="3">
        <v>10</v>
      </c>
      <c r="J10" s="4"/>
    </row>
    <row r="11" spans="1:10">
      <c r="A11" s="4"/>
      <c r="B11" s="4"/>
      <c r="C11" s="26" t="str">
        <f>DataNameProd1</f>
        <v>Growth</v>
      </c>
      <c r="D11" s="194">
        <f>xxMMProd1Units*(1+D4)</f>
        <v>377812.5</v>
      </c>
      <c r="E11" s="194">
        <f>xxMMProd1Units*(1+E4)</f>
        <v>387500</v>
      </c>
      <c r="F11" s="194">
        <f>xxMMProd1Units*(1+F4)</f>
        <v>418500</v>
      </c>
      <c r="G11" s="194">
        <f>xxMMProd1Units*(1+G4)</f>
        <v>434000</v>
      </c>
      <c r="H11" s="194">
        <f>xxMMProd1Units*(1+H4)</f>
        <v>457250</v>
      </c>
      <c r="I11" s="425"/>
      <c r="J11" s="4"/>
    </row>
    <row r="12" spans="1:10">
      <c r="A12" s="4"/>
      <c r="B12" s="4"/>
      <c r="C12" s="26"/>
      <c r="D12" s="194">
        <f>xxMMProd1Seg2Units*(1+D5)</f>
        <v>0</v>
      </c>
      <c r="E12" s="194">
        <f>xxMMProd1Seg2Units*(1+E5)</f>
        <v>0</v>
      </c>
      <c r="F12" s="194">
        <f>xxMMProd1Seg2Units*(1+F5)</f>
        <v>0</v>
      </c>
      <c r="G12" s="194">
        <f>xxMMProd1Seg2Units*(1+G5)</f>
        <v>0</v>
      </c>
      <c r="H12" s="194">
        <f>xxMMProd1Seg2Units*(1+H5)</f>
        <v>0</v>
      </c>
      <c r="I12" s="425"/>
      <c r="J12" s="4"/>
    </row>
    <row r="13" spans="1:10">
      <c r="A13" s="4"/>
      <c r="B13" s="4"/>
      <c r="C13" s="26"/>
      <c r="D13" s="194">
        <f>xxMMProd1Seg3Units*(1+D6)</f>
        <v>0</v>
      </c>
      <c r="E13" s="194">
        <f>xxMMProd1Seg3Units*(1+E6)</f>
        <v>0</v>
      </c>
      <c r="F13" s="194">
        <f>xxMMProd1Seg3Units*(1+F6)</f>
        <v>0</v>
      </c>
      <c r="G13" s="194">
        <f>xxMMProd1Seg3Units*(1+G6)</f>
        <v>0</v>
      </c>
      <c r="H13" s="194">
        <f>xxMMProd1Seg3Units*(1+H6)</f>
        <v>0</v>
      </c>
      <c r="I13" s="425"/>
      <c r="J13" s="4"/>
    </row>
    <row r="14" spans="1:10">
      <c r="A14" s="4"/>
      <c r="B14" s="4"/>
      <c r="C14" s="26"/>
      <c r="D14" s="194">
        <f>xxMMProd1Seg4Units *(1+D7)</f>
        <v>0</v>
      </c>
      <c r="E14" s="194">
        <f>xxMMProd1Seg4Units *(1+E7)</f>
        <v>0</v>
      </c>
      <c r="F14" s="194">
        <f>xxMMProd1Seg4Units *(1+F7)</f>
        <v>0</v>
      </c>
      <c r="G14" s="194">
        <f>xxMMProd1Seg4Units *(1+G7)</f>
        <v>0</v>
      </c>
      <c r="H14" s="194">
        <f>xxMMProd1Seg4Units *(1+H7)</f>
        <v>0</v>
      </c>
      <c r="I14" s="425"/>
      <c r="J14" s="4"/>
    </row>
    <row r="15" spans="1:10">
      <c r="A15" s="4"/>
      <c r="B15" s="4"/>
      <c r="C15" s="26"/>
      <c r="D15" s="194">
        <f>xxMMProd1Seg5Units*(1+D8)</f>
        <v>0</v>
      </c>
      <c r="E15" s="194">
        <f>xxMMProd1Seg5Units*(1+E8)</f>
        <v>0</v>
      </c>
      <c r="F15" s="194">
        <f>xxMMProd1Seg5Units*(1+F8)</f>
        <v>0</v>
      </c>
      <c r="G15" s="194">
        <f>xxMMProd1Seg5Units*(1+G8)</f>
        <v>0</v>
      </c>
      <c r="H15" s="194">
        <f>xxMMProd1Seg5Units*(1+H8)</f>
        <v>0</v>
      </c>
      <c r="I15" s="425"/>
      <c r="J15" s="4"/>
    </row>
    <row r="16" spans="1:10">
      <c r="A16" s="4"/>
      <c r="B16" s="4"/>
      <c r="C16" s="3"/>
      <c r="D16" s="82"/>
      <c r="E16" s="4"/>
      <c r="F16" s="4"/>
      <c r="G16" s="4"/>
      <c r="H16" s="4"/>
      <c r="I16" s="4"/>
    </row>
    <row r="17" spans="1:9" ht="12" thickBot="1">
      <c r="A17" s="4"/>
      <c r="B17" s="4"/>
      <c r="C17" s="3" t="s">
        <v>494</v>
      </c>
      <c r="D17" s="4"/>
      <c r="E17" s="4"/>
      <c r="F17" s="583" t="s">
        <v>496</v>
      </c>
      <c r="G17" s="583" t="s">
        <v>1388</v>
      </c>
      <c r="H17" s="4"/>
      <c r="I17" s="4"/>
    </row>
    <row r="18" spans="1:9" ht="12" thickBot="1">
      <c r="A18" s="4"/>
      <c r="B18" s="4"/>
      <c r="C18" s="232" t="str">
        <f>C11</f>
        <v>Growth</v>
      </c>
      <c r="D18" s="460">
        <f>F18+G18</f>
        <v>28771.328140625003</v>
      </c>
      <c r="E18" s="4" t="s">
        <v>1134</v>
      </c>
      <c r="F18" s="581">
        <f>INDEX($D11:$J11,xxYear+2)-INDEX($D11:$J11,xxYear+1)</f>
        <v>9687.5</v>
      </c>
      <c r="G18" s="582">
        <f>SUM(capProd1Cancellations)</f>
        <v>19083.828140625003</v>
      </c>
      <c r="H18" s="4"/>
      <c r="I18" s="4"/>
    </row>
    <row r="19" spans="1:9" ht="12" thickBot="1">
      <c r="A19" s="4"/>
      <c r="B19" s="4"/>
      <c r="C19" s="232">
        <f>C12</f>
        <v>0</v>
      </c>
      <c r="D19" s="226">
        <f>INDEX($D12:$I12,xxYear+2)</f>
        <v>0</v>
      </c>
      <c r="E19" s="4"/>
      <c r="F19" s="4"/>
      <c r="G19" s="4"/>
      <c r="H19" s="4"/>
      <c r="I19" s="4"/>
    </row>
    <row r="20" spans="1:9" ht="12" thickBot="1">
      <c r="A20" s="4"/>
      <c r="B20" s="4"/>
      <c r="C20" s="232">
        <f>C13</f>
        <v>0</v>
      </c>
      <c r="D20" s="226">
        <f>INDEX($D13:$I13,xxYear+2)</f>
        <v>0</v>
      </c>
      <c r="E20" s="4"/>
      <c r="F20" s="4"/>
      <c r="G20" s="4"/>
      <c r="H20" s="4"/>
      <c r="I20" s="4"/>
    </row>
    <row r="21" spans="1:9" ht="12" thickBot="1">
      <c r="A21" s="4"/>
      <c r="B21" s="4"/>
      <c r="C21" s="232">
        <f>C14</f>
        <v>0</v>
      </c>
      <c r="D21" s="226">
        <f>INDEX($D14:$I14,xxYear+2)</f>
        <v>0</v>
      </c>
      <c r="E21" s="4"/>
      <c r="F21" s="4"/>
      <c r="G21" s="4"/>
      <c r="H21" s="4"/>
      <c r="I21" s="4" t="s">
        <v>531</v>
      </c>
    </row>
    <row r="22" spans="1:9" ht="12" thickBot="1">
      <c r="A22" s="4"/>
      <c r="B22" s="4"/>
      <c r="C22" s="232">
        <f>C15</f>
        <v>0</v>
      </c>
      <c r="D22" s="226">
        <f>INDEX($D15:$I15,xxYear+2)</f>
        <v>0</v>
      </c>
      <c r="E22" s="4"/>
      <c r="F22" s="4"/>
      <c r="G22" s="4"/>
      <c r="H22" s="4"/>
      <c r="I22" s="4"/>
    </row>
    <row r="23" spans="1:9" ht="5.0999999999999996" customHeight="1" thickBot="1">
      <c r="A23" s="4"/>
      <c r="B23" s="4"/>
      <c r="C23" s="225"/>
      <c r="D23" s="227"/>
      <c r="E23" s="4"/>
      <c r="F23" s="4"/>
      <c r="G23" s="4"/>
      <c r="H23" s="4"/>
      <c r="I23" s="4"/>
    </row>
    <row r="24" spans="1:9" ht="12" thickBot="1">
      <c r="A24" s="4"/>
      <c r="B24" s="4"/>
      <c r="C24" s="3" t="s">
        <v>706</v>
      </c>
      <c r="D24" s="226">
        <f>SUM(D18:D23)</f>
        <v>28771.328140625003</v>
      </c>
      <c r="E24" s="4"/>
      <c r="F24" s="4"/>
      <c r="G24" s="4" t="s">
        <v>531</v>
      </c>
      <c r="H24" s="4"/>
      <c r="I24" s="4"/>
    </row>
    <row r="25" spans="1:9" ht="12" thickBot="1">
      <c r="A25" s="4"/>
      <c r="B25" s="4"/>
      <c r="C25" s="3"/>
      <c r="D25" s="3"/>
      <c r="E25" s="3"/>
      <c r="F25" s="4"/>
      <c r="G25" s="4"/>
      <c r="H25" s="4"/>
      <c r="I25" s="4"/>
    </row>
    <row r="26" spans="1:9" ht="12" thickBot="1">
      <c r="A26" s="4"/>
      <c r="B26" s="4"/>
      <c r="C26" s="3" t="s">
        <v>711</v>
      </c>
      <c r="D26" s="2">
        <v>1</v>
      </c>
      <c r="E26" s="235" t="s">
        <v>23</v>
      </c>
      <c r="F26" s="4"/>
      <c r="G26" s="4"/>
      <c r="H26" s="4"/>
      <c r="I26" s="4"/>
    </row>
    <row r="27" spans="1:9" ht="12.75" customHeight="1" thickBot="1">
      <c r="A27" s="4"/>
      <c r="B27" s="4"/>
      <c r="C27" s="3" t="s">
        <v>219</v>
      </c>
      <c r="D27" s="233">
        <f>COUNTIF(D18:D23,"&gt;0")</f>
        <v>1</v>
      </c>
      <c r="E27" s="236" t="s">
        <v>24</v>
      </c>
      <c r="F27" s="450" t="s">
        <v>1135</v>
      </c>
      <c r="G27" s="450" t="s">
        <v>813</v>
      </c>
      <c r="H27" s="79"/>
      <c r="I27" s="4"/>
    </row>
    <row r="28" spans="1:9" ht="12.75" customHeight="1" thickBot="1">
      <c r="A28" s="4"/>
      <c r="B28" s="4"/>
      <c r="C28" s="3" t="s">
        <v>393</v>
      </c>
      <c r="D28" s="233" t="str">
        <f>INDEX(C18:C23,MMSegCurrent)</f>
        <v>Growth</v>
      </c>
      <c r="E28" s="236" t="s">
        <v>1223</v>
      </c>
      <c r="F28" s="79"/>
      <c r="G28" s="79"/>
      <c r="H28" s="79"/>
      <c r="I28" s="4"/>
    </row>
    <row r="29" spans="1:9">
      <c r="A29" s="4"/>
      <c r="B29" s="4" t="s">
        <v>1036</v>
      </c>
      <c r="C29" s="3"/>
      <c r="D29" s="144"/>
      <c r="E29" s="426">
        <v>1</v>
      </c>
      <c r="F29" s="426">
        <v>2</v>
      </c>
      <c r="G29" s="426">
        <v>3</v>
      </c>
      <c r="H29" s="79"/>
      <c r="I29" s="4"/>
    </row>
    <row r="30" spans="1:9" ht="12.75">
      <c r="A30" s="4"/>
      <c r="B30" s="355"/>
      <c r="C30" s="344" t="s">
        <v>287</v>
      </c>
      <c r="D30" s="345"/>
      <c r="E30" s="346" t="str">
        <f>decTeamName</f>
        <v>IIC</v>
      </c>
      <c r="F30" s="346" t="str">
        <f>decTeamName</f>
        <v>Bloomfield</v>
      </c>
      <c r="G30" s="346" t="str">
        <f>decTeamName</f>
        <v>Nextus</v>
      </c>
      <c r="H30" s="347">
        <f ca="1">NOW()</f>
        <v>41680.394886574075</v>
      </c>
      <c r="I30" s="4"/>
    </row>
    <row r="31" spans="1:9" ht="12.75">
      <c r="A31" s="4"/>
      <c r="B31" s="355"/>
      <c r="C31" s="348" t="str">
        <f>MMSegName&amp;"   "&amp;TEXT(INDEX(D18:D22,MMSegCurrent),"#,##0")&amp;" Units"</f>
        <v>Growth   28,771 Units</v>
      </c>
      <c r="D31" s="349"/>
      <c r="E31" s="350"/>
      <c r="F31" s="350"/>
      <c r="G31" s="350"/>
      <c r="H31" s="351"/>
      <c r="I31" s="4"/>
    </row>
    <row r="32" spans="1:9">
      <c r="A32" s="4"/>
      <c r="B32" s="355"/>
      <c r="C32" s="42" t="s">
        <v>594</v>
      </c>
      <c r="D32" s="62"/>
      <c r="E32" s="343" t="b">
        <v>1</v>
      </c>
      <c r="F32" s="343" t="b">
        <v>1</v>
      </c>
      <c r="G32" s="343" t="b">
        <v>1</v>
      </c>
      <c r="H32" s="43">
        <f>COUNTIF(E32:G32,TRUE)</f>
        <v>3</v>
      </c>
      <c r="I32" s="4" t="s">
        <v>29</v>
      </c>
    </row>
    <row r="33" spans="1:9" ht="12.75">
      <c r="A33" s="4"/>
      <c r="B33" s="33"/>
      <c r="C33" s="339" t="str">
        <f>xxMMProd1Driver1</f>
        <v>Price</v>
      </c>
      <c r="D33" s="340">
        <f>INDEX(xxMMProd1Driver1,2+MMSegCurrent)</f>
        <v>6</v>
      </c>
      <c r="E33" s="452">
        <f>decProd1Price</f>
        <v>10800</v>
      </c>
      <c r="F33" s="452">
        <f>decProd1Price</f>
        <v>11880.000000000002</v>
      </c>
      <c r="G33" s="341">
        <f>decProd1Price</f>
        <v>10476</v>
      </c>
      <c r="H33" s="146"/>
    </row>
    <row r="34" spans="1:9">
      <c r="A34" s="4"/>
      <c r="B34" s="355"/>
      <c r="C34" s="36" t="s">
        <v>664</v>
      </c>
      <c r="D34" s="40"/>
      <c r="E34" s="41">
        <f t="shared" ref="E34:G35" si="0">E33</f>
        <v>10800</v>
      </c>
      <c r="F34" s="41">
        <f t="shared" si="0"/>
        <v>11880.000000000002</v>
      </c>
      <c r="G34" s="41">
        <f t="shared" si="0"/>
        <v>10476</v>
      </c>
      <c r="H34" s="39"/>
    </row>
    <row r="35" spans="1:9">
      <c r="A35" s="4"/>
      <c r="B35" s="355"/>
      <c r="C35" s="36" t="s">
        <v>51</v>
      </c>
      <c r="D35" s="338">
        <v>0.9</v>
      </c>
      <c r="E35" s="38">
        <f t="shared" si="0"/>
        <v>10800</v>
      </c>
      <c r="F35" s="38">
        <f t="shared" si="0"/>
        <v>11880.000000000002</v>
      </c>
      <c r="G35" s="38">
        <f t="shared" si="0"/>
        <v>10476</v>
      </c>
      <c r="H35" s="353">
        <f>IF($H$32=0,0,SUM(E35:G35)/$H$32)</f>
        <v>11052</v>
      </c>
    </row>
    <row r="36" spans="1:9">
      <c r="A36" s="4"/>
      <c r="B36" s="355" t="b">
        <v>1</v>
      </c>
      <c r="C36" s="42" t="s">
        <v>52</v>
      </c>
      <c r="D36" s="174">
        <f>STDEVP(E35:G35)*D35+(STDEVP(E35:G35)=0)</f>
        <v>540.21595681727217</v>
      </c>
      <c r="E36" s="65">
        <f>IF(E35=0,0,(1-NORMDIST(E35,$H35,$D36,TRUE)))*(MMInMarket=TRUE)</f>
        <v>0.67956405999854463</v>
      </c>
      <c r="F36" s="65">
        <f>IF(F35=0,0,(1-NORMDIST(F35,$H35,$D36,TRUE)))*(MMInMarket=TRUE)</f>
        <v>6.2672384264098158E-2</v>
      </c>
      <c r="G36" s="65">
        <f>IF(G35=0,0,(1-NORMDIST(G35,$H35,$D36,TRUE)))*(MMInMarket=TRUE)</f>
        <v>0.85684247554391724</v>
      </c>
      <c r="H36" s="93"/>
      <c r="I36" s="10"/>
    </row>
    <row r="37" spans="1:9" ht="12.75">
      <c r="B37" s="33"/>
      <c r="C37" s="339" t="str">
        <f>xxMMProd1Driver2</f>
        <v>Content</v>
      </c>
      <c r="D37" s="340">
        <f>INDEX(xxMMProd1Driver2,2+MMSegCurrent)</f>
        <v>7</v>
      </c>
      <c r="E37" s="427">
        <f>cbalContentLvl</f>
        <v>2</v>
      </c>
      <c r="F37" s="427">
        <f>cbalContentLvl</f>
        <v>2</v>
      </c>
      <c r="G37" s="427">
        <f>cbalContentLvl</f>
        <v>3</v>
      </c>
      <c r="H37" s="146"/>
    </row>
    <row r="38" spans="1:9">
      <c r="B38" s="33"/>
      <c r="C38" s="36" t="s">
        <v>708</v>
      </c>
      <c r="D38" s="37"/>
      <c r="E38" s="81">
        <f>E37</f>
        <v>2</v>
      </c>
      <c r="F38" s="81">
        <f>F37</f>
        <v>2</v>
      </c>
      <c r="G38" s="81">
        <f>G37</f>
        <v>3</v>
      </c>
      <c r="H38" s="39"/>
    </row>
    <row r="39" spans="1:9">
      <c r="B39" s="33"/>
      <c r="C39" s="36" t="s">
        <v>51</v>
      </c>
      <c r="D39" s="338">
        <v>2</v>
      </c>
      <c r="E39" s="81">
        <f>IF(MMInMarket=TRUE,E38,0)</f>
        <v>2</v>
      </c>
      <c r="F39" s="81">
        <f>IF(MMInMarket=TRUE,F38,0)</f>
        <v>2</v>
      </c>
      <c r="G39" s="81">
        <f>IF(MMInMarket=TRUE,G38,0)</f>
        <v>3</v>
      </c>
      <c r="H39" s="354">
        <f>IF($H$32=0,0,SUM(E39:G39)/$H$32)</f>
        <v>2.3333333333333335</v>
      </c>
    </row>
    <row r="40" spans="1:9">
      <c r="B40" s="355" t="b">
        <v>1</v>
      </c>
      <c r="C40" s="42" t="s">
        <v>53</v>
      </c>
      <c r="D40" s="174">
        <f>STDEVP(E39:G39)*D39+(STDEVP(E39:G39)=0)</f>
        <v>0.94280904158206336</v>
      </c>
      <c r="E40" s="65">
        <f>IF(E39=0,0,NORMDIST(E39,$H39,$D40,TRUE))*(MMInMarket=TRUE)</f>
        <v>0.36183680491588144</v>
      </c>
      <c r="F40" s="65">
        <f>IF(F39=0,0,NORMDIST(F39,$H39,$D40,TRUE))*(MMInMarket=TRUE)</f>
        <v>0.36183680491588144</v>
      </c>
      <c r="G40" s="65">
        <f>IF(G39=0,0,NORMDIST(G39,$H39,$D40,TRUE))*(MMInMarket=TRUE)</f>
        <v>0.76024993890652326</v>
      </c>
      <c r="H40" s="93"/>
      <c r="I40" s="10"/>
    </row>
    <row r="41" spans="1:9" ht="12.75">
      <c r="B41" s="33"/>
      <c r="C41" s="339" t="str">
        <f>xxMMProd1Driver3</f>
        <v>Product Technology</v>
      </c>
      <c r="D41" s="340">
        <f>INDEX(xxMMProd1Driver3,2+MMSegCurrent)</f>
        <v>10</v>
      </c>
      <c r="E41" s="996">
        <f>obalProd1ProdTechLvl+paramProd1AddProdTechLvl+decProd1ProdTechLvl*((365-capProd1TTM)/365)</f>
        <v>2.7215282977364801</v>
      </c>
      <c r="F41" s="996">
        <f>obalProd1ProdTechLvl+paramProd1AddProdTechLvl+decProd1ProdTechLvl*((365-capProd1TTM)/365)</f>
        <v>1.8795999729018606</v>
      </c>
      <c r="G41" s="996">
        <f>obalProd1ProdTechLvl+paramProd1AddProdTechLvl+decProd1ProdTechLvl*((365-capProd1TTM)/365)</f>
        <v>3.455228602468623</v>
      </c>
      <c r="H41" s="146"/>
    </row>
    <row r="42" spans="1:9">
      <c r="B42" s="33"/>
      <c r="C42" s="36" t="s">
        <v>709</v>
      </c>
      <c r="D42" s="37"/>
      <c r="E42" s="530">
        <f>E41</f>
        <v>2.7215282977364801</v>
      </c>
      <c r="F42" s="530">
        <f>F41</f>
        <v>1.8795999729018606</v>
      </c>
      <c r="G42" s="530">
        <f>G41</f>
        <v>3.455228602468623</v>
      </c>
      <c r="H42" s="39"/>
    </row>
    <row r="43" spans="1:9">
      <c r="B43" s="33"/>
      <c r="C43" s="36" t="s">
        <v>51</v>
      </c>
      <c r="D43" s="338">
        <v>1.5</v>
      </c>
      <c r="E43" s="530">
        <f>IF(MMInMarket=TRUE,E42,0)</f>
        <v>2.7215282977364801</v>
      </c>
      <c r="F43" s="530">
        <f>IF(MMInMarket=TRUE,F42,0)</f>
        <v>1.8795999729018606</v>
      </c>
      <c r="G43" s="530">
        <f>IF(MMInMarket=TRUE,G42,0)</f>
        <v>3.455228602468623</v>
      </c>
      <c r="H43" s="352">
        <f>IF($H$32=0,0,SUM(E43:G43)/$H$32)</f>
        <v>2.6854522910356544</v>
      </c>
    </row>
    <row r="44" spans="1:9">
      <c r="B44" s="355" t="b">
        <v>1</v>
      </c>
      <c r="C44" s="42" t="s">
        <v>54</v>
      </c>
      <c r="D44" s="174">
        <f>STDEVP(E43:G43)*D43+(STDEVP(E43:G43)=0)</f>
        <v>0.96562997825685082</v>
      </c>
      <c r="E44" s="65">
        <f>IF(E43=0,0,NORMDIST(E43,$H43,$D44,TRUE))*(MMInMarket=TRUE)</f>
        <v>0.5149010463115945</v>
      </c>
      <c r="F44" s="65">
        <f>IF(F43=0,0,NORMDIST(F43,$H43,$D44,TRUE))*(MMInMarket=TRUE)</f>
        <v>0.20198969777264494</v>
      </c>
      <c r="G44" s="65">
        <f>IF(G43=0,0,NORMDIST(G43,$H43,$D44,TRUE))*(MMInMarket=TRUE)</f>
        <v>0.78732536861917013</v>
      </c>
      <c r="H44" s="93"/>
      <c r="I44" s="10"/>
    </row>
    <row r="45" spans="1:9" ht="12.75">
      <c r="B45" s="33"/>
      <c r="C45" s="339" t="str">
        <f>xxMMProd1Driver4</f>
        <v>Marketing</v>
      </c>
      <c r="D45" s="340">
        <f>INDEX(xxMMProd1Driver4,2+MMSegCurrent)</f>
        <v>8</v>
      </c>
      <c r="E45" s="427">
        <f>decMarketing</f>
        <v>195000</v>
      </c>
      <c r="F45" s="427">
        <f>decMarketing</f>
        <v>200000</v>
      </c>
      <c r="G45" s="427">
        <f>decMarketing</f>
        <v>150000</v>
      </c>
      <c r="H45" s="146"/>
    </row>
    <row r="46" spans="1:9">
      <c r="B46" s="33"/>
      <c r="C46" s="36" t="s">
        <v>1126</v>
      </c>
      <c r="D46" s="37"/>
      <c r="E46" s="790">
        <f>E45</f>
        <v>195000</v>
      </c>
      <c r="F46" s="790">
        <f>F45</f>
        <v>200000</v>
      </c>
      <c r="G46" s="790">
        <f>G45</f>
        <v>150000</v>
      </c>
      <c r="H46" s="39"/>
    </row>
    <row r="47" spans="1:9">
      <c r="B47" s="33"/>
      <c r="C47" s="36" t="s">
        <v>51</v>
      </c>
      <c r="D47" s="338">
        <v>2.5</v>
      </c>
      <c r="E47" s="790">
        <f>IF(MMInMarket=TRUE,E46,0)</f>
        <v>195000</v>
      </c>
      <c r="F47" s="790">
        <f>IF(MMInMarket=TRUE,F46,0)</f>
        <v>200000</v>
      </c>
      <c r="G47" s="790">
        <f>IF(MMInMarket=TRUE,G46,0)</f>
        <v>150000</v>
      </c>
      <c r="H47" s="352">
        <f>IF($H$32=0,0,SUM(E47:G47)/$H$32)</f>
        <v>181666.66666666666</v>
      </c>
    </row>
    <row r="48" spans="1:9">
      <c r="B48" s="355" t="b">
        <v>1</v>
      </c>
      <c r="C48" s="42" t="s">
        <v>55</v>
      </c>
      <c r="D48" s="174">
        <f>STDEVP(E47:G47)*D47+(STDEVP(E47:G47)=0)</f>
        <v>56211.406513466849</v>
      </c>
      <c r="E48" s="65">
        <f>IF(E47=0,0,NORMDIST(E47,$H47,$D48,TRUE))*(MMInMarket=TRUE)</f>
        <v>0.59374909702673717</v>
      </c>
      <c r="F48" s="65">
        <f>IF(F47=0,0,NORMDIST(F47,$H47,$D48,TRUE))*(MMInMarket=TRUE)</f>
        <v>0.62784445181288762</v>
      </c>
      <c r="G48" s="65">
        <f>IF(G47=0,0,NORMDIST(G47,$H47,$D48,TRUE))*(MMInMarket=TRUE)</f>
        <v>0.28659846537437172</v>
      </c>
      <c r="H48" s="93"/>
      <c r="I48" s="10"/>
    </row>
    <row r="49" spans="2:13" ht="12.75">
      <c r="B49" s="33"/>
      <c r="C49" s="339" t="str">
        <f>xxMMProd1Driver5</f>
        <v>Sales Force</v>
      </c>
      <c r="D49" s="340">
        <f>INDEX(xxMMProd1Driver5,2+MMSegCurrent)</f>
        <v>9</v>
      </c>
      <c r="E49" s="526">
        <f>capSalesForceNewAccounts</f>
        <v>0.54</v>
      </c>
      <c r="F49" s="526">
        <f>capSalesForceNewAccounts</f>
        <v>0.38999999999999996</v>
      </c>
      <c r="G49" s="526">
        <f>capSalesForceNewAccounts</f>
        <v>0.57000000000000006</v>
      </c>
      <c r="H49" s="146"/>
    </row>
    <row r="50" spans="2:13">
      <c r="B50" s="33"/>
      <c r="C50" s="36" t="s">
        <v>1126</v>
      </c>
      <c r="D50" s="37"/>
      <c r="E50" s="81">
        <f>E49</f>
        <v>0.54</v>
      </c>
      <c r="F50" s="81">
        <f>F49</f>
        <v>0.38999999999999996</v>
      </c>
      <c r="G50" s="81">
        <f>G49</f>
        <v>0.57000000000000006</v>
      </c>
      <c r="H50" s="39"/>
    </row>
    <row r="51" spans="2:13">
      <c r="B51" s="33"/>
      <c r="C51" s="36" t="s">
        <v>51</v>
      </c>
      <c r="D51" s="338">
        <v>2.5</v>
      </c>
      <c r="E51" s="81">
        <f>IF(MMInMarket=TRUE,E50,0)</f>
        <v>0.54</v>
      </c>
      <c r="F51" s="81">
        <f>IF(MMInMarket=TRUE,F50,0)</f>
        <v>0.38999999999999996</v>
      </c>
      <c r="G51" s="81">
        <f>IF(MMInMarket=TRUE,G50,0)</f>
        <v>0.57000000000000006</v>
      </c>
      <c r="H51" s="352">
        <f>IF($H$32=0,0,SUM(E51:G51)/$H$32)</f>
        <v>0.5</v>
      </c>
    </row>
    <row r="52" spans="2:13">
      <c r="B52" s="355" t="b">
        <v>1</v>
      </c>
      <c r="C52" s="42" t="s">
        <v>56</v>
      </c>
      <c r="D52" s="174">
        <f>STDEVP(E51:G51)*D51+(STDEVP(E51:G51)=0)</f>
        <v>0.19685019685029537</v>
      </c>
      <c r="E52" s="65">
        <f>IF(E51=0,0,NORMDIST(E51,$H51,$D52,TRUE))*(MMInMarket=TRUE)</f>
        <v>0.58051072299167872</v>
      </c>
      <c r="F52" s="65">
        <f>IF(F51=0,0,NORMDIST(F51,$H51,$D52,TRUE))*(MMInMarket=TRUE)</f>
        <v>0.28814892053296604</v>
      </c>
      <c r="G52" s="65">
        <f>IF(G51=0,0,NORMDIST(G51,$H51,$D52,TRUE))*(MMInMarket=TRUE)</f>
        <v>0.63893006134953523</v>
      </c>
      <c r="H52" s="93"/>
      <c r="I52" s="10"/>
    </row>
    <row r="53" spans="2:13" ht="12.75">
      <c r="B53" s="33"/>
      <c r="C53" s="339" t="str">
        <f>xxMMProd1Driver6</f>
        <v>Customer Service</v>
      </c>
      <c r="D53" s="340">
        <f>INDEX(xxMMProd1Driver6,2+MMSegCurrent)</f>
        <v>5</v>
      </c>
      <c r="E53" s="341">
        <f>capCustomerService</f>
        <v>5.04</v>
      </c>
      <c r="F53" s="341">
        <f>capCustomerService</f>
        <v>5.04</v>
      </c>
      <c r="G53" s="341">
        <f>capCustomerService</f>
        <v>2.52</v>
      </c>
      <c r="H53" s="146"/>
    </row>
    <row r="54" spans="2:13">
      <c r="B54" s="33"/>
      <c r="C54" s="36" t="s">
        <v>808</v>
      </c>
      <c r="D54" s="37"/>
      <c r="E54" s="81">
        <f>E53</f>
        <v>5.04</v>
      </c>
      <c r="F54" s="81">
        <f>F53</f>
        <v>5.04</v>
      </c>
      <c r="G54" s="81">
        <f>G53</f>
        <v>2.52</v>
      </c>
      <c r="H54" s="39"/>
    </row>
    <row r="55" spans="2:13">
      <c r="B55" s="33"/>
      <c r="C55" s="36" t="s">
        <v>51</v>
      </c>
      <c r="D55" s="338">
        <v>2</v>
      </c>
      <c r="E55" s="81">
        <f>IF(MMInMarket=TRUE,E54,0)</f>
        <v>5.04</v>
      </c>
      <c r="F55" s="81">
        <f>IF(MMInMarket=TRUE,F54,0)</f>
        <v>5.04</v>
      </c>
      <c r="G55" s="81">
        <f>IF(MMInMarket=TRUE,G54,0)</f>
        <v>2.52</v>
      </c>
      <c r="H55" s="352">
        <f>IF($H$32=0,0,SUM(E55:G55)/$H$32)</f>
        <v>4.2</v>
      </c>
    </row>
    <row r="56" spans="2:13">
      <c r="B56" s="355" t="b">
        <v>1</v>
      </c>
      <c r="C56" s="42" t="s">
        <v>57</v>
      </c>
      <c r="D56" s="174">
        <f>STDEVP(E55:G55)*D55+(STDEVP(E55:G55)=0)</f>
        <v>2.375878784786801</v>
      </c>
      <c r="E56" s="65">
        <f>IF(E55=0,0,NORMDIST(E55,$H55,$D56,TRUE))*(MMInMarket=TRUE)</f>
        <v>0.63816319508411845</v>
      </c>
      <c r="F56" s="65">
        <f>IF(F55=0,0,NORMDIST(F55,$H55,$D56,TRUE))*(MMInMarket=TRUE)</f>
        <v>0.63816319508411845</v>
      </c>
      <c r="G56" s="65">
        <f>IF(G55=0,0,NORMDIST(G55,$H55,$D56,TRUE))*(MMInMarket=TRUE)</f>
        <v>0.23975006109347674</v>
      </c>
      <c r="H56" s="93"/>
      <c r="I56" s="10"/>
    </row>
    <row r="57" spans="2:13" ht="12.75">
      <c r="B57" s="33"/>
      <c r="C57" s="339" t="str">
        <f>xxMMProd1Driver7</f>
        <v>OPEN</v>
      </c>
      <c r="D57" s="340">
        <f>INDEX(xxMMProd1Driver7,2+MMSegCurrent)</f>
        <v>0</v>
      </c>
      <c r="E57" s="526"/>
      <c r="F57" s="526"/>
      <c r="G57" s="526"/>
      <c r="H57" s="146"/>
      <c r="M57" t="s">
        <v>531</v>
      </c>
    </row>
    <row r="58" spans="2:13">
      <c r="B58" s="33"/>
      <c r="C58" s="36" t="s">
        <v>808</v>
      </c>
      <c r="D58" s="37"/>
      <c r="E58" s="81">
        <f>E57</f>
        <v>0</v>
      </c>
      <c r="F58" s="81">
        <f>F57</f>
        <v>0</v>
      </c>
      <c r="G58" s="81">
        <f>G57</f>
        <v>0</v>
      </c>
      <c r="H58" s="39"/>
    </row>
    <row r="59" spans="2:13">
      <c r="B59" s="33"/>
      <c r="C59" s="36" t="s">
        <v>51</v>
      </c>
      <c r="D59" s="338">
        <v>1</v>
      </c>
      <c r="E59" s="81">
        <f>IF(MMInMarket=TRUE,E58,0)</f>
        <v>0</v>
      </c>
      <c r="F59" s="81">
        <f>IF(MMInMarket=TRUE,F58,0)</f>
        <v>0</v>
      </c>
      <c r="G59" s="81">
        <f>IF(MMInMarket=TRUE,G58,0)</f>
        <v>0</v>
      </c>
      <c r="H59" s="352">
        <f>IF($H$32=0,0,SUM(E59:G59)/$H$32)</f>
        <v>0</v>
      </c>
    </row>
    <row r="60" spans="2:13">
      <c r="B60" s="355" t="b">
        <v>1</v>
      </c>
      <c r="C60" s="42" t="s">
        <v>58</v>
      </c>
      <c r="D60" s="174">
        <f>STDEVP(E59:G59)*D59+(STDEVP(E59:G59)=0)</f>
        <v>1</v>
      </c>
      <c r="E60" s="65">
        <f>IF(E59=0,0,NORMDIST(E59,$H59,$D60,TRUE))*(MMInMarket=TRUE)</f>
        <v>0</v>
      </c>
      <c r="F60" s="65">
        <f>IF(F59=0,0,NORMDIST(F59,$H59,$D60,TRUE))*(MMInMarket=TRUE)</f>
        <v>0</v>
      </c>
      <c r="G60" s="65">
        <f>IF(G59=0,0,NORMDIST(G59,$H59,$D60,TRUE))*(MMInMarket=TRUE)</f>
        <v>0</v>
      </c>
      <c r="H60" s="93"/>
      <c r="I60" s="10"/>
    </row>
    <row r="61" spans="2:13" ht="12.75">
      <c r="B61" s="33"/>
      <c r="C61" s="339" t="str">
        <f>xxMMProd1Driver8</f>
        <v>OPEN</v>
      </c>
      <c r="D61" s="340">
        <f>INDEX(xxMMProd1Driver8,2+MMSegCurrent)</f>
        <v>0</v>
      </c>
      <c r="E61" s="527"/>
      <c r="F61" s="527"/>
      <c r="G61" s="527"/>
      <c r="H61" s="146"/>
    </row>
    <row r="62" spans="2:13">
      <c r="B62" s="33"/>
      <c r="C62" s="36" t="s">
        <v>808</v>
      </c>
      <c r="D62" s="37"/>
      <c r="E62" s="81">
        <f>E61</f>
        <v>0</v>
      </c>
      <c r="F62" s="81">
        <f>F61</f>
        <v>0</v>
      </c>
      <c r="G62" s="81">
        <f>G61</f>
        <v>0</v>
      </c>
      <c r="H62" s="39"/>
    </row>
    <row r="63" spans="2:13">
      <c r="B63" s="33"/>
      <c r="C63" s="36" t="s">
        <v>51</v>
      </c>
      <c r="D63" s="338">
        <v>1</v>
      </c>
      <c r="E63" s="81">
        <f>IF(MMInMarket=TRUE,E62,0)</f>
        <v>0</v>
      </c>
      <c r="F63" s="81">
        <f>IF(MMInMarket=TRUE,F62,0)</f>
        <v>0</v>
      </c>
      <c r="G63" s="81">
        <f>IF(MMInMarket=TRUE,G62,0)</f>
        <v>0</v>
      </c>
      <c r="H63" s="352">
        <f>IF($H$32=0,0,SUM(E63:G63)/$H$32)</f>
        <v>0</v>
      </c>
    </row>
    <row r="64" spans="2:13">
      <c r="B64" s="355" t="b">
        <v>1</v>
      </c>
      <c r="C64" s="42" t="s">
        <v>810</v>
      </c>
      <c r="D64" s="174">
        <f>STDEVP(E63:G63)*D63+(STDEVP(E63:G63)=0)</f>
        <v>1</v>
      </c>
      <c r="E64" s="65">
        <f>IF(E63=0,0,NORMDIST(E63,$H63,$D64,TRUE))*(MMInMarket=TRUE)</f>
        <v>0</v>
      </c>
      <c r="F64" s="65">
        <f>IF(F63=0,0,NORMDIST(F63,$H63,$D64,TRUE))*(MMInMarket=TRUE)</f>
        <v>0</v>
      </c>
      <c r="G64" s="65">
        <f>IF(G63=0,0,NORMDIST(G63,$H63,$D64,TRUE))*(MMInMarket=TRUE)</f>
        <v>0</v>
      </c>
      <c r="H64" s="93"/>
      <c r="I64" s="10"/>
    </row>
    <row r="65" spans="1:9" ht="12.75">
      <c r="B65" s="33"/>
      <c r="C65" s="339" t="str">
        <f>xxMMProd1Driver9</f>
        <v>OPEN</v>
      </c>
      <c r="D65" s="340">
        <f>INDEX(xxMMProd1Driver9,2+MMSegCurrent)</f>
        <v>0</v>
      </c>
      <c r="E65" s="531"/>
      <c r="F65" s="531"/>
      <c r="G65" s="531"/>
      <c r="H65" s="146"/>
    </row>
    <row r="66" spans="1:9">
      <c r="B66" s="33"/>
      <c r="C66" s="36" t="s">
        <v>808</v>
      </c>
      <c r="D66" s="37"/>
      <c r="E66" s="81">
        <f>E65</f>
        <v>0</v>
      </c>
      <c r="F66" s="81">
        <f>F65</f>
        <v>0</v>
      </c>
      <c r="G66" s="81">
        <f>G65</f>
        <v>0</v>
      </c>
      <c r="H66" s="39"/>
    </row>
    <row r="67" spans="1:9">
      <c r="B67" s="33"/>
      <c r="C67" s="36" t="s">
        <v>51</v>
      </c>
      <c r="D67" s="45">
        <v>1</v>
      </c>
      <c r="E67" s="81">
        <f>IF(MMInMarket=TRUE,E66,0)</f>
        <v>0</v>
      </c>
      <c r="F67" s="81">
        <f>IF(MMInMarket=TRUE,F66,0)</f>
        <v>0</v>
      </c>
      <c r="G67" s="81">
        <f>IF(MMInMarket=TRUE,G66,0)</f>
        <v>0</v>
      </c>
      <c r="H67" s="352">
        <f>IF($H$32=0,0,SUM(E67:G67)/$H$32)</f>
        <v>0</v>
      </c>
    </row>
    <row r="68" spans="1:9">
      <c r="B68" s="355" t="b">
        <v>1</v>
      </c>
      <c r="C68" s="42" t="s">
        <v>812</v>
      </c>
      <c r="D68" s="174">
        <f>STDEVP(E67:G67)*D67+(STDEVP(E67:G67)=0)</f>
        <v>1</v>
      </c>
      <c r="E68" s="65">
        <f>IF(E67=0,0,NORMDIST(E67,$H67,$D68,TRUE))*(MMInMarket=TRUE)</f>
        <v>0</v>
      </c>
      <c r="F68" s="65">
        <f>IF(F67=0,0,NORMDIST(F67,$H67,$D68,TRUE))*(MMInMarket=TRUE)</f>
        <v>0</v>
      </c>
      <c r="G68" s="65">
        <f>IF(G67=0,0,NORMDIST(G67,$H67,$D68,TRUE))*(MMInMarket=TRUE)</f>
        <v>0</v>
      </c>
      <c r="H68" s="93"/>
      <c r="I68" s="10"/>
    </row>
    <row r="69" spans="1:9" ht="12.75">
      <c r="B69" s="33"/>
      <c r="C69" s="339" t="str">
        <f>xxMMProd1Driver10</f>
        <v>OPEN</v>
      </c>
      <c r="D69" s="340">
        <f>INDEX(xxMMProd1Driver10,2+MMSegCurrent)</f>
        <v>0</v>
      </c>
      <c r="E69" s="342"/>
      <c r="F69" s="342"/>
      <c r="G69" s="342"/>
      <c r="H69" s="146"/>
    </row>
    <row r="70" spans="1:9">
      <c r="B70" s="33"/>
      <c r="C70" s="36" t="s">
        <v>808</v>
      </c>
      <c r="D70" s="37"/>
      <c r="E70" s="81">
        <f>E69</f>
        <v>0</v>
      </c>
      <c r="F70" s="81">
        <f>F69</f>
        <v>0</v>
      </c>
      <c r="G70" s="81">
        <f>G69</f>
        <v>0</v>
      </c>
      <c r="H70" s="39"/>
    </row>
    <row r="71" spans="1:9">
      <c r="B71" s="33"/>
      <c r="C71" s="36" t="s">
        <v>51</v>
      </c>
      <c r="D71" s="45">
        <v>1</v>
      </c>
      <c r="E71" s="81">
        <f>IF(MMInMarket=TRUE,E70,0)</f>
        <v>0</v>
      </c>
      <c r="F71" s="81">
        <f>IF(MMInMarket=TRUE,F70,0)</f>
        <v>0</v>
      </c>
      <c r="G71" s="81">
        <f>IF(MMInMarket=TRUE,G70,0)</f>
        <v>0</v>
      </c>
      <c r="H71" s="352">
        <f>IF($H$32=0,0,SUM(E71:G71)/$H$32)</f>
        <v>0</v>
      </c>
    </row>
    <row r="72" spans="1:9">
      <c r="B72" s="355" t="b">
        <v>1</v>
      </c>
      <c r="C72" s="42" t="s">
        <v>48</v>
      </c>
      <c r="D72" s="174">
        <f>STDEVP(E71:G71)*D71+(STDEVP(E71:G71)=0)</f>
        <v>1</v>
      </c>
      <c r="E72" s="65">
        <f>IF(E71=0,0,NORMDIST(E71,$H71,$D72,TRUE))*(MMInMarket=TRUE)</f>
        <v>0</v>
      </c>
      <c r="F72" s="65">
        <f>IF(F71=0,0,NORMDIST(F71,$H71,$D72,TRUE))*(MMInMarket=TRUE)</f>
        <v>0</v>
      </c>
      <c r="G72" s="65">
        <f>IF(G71=0,0,NORMDIST(G71,$H71,$D72,TRUE))*(MMInMarket=TRUE)</f>
        <v>0</v>
      </c>
      <c r="H72" s="93"/>
      <c r="I72" s="10"/>
    </row>
    <row r="73" spans="1:9" ht="12.75">
      <c r="A73" s="4"/>
      <c r="B73" s="33"/>
      <c r="C73" s="339" t="s">
        <v>451</v>
      </c>
      <c r="D73" s="340"/>
      <c r="E73" s="1" t="s">
        <v>901</v>
      </c>
      <c r="F73" s="1" t="s">
        <v>901</v>
      </c>
      <c r="G73" s="1" t="s">
        <v>901</v>
      </c>
      <c r="H73" s="146"/>
      <c r="I73" s="4"/>
    </row>
    <row r="74" spans="1:9">
      <c r="B74" s="33"/>
      <c r="C74" s="36"/>
      <c r="D74" s="37"/>
      <c r="E74" s="81"/>
      <c r="F74" s="81"/>
      <c r="G74" s="81"/>
      <c r="H74" s="39"/>
    </row>
    <row r="75" spans="1:9">
      <c r="B75" s="33"/>
      <c r="C75" s="36"/>
      <c r="D75" s="37"/>
      <c r="E75" s="81"/>
      <c r="F75" s="81"/>
      <c r="G75" s="81"/>
      <c r="H75" s="39"/>
    </row>
    <row r="76" spans="1:9">
      <c r="B76" s="33"/>
      <c r="C76" s="46" t="s">
        <v>715</v>
      </c>
      <c r="D76" s="90"/>
      <c r="E76" s="57"/>
      <c r="F76" s="57"/>
      <c r="G76" s="57"/>
      <c r="H76" s="91"/>
    </row>
    <row r="77" spans="1:9">
      <c r="B77" s="33"/>
      <c r="C77" s="85" t="s">
        <v>914</v>
      </c>
      <c r="D77" s="21"/>
      <c r="E77" s="409"/>
      <c r="F77" s="409"/>
      <c r="G77" s="409"/>
      <c r="H77" s="92"/>
    </row>
    <row r="78" spans="1:9">
      <c r="B78" s="33"/>
      <c r="C78" s="85" t="s">
        <v>701</v>
      </c>
      <c r="D78" s="21"/>
      <c r="E78" s="409"/>
      <c r="F78" s="409"/>
      <c r="G78" s="409"/>
      <c r="H78" s="92"/>
    </row>
    <row r="79" spans="1:9">
      <c r="B79" s="33"/>
      <c r="C79" s="85" t="s">
        <v>702</v>
      </c>
      <c r="D79" s="21"/>
      <c r="E79" s="409"/>
      <c r="F79" s="409"/>
      <c r="G79" s="409"/>
      <c r="H79" s="92"/>
    </row>
    <row r="80" spans="1:9">
      <c r="B80" s="33"/>
      <c r="C80" s="85" t="s">
        <v>704</v>
      </c>
      <c r="D80" s="21"/>
      <c r="E80" s="409"/>
      <c r="F80" s="409"/>
      <c r="G80" s="409"/>
      <c r="H80" s="92"/>
    </row>
    <row r="81" spans="1:9">
      <c r="B81" s="33"/>
      <c r="C81" s="85" t="s">
        <v>705</v>
      </c>
      <c r="D81" s="21"/>
      <c r="E81" s="409"/>
      <c r="F81" s="409"/>
      <c r="G81" s="409"/>
      <c r="H81" s="92"/>
    </row>
    <row r="82" spans="1:9" ht="5.0999999999999996" customHeight="1">
      <c r="B82" s="33"/>
      <c r="C82" s="184"/>
      <c r="D82" s="185"/>
      <c r="E82" s="185"/>
      <c r="F82" s="185"/>
      <c r="G82" s="185"/>
      <c r="H82" s="186"/>
    </row>
    <row r="83" spans="1:9">
      <c r="B83" s="33"/>
      <c r="C83" s="36"/>
      <c r="D83" s="37"/>
      <c r="E83" s="328">
        <f>paramSpecProgProd1Sales</f>
        <v>0</v>
      </c>
      <c r="F83" s="328">
        <f>paramSpecProgProd1Sales</f>
        <v>0</v>
      </c>
      <c r="G83" s="328">
        <f>paramSpecProgProd1Sales</f>
        <v>0</v>
      </c>
      <c r="H83" s="39"/>
    </row>
    <row r="84" spans="1:9">
      <c r="B84" s="33"/>
      <c r="C84" s="36" t="s">
        <v>808</v>
      </c>
      <c r="D84" s="37"/>
      <c r="E84" s="329">
        <f>E83</f>
        <v>0</v>
      </c>
      <c r="F84" s="329">
        <f>F83</f>
        <v>0</v>
      </c>
      <c r="G84" s="329">
        <f>G83</f>
        <v>0</v>
      </c>
      <c r="H84" s="39"/>
    </row>
    <row r="85" spans="1:9">
      <c r="B85" s="33"/>
      <c r="C85" s="36" t="s">
        <v>51</v>
      </c>
      <c r="D85" s="37"/>
      <c r="E85" s="329">
        <f>IF(MMInMarket=TRUE,E84,0)</f>
        <v>0</v>
      </c>
      <c r="F85" s="329">
        <f>IF(MMInMarket=TRUE,F84,0)</f>
        <v>0</v>
      </c>
      <c r="G85" s="329">
        <f>IF(MMInMarket=TRUE,G84,0)</f>
        <v>0</v>
      </c>
      <c r="H85" s="39"/>
    </row>
    <row r="86" spans="1:9">
      <c r="B86" s="33"/>
      <c r="C86" s="158" t="s">
        <v>451</v>
      </c>
      <c r="D86" s="41"/>
      <c r="E86" s="330">
        <f>E85</f>
        <v>0</v>
      </c>
      <c r="F86" s="330">
        <f>F85</f>
        <v>0</v>
      </c>
      <c r="G86" s="330">
        <f>G85</f>
        <v>0</v>
      </c>
      <c r="H86" s="43"/>
    </row>
    <row r="87" spans="1:9">
      <c r="B87" s="33"/>
    </row>
    <row r="88" spans="1:9">
      <c r="A88" s="4"/>
      <c r="B88" s="355" t="b">
        <v>1</v>
      </c>
      <c r="C88" s="61" t="s">
        <v>21</v>
      </c>
      <c r="D88" s="41"/>
      <c r="E88" s="63" t="s">
        <v>914</v>
      </c>
      <c r="F88" s="63" t="s">
        <v>701</v>
      </c>
      <c r="G88" s="63" t="s">
        <v>702</v>
      </c>
      <c r="H88" s="4"/>
      <c r="I88" s="4"/>
    </row>
    <row r="89" spans="1:9">
      <c r="A89" s="4"/>
      <c r="B89" s="355" t="b">
        <v>1</v>
      </c>
      <c r="C89" s="331" t="str">
        <f>xxMMProd1Driver1</f>
        <v>Price</v>
      </c>
      <c r="D89" s="332"/>
      <c r="E89" s="333">
        <f>xxMMProd1Driver1</f>
        <v>6</v>
      </c>
      <c r="F89" s="333">
        <f>xxMMProd1Driver1</f>
        <v>0</v>
      </c>
      <c r="G89" s="333">
        <f>xxMMProd1Driver1</f>
        <v>0</v>
      </c>
      <c r="H89" s="4"/>
      <c r="I89" s="4"/>
    </row>
    <row r="90" spans="1:9">
      <c r="A90" s="4"/>
      <c r="B90" s="355" t="b">
        <v>1</v>
      </c>
      <c r="C90" s="331" t="str">
        <f>xxMMProd1Driver2</f>
        <v>Content</v>
      </c>
      <c r="D90" s="332"/>
      <c r="E90" s="333">
        <f>xxMMProd1Driver2</f>
        <v>7</v>
      </c>
      <c r="F90" s="333">
        <f>xxMMProd1Driver2</f>
        <v>0</v>
      </c>
      <c r="G90" s="333">
        <f>xxMMProd1Driver2</f>
        <v>0</v>
      </c>
      <c r="H90" s="4"/>
      <c r="I90" s="4"/>
    </row>
    <row r="91" spans="1:9">
      <c r="A91" s="4"/>
      <c r="B91" s="355" t="b">
        <v>1</v>
      </c>
      <c r="C91" s="331" t="str">
        <f>xxMMProd1Driver3</f>
        <v>Product Technology</v>
      </c>
      <c r="D91" s="332"/>
      <c r="E91" s="333">
        <f>xxMMProd1Driver3</f>
        <v>10</v>
      </c>
      <c r="F91" s="333">
        <f>xxMMProd1Driver3</f>
        <v>0</v>
      </c>
      <c r="G91" s="333">
        <f>xxMMProd1Driver3</f>
        <v>0</v>
      </c>
      <c r="H91" s="4"/>
      <c r="I91" s="4"/>
    </row>
    <row r="92" spans="1:9">
      <c r="A92" s="4"/>
      <c r="B92" s="355" t="b">
        <v>1</v>
      </c>
      <c r="C92" s="331" t="str">
        <f>xxMMProd1Driver4</f>
        <v>Marketing</v>
      </c>
      <c r="D92" s="332"/>
      <c r="E92" s="333">
        <f>xxMMProd1Driver4</f>
        <v>8</v>
      </c>
      <c r="F92" s="333">
        <f>xxMMProd1Driver4</f>
        <v>0</v>
      </c>
      <c r="G92" s="333">
        <f>xxMMProd1Driver4</f>
        <v>0</v>
      </c>
      <c r="H92" s="4"/>
      <c r="I92" s="4"/>
    </row>
    <row r="93" spans="1:9">
      <c r="A93" s="4"/>
      <c r="B93" s="355" t="b">
        <v>1</v>
      </c>
      <c r="C93" s="331" t="str">
        <f>xxMMProd1Driver5</f>
        <v>Sales Force</v>
      </c>
      <c r="D93" s="332"/>
      <c r="E93" s="333">
        <f>xxMMProd1Driver5</f>
        <v>9</v>
      </c>
      <c r="F93" s="333">
        <f>xxMMProd1Driver5</f>
        <v>0</v>
      </c>
      <c r="G93" s="333">
        <f>xxMMProd1Driver5</f>
        <v>0</v>
      </c>
      <c r="H93" s="4"/>
      <c r="I93" s="4"/>
    </row>
    <row r="94" spans="1:9">
      <c r="A94" s="4"/>
      <c r="B94" s="355" t="b">
        <v>1</v>
      </c>
      <c r="C94" s="331" t="str">
        <f>xxMMProd1Driver6</f>
        <v>Customer Service</v>
      </c>
      <c r="D94" s="332"/>
      <c r="E94" s="333">
        <f>xxMMProd1Driver6</f>
        <v>5</v>
      </c>
      <c r="F94" s="333">
        <f>xxMMProd1Driver6</f>
        <v>0</v>
      </c>
      <c r="G94" s="333">
        <f>xxMMProd1Driver6</f>
        <v>0</v>
      </c>
      <c r="H94" s="4"/>
      <c r="I94" s="4"/>
    </row>
    <row r="95" spans="1:9">
      <c r="A95" s="4"/>
      <c r="B95" s="355" t="b">
        <v>1</v>
      </c>
      <c r="C95" s="331" t="str">
        <f>xxMMProd1Driver7</f>
        <v>OPEN</v>
      </c>
      <c r="D95" s="332"/>
      <c r="E95" s="333">
        <f>xxMMProd1Driver7</f>
        <v>0</v>
      </c>
      <c r="F95" s="333">
        <f>xxMMProd1Driver7</f>
        <v>0</v>
      </c>
      <c r="G95" s="333">
        <f>xxMMProd1Driver7</f>
        <v>0</v>
      </c>
      <c r="H95" s="4"/>
      <c r="I95" s="4"/>
    </row>
    <row r="96" spans="1:9">
      <c r="A96" s="4"/>
      <c r="B96" s="355" t="b">
        <v>1</v>
      </c>
      <c r="C96" s="331" t="str">
        <f>xxMMProd1Driver8</f>
        <v>OPEN</v>
      </c>
      <c r="D96" s="332"/>
      <c r="E96" s="333">
        <f>xxMMProd1Driver8</f>
        <v>0</v>
      </c>
      <c r="F96" s="333">
        <f>xxMMProd1Driver8</f>
        <v>0</v>
      </c>
      <c r="G96" s="333">
        <f>xxMMProd1Driver8</f>
        <v>0</v>
      </c>
      <c r="H96" s="4"/>
      <c r="I96" s="4"/>
    </row>
    <row r="97" spans="1:9">
      <c r="A97" s="4"/>
      <c r="B97" s="355" t="b">
        <v>1</v>
      </c>
      <c r="C97" s="331" t="str">
        <f>xxMMProd1Driver9</f>
        <v>OPEN</v>
      </c>
      <c r="D97" s="332"/>
      <c r="E97" s="333">
        <f>xxMMProd1Driver9</f>
        <v>0</v>
      </c>
      <c r="F97" s="333">
        <f>xxMMProd1Driver9</f>
        <v>0</v>
      </c>
      <c r="G97" s="333">
        <f>xxMMProd1Driver9</f>
        <v>0</v>
      </c>
      <c r="H97" s="4"/>
      <c r="I97" s="4"/>
    </row>
    <row r="98" spans="1:9">
      <c r="A98" s="4"/>
      <c r="B98" s="355" t="b">
        <v>1</v>
      </c>
      <c r="C98" s="331" t="str">
        <f>xxMMProd1Driver10</f>
        <v>OPEN</v>
      </c>
      <c r="D98" s="332"/>
      <c r="E98" s="333">
        <f>xxMMProd1Driver10</f>
        <v>0</v>
      </c>
      <c r="F98" s="333">
        <f>xxMMProd1Driver10</f>
        <v>0</v>
      </c>
      <c r="G98" s="333">
        <f>xxMMProd1Driver10</f>
        <v>0</v>
      </c>
      <c r="H98" s="4"/>
      <c r="I98" s="4"/>
    </row>
    <row r="99" spans="1:9">
      <c r="A99" s="4"/>
      <c r="B99" s="355" t="b">
        <v>1</v>
      </c>
      <c r="C99" s="4"/>
      <c r="D99" s="38"/>
      <c r="E99" s="80"/>
      <c r="F99" s="80"/>
      <c r="G99" s="80"/>
      <c r="H99" s="4"/>
      <c r="I99" s="4"/>
    </row>
    <row r="100" spans="1:9" ht="12" thickBot="1">
      <c r="A100" s="4"/>
      <c r="B100" s="355"/>
      <c r="C100" s="3"/>
      <c r="D100" s="38"/>
      <c r="E100" s="4"/>
      <c r="F100" s="4"/>
      <c r="G100" s="4"/>
      <c r="H100" s="4"/>
      <c r="I100" s="4"/>
    </row>
    <row r="101" spans="1:9" ht="12" thickBot="1">
      <c r="B101" s="33"/>
      <c r="C101" s="237" t="str">
        <f>"Market Model Calculation Segment " &amp;MMSegCurrent &amp; " " &amp; MMSegName</f>
        <v>Market Model Calculation Segment 1 Growth</v>
      </c>
      <c r="D101" s="238"/>
      <c r="E101" s="239"/>
      <c r="F101" s="239"/>
      <c r="G101" s="240"/>
      <c r="H101" s="240"/>
      <c r="I101" s="241"/>
    </row>
    <row r="102" spans="1:9" ht="12" thickBot="1">
      <c r="B102" s="33"/>
      <c r="C102" s="237" t="s">
        <v>713</v>
      </c>
      <c r="D102" s="242">
        <f>D24</f>
        <v>28771.328140625003</v>
      </c>
      <c r="E102" s="238"/>
      <c r="F102" s="243"/>
      <c r="G102" s="238"/>
      <c r="H102" s="244">
        <f>INDEX(D18:D22,$D$26)</f>
        <v>28771.328140625003</v>
      </c>
      <c r="I102" s="241"/>
    </row>
    <row r="103" spans="1:9">
      <c r="B103" s="33"/>
      <c r="C103" s="245" t="s">
        <v>49</v>
      </c>
      <c r="D103" s="246"/>
      <c r="E103" s="247" t="s">
        <v>1231</v>
      </c>
      <c r="F103" s="247" t="s">
        <v>1232</v>
      </c>
      <c r="G103" s="247" t="s">
        <v>1233</v>
      </c>
      <c r="H103" s="247"/>
      <c r="I103" s="248"/>
    </row>
    <row r="104" spans="1:9">
      <c r="B104" s="698">
        <f>RANK(D104,$D$104:$D$115)</f>
        <v>5</v>
      </c>
      <c r="C104" s="697" t="str">
        <f t="shared" ref="C104:C113" si="1">C89</f>
        <v>Price</v>
      </c>
      <c r="D104" s="696">
        <f t="shared" ref="D104:D113" si="2">INDEX(E89:G89,MMSegCurrent)</f>
        <v>6</v>
      </c>
      <c r="E104" s="771">
        <f>$D104*E36</f>
        <v>4.0773843599912674</v>
      </c>
      <c r="F104" s="772">
        <f>$D104*F36</f>
        <v>0.37603430558458895</v>
      </c>
      <c r="G104" s="772">
        <f>$D104*G36</f>
        <v>5.141054853263503</v>
      </c>
      <c r="H104" s="693">
        <f t="shared" ref="H104:H114" si="3">SUM(E104:G104)</f>
        <v>9.5944735188393597</v>
      </c>
      <c r="I104" s="248"/>
    </row>
    <row r="105" spans="1:9">
      <c r="B105" s="698">
        <f t="shared" ref="B105:B113" si="4">RANK(D105,$D$104:$D$115)</f>
        <v>4</v>
      </c>
      <c r="C105" s="697" t="str">
        <f t="shared" si="1"/>
        <v>Content</v>
      </c>
      <c r="D105" s="696">
        <f t="shared" si="2"/>
        <v>7</v>
      </c>
      <c r="E105" s="773">
        <f>$D105*E40</f>
        <v>2.5328576344111702</v>
      </c>
      <c r="F105" s="774">
        <f>$D105*F40</f>
        <v>2.5328576344111702</v>
      </c>
      <c r="G105" s="774">
        <f>$D105*G40</f>
        <v>5.3217495723456629</v>
      </c>
      <c r="H105" s="690">
        <f t="shared" si="3"/>
        <v>10.387464841168004</v>
      </c>
      <c r="I105" s="248"/>
    </row>
    <row r="106" spans="1:9">
      <c r="B106" s="698">
        <f t="shared" si="4"/>
        <v>1</v>
      </c>
      <c r="C106" s="697" t="str">
        <f t="shared" si="1"/>
        <v>Product Technology</v>
      </c>
      <c r="D106" s="696">
        <f t="shared" si="2"/>
        <v>10</v>
      </c>
      <c r="E106" s="773">
        <f>$D106*E44</f>
        <v>5.1490104631159452</v>
      </c>
      <c r="F106" s="774">
        <f>$D106*F44</f>
        <v>2.0198969777264493</v>
      </c>
      <c r="G106" s="774">
        <f>$D106*G44</f>
        <v>7.8732536861917009</v>
      </c>
      <c r="H106" s="690">
        <f t="shared" si="3"/>
        <v>15.042161127034095</v>
      </c>
      <c r="I106" s="248"/>
    </row>
    <row r="107" spans="1:9">
      <c r="B107" s="698">
        <f t="shared" si="4"/>
        <v>3</v>
      </c>
      <c r="C107" s="697" t="str">
        <f t="shared" si="1"/>
        <v>Marketing</v>
      </c>
      <c r="D107" s="696">
        <f t="shared" si="2"/>
        <v>8</v>
      </c>
      <c r="E107" s="773">
        <f>$D107*E48</f>
        <v>4.7499927762138974</v>
      </c>
      <c r="F107" s="774">
        <f>$D107*F48</f>
        <v>5.0227556145031009</v>
      </c>
      <c r="G107" s="774">
        <f>$D107*G48</f>
        <v>2.2927877229949738</v>
      </c>
      <c r="H107" s="690">
        <f t="shared" si="3"/>
        <v>12.065536113711971</v>
      </c>
      <c r="I107" s="248"/>
    </row>
    <row r="108" spans="1:9">
      <c r="B108" s="698">
        <f t="shared" si="4"/>
        <v>2</v>
      </c>
      <c r="C108" s="697" t="str">
        <f t="shared" si="1"/>
        <v>Sales Force</v>
      </c>
      <c r="D108" s="696">
        <f t="shared" si="2"/>
        <v>9</v>
      </c>
      <c r="E108" s="773">
        <f>$D108*E52</f>
        <v>5.2245965069251081</v>
      </c>
      <c r="F108" s="774">
        <f>$D108*F52</f>
        <v>2.5933402847966942</v>
      </c>
      <c r="G108" s="774">
        <f>$D108*G52</f>
        <v>5.7503705521458173</v>
      </c>
      <c r="H108" s="690">
        <f t="shared" si="3"/>
        <v>13.56830734386762</v>
      </c>
      <c r="I108" s="248"/>
    </row>
    <row r="109" spans="1:9">
      <c r="B109" s="698">
        <f t="shared" si="4"/>
        <v>6</v>
      </c>
      <c r="C109" s="697" t="str">
        <f t="shared" si="1"/>
        <v>Customer Service</v>
      </c>
      <c r="D109" s="696">
        <f t="shared" si="2"/>
        <v>5</v>
      </c>
      <c r="E109" s="773">
        <f>$D109*E56</f>
        <v>3.190815975420592</v>
      </c>
      <c r="F109" s="774">
        <f>$D109*F56</f>
        <v>3.190815975420592</v>
      </c>
      <c r="G109" s="774">
        <f>$D109*G56</f>
        <v>1.1987503054673838</v>
      </c>
      <c r="H109" s="690">
        <f t="shared" si="3"/>
        <v>7.5803822563085674</v>
      </c>
      <c r="I109" s="248"/>
    </row>
    <row r="110" spans="1:9">
      <c r="B110" s="698">
        <f t="shared" si="4"/>
        <v>7</v>
      </c>
      <c r="C110" s="697" t="str">
        <f t="shared" si="1"/>
        <v>OPEN</v>
      </c>
      <c r="D110" s="696">
        <f t="shared" si="2"/>
        <v>0</v>
      </c>
      <c r="E110" s="773">
        <f>$D110*E60</f>
        <v>0</v>
      </c>
      <c r="F110" s="774">
        <f>$D110*F60</f>
        <v>0</v>
      </c>
      <c r="G110" s="774">
        <f>$D110*G60</f>
        <v>0</v>
      </c>
      <c r="H110" s="690">
        <f t="shared" si="3"/>
        <v>0</v>
      </c>
      <c r="I110" s="248"/>
    </row>
    <row r="111" spans="1:9">
      <c r="B111" s="698">
        <f t="shared" si="4"/>
        <v>7</v>
      </c>
      <c r="C111" s="697" t="str">
        <f t="shared" si="1"/>
        <v>OPEN</v>
      </c>
      <c r="D111" s="696">
        <f t="shared" si="2"/>
        <v>0</v>
      </c>
      <c r="E111" s="773">
        <f>$D111*E64</f>
        <v>0</v>
      </c>
      <c r="F111" s="774">
        <f>$D111*F64</f>
        <v>0</v>
      </c>
      <c r="G111" s="774">
        <f>$D111*G64</f>
        <v>0</v>
      </c>
      <c r="H111" s="690">
        <f t="shared" si="3"/>
        <v>0</v>
      </c>
      <c r="I111" s="248"/>
    </row>
    <row r="112" spans="1:9">
      <c r="B112" s="698">
        <f t="shared" si="4"/>
        <v>7</v>
      </c>
      <c r="C112" s="697" t="str">
        <f t="shared" si="1"/>
        <v>OPEN</v>
      </c>
      <c r="D112" s="696">
        <f t="shared" si="2"/>
        <v>0</v>
      </c>
      <c r="E112" s="773">
        <f>$D112*E68</f>
        <v>0</v>
      </c>
      <c r="F112" s="774">
        <f>$D112*F68</f>
        <v>0</v>
      </c>
      <c r="G112" s="774">
        <f>$D112*G68</f>
        <v>0</v>
      </c>
      <c r="H112" s="690">
        <f t="shared" si="3"/>
        <v>0</v>
      </c>
      <c r="I112" s="248"/>
    </row>
    <row r="113" spans="1:10">
      <c r="B113" s="698">
        <f t="shared" si="4"/>
        <v>7</v>
      </c>
      <c r="C113" s="697" t="str">
        <f t="shared" si="1"/>
        <v>OPEN</v>
      </c>
      <c r="D113" s="696">
        <f t="shared" si="2"/>
        <v>0</v>
      </c>
      <c r="E113" s="773">
        <f>$D113*E72</f>
        <v>0</v>
      </c>
      <c r="F113" s="774">
        <f>$D113*F72</f>
        <v>0</v>
      </c>
      <c r="G113" s="774">
        <f>$D113*G72</f>
        <v>0</v>
      </c>
      <c r="H113" s="690">
        <f t="shared" si="3"/>
        <v>0</v>
      </c>
      <c r="I113" s="248"/>
    </row>
    <row r="114" spans="1:10">
      <c r="B114" s="698">
        <v>99</v>
      </c>
      <c r="C114" s="689" t="s">
        <v>451</v>
      </c>
      <c r="D114" s="688"/>
      <c r="E114" s="775">
        <f>E86*SUM(E$104:E$113)</f>
        <v>0</v>
      </c>
      <c r="F114" s="776">
        <f>F86*SUM(F$104:F$113)</f>
        <v>0</v>
      </c>
      <c r="G114" s="776">
        <f>G86*SUM(G$104:G$113)</f>
        <v>0</v>
      </c>
      <c r="H114" s="690">
        <f t="shared" si="3"/>
        <v>0</v>
      </c>
      <c r="I114" s="248"/>
    </row>
    <row r="115" spans="1:10" ht="12" thickBot="1">
      <c r="B115" s="698">
        <v>100</v>
      </c>
      <c r="C115" s="697" t="s">
        <v>50</v>
      </c>
      <c r="D115" s="688"/>
      <c r="E115" s="769">
        <f>SUM(E104:E114)</f>
        <v>24.924657716077981</v>
      </c>
      <c r="F115" s="770">
        <f>SUM(F104:F114)</f>
        <v>15.735700792442596</v>
      </c>
      <c r="G115" s="770">
        <f>SUM(G104:G114)</f>
        <v>27.577966692409042</v>
      </c>
      <c r="H115" s="683">
        <f>SUM(H104:H114)</f>
        <v>68.238325200929609</v>
      </c>
      <c r="I115" s="248"/>
    </row>
    <row r="116" spans="1:10">
      <c r="B116" s="33"/>
      <c r="C116" s="249" t="s">
        <v>60</v>
      </c>
      <c r="D116" s="229"/>
      <c r="E116" s="229">
        <f>RANK(E115,$E115:$G115)</f>
        <v>2</v>
      </c>
      <c r="F116" s="229">
        <f>RANK(F115,$E115:$G115)</f>
        <v>3</v>
      </c>
      <c r="G116" s="229">
        <f>RANK(G115,$E115:$G115)</f>
        <v>1</v>
      </c>
      <c r="H116" s="229"/>
      <c r="I116" s="248"/>
    </row>
    <row r="117" spans="1:10" ht="12" thickBot="1">
      <c r="B117" s="33"/>
      <c r="C117" s="250" t="s">
        <v>714</v>
      </c>
      <c r="D117" s="251"/>
      <c r="E117" s="451">
        <f>IF(xxYear&gt;0,IF(tlOutputNumTeams&gt;=mmProd1!E$1,E115/SUM($E115:$G115)+INDEX(datapageCompProd1ShareBoost,xxYear),datapageCompProd1MktShare),datapageCompProd1MktShare)</f>
        <v>0.4</v>
      </c>
      <c r="F117" s="451">
        <f>IF(xxYear&gt;0,IF(tlOutputNumTeams&gt;=mmProd1!F$1,F115/SUM($E115:$G115)+INDEX(datapageCompProd1ShareBoost,xxYear),datapageCompProd1MktShare),datapageCompProd1MktShare)</f>
        <v>0.34</v>
      </c>
      <c r="G117" s="451">
        <f>IF(xxYear&gt;0,IF(tlOutputNumTeams&gt;=mmProd1!G$1,G115/SUM($E115:$G115)+INDEX(datapageCompProd1ShareBoost,xxYear),datapageCompProd1MktShare),datapageCompProd1MktShare)</f>
        <v>0.26</v>
      </c>
      <c r="H117" s="453">
        <f>H102</f>
        <v>28771.328140625003</v>
      </c>
      <c r="I117" s="298" t="s">
        <v>25</v>
      </c>
    </row>
    <row r="118" spans="1:10">
      <c r="A118" s="4"/>
      <c r="B118" s="4"/>
      <c r="C118" s="3"/>
      <c r="D118" s="38"/>
      <c r="E118" s="4"/>
      <c r="F118" s="4"/>
      <c r="G118" s="4"/>
      <c r="H118" s="4"/>
      <c r="I118" s="31"/>
    </row>
    <row r="119" spans="1:10">
      <c r="C119" s="46" t="s">
        <v>714</v>
      </c>
      <c r="D119" s="90"/>
      <c r="E119" s="90"/>
      <c r="F119" s="90"/>
      <c r="G119" s="90"/>
      <c r="H119" s="91"/>
      <c r="I119" s="31"/>
    </row>
    <row r="120" spans="1:10">
      <c r="C120" s="85" t="s">
        <v>914</v>
      </c>
      <c r="D120" s="294" t="s">
        <v>27</v>
      </c>
      <c r="E120" s="464">
        <f>E117</f>
        <v>0.4</v>
      </c>
      <c r="F120" s="464">
        <f t="shared" ref="F120:H120" si="5">F117</f>
        <v>0.34</v>
      </c>
      <c r="G120" s="464">
        <f t="shared" si="5"/>
        <v>0.26</v>
      </c>
      <c r="H120" s="763">
        <f t="shared" si="5"/>
        <v>28771.328140625003</v>
      </c>
      <c r="I120" s="297" t="s">
        <v>26</v>
      </c>
    </row>
    <row r="121" spans="1:10">
      <c r="C121" s="85" t="s">
        <v>701</v>
      </c>
      <c r="D121" s="21"/>
      <c r="E121" s="295"/>
      <c r="F121" s="295"/>
      <c r="G121" s="295"/>
      <c r="H121" s="296"/>
    </row>
    <row r="122" spans="1:10">
      <c r="C122" s="85" t="s">
        <v>702</v>
      </c>
      <c r="D122" s="21"/>
      <c r="E122" s="295"/>
      <c r="F122" s="295"/>
      <c r="G122" s="295"/>
      <c r="H122" s="296"/>
    </row>
    <row r="123" spans="1:10">
      <c r="B123" t="s">
        <v>814</v>
      </c>
      <c r="C123" s="85" t="s">
        <v>704</v>
      </c>
      <c r="D123" s="21"/>
      <c r="E123" s="295"/>
      <c r="F123" s="295"/>
      <c r="G123" s="295"/>
      <c r="H123" s="296"/>
    </row>
    <row r="124" spans="1:10">
      <c r="C124" s="85" t="s">
        <v>705</v>
      </c>
      <c r="D124" s="21"/>
      <c r="E124" s="295"/>
      <c r="F124" s="295"/>
      <c r="G124" s="295"/>
      <c r="H124" s="296"/>
    </row>
    <row r="125" spans="1:10">
      <c r="C125" s="184"/>
      <c r="D125" s="185"/>
      <c r="E125" s="191"/>
      <c r="F125" s="191"/>
      <c r="G125" s="191"/>
      <c r="H125" s="193"/>
      <c r="J125" t="s">
        <v>168</v>
      </c>
    </row>
    <row r="126" spans="1:10">
      <c r="C126" s="88" t="s">
        <v>707</v>
      </c>
      <c r="D126" s="89"/>
      <c r="E126" s="503">
        <f>SUMPRODUCT(E120:E125,$H$120:$H$125)</f>
        <v>11508.531256250002</v>
      </c>
      <c r="F126" s="96">
        <f>SUMPRODUCT(F120:F125,$H$120:$H$125)</f>
        <v>9782.2515678125019</v>
      </c>
      <c r="G126" s="96">
        <f>SUMPRODUCT(G120:G125,$H$120:$H$125)</f>
        <v>7480.5453165625013</v>
      </c>
      <c r="H126" s="97">
        <f>SUM(E126:G126) + (xxNumOfTeams*0)</f>
        <v>28771.328140625003</v>
      </c>
    </row>
    <row r="127" spans="1:10">
      <c r="C127" s="31" t="s">
        <v>714</v>
      </c>
      <c r="D127" s="31"/>
      <c r="E127" s="502">
        <f>E126/$H$126</f>
        <v>0.4</v>
      </c>
      <c r="F127" s="98">
        <f>F126/$H$126</f>
        <v>0.34</v>
      </c>
      <c r="G127" s="98">
        <f>G126/$H$126</f>
        <v>0.26</v>
      </c>
      <c r="I127" t="s">
        <v>171</v>
      </c>
    </row>
    <row r="128" spans="1:10">
      <c r="A128" s="4"/>
      <c r="B128" s="4"/>
      <c r="C128" s="3"/>
      <c r="D128" s="38"/>
      <c r="E128" s="4"/>
      <c r="F128" s="4"/>
      <c r="G128" s="4"/>
      <c r="H128" s="4"/>
      <c r="I128" s="4"/>
    </row>
    <row r="129" spans="1:13">
      <c r="A129" s="4"/>
      <c r="B129" s="4" t="s">
        <v>169</v>
      </c>
      <c r="C129" s="3" t="s">
        <v>61</v>
      </c>
      <c r="D129" s="4"/>
      <c r="E129" s="66">
        <f>E127</f>
        <v>0.4</v>
      </c>
      <c r="F129" s="66">
        <f>F127</f>
        <v>0.34</v>
      </c>
      <c r="G129" s="66">
        <f>G127</f>
        <v>0.26</v>
      </c>
      <c r="H129" s="4"/>
      <c r="I129" s="4"/>
    </row>
    <row r="130" spans="1:13">
      <c r="A130" s="4"/>
      <c r="B130" s="4"/>
      <c r="C130" s="67" t="s">
        <v>62</v>
      </c>
      <c r="D130" s="58"/>
      <c r="E130" s="178">
        <f>ROUNDDOWN(E127*$H126,0)</f>
        <v>11508</v>
      </c>
      <c r="F130" s="178">
        <f>ROUNDDOWN(F127*$H126,0)</f>
        <v>9782</v>
      </c>
      <c r="G130" s="178">
        <f>ROUNDDOWN(G127*$H126,0)</f>
        <v>7480</v>
      </c>
      <c r="H130" s="180">
        <f>SUM(E130:G130) + (xxNumOfTeams*0)</f>
        <v>28770</v>
      </c>
      <c r="I130" s="36" t="s">
        <v>268</v>
      </c>
    </row>
    <row r="131" spans="1:13">
      <c r="A131" s="4"/>
      <c r="B131" s="4"/>
      <c r="C131" s="196" t="s">
        <v>63</v>
      </c>
      <c r="D131" s="143"/>
      <c r="E131" s="528"/>
      <c r="F131" s="528"/>
      <c r="G131" s="195"/>
      <c r="H131" s="179">
        <f>SUM(E131:G131) + (xxNumOfTeams*0)</f>
        <v>0</v>
      </c>
      <c r="I131" s="36" t="s">
        <v>269</v>
      </c>
    </row>
    <row r="132" spans="1:13">
      <c r="A132" s="4"/>
      <c r="B132" s="4"/>
      <c r="C132" s="36" t="s">
        <v>64</v>
      </c>
      <c r="D132" s="37"/>
      <c r="E132" s="81">
        <f>ROUND(E131-E130,0)</f>
        <v>-11508</v>
      </c>
      <c r="F132" s="81">
        <f>ROUND(F131-F130,0)</f>
        <v>-9782</v>
      </c>
      <c r="G132" s="81">
        <f>ROUND(G131-G130,0)</f>
        <v>-7480</v>
      </c>
      <c r="H132" s="181">
        <f>SUM(E132:G132)-SUMPRODUCT(E132:G132,E133:G133) + (xxNumOfTeams*0)</f>
        <v>-28770</v>
      </c>
      <c r="I132" s="36"/>
    </row>
    <row r="133" spans="1:13">
      <c r="A133" s="4"/>
      <c r="B133" s="4"/>
      <c r="C133" s="36" t="s">
        <v>65</v>
      </c>
      <c r="D133" s="37"/>
      <c r="E133" s="37">
        <f>1*(E132&gt;0)</f>
        <v>0</v>
      </c>
      <c r="F133" s="37">
        <f>1*(F132&gt;0)</f>
        <v>0</v>
      </c>
      <c r="G133" s="37">
        <f>1*(G132&gt;0)</f>
        <v>0</v>
      </c>
      <c r="H133" s="36">
        <f>SUM(E133:G133) + (xxNumOfTeams*0)</f>
        <v>0</v>
      </c>
      <c r="I133" s="36"/>
    </row>
    <row r="134" spans="1:13">
      <c r="A134" s="4"/>
      <c r="B134" s="4"/>
      <c r="C134" s="36" t="s">
        <v>66</v>
      </c>
      <c r="D134" s="37"/>
      <c r="E134" s="45">
        <f>IF(AND(E133&gt;0,E130&gt;0),+E129*E133/SUMPRODUCT($E129:$G129,$E133:$G133),0)</f>
        <v>0</v>
      </c>
      <c r="F134" s="45">
        <f>IF(AND(F133&gt;0,F130&gt;0),+F129*F133/SUMPRODUCT($E129:$G129,$E133:$G133),0)</f>
        <v>0</v>
      </c>
      <c r="G134" s="45">
        <f>IF(AND(G133&gt;0,G130&gt;0),+G129*G133/SUMPRODUCT($E129:$G129,$E133:$G133),0)</f>
        <v>0</v>
      </c>
      <c r="H134" s="36"/>
      <c r="I134" s="36"/>
      <c r="J134" t="s">
        <v>802</v>
      </c>
    </row>
    <row r="135" spans="1:13">
      <c r="A135" s="4"/>
      <c r="B135" s="4"/>
      <c r="C135" s="36" t="s">
        <v>67</v>
      </c>
      <c r="D135" s="37"/>
      <c r="E135" s="463">
        <f>-MAX(-E132,ROUND(E129*$H132,0))*E133</f>
        <v>0</v>
      </c>
      <c r="F135" s="463">
        <f>-MAX(-F132,ROUND(F129*$H132,0))*F133</f>
        <v>0</v>
      </c>
      <c r="G135" s="463">
        <f>-MAX(-G132,ROUND(G129*$H132,0))*G133</f>
        <v>0</v>
      </c>
      <c r="H135" s="471">
        <f>ROUND(SUM(E135:G135),0) + (xxNumOfTeams*0)</f>
        <v>0</v>
      </c>
      <c r="I135" s="36" t="s">
        <v>803</v>
      </c>
      <c r="M135" t="s">
        <v>531</v>
      </c>
    </row>
    <row r="136" spans="1:13">
      <c r="A136" s="4"/>
      <c r="B136" s="4"/>
      <c r="C136" s="36"/>
      <c r="D136" s="37"/>
      <c r="E136" s="18">
        <f>ROUND(E129*$H132,0)*E133</f>
        <v>0</v>
      </c>
      <c r="F136" s="18">
        <f>ROUND(F129*$H132,0)*F133</f>
        <v>0</v>
      </c>
      <c r="G136" s="18">
        <f>ROUND(G129*$H132,0)*G133</f>
        <v>0</v>
      </c>
      <c r="H136" s="36"/>
      <c r="I136" s="36" t="s">
        <v>804</v>
      </c>
    </row>
    <row r="137" spans="1:13">
      <c r="A137" s="4"/>
      <c r="B137" s="4" t="s">
        <v>919</v>
      </c>
      <c r="C137" s="36" t="s">
        <v>22</v>
      </c>
      <c r="D137" s="37"/>
      <c r="E137" s="197"/>
      <c r="F137" s="197"/>
      <c r="G137" s="197"/>
      <c r="H137" s="36" t="s">
        <v>108</v>
      </c>
      <c r="I137" s="36"/>
    </row>
    <row r="138" spans="1:13">
      <c r="A138" s="4"/>
      <c r="B138" s="4" t="s">
        <v>151</v>
      </c>
      <c r="C138" s="36" t="s">
        <v>68</v>
      </c>
      <c r="D138" s="36"/>
      <c r="E138" s="197"/>
      <c r="F138" s="289"/>
      <c r="G138" s="289"/>
      <c r="H138" s="36" t="s">
        <v>110</v>
      </c>
      <c r="I138" s="36"/>
    </row>
    <row r="139" spans="1:13">
      <c r="A139" s="4"/>
      <c r="B139" s="4"/>
      <c r="C139" s="36" t="s">
        <v>69</v>
      </c>
      <c r="D139" s="37"/>
      <c r="E139" s="81">
        <f>MIN(E131,E132-E138-E135-E137*$H130)</f>
        <v>-11508</v>
      </c>
      <c r="F139" s="81">
        <f>MIN(F131,F132-F138-F135-F137*$H130)</f>
        <v>-9782</v>
      </c>
      <c r="G139" s="81">
        <f>MIN(G131,G132-G138-G135-G137*$H130)</f>
        <v>-7480</v>
      </c>
      <c r="H139" s="179"/>
      <c r="I139" s="36"/>
    </row>
    <row r="140" spans="1:13">
      <c r="A140" s="4"/>
      <c r="B140" s="4"/>
      <c r="C140" s="36" t="s">
        <v>684</v>
      </c>
      <c r="D140" s="37"/>
      <c r="E140" s="81">
        <f>MAX(E139,0)</f>
        <v>0</v>
      </c>
      <c r="F140" s="81">
        <f>MAX(F139,0)</f>
        <v>0</v>
      </c>
      <c r="G140" s="81">
        <f>MAX(G139,0)</f>
        <v>0</v>
      </c>
      <c r="H140" s="179"/>
      <c r="I140" s="36"/>
    </row>
    <row r="141" spans="1:13">
      <c r="A141" s="4"/>
      <c r="B141" s="4" t="s">
        <v>170</v>
      </c>
      <c r="C141" s="68" t="s">
        <v>492</v>
      </c>
      <c r="D141" s="37"/>
      <c r="E141" s="454">
        <f>MAX(0,MIN(E130+E135+E138+E137*$H130,E131))</f>
        <v>11508</v>
      </c>
      <c r="F141" s="470">
        <f>MIN(F130+F135+F138+F137*$H130,F131)</f>
        <v>9782</v>
      </c>
      <c r="G141" s="164">
        <f>MIN(G130+G135+G138+G137*$H130,G131)</f>
        <v>7480</v>
      </c>
      <c r="H141" s="179">
        <f>SUM(E141:G141) + (xxNumOfTeams*0)</f>
        <v>28770</v>
      </c>
      <c r="I141" s="36" t="s">
        <v>854</v>
      </c>
    </row>
    <row r="142" spans="1:13">
      <c r="A142" s="4"/>
      <c r="B142" s="4"/>
      <c r="C142" s="60" t="s">
        <v>493</v>
      </c>
      <c r="D142" s="62"/>
      <c r="E142" s="455">
        <f>E141/MAX(1,$H141)</f>
        <v>0.4</v>
      </c>
      <c r="F142" s="455">
        <f>F141/MAX(1,$H141)</f>
        <v>0.34000695168578382</v>
      </c>
      <c r="G142" s="63">
        <f>G141/MAX(1,$H141)</f>
        <v>0.25999304831421621</v>
      </c>
      <c r="H142" s="179">
        <f>H130-H141</f>
        <v>0</v>
      </c>
      <c r="I142" s="36" t="s">
        <v>602</v>
      </c>
    </row>
    <row r="143" spans="1:13">
      <c r="A143" s="4"/>
      <c r="B143" s="4" t="s">
        <v>604</v>
      </c>
      <c r="C143" s="69" t="s">
        <v>60</v>
      </c>
      <c r="D143" s="35"/>
      <c r="E143" s="35">
        <f>RANK(E142,$E$142:$G$142)</f>
        <v>1</v>
      </c>
      <c r="F143" s="35">
        <f>RANK(F142,$E$142:$G$142)</f>
        <v>2</v>
      </c>
      <c r="G143" s="35">
        <f>RANK(G142,$E$142:$G$142)</f>
        <v>3</v>
      </c>
      <c r="H143" s="60"/>
      <c r="I143" s="36"/>
    </row>
    <row r="144" spans="1:13">
      <c r="A144" s="4"/>
      <c r="B144" s="4" t="s">
        <v>603</v>
      </c>
      <c r="C144" s="3"/>
      <c r="D144" s="38"/>
      <c r="E144" s="4"/>
      <c r="F144" s="4"/>
      <c r="G144" s="4"/>
      <c r="H144" s="4"/>
      <c r="I144" s="4"/>
    </row>
    <row r="145" spans="2:9">
      <c r="B145" t="s">
        <v>233</v>
      </c>
    </row>
    <row r="146" spans="2:9">
      <c r="C146" s="46" t="s">
        <v>683</v>
      </c>
      <c r="D146" s="90"/>
      <c r="E146" s="90"/>
      <c r="F146" s="90"/>
      <c r="G146" s="90"/>
      <c r="H146" s="91"/>
    </row>
    <row r="147" spans="2:9">
      <c r="B147" t="s">
        <v>109</v>
      </c>
      <c r="C147" s="102" t="s">
        <v>914</v>
      </c>
      <c r="D147" s="103">
        <f>H120/SUM($H$120:$H$125)</f>
        <v>1</v>
      </c>
      <c r="E147" s="104">
        <f t="shared" ref="E147:G151" si="6">E120*$D147</f>
        <v>0.4</v>
      </c>
      <c r="F147" s="104">
        <f t="shared" si="6"/>
        <v>0.34</v>
      </c>
      <c r="G147" s="104">
        <f t="shared" si="6"/>
        <v>0.26</v>
      </c>
      <c r="H147" s="84"/>
    </row>
    <row r="148" spans="2:9">
      <c r="C148" s="85" t="s">
        <v>701</v>
      </c>
      <c r="D148" s="86">
        <f>H121/SUM($H$120:$H$125)</f>
        <v>0</v>
      </c>
      <c r="E148" s="100">
        <f t="shared" si="6"/>
        <v>0</v>
      </c>
      <c r="F148" s="100">
        <f t="shared" si="6"/>
        <v>0</v>
      </c>
      <c r="G148" s="100">
        <f t="shared" si="6"/>
        <v>0</v>
      </c>
      <c r="H148" s="92"/>
    </row>
    <row r="149" spans="2:9">
      <c r="B149" t="s">
        <v>172</v>
      </c>
      <c r="C149" s="85" t="s">
        <v>702</v>
      </c>
      <c r="D149" s="86">
        <f>H122/SUM($H$120:$H$125)</f>
        <v>0</v>
      </c>
      <c r="E149" s="100">
        <f t="shared" si="6"/>
        <v>0</v>
      </c>
      <c r="F149" s="100">
        <f t="shared" si="6"/>
        <v>0</v>
      </c>
      <c r="G149" s="100">
        <f t="shared" si="6"/>
        <v>0</v>
      </c>
      <c r="H149" s="92"/>
    </row>
    <row r="150" spans="2:9">
      <c r="C150" s="85" t="s">
        <v>704</v>
      </c>
      <c r="D150" s="86">
        <f>H123/SUM($H$120:$H$125)</f>
        <v>0</v>
      </c>
      <c r="E150" s="100">
        <f t="shared" si="6"/>
        <v>0</v>
      </c>
      <c r="F150" s="100">
        <f t="shared" si="6"/>
        <v>0</v>
      </c>
      <c r="G150" s="100">
        <f t="shared" si="6"/>
        <v>0</v>
      </c>
      <c r="H150" s="92"/>
    </row>
    <row r="151" spans="2:9">
      <c r="B151" t="s">
        <v>173</v>
      </c>
      <c r="C151" s="85" t="s">
        <v>705</v>
      </c>
      <c r="D151" s="86">
        <f>H124/SUM($H$120:$H$125)</f>
        <v>0</v>
      </c>
      <c r="E151" s="100">
        <f t="shared" si="6"/>
        <v>0</v>
      </c>
      <c r="F151" s="100">
        <f t="shared" si="6"/>
        <v>0</v>
      </c>
      <c r="G151" s="100">
        <f t="shared" si="6"/>
        <v>0</v>
      </c>
      <c r="H151" s="92"/>
    </row>
    <row r="152" spans="2:9">
      <c r="C152" s="184"/>
      <c r="D152" s="191"/>
      <c r="E152" s="192"/>
      <c r="F152" s="192"/>
      <c r="G152" s="192"/>
      <c r="H152" s="186"/>
    </row>
    <row r="153" spans="2:9">
      <c r="C153" s="64" t="s">
        <v>799</v>
      </c>
      <c r="D153" s="61"/>
      <c r="E153" s="101">
        <f>ROUND(SUM(E147:E152),4)</f>
        <v>0.4</v>
      </c>
      <c r="F153" s="101">
        <f>ROUND(SUM(F147:F152),4)</f>
        <v>0.34</v>
      </c>
      <c r="G153" s="101">
        <f>ROUND(SUM(G147:G152),4)</f>
        <v>0.26</v>
      </c>
      <c r="H153" s="93"/>
    </row>
    <row r="154" spans="2:9">
      <c r="E154" s="99"/>
      <c r="F154" s="99"/>
      <c r="G154" s="99"/>
    </row>
    <row r="155" spans="2:9">
      <c r="C155" s="67" t="s">
        <v>71</v>
      </c>
      <c r="D155" s="83"/>
      <c r="E155" s="83"/>
      <c r="F155" s="83"/>
      <c r="G155" s="83"/>
      <c r="H155" s="84"/>
      <c r="I155" s="112" t="s">
        <v>72</v>
      </c>
    </row>
    <row r="156" spans="2:9">
      <c r="C156" s="46" t="s">
        <v>73</v>
      </c>
      <c r="D156" s="57"/>
      <c r="E156" s="107">
        <f>E142-E153</f>
        <v>0</v>
      </c>
      <c r="F156" s="107">
        <f>F142-F153</f>
        <v>6.9516857837959023E-6</v>
      </c>
      <c r="G156" s="107">
        <f>G142-G153</f>
        <v>-6.9516857837959023E-6</v>
      </c>
      <c r="H156" s="91"/>
      <c r="I156" s="113" t="s">
        <v>59</v>
      </c>
    </row>
    <row r="157" spans="2:9">
      <c r="C157" s="102" t="s">
        <v>914</v>
      </c>
      <c r="D157" s="83"/>
      <c r="E157" s="108">
        <f>E147+E$156*E147/E$153</f>
        <v>0.4</v>
      </c>
      <c r="F157" s="108">
        <f>F147+F$156*F147/F$153</f>
        <v>0.34000695168578382</v>
      </c>
      <c r="G157" s="108">
        <f>G147+G$156*G147/G$153</f>
        <v>0.25999304831421621</v>
      </c>
      <c r="H157" s="109">
        <f>SUM(E157:G157)</f>
        <v>1</v>
      </c>
      <c r="I157" s="110">
        <f>IF(H157=0,0,D147/H157)</f>
        <v>1</v>
      </c>
    </row>
    <row r="158" spans="2:9">
      <c r="C158" s="85" t="s">
        <v>701</v>
      </c>
      <c r="D158" s="21"/>
      <c r="E158" s="105">
        <f t="shared" ref="E158:G161" si="7">E148+E$156*E148/E$153</f>
        <v>0</v>
      </c>
      <c r="F158" s="105">
        <f t="shared" si="7"/>
        <v>0</v>
      </c>
      <c r="G158" s="105">
        <f t="shared" si="7"/>
        <v>0</v>
      </c>
      <c r="H158" s="106">
        <f>SUM(E158:G158)</f>
        <v>0</v>
      </c>
      <c r="I158" s="110">
        <f>IF(H158=0,0,D148/H158)</f>
        <v>0</v>
      </c>
    </row>
    <row r="159" spans="2:9">
      <c r="C159" s="85" t="s">
        <v>702</v>
      </c>
      <c r="D159" s="21"/>
      <c r="E159" s="105">
        <f t="shared" si="7"/>
        <v>0</v>
      </c>
      <c r="F159" s="105">
        <f t="shared" si="7"/>
        <v>0</v>
      </c>
      <c r="G159" s="105">
        <f t="shared" si="7"/>
        <v>0</v>
      </c>
      <c r="H159" s="106">
        <f>SUM(E159:G159)</f>
        <v>0</v>
      </c>
      <c r="I159" s="110">
        <f>IF(H159=0,0,D149/H159)</f>
        <v>0</v>
      </c>
    </row>
    <row r="160" spans="2:9">
      <c r="C160" s="85" t="s">
        <v>704</v>
      </c>
      <c r="D160" s="21"/>
      <c r="E160" s="105">
        <f t="shared" si="7"/>
        <v>0</v>
      </c>
      <c r="F160" s="105">
        <f t="shared" si="7"/>
        <v>0</v>
      </c>
      <c r="G160" s="105">
        <f t="shared" si="7"/>
        <v>0</v>
      </c>
      <c r="H160" s="106">
        <f>SUM(E160:G160)</f>
        <v>0</v>
      </c>
      <c r="I160" s="110">
        <f>IF(H160=0,0,D150/H160)</f>
        <v>0</v>
      </c>
    </row>
    <row r="161" spans="3:9">
      <c r="C161" s="85" t="s">
        <v>705</v>
      </c>
      <c r="D161" s="21"/>
      <c r="E161" s="105">
        <f t="shared" si="7"/>
        <v>0</v>
      </c>
      <c r="F161" s="105">
        <f t="shared" si="7"/>
        <v>0</v>
      </c>
      <c r="G161" s="105">
        <f t="shared" si="7"/>
        <v>0</v>
      </c>
      <c r="H161" s="106">
        <f>SUM(E161:G161)</f>
        <v>0</v>
      </c>
      <c r="I161" s="110">
        <f>IF(H161=0,0,D151/H161)</f>
        <v>0</v>
      </c>
    </row>
    <row r="162" spans="3:9">
      <c r="C162" s="184"/>
      <c r="D162" s="185"/>
      <c r="E162" s="190"/>
      <c r="F162" s="190"/>
      <c r="G162" s="190"/>
      <c r="H162" s="186"/>
      <c r="I162" s="111"/>
    </row>
    <row r="164" spans="3:9">
      <c r="C164" s="46" t="s">
        <v>76</v>
      </c>
      <c r="D164" s="90"/>
      <c r="E164" s="90"/>
      <c r="F164" s="90"/>
      <c r="G164" s="90"/>
      <c r="H164" s="91"/>
    </row>
    <row r="165" spans="3:9">
      <c r="C165" s="85" t="s">
        <v>914</v>
      </c>
      <c r="D165" s="21"/>
      <c r="E165" s="100">
        <f t="shared" ref="E165:G169" si="8">E157*$I157</f>
        <v>0.4</v>
      </c>
      <c r="F165" s="100">
        <f t="shared" si="8"/>
        <v>0.34000695168578382</v>
      </c>
      <c r="G165" s="100">
        <f t="shared" si="8"/>
        <v>0.25999304831421621</v>
      </c>
      <c r="H165" s="106">
        <f>SUM(E165:G165)</f>
        <v>1</v>
      </c>
    </row>
    <row r="166" spans="3:9">
      <c r="C166" s="85" t="s">
        <v>701</v>
      </c>
      <c r="D166" s="21"/>
      <c r="E166" s="100">
        <f t="shared" si="8"/>
        <v>0</v>
      </c>
      <c r="F166" s="100">
        <f t="shared" si="8"/>
        <v>0</v>
      </c>
      <c r="G166" s="100">
        <f t="shared" si="8"/>
        <v>0</v>
      </c>
      <c r="H166" s="106">
        <f>SUM(E166:G166)</f>
        <v>0</v>
      </c>
    </row>
    <row r="167" spans="3:9">
      <c r="C167" s="85" t="s">
        <v>702</v>
      </c>
      <c r="D167" s="21"/>
      <c r="E167" s="100">
        <f t="shared" si="8"/>
        <v>0</v>
      </c>
      <c r="F167" s="100">
        <f t="shared" si="8"/>
        <v>0</v>
      </c>
      <c r="G167" s="100">
        <f t="shared" si="8"/>
        <v>0</v>
      </c>
      <c r="H167" s="106">
        <f>SUM(E167:G167)</f>
        <v>0</v>
      </c>
    </row>
    <row r="168" spans="3:9">
      <c r="C168" s="85" t="s">
        <v>704</v>
      </c>
      <c r="D168" s="21"/>
      <c r="E168" s="100">
        <f t="shared" si="8"/>
        <v>0</v>
      </c>
      <c r="F168" s="100">
        <f t="shared" si="8"/>
        <v>0</v>
      </c>
      <c r="G168" s="100">
        <f t="shared" si="8"/>
        <v>0</v>
      </c>
      <c r="H168" s="106">
        <f>SUM(E168:G168)</f>
        <v>0</v>
      </c>
    </row>
    <row r="169" spans="3:9">
      <c r="C169" s="85" t="s">
        <v>705</v>
      </c>
      <c r="D169" s="21"/>
      <c r="E169" s="100">
        <f t="shared" si="8"/>
        <v>0</v>
      </c>
      <c r="F169" s="100">
        <f t="shared" si="8"/>
        <v>0</v>
      </c>
      <c r="G169" s="100">
        <f t="shared" si="8"/>
        <v>0</v>
      </c>
      <c r="H169" s="106">
        <f>SUM(E169:G169)</f>
        <v>0</v>
      </c>
    </row>
    <row r="170" spans="3:9">
      <c r="C170" s="187"/>
      <c r="D170" s="188"/>
      <c r="E170" s="188"/>
      <c r="F170" s="188"/>
      <c r="G170" s="188"/>
      <c r="H170" s="189"/>
    </row>
    <row r="171" spans="3:9">
      <c r="C171" s="46" t="s">
        <v>77</v>
      </c>
      <c r="D171" s="90"/>
      <c r="E171" s="114">
        <f>SUM(E165:E170)-E142</f>
        <v>0</v>
      </c>
      <c r="F171" s="114">
        <f>SUM(F165:F170)-F142</f>
        <v>0</v>
      </c>
      <c r="G171" s="114">
        <f>SUM(G165:G170)-G142</f>
        <v>0</v>
      </c>
      <c r="H171" s="91"/>
    </row>
    <row r="173" spans="3:9">
      <c r="C173" s="46" t="s">
        <v>74</v>
      </c>
      <c r="D173" s="90"/>
      <c r="E173" s="90"/>
      <c r="F173" s="90"/>
      <c r="G173" s="90"/>
      <c r="H173" s="91"/>
    </row>
    <row r="174" spans="3:9">
      <c r="C174" s="85" t="s">
        <v>914</v>
      </c>
      <c r="D174" s="21"/>
      <c r="E174" s="94">
        <f>IF(E165=0,0,ROUND(E$141*E165/SUM(E$165:E$170),0))</f>
        <v>11508</v>
      </c>
      <c r="F174" s="94">
        <f>IF(F165=0,0,ROUND(F$141*F165/SUM(F$165:F$170),0))</f>
        <v>9782</v>
      </c>
      <c r="G174" s="94">
        <f>IF(G165=0,0,ROUND(G$141*G165/SUM(G$165:G$170),0))</f>
        <v>7480</v>
      </c>
      <c r="H174" s="87">
        <f>SUM(E174:G174)</f>
        <v>28770</v>
      </c>
    </row>
    <row r="175" spans="3:9">
      <c r="C175" s="85" t="s">
        <v>701</v>
      </c>
      <c r="D175" s="21"/>
      <c r="E175" s="94">
        <f t="shared" ref="E175:G178" si="9">IF(E166=0,0,ROUND(E$141*E166/SUM(E$165:E$170),0))</f>
        <v>0</v>
      </c>
      <c r="F175" s="94">
        <f t="shared" si="9"/>
        <v>0</v>
      </c>
      <c r="G175" s="94">
        <f t="shared" si="9"/>
        <v>0</v>
      </c>
      <c r="H175" s="87">
        <f>SUM(E175:G175)</f>
        <v>0</v>
      </c>
    </row>
    <row r="176" spans="3:9">
      <c r="C176" s="85" t="s">
        <v>702</v>
      </c>
      <c r="D176" s="21"/>
      <c r="E176" s="94">
        <f t="shared" si="9"/>
        <v>0</v>
      </c>
      <c r="F176" s="94">
        <f t="shared" si="9"/>
        <v>0</v>
      </c>
      <c r="G176" s="94">
        <f t="shared" si="9"/>
        <v>0</v>
      </c>
      <c r="H176" s="87">
        <f>SUM(E176:G176)</f>
        <v>0</v>
      </c>
    </row>
    <row r="177" spans="2:9">
      <c r="C177" s="85" t="s">
        <v>704</v>
      </c>
      <c r="D177" s="21"/>
      <c r="E177" s="94">
        <f t="shared" si="9"/>
        <v>0</v>
      </c>
      <c r="F177" s="94">
        <f t="shared" si="9"/>
        <v>0</v>
      </c>
      <c r="G177" s="94">
        <f t="shared" si="9"/>
        <v>0</v>
      </c>
      <c r="H177" s="87">
        <f>SUM(E177:G177)</f>
        <v>0</v>
      </c>
    </row>
    <row r="178" spans="2:9">
      <c r="C178" s="85" t="s">
        <v>705</v>
      </c>
      <c r="D178" s="21"/>
      <c r="E178" s="94">
        <f t="shared" si="9"/>
        <v>0</v>
      </c>
      <c r="F178" s="94">
        <f t="shared" si="9"/>
        <v>0</v>
      </c>
      <c r="G178" s="94">
        <f t="shared" si="9"/>
        <v>0</v>
      </c>
      <c r="H178" s="87">
        <f>SUM(E178:G178)</f>
        <v>0</v>
      </c>
    </row>
    <row r="179" spans="2:9">
      <c r="C179" s="184"/>
      <c r="D179" s="185"/>
      <c r="E179" s="185"/>
      <c r="F179" s="185"/>
      <c r="G179" s="185"/>
      <c r="H179" s="186"/>
    </row>
    <row r="180" spans="2:9">
      <c r="C180" s="46" t="s">
        <v>75</v>
      </c>
      <c r="D180" s="57"/>
      <c r="E180" s="199">
        <f>SUM(E174:E179)</f>
        <v>11508</v>
      </c>
      <c r="F180" s="199">
        <f>SUM(F174:F179)</f>
        <v>9782</v>
      </c>
      <c r="G180" s="199">
        <f>SUM(G174:G179)</f>
        <v>7480</v>
      </c>
      <c r="H180" s="200">
        <f>SUM(H174:H179)</f>
        <v>28770</v>
      </c>
      <c r="I180" s="198" t="s">
        <v>28</v>
      </c>
    </row>
    <row r="181" spans="2:9">
      <c r="C181" s="64" t="s">
        <v>714</v>
      </c>
      <c r="D181" s="61"/>
      <c r="E181" s="115">
        <f>SUM(E174:E179)/SUM($E$174:$G$179)</f>
        <v>0.4</v>
      </c>
      <c r="F181" s="115">
        <f>SUM(F174:F179)/SUM($E$174:$G$179)</f>
        <v>0.34000695168578382</v>
      </c>
      <c r="G181" s="115">
        <f>SUM(G174:G179)/SUM($E$174:$G$179)</f>
        <v>0.25999304831421621</v>
      </c>
      <c r="H181" s="93"/>
    </row>
    <row r="183" spans="2:9" ht="12" thickBot="1"/>
    <row r="184" spans="2:9" ht="12" thickBot="1">
      <c r="B184" t="s">
        <v>30</v>
      </c>
      <c r="C184" s="281" t="s">
        <v>1391</v>
      </c>
      <c r="D184" s="253"/>
      <c r="E184" s="254"/>
      <c r="F184" s="254"/>
      <c r="G184" s="255"/>
      <c r="H184" s="255"/>
      <c r="I184" s="256"/>
    </row>
    <row r="185" spans="2:9" ht="12" thickBot="1">
      <c r="C185" s="252" t="s">
        <v>713</v>
      </c>
      <c r="D185" s="257">
        <v>42439</v>
      </c>
      <c r="E185" s="253"/>
      <c r="F185" s="258"/>
      <c r="G185" s="253"/>
      <c r="H185" s="259">
        <v>42439</v>
      </c>
      <c r="I185" s="256"/>
    </row>
    <row r="186" spans="2:9">
      <c r="C186" s="260" t="s">
        <v>49</v>
      </c>
      <c r="D186" s="261"/>
      <c r="E186" s="262" t="s">
        <v>1231</v>
      </c>
      <c r="F186" s="262" t="s">
        <v>1232</v>
      </c>
      <c r="G186" s="262" t="s">
        <v>1233</v>
      </c>
      <c r="H186" s="262"/>
      <c r="I186" s="263"/>
    </row>
    <row r="187" spans="2:9">
      <c r="C187" s="264" t="s">
        <v>288</v>
      </c>
      <c r="D187" s="265">
        <v>6</v>
      </c>
      <c r="E187" s="266">
        <v>4.0773843599912674</v>
      </c>
      <c r="F187" s="267">
        <v>0.37603430558458895</v>
      </c>
      <c r="G187" s="267">
        <v>5.141054853263503</v>
      </c>
      <c r="H187" s="268">
        <v>9.5944735188393597</v>
      </c>
      <c r="I187" s="263"/>
    </row>
    <row r="188" spans="2:9">
      <c r="B188">
        <f>RANK(D188,$D$188:$D$195)</f>
        <v>4</v>
      </c>
      <c r="C188" s="264" t="s">
        <v>1759</v>
      </c>
      <c r="D188" s="265">
        <v>7</v>
      </c>
      <c r="E188" s="269">
        <v>1.6782504276543357</v>
      </c>
      <c r="F188" s="265">
        <v>1.6782504276543357</v>
      </c>
      <c r="G188" s="265">
        <v>6.4494527753240014</v>
      </c>
      <c r="H188" s="270">
        <v>9.805953630632672</v>
      </c>
      <c r="I188" s="263"/>
    </row>
    <row r="189" spans="2:9">
      <c r="B189">
        <f t="shared" ref="B189:B195" si="10">RANK(D189,$D$188:$D$195)</f>
        <v>1</v>
      </c>
      <c r="C189" s="264" t="s">
        <v>1274</v>
      </c>
      <c r="D189" s="265">
        <v>10</v>
      </c>
      <c r="E189" s="269">
        <v>2.3975006109347676</v>
      </c>
      <c r="F189" s="265">
        <v>2.3975006109347676</v>
      </c>
      <c r="G189" s="265">
        <v>9.2135039647485755</v>
      </c>
      <c r="H189" s="270">
        <v>14.008505186618111</v>
      </c>
      <c r="I189" s="263"/>
    </row>
    <row r="190" spans="2:9">
      <c r="B190">
        <f t="shared" si="10"/>
        <v>3</v>
      </c>
      <c r="C190" s="264" t="s">
        <v>1226</v>
      </c>
      <c r="D190" s="265">
        <v>8</v>
      </c>
      <c r="E190" s="269">
        <v>1.918000488747813</v>
      </c>
      <c r="F190" s="265">
        <v>1.918000488747813</v>
      </c>
      <c r="G190" s="265">
        <v>7.3708031717988591</v>
      </c>
      <c r="H190" s="270">
        <v>11.206804149294484</v>
      </c>
      <c r="I190" s="263"/>
    </row>
    <row r="191" spans="2:9">
      <c r="B191">
        <f t="shared" si="10"/>
        <v>2</v>
      </c>
      <c r="C191" s="264" t="s">
        <v>2134</v>
      </c>
      <c r="D191" s="265">
        <v>9</v>
      </c>
      <c r="E191" s="269">
        <v>4.5</v>
      </c>
      <c r="F191" s="265">
        <v>0.99302112863931058</v>
      </c>
      <c r="G191" s="265">
        <v>8.0069788713606886</v>
      </c>
      <c r="H191" s="270">
        <v>13.5</v>
      </c>
      <c r="I191" s="263"/>
    </row>
    <row r="192" spans="2:9">
      <c r="B192">
        <f t="shared" si="10"/>
        <v>5</v>
      </c>
      <c r="C192" s="264" t="s">
        <v>2135</v>
      </c>
      <c r="D192" s="265">
        <v>5</v>
      </c>
      <c r="E192" s="269">
        <v>2.5</v>
      </c>
      <c r="F192" s="265">
        <v>2.5</v>
      </c>
      <c r="G192" s="265">
        <v>2.5</v>
      </c>
      <c r="H192" s="270">
        <v>7.5</v>
      </c>
      <c r="I192" s="263"/>
    </row>
    <row r="193" spans="2:9">
      <c r="B193">
        <f t="shared" si="10"/>
        <v>6</v>
      </c>
      <c r="C193" s="264" t="s">
        <v>2136</v>
      </c>
      <c r="D193" s="265">
        <v>0</v>
      </c>
      <c r="E193" s="269">
        <v>0</v>
      </c>
      <c r="F193" s="265">
        <v>0</v>
      </c>
      <c r="G193" s="265">
        <v>0</v>
      </c>
      <c r="H193" s="270">
        <v>0</v>
      </c>
      <c r="I193" s="263"/>
    </row>
    <row r="194" spans="2:9">
      <c r="B194">
        <f t="shared" si="10"/>
        <v>6</v>
      </c>
      <c r="C194" s="264" t="s">
        <v>2136</v>
      </c>
      <c r="D194" s="265">
        <v>0</v>
      </c>
      <c r="E194" s="269">
        <v>0</v>
      </c>
      <c r="F194" s="265">
        <v>0</v>
      </c>
      <c r="G194" s="265">
        <v>0</v>
      </c>
      <c r="H194" s="270">
        <v>0</v>
      </c>
      <c r="I194" s="263"/>
    </row>
    <row r="195" spans="2:9">
      <c r="B195">
        <f t="shared" si="10"/>
        <v>6</v>
      </c>
      <c r="C195" s="264" t="s">
        <v>2136</v>
      </c>
      <c r="D195" s="265">
        <v>0</v>
      </c>
      <c r="E195" s="269">
        <v>0</v>
      </c>
      <c r="F195" s="265">
        <v>0</v>
      </c>
      <c r="G195" s="265">
        <v>0</v>
      </c>
      <c r="H195" s="270">
        <v>0</v>
      </c>
      <c r="I195" s="263"/>
    </row>
    <row r="196" spans="2:9">
      <c r="C196" s="264" t="s">
        <v>2136</v>
      </c>
      <c r="D196" s="265">
        <v>0</v>
      </c>
      <c r="E196" s="269">
        <v>0</v>
      </c>
      <c r="F196" s="265">
        <v>0</v>
      </c>
      <c r="G196" s="265">
        <v>0</v>
      </c>
      <c r="H196" s="270">
        <v>0</v>
      </c>
      <c r="I196" s="263"/>
    </row>
    <row r="197" spans="2:9">
      <c r="C197" s="271" t="s">
        <v>451</v>
      </c>
      <c r="D197" s="143"/>
      <c r="E197" s="272">
        <v>0</v>
      </c>
      <c r="F197" s="273">
        <v>0</v>
      </c>
      <c r="G197" s="273">
        <v>0</v>
      </c>
      <c r="H197" s="270">
        <v>0</v>
      </c>
      <c r="I197" s="263"/>
    </row>
    <row r="198" spans="2:9" ht="12" thickBot="1">
      <c r="C198" s="264" t="s">
        <v>50</v>
      </c>
      <c r="D198" s="143"/>
      <c r="E198" s="274">
        <v>17.071135887328182</v>
      </c>
      <c r="F198" s="275">
        <v>9.8628069615608158</v>
      </c>
      <c r="G198" s="275">
        <v>38.681793636495627</v>
      </c>
      <c r="H198" s="276">
        <v>65.615736485384616</v>
      </c>
      <c r="I198" s="263"/>
    </row>
    <row r="199" spans="2:9">
      <c r="C199" s="264" t="s">
        <v>60</v>
      </c>
      <c r="D199" s="143"/>
      <c r="E199" s="143">
        <v>2</v>
      </c>
      <c r="F199" s="143">
        <v>3</v>
      </c>
      <c r="G199" s="143">
        <v>1</v>
      </c>
      <c r="H199" s="143"/>
      <c r="I199" s="263"/>
    </row>
    <row r="200" spans="2:9" ht="12" thickBot="1">
      <c r="C200" s="277" t="s">
        <v>714</v>
      </c>
      <c r="D200" s="278"/>
      <c r="E200" s="279">
        <v>0.4</v>
      </c>
      <c r="F200" s="279">
        <v>0.34</v>
      </c>
      <c r="G200" s="279">
        <v>0.26</v>
      </c>
      <c r="H200" s="275">
        <v>42439</v>
      </c>
      <c r="I200" s="280" t="s">
        <v>25</v>
      </c>
    </row>
    <row r="201" spans="2:9" ht="12" thickBot="1"/>
    <row r="202" spans="2:9" ht="12" thickBot="1">
      <c r="B202" t="s">
        <v>475</v>
      </c>
      <c r="C202" s="281" t="s">
        <v>846</v>
      </c>
      <c r="D202" s="253"/>
      <c r="E202" s="254"/>
      <c r="F202" s="254"/>
      <c r="G202" s="255"/>
      <c r="H202" s="255"/>
      <c r="I202" s="256"/>
    </row>
    <row r="203" spans="2:9" ht="12" thickBot="1">
      <c r="C203" s="252" t="s">
        <v>713</v>
      </c>
      <c r="D203" s="257">
        <v>1450000</v>
      </c>
      <c r="E203" s="253"/>
      <c r="F203" s="258"/>
      <c r="G203" s="253"/>
      <c r="H203" s="259">
        <v>217500</v>
      </c>
      <c r="I203" s="256"/>
    </row>
    <row r="204" spans="2:9">
      <c r="C204" s="260" t="s">
        <v>49</v>
      </c>
      <c r="D204" s="261"/>
      <c r="E204" s="262" t="s">
        <v>1231</v>
      </c>
      <c r="F204" s="262" t="s">
        <v>1232</v>
      </c>
      <c r="G204" s="262" t="s">
        <v>1233</v>
      </c>
      <c r="H204" s="262"/>
      <c r="I204" s="263"/>
    </row>
    <row r="205" spans="2:9">
      <c r="C205" s="264" t="s">
        <v>288</v>
      </c>
      <c r="D205" s="265">
        <v>8</v>
      </c>
      <c r="E205" s="266">
        <v>4.0000000017462334</v>
      </c>
      <c r="F205" s="267">
        <v>4.0000000017462334</v>
      </c>
      <c r="G205" s="267">
        <v>4.0000000017462334</v>
      </c>
      <c r="H205" s="268">
        <v>20.000000008731167</v>
      </c>
      <c r="I205" s="263"/>
    </row>
    <row r="206" spans="2:9">
      <c r="C206" s="264" t="s">
        <v>290</v>
      </c>
      <c r="D206" s="265">
        <v>7</v>
      </c>
      <c r="E206" s="269">
        <v>3.4999999984720458</v>
      </c>
      <c r="F206" s="265">
        <v>3.4999999984720458</v>
      </c>
      <c r="G206" s="265">
        <v>3.4999999984720458</v>
      </c>
      <c r="H206" s="270">
        <v>17.49999999236023</v>
      </c>
      <c r="I206" s="263"/>
    </row>
    <row r="207" spans="2:9">
      <c r="C207" s="264" t="s">
        <v>909</v>
      </c>
      <c r="D207" s="265">
        <v>8</v>
      </c>
      <c r="E207" s="269">
        <v>3.9999999982537666</v>
      </c>
      <c r="F207" s="265">
        <v>3.9999999982537666</v>
      </c>
      <c r="G207" s="265">
        <v>3.9999999982537666</v>
      </c>
      <c r="H207" s="270">
        <v>19.999999991268833</v>
      </c>
      <c r="I207" s="263"/>
    </row>
    <row r="208" spans="2:9">
      <c r="C208" s="264" t="s">
        <v>910</v>
      </c>
      <c r="D208" s="265">
        <v>1</v>
      </c>
      <c r="E208" s="269">
        <v>0</v>
      </c>
      <c r="F208" s="265">
        <v>0</v>
      </c>
      <c r="G208" s="265">
        <v>0</v>
      </c>
      <c r="H208" s="270">
        <v>0</v>
      </c>
      <c r="I208" s="263"/>
    </row>
    <row r="209" spans="2:9">
      <c r="C209" s="264" t="s">
        <v>911</v>
      </c>
      <c r="D209" s="265">
        <v>2</v>
      </c>
      <c r="E209" s="269">
        <v>0</v>
      </c>
      <c r="F209" s="265">
        <v>0</v>
      </c>
      <c r="G209" s="265">
        <v>0</v>
      </c>
      <c r="H209" s="270">
        <v>0</v>
      </c>
      <c r="I209" s="263"/>
    </row>
    <row r="210" spans="2:9">
      <c r="C210" s="264" t="s">
        <v>912</v>
      </c>
      <c r="D210" s="265">
        <v>3</v>
      </c>
      <c r="E210" s="269">
        <v>0</v>
      </c>
      <c r="F210" s="265">
        <v>0</v>
      </c>
      <c r="G210" s="265">
        <v>0</v>
      </c>
      <c r="H210" s="270">
        <v>0</v>
      </c>
      <c r="I210" s="263"/>
    </row>
    <row r="211" spans="2:9">
      <c r="C211" s="264" t="s">
        <v>710</v>
      </c>
      <c r="D211" s="265">
        <v>4</v>
      </c>
      <c r="E211" s="269">
        <v>0</v>
      </c>
      <c r="F211" s="265">
        <v>0</v>
      </c>
      <c r="G211" s="265">
        <v>0</v>
      </c>
      <c r="H211" s="270">
        <v>0</v>
      </c>
      <c r="I211" s="263"/>
    </row>
    <row r="212" spans="2:9">
      <c r="C212" s="264" t="s">
        <v>809</v>
      </c>
      <c r="D212" s="265">
        <v>5</v>
      </c>
      <c r="E212" s="269">
        <v>0</v>
      </c>
      <c r="F212" s="265">
        <v>0</v>
      </c>
      <c r="G212" s="265">
        <v>0</v>
      </c>
      <c r="H212" s="270">
        <v>0</v>
      </c>
      <c r="I212" s="263"/>
    </row>
    <row r="213" spans="2:9">
      <c r="C213" s="264" t="s">
        <v>811</v>
      </c>
      <c r="D213" s="265">
        <v>6</v>
      </c>
      <c r="E213" s="269">
        <v>0</v>
      </c>
      <c r="F213" s="265">
        <v>0</v>
      </c>
      <c r="G213" s="265">
        <v>0</v>
      </c>
      <c r="H213" s="270">
        <v>0</v>
      </c>
      <c r="I213" s="263"/>
    </row>
    <row r="214" spans="2:9">
      <c r="C214" s="264" t="s">
        <v>195</v>
      </c>
      <c r="D214" s="265">
        <v>9</v>
      </c>
      <c r="E214" s="269">
        <v>0</v>
      </c>
      <c r="F214" s="265">
        <v>0</v>
      </c>
      <c r="G214" s="265">
        <v>0</v>
      </c>
      <c r="H214" s="270">
        <v>0</v>
      </c>
      <c r="I214" s="263"/>
    </row>
    <row r="215" spans="2:9">
      <c r="C215" s="271" t="s">
        <v>451</v>
      </c>
      <c r="D215" s="143"/>
      <c r="E215" s="272">
        <v>0</v>
      </c>
      <c r="F215" s="273">
        <v>0</v>
      </c>
      <c r="G215" s="273">
        <v>0</v>
      </c>
      <c r="H215" s="270">
        <v>0</v>
      </c>
      <c r="I215" s="263"/>
    </row>
    <row r="216" spans="2:9" ht="12" thickBot="1">
      <c r="C216" s="264" t="s">
        <v>50</v>
      </c>
      <c r="D216" s="143"/>
      <c r="E216" s="274">
        <v>11.499999998472045</v>
      </c>
      <c r="F216" s="275">
        <v>11.499999998472045</v>
      </c>
      <c r="G216" s="275">
        <v>11.499999998472045</v>
      </c>
      <c r="H216" s="276">
        <v>57.49999999236023</v>
      </c>
      <c r="I216" s="263"/>
    </row>
    <row r="217" spans="2:9">
      <c r="C217" s="264" t="s">
        <v>60</v>
      </c>
      <c r="D217" s="143"/>
      <c r="E217" s="143">
        <v>1</v>
      </c>
      <c r="F217" s="143">
        <v>1</v>
      </c>
      <c r="G217" s="143">
        <v>1</v>
      </c>
      <c r="H217" s="143"/>
      <c r="I217" s="263"/>
    </row>
    <row r="218" spans="2:9" ht="12" thickBot="1">
      <c r="C218" s="277" t="s">
        <v>714</v>
      </c>
      <c r="D218" s="278"/>
      <c r="E218" s="279">
        <v>0.2</v>
      </c>
      <c r="F218" s="279">
        <v>0.2</v>
      </c>
      <c r="G218" s="279">
        <v>0.2</v>
      </c>
      <c r="H218" s="275">
        <v>217500</v>
      </c>
      <c r="I218" s="280" t="s">
        <v>25</v>
      </c>
    </row>
    <row r="219" spans="2:9" ht="12" thickBot="1"/>
    <row r="220" spans="2:9" ht="12" thickBot="1">
      <c r="B220" t="s">
        <v>769</v>
      </c>
      <c r="C220" s="281" t="s">
        <v>847</v>
      </c>
      <c r="D220" s="253"/>
      <c r="E220" s="254"/>
      <c r="F220" s="254"/>
      <c r="G220" s="255"/>
      <c r="H220" s="255"/>
      <c r="I220" s="256"/>
    </row>
    <row r="221" spans="2:9" ht="12" thickBot="1">
      <c r="C221" s="252" t="s">
        <v>713</v>
      </c>
      <c r="D221" s="257">
        <v>1450000</v>
      </c>
      <c r="E221" s="253"/>
      <c r="F221" s="258"/>
      <c r="G221" s="253"/>
      <c r="H221" s="259">
        <v>362500</v>
      </c>
      <c r="I221" s="256"/>
    </row>
    <row r="222" spans="2:9">
      <c r="C222" s="260" t="s">
        <v>49</v>
      </c>
      <c r="D222" s="261"/>
      <c r="E222" s="262" t="s">
        <v>1231</v>
      </c>
      <c r="F222" s="262" t="s">
        <v>1232</v>
      </c>
      <c r="G222" s="262" t="s">
        <v>1233</v>
      </c>
      <c r="H222" s="262"/>
      <c r="I222" s="263"/>
    </row>
    <row r="223" spans="2:9">
      <c r="C223" s="264" t="s">
        <v>288</v>
      </c>
      <c r="D223" s="265">
        <v>9</v>
      </c>
      <c r="E223" s="266">
        <v>4.5000000019645121</v>
      </c>
      <c r="F223" s="267">
        <v>4.5000000019645121</v>
      </c>
      <c r="G223" s="267">
        <v>4.5000000019645121</v>
      </c>
      <c r="H223" s="268">
        <v>22.500000009822561</v>
      </c>
      <c r="I223" s="263"/>
    </row>
    <row r="224" spans="2:9">
      <c r="C224" s="264" t="s">
        <v>290</v>
      </c>
      <c r="D224" s="265">
        <v>7</v>
      </c>
      <c r="E224" s="269">
        <v>3.4999999984720458</v>
      </c>
      <c r="F224" s="265">
        <v>3.4999999984720458</v>
      </c>
      <c r="G224" s="265">
        <v>3.4999999984720458</v>
      </c>
      <c r="H224" s="270">
        <v>17.49999999236023</v>
      </c>
      <c r="I224" s="263"/>
    </row>
    <row r="225" spans="2:9">
      <c r="C225" s="264" t="s">
        <v>909</v>
      </c>
      <c r="D225" s="265">
        <v>3</v>
      </c>
      <c r="E225" s="269">
        <v>1.4999999993451625</v>
      </c>
      <c r="F225" s="265">
        <v>1.4999999993451625</v>
      </c>
      <c r="G225" s="265">
        <v>1.4999999993451625</v>
      </c>
      <c r="H225" s="270">
        <v>7.499999996725812</v>
      </c>
      <c r="I225" s="263"/>
    </row>
    <row r="226" spans="2:9">
      <c r="C226" s="264" t="s">
        <v>910</v>
      </c>
      <c r="D226" s="265">
        <v>4</v>
      </c>
      <c r="E226" s="269">
        <v>0</v>
      </c>
      <c r="F226" s="265">
        <v>0</v>
      </c>
      <c r="G226" s="265">
        <v>0</v>
      </c>
      <c r="H226" s="270">
        <v>0</v>
      </c>
      <c r="I226" s="263"/>
    </row>
    <row r="227" spans="2:9">
      <c r="C227" s="264" t="s">
        <v>911</v>
      </c>
      <c r="D227" s="265">
        <v>8</v>
      </c>
      <c r="E227" s="269">
        <v>0</v>
      </c>
      <c r="F227" s="265">
        <v>0</v>
      </c>
      <c r="G227" s="265">
        <v>0</v>
      </c>
      <c r="H227" s="270">
        <v>0</v>
      </c>
      <c r="I227" s="263"/>
    </row>
    <row r="228" spans="2:9">
      <c r="C228" s="264" t="s">
        <v>912</v>
      </c>
      <c r="D228" s="265">
        <v>5</v>
      </c>
      <c r="E228" s="269">
        <v>0</v>
      </c>
      <c r="F228" s="265">
        <v>0</v>
      </c>
      <c r="G228" s="265">
        <v>0</v>
      </c>
      <c r="H228" s="270">
        <v>0</v>
      </c>
      <c r="I228" s="263"/>
    </row>
    <row r="229" spans="2:9">
      <c r="C229" s="264" t="s">
        <v>710</v>
      </c>
      <c r="D229" s="265">
        <v>1</v>
      </c>
      <c r="E229" s="269">
        <v>0</v>
      </c>
      <c r="F229" s="265">
        <v>0</v>
      </c>
      <c r="G229" s="265">
        <v>0</v>
      </c>
      <c r="H229" s="270">
        <v>0</v>
      </c>
      <c r="I229" s="263"/>
    </row>
    <row r="230" spans="2:9">
      <c r="C230" s="264" t="s">
        <v>809</v>
      </c>
      <c r="D230" s="265">
        <v>2</v>
      </c>
      <c r="E230" s="269">
        <v>0</v>
      </c>
      <c r="F230" s="265">
        <v>0</v>
      </c>
      <c r="G230" s="265">
        <v>0</v>
      </c>
      <c r="H230" s="270">
        <v>0</v>
      </c>
      <c r="I230" s="263"/>
    </row>
    <row r="231" spans="2:9">
      <c r="C231" s="264" t="s">
        <v>811</v>
      </c>
      <c r="D231" s="265">
        <v>6</v>
      </c>
      <c r="E231" s="269">
        <v>0</v>
      </c>
      <c r="F231" s="265">
        <v>0</v>
      </c>
      <c r="G231" s="265">
        <v>0</v>
      </c>
      <c r="H231" s="270">
        <v>0</v>
      </c>
      <c r="I231" s="263"/>
    </row>
    <row r="232" spans="2:9">
      <c r="C232" s="264" t="s">
        <v>195</v>
      </c>
      <c r="D232" s="265">
        <v>10</v>
      </c>
      <c r="E232" s="269">
        <v>0</v>
      </c>
      <c r="F232" s="265">
        <v>0</v>
      </c>
      <c r="G232" s="265">
        <v>0</v>
      </c>
      <c r="H232" s="270">
        <v>0</v>
      </c>
      <c r="I232" s="263"/>
    </row>
    <row r="233" spans="2:9">
      <c r="C233" s="271" t="s">
        <v>451</v>
      </c>
      <c r="D233" s="143"/>
      <c r="E233" s="272">
        <v>0</v>
      </c>
      <c r="F233" s="273">
        <v>0</v>
      </c>
      <c r="G233" s="273">
        <v>0</v>
      </c>
      <c r="H233" s="270">
        <v>0</v>
      </c>
      <c r="I233" s="263"/>
    </row>
    <row r="234" spans="2:9" ht="12" thickBot="1">
      <c r="C234" s="264" t="s">
        <v>50</v>
      </c>
      <c r="D234" s="143"/>
      <c r="E234" s="274">
        <v>9.4999999997817195</v>
      </c>
      <c r="F234" s="275">
        <v>9.4999999997817195</v>
      </c>
      <c r="G234" s="275">
        <v>9.4999999997817195</v>
      </c>
      <c r="H234" s="276">
        <v>47.499999998908599</v>
      </c>
      <c r="I234" s="263"/>
    </row>
    <row r="235" spans="2:9">
      <c r="C235" s="264" t="s">
        <v>60</v>
      </c>
      <c r="D235" s="143"/>
      <c r="E235" s="143">
        <v>1</v>
      </c>
      <c r="F235" s="143">
        <v>1</v>
      </c>
      <c r="G235" s="143">
        <v>1</v>
      </c>
      <c r="H235" s="143"/>
      <c r="I235" s="263"/>
    </row>
    <row r="236" spans="2:9" ht="12" thickBot="1">
      <c r="C236" s="277" t="s">
        <v>714</v>
      </c>
      <c r="D236" s="278"/>
      <c r="E236" s="279">
        <v>0.2</v>
      </c>
      <c r="F236" s="279">
        <v>0.2</v>
      </c>
      <c r="G236" s="279">
        <v>0.2</v>
      </c>
      <c r="H236" s="275">
        <v>362500</v>
      </c>
      <c r="I236" s="280" t="s">
        <v>25</v>
      </c>
    </row>
    <row r="237" spans="2:9" ht="12" thickBot="1"/>
    <row r="238" spans="2:9" ht="12" thickBot="1">
      <c r="B238" t="s">
        <v>768</v>
      </c>
      <c r="C238" s="281" t="s">
        <v>848</v>
      </c>
      <c r="D238" s="253"/>
      <c r="E238" s="254"/>
      <c r="F238" s="254"/>
      <c r="G238" s="255"/>
      <c r="H238" s="255"/>
      <c r="I238" s="256"/>
    </row>
    <row r="239" spans="2:9" ht="12" thickBot="1">
      <c r="C239" s="252" t="s">
        <v>713</v>
      </c>
      <c r="D239" s="257">
        <v>1450000</v>
      </c>
      <c r="E239" s="253"/>
      <c r="F239" s="258"/>
      <c r="G239" s="253"/>
      <c r="H239" s="259">
        <v>362500</v>
      </c>
      <c r="I239" s="256"/>
    </row>
    <row r="240" spans="2:9">
      <c r="C240" s="260" t="s">
        <v>49</v>
      </c>
      <c r="D240" s="261"/>
      <c r="E240" s="262" t="s">
        <v>1231</v>
      </c>
      <c r="F240" s="262" t="s">
        <v>1232</v>
      </c>
      <c r="G240" s="262" t="s">
        <v>1233</v>
      </c>
      <c r="H240" s="262"/>
      <c r="I240" s="263"/>
    </row>
    <row r="241" spans="2:9">
      <c r="C241" s="264" t="s">
        <v>288</v>
      </c>
      <c r="D241" s="265">
        <v>9</v>
      </c>
      <c r="E241" s="266">
        <v>4.5000000019645121</v>
      </c>
      <c r="F241" s="267">
        <v>4.5000000019645121</v>
      </c>
      <c r="G241" s="267">
        <v>4.5000000019645121</v>
      </c>
      <c r="H241" s="268">
        <v>22.500000009822561</v>
      </c>
      <c r="I241" s="263"/>
    </row>
    <row r="242" spans="2:9">
      <c r="C242" s="264" t="s">
        <v>290</v>
      </c>
      <c r="D242" s="265">
        <v>7</v>
      </c>
      <c r="E242" s="269">
        <v>3.4999999984720458</v>
      </c>
      <c r="F242" s="265">
        <v>3.4999999984720458</v>
      </c>
      <c r="G242" s="265">
        <v>3.4999999984720458</v>
      </c>
      <c r="H242" s="270">
        <v>17.49999999236023</v>
      </c>
      <c r="I242" s="263"/>
    </row>
    <row r="243" spans="2:9">
      <c r="C243" s="264" t="s">
        <v>909</v>
      </c>
      <c r="D243" s="265">
        <v>8</v>
      </c>
      <c r="E243" s="269">
        <v>3.9999999982537666</v>
      </c>
      <c r="F243" s="265">
        <v>3.9999999982537666</v>
      </c>
      <c r="G243" s="265">
        <v>3.9999999982537666</v>
      </c>
      <c r="H243" s="270">
        <v>19.999999991268833</v>
      </c>
      <c r="I243" s="263"/>
    </row>
    <row r="244" spans="2:9">
      <c r="C244" s="264" t="s">
        <v>910</v>
      </c>
      <c r="D244" s="265">
        <v>10</v>
      </c>
      <c r="E244" s="269">
        <v>0</v>
      </c>
      <c r="F244" s="265">
        <v>0</v>
      </c>
      <c r="G244" s="265">
        <v>0</v>
      </c>
      <c r="H244" s="270">
        <v>0</v>
      </c>
      <c r="I244" s="263"/>
    </row>
    <row r="245" spans="2:9">
      <c r="C245" s="264" t="s">
        <v>911</v>
      </c>
      <c r="D245" s="265">
        <v>6</v>
      </c>
      <c r="E245" s="269">
        <v>0</v>
      </c>
      <c r="F245" s="265">
        <v>0</v>
      </c>
      <c r="G245" s="265">
        <v>0</v>
      </c>
      <c r="H245" s="270">
        <v>0</v>
      </c>
      <c r="I245" s="263"/>
    </row>
    <row r="246" spans="2:9">
      <c r="C246" s="264" t="s">
        <v>912</v>
      </c>
      <c r="D246" s="265">
        <v>5</v>
      </c>
      <c r="E246" s="269">
        <v>0</v>
      </c>
      <c r="F246" s="265">
        <v>0</v>
      </c>
      <c r="G246" s="265">
        <v>0</v>
      </c>
      <c r="H246" s="270">
        <v>0</v>
      </c>
      <c r="I246" s="263"/>
    </row>
    <row r="247" spans="2:9">
      <c r="C247" s="264" t="s">
        <v>710</v>
      </c>
      <c r="D247" s="265">
        <v>4</v>
      </c>
      <c r="E247" s="269">
        <v>0</v>
      </c>
      <c r="F247" s="265">
        <v>0</v>
      </c>
      <c r="G247" s="265">
        <v>0</v>
      </c>
      <c r="H247" s="270">
        <v>0</v>
      </c>
      <c r="I247" s="263"/>
    </row>
    <row r="248" spans="2:9">
      <c r="C248" s="264" t="s">
        <v>809</v>
      </c>
      <c r="D248" s="265">
        <v>3</v>
      </c>
      <c r="E248" s="269">
        <v>0</v>
      </c>
      <c r="F248" s="265">
        <v>0</v>
      </c>
      <c r="G248" s="265">
        <v>0</v>
      </c>
      <c r="H248" s="270">
        <v>0</v>
      </c>
      <c r="I248" s="263"/>
    </row>
    <row r="249" spans="2:9">
      <c r="C249" s="264" t="s">
        <v>811</v>
      </c>
      <c r="D249" s="265">
        <v>2</v>
      </c>
      <c r="E249" s="269">
        <v>0</v>
      </c>
      <c r="F249" s="265">
        <v>0</v>
      </c>
      <c r="G249" s="265">
        <v>0</v>
      </c>
      <c r="H249" s="270">
        <v>0</v>
      </c>
      <c r="I249" s="263"/>
    </row>
    <row r="250" spans="2:9">
      <c r="C250" s="264" t="s">
        <v>195</v>
      </c>
      <c r="D250" s="265">
        <v>1</v>
      </c>
      <c r="E250" s="269">
        <v>0</v>
      </c>
      <c r="F250" s="265">
        <v>0</v>
      </c>
      <c r="G250" s="265">
        <v>0</v>
      </c>
      <c r="H250" s="270">
        <v>0</v>
      </c>
      <c r="I250" s="263"/>
    </row>
    <row r="251" spans="2:9">
      <c r="C251" s="271" t="s">
        <v>451</v>
      </c>
      <c r="D251" s="143"/>
      <c r="E251" s="272">
        <v>0</v>
      </c>
      <c r="F251" s="273">
        <v>0</v>
      </c>
      <c r="G251" s="273">
        <v>0</v>
      </c>
      <c r="H251" s="270">
        <v>0</v>
      </c>
      <c r="I251" s="263"/>
    </row>
    <row r="252" spans="2:9" ht="12" thickBot="1">
      <c r="C252" s="264" t="s">
        <v>50</v>
      </c>
      <c r="D252" s="143"/>
      <c r="E252" s="274">
        <v>11.999999998690324</v>
      </c>
      <c r="F252" s="275">
        <v>11.999999998690324</v>
      </c>
      <c r="G252" s="275">
        <v>11.999999998690324</v>
      </c>
      <c r="H252" s="276">
        <v>59.999999993451624</v>
      </c>
      <c r="I252" s="263"/>
    </row>
    <row r="253" spans="2:9">
      <c r="C253" s="264" t="s">
        <v>60</v>
      </c>
      <c r="D253" s="143"/>
      <c r="E253" s="143">
        <v>1</v>
      </c>
      <c r="F253" s="143">
        <v>1</v>
      </c>
      <c r="G253" s="143">
        <v>1</v>
      </c>
      <c r="H253" s="143"/>
      <c r="I253" s="263"/>
    </row>
    <row r="254" spans="2:9" ht="12" thickBot="1">
      <c r="C254" s="277" t="s">
        <v>714</v>
      </c>
      <c r="D254" s="278"/>
      <c r="E254" s="279">
        <v>0.2</v>
      </c>
      <c r="F254" s="279">
        <v>0.2</v>
      </c>
      <c r="G254" s="279">
        <v>0.2</v>
      </c>
      <c r="H254" s="275">
        <v>362500</v>
      </c>
      <c r="I254" s="280" t="s">
        <v>25</v>
      </c>
    </row>
    <row r="255" spans="2:9" ht="12" thickBot="1"/>
    <row r="256" spans="2:9" ht="12" thickBot="1">
      <c r="B256" t="s">
        <v>134</v>
      </c>
      <c r="C256" s="281" t="s">
        <v>1130</v>
      </c>
      <c r="D256" s="253"/>
      <c r="E256" s="254"/>
      <c r="F256" s="254"/>
      <c r="G256" s="255"/>
      <c r="H256" s="255"/>
      <c r="I256" s="256"/>
    </row>
    <row r="257" spans="3:9" ht="12" thickBot="1">
      <c r="C257" s="252" t="s">
        <v>713</v>
      </c>
      <c r="D257" s="257">
        <v>1450000</v>
      </c>
      <c r="E257" s="253"/>
      <c r="F257" s="258"/>
      <c r="G257" s="253"/>
      <c r="H257" s="259">
        <v>362500</v>
      </c>
      <c r="I257" s="256"/>
    </row>
    <row r="258" spans="3:9">
      <c r="C258" s="260" t="s">
        <v>49</v>
      </c>
      <c r="D258" s="261"/>
      <c r="E258" s="262" t="s">
        <v>1231</v>
      </c>
      <c r="F258" s="262" t="s">
        <v>1232</v>
      </c>
      <c r="G258" s="262" t="s">
        <v>1233</v>
      </c>
      <c r="H258" s="262"/>
      <c r="I258" s="263"/>
    </row>
    <row r="259" spans="3:9">
      <c r="C259" s="264" t="s">
        <v>288</v>
      </c>
      <c r="D259" s="265">
        <v>10</v>
      </c>
      <c r="E259" s="266">
        <v>5.0000000021827917</v>
      </c>
      <c r="F259" s="267">
        <v>5.0000000021827917</v>
      </c>
      <c r="G259" s="267">
        <v>5.0000000021827917</v>
      </c>
      <c r="H259" s="268">
        <v>25.000000010913958</v>
      </c>
      <c r="I259" s="263"/>
    </row>
    <row r="260" spans="3:9">
      <c r="C260" s="264" t="s">
        <v>290</v>
      </c>
      <c r="D260" s="265">
        <v>5</v>
      </c>
      <c r="E260" s="269">
        <v>2.4999999989086041</v>
      </c>
      <c r="F260" s="265">
        <v>2.4999999989086041</v>
      </c>
      <c r="G260" s="265">
        <v>2.4999999989086041</v>
      </c>
      <c r="H260" s="270">
        <v>12.499999994543021</v>
      </c>
      <c r="I260" s="263"/>
    </row>
    <row r="261" spans="3:9">
      <c r="C261" s="264" t="s">
        <v>909</v>
      </c>
      <c r="D261" s="265">
        <v>8</v>
      </c>
      <c r="E261" s="269">
        <v>3.9999999982537666</v>
      </c>
      <c r="F261" s="265">
        <v>3.9999999982537666</v>
      </c>
      <c r="G261" s="265">
        <v>3.9999999982537666</v>
      </c>
      <c r="H261" s="270">
        <v>19.999999991268833</v>
      </c>
      <c r="I261" s="263"/>
    </row>
    <row r="262" spans="3:9">
      <c r="C262" s="264" t="s">
        <v>910</v>
      </c>
      <c r="D262" s="265">
        <v>9</v>
      </c>
      <c r="E262" s="269">
        <v>0</v>
      </c>
      <c r="F262" s="265">
        <v>0</v>
      </c>
      <c r="G262" s="265">
        <v>0</v>
      </c>
      <c r="H262" s="270">
        <v>0</v>
      </c>
      <c r="I262" s="263"/>
    </row>
    <row r="263" spans="3:9">
      <c r="C263" s="264" t="s">
        <v>911</v>
      </c>
      <c r="D263" s="265">
        <v>7</v>
      </c>
      <c r="E263" s="269">
        <v>0</v>
      </c>
      <c r="F263" s="265">
        <v>0</v>
      </c>
      <c r="G263" s="265">
        <v>0</v>
      </c>
      <c r="H263" s="270">
        <v>0</v>
      </c>
      <c r="I263" s="263"/>
    </row>
    <row r="264" spans="3:9">
      <c r="C264" s="264" t="s">
        <v>912</v>
      </c>
      <c r="D264" s="265">
        <v>6</v>
      </c>
      <c r="E264" s="269">
        <v>0</v>
      </c>
      <c r="F264" s="265">
        <v>0</v>
      </c>
      <c r="G264" s="265">
        <v>0</v>
      </c>
      <c r="H264" s="270">
        <v>0</v>
      </c>
      <c r="I264" s="263"/>
    </row>
    <row r="265" spans="3:9">
      <c r="C265" s="264" t="s">
        <v>710</v>
      </c>
      <c r="D265" s="265">
        <v>4</v>
      </c>
      <c r="E265" s="269">
        <v>0</v>
      </c>
      <c r="F265" s="265">
        <v>0</v>
      </c>
      <c r="G265" s="265">
        <v>0</v>
      </c>
      <c r="H265" s="270">
        <v>0</v>
      </c>
      <c r="I265" s="263"/>
    </row>
    <row r="266" spans="3:9">
      <c r="C266" s="264" t="s">
        <v>809</v>
      </c>
      <c r="D266" s="265">
        <v>3</v>
      </c>
      <c r="E266" s="269">
        <v>0</v>
      </c>
      <c r="F266" s="265">
        <v>0</v>
      </c>
      <c r="G266" s="265">
        <v>0</v>
      </c>
      <c r="H266" s="270">
        <v>0</v>
      </c>
      <c r="I266" s="263"/>
    </row>
    <row r="267" spans="3:9">
      <c r="C267" s="264" t="s">
        <v>811</v>
      </c>
      <c r="D267" s="265">
        <v>2</v>
      </c>
      <c r="E267" s="269">
        <v>0</v>
      </c>
      <c r="F267" s="265">
        <v>0</v>
      </c>
      <c r="G267" s="265">
        <v>0</v>
      </c>
      <c r="H267" s="270">
        <v>0</v>
      </c>
      <c r="I267" s="263"/>
    </row>
    <row r="268" spans="3:9">
      <c r="C268" s="264" t="s">
        <v>195</v>
      </c>
      <c r="D268" s="265">
        <v>1</v>
      </c>
      <c r="E268" s="269">
        <v>0</v>
      </c>
      <c r="F268" s="265">
        <v>0</v>
      </c>
      <c r="G268" s="265">
        <v>0</v>
      </c>
      <c r="H268" s="270">
        <v>0</v>
      </c>
      <c r="I268" s="263"/>
    </row>
    <row r="269" spans="3:9">
      <c r="C269" s="271" t="s">
        <v>451</v>
      </c>
      <c r="D269" s="143"/>
      <c r="E269" s="272">
        <v>0</v>
      </c>
      <c r="F269" s="273">
        <v>0</v>
      </c>
      <c r="G269" s="273">
        <v>0</v>
      </c>
      <c r="H269" s="270">
        <v>0</v>
      </c>
      <c r="I269" s="263"/>
    </row>
    <row r="270" spans="3:9" ht="12" thickBot="1">
      <c r="C270" s="264" t="s">
        <v>50</v>
      </c>
      <c r="D270" s="143"/>
      <c r="E270" s="274">
        <v>11.499999999345162</v>
      </c>
      <c r="F270" s="275">
        <v>11.499999999345162</v>
      </c>
      <c r="G270" s="275">
        <v>11.499999999345162</v>
      </c>
      <c r="H270" s="276">
        <v>57.499999996725819</v>
      </c>
      <c r="I270" s="263"/>
    </row>
    <row r="271" spans="3:9">
      <c r="C271" s="264" t="s">
        <v>60</v>
      </c>
      <c r="D271" s="143"/>
      <c r="E271" s="143">
        <v>1</v>
      </c>
      <c r="F271" s="143">
        <v>1</v>
      </c>
      <c r="G271" s="143">
        <v>1</v>
      </c>
      <c r="H271" s="143"/>
      <c r="I271" s="263"/>
    </row>
    <row r="272" spans="3:9" ht="12" thickBot="1">
      <c r="C272" s="277" t="s">
        <v>714</v>
      </c>
      <c r="D272" s="278"/>
      <c r="E272" s="279">
        <v>0.2</v>
      </c>
      <c r="F272" s="279">
        <v>0.2</v>
      </c>
      <c r="G272" s="279">
        <v>0.2</v>
      </c>
      <c r="H272" s="275">
        <v>362500</v>
      </c>
      <c r="I272" s="280" t="s">
        <v>25</v>
      </c>
    </row>
    <row r="273" spans="1:10" ht="12" thickBot="1"/>
    <row r="274" spans="1:10" ht="12" thickBot="1">
      <c r="C274" s="473" t="str">
        <f>C184</f>
        <v>Market Model Calculation Segment 1 Growth</v>
      </c>
      <c r="D274" s="474"/>
      <c r="E274" s="475"/>
      <c r="F274" s="475"/>
      <c r="G274" s="476"/>
      <c r="H274" s="476"/>
      <c r="I274" s="477"/>
    </row>
    <row r="275" spans="1:10" ht="12" thickBot="1">
      <c r="C275" s="473" t="str">
        <f>C185</f>
        <v>Total  Volume</v>
      </c>
      <c r="D275" s="478"/>
      <c r="E275" s="474"/>
      <c r="F275" s="479"/>
      <c r="G275" s="474"/>
      <c r="H275" s="480"/>
      <c r="I275" s="477"/>
    </row>
    <row r="276" spans="1:10">
      <c r="C276" s="481" t="str">
        <f>C186</f>
        <v>Driver Effect</v>
      </c>
      <c r="D276" s="482"/>
      <c r="E276" s="504">
        <f>MAX(E277:G287)</f>
        <v>0</v>
      </c>
      <c r="F276" s="504">
        <f>MIN(E277:G287)</f>
        <v>-0.19083504923315794</v>
      </c>
      <c r="G276" s="483"/>
      <c r="H276" s="483"/>
      <c r="I276" s="484"/>
    </row>
    <row r="277" spans="1:10">
      <c r="A277" t="s">
        <v>31</v>
      </c>
      <c r="C277" s="485" t="str">
        <f>C33</f>
        <v>Price</v>
      </c>
      <c r="D277" s="485">
        <f t="shared" ref="D277:D287" si="11">D187</f>
        <v>6</v>
      </c>
      <c r="E277" s="499">
        <f t="shared" ref="E277:G287" si="12">(E104-($H104/xxNumOfTeams))/$H$115</f>
        <v>-8.0850301390060095E-2</v>
      </c>
      <c r="F277" s="486">
        <f t="shared" si="12"/>
        <v>-0.13509181513630097</v>
      </c>
      <c r="G277" s="486">
        <f t="shared" si="12"/>
        <v>-6.52627193364234E-2</v>
      </c>
      <c r="H277" s="487"/>
      <c r="I277" s="484"/>
    </row>
    <row r="278" spans="1:10">
      <c r="A278" t="s">
        <v>194</v>
      </c>
      <c r="B278" s="500">
        <f>IF(C278=0,0,RANK(D278,$D$278:$D$286))</f>
        <v>4</v>
      </c>
      <c r="C278" s="488" t="str">
        <f>C37</f>
        <v>Content</v>
      </c>
      <c r="D278" s="488">
        <f t="shared" si="11"/>
        <v>7</v>
      </c>
      <c r="E278" s="499">
        <f t="shared" si="12"/>
        <v>-0.11510550975025732</v>
      </c>
      <c r="F278" s="486">
        <f t="shared" si="12"/>
        <v>-0.11510550975025732</v>
      </c>
      <c r="G278" s="486">
        <f t="shared" si="12"/>
        <v>-7.4235633039149249E-2</v>
      </c>
      <c r="H278" s="489"/>
      <c r="I278" s="484"/>
      <c r="J278" s="293" t="s">
        <v>996</v>
      </c>
    </row>
    <row r="279" spans="1:10">
      <c r="A279" t="s">
        <v>827</v>
      </c>
      <c r="B279" s="500">
        <f t="shared" ref="B279:B286" si="13">IF(C279=0,0,RANK(D279,$D$278:$D$286))</f>
        <v>1</v>
      </c>
      <c r="C279" s="488" t="str">
        <f>C41</f>
        <v>Product Technology</v>
      </c>
      <c r="D279" s="488">
        <f t="shared" si="11"/>
        <v>10</v>
      </c>
      <c r="E279" s="499">
        <f t="shared" si="12"/>
        <v>-0.14497938855895859</v>
      </c>
      <c r="F279" s="486">
        <f t="shared" si="12"/>
        <v>-0.19083504923315794</v>
      </c>
      <c r="G279" s="486">
        <f t="shared" si="12"/>
        <v>-0.10505690782611313</v>
      </c>
      <c r="H279" s="489"/>
      <c r="I279" s="484"/>
      <c r="J279" t="s">
        <v>997</v>
      </c>
    </row>
    <row r="280" spans="1:10">
      <c r="A280" t="s">
        <v>828</v>
      </c>
      <c r="B280" s="500">
        <f t="shared" si="13"/>
        <v>3</v>
      </c>
      <c r="C280" s="488" t="str">
        <f>C45</f>
        <v>Marketing</v>
      </c>
      <c r="D280" s="488">
        <f t="shared" si="11"/>
        <v>8</v>
      </c>
      <c r="E280" s="499">
        <f t="shared" si="12"/>
        <v>-0.10720578671820062</v>
      </c>
      <c r="F280" s="486">
        <f t="shared" si="12"/>
        <v>-0.10320857785520396</v>
      </c>
      <c r="G280" s="486">
        <f t="shared" si="12"/>
        <v>-0.14321495086435482</v>
      </c>
      <c r="H280" s="489"/>
      <c r="I280" s="484"/>
    </row>
    <row r="281" spans="1:10">
      <c r="A281" t="s">
        <v>829</v>
      </c>
      <c r="B281" s="500">
        <f t="shared" si="13"/>
        <v>2</v>
      </c>
      <c r="C281" s="488" t="str">
        <f>C49</f>
        <v>Sales Force</v>
      </c>
      <c r="D281" s="488">
        <f t="shared" si="11"/>
        <v>9</v>
      </c>
      <c r="E281" s="499">
        <f t="shared" si="12"/>
        <v>-0.12227308938744068</v>
      </c>
      <c r="F281" s="486">
        <f t="shared" si="12"/>
        <v>-0.16083289012083513</v>
      </c>
      <c r="G281" s="486">
        <f t="shared" si="12"/>
        <v>-0.11456812236674441</v>
      </c>
      <c r="H281" s="489"/>
      <c r="I281" s="484"/>
    </row>
    <row r="282" spans="1:10">
      <c r="A282" t="s">
        <v>830</v>
      </c>
      <c r="B282" s="500">
        <f t="shared" si="13"/>
        <v>5</v>
      </c>
      <c r="C282" s="488" t="str">
        <f>C53</f>
        <v>Customer Service</v>
      </c>
      <c r="D282" s="488">
        <f t="shared" si="11"/>
        <v>5</v>
      </c>
      <c r="E282" s="499">
        <f t="shared" si="12"/>
        <v>-6.4326993195726559E-2</v>
      </c>
      <c r="F282" s="486">
        <f t="shared" si="12"/>
        <v>-6.4326993195726559E-2</v>
      </c>
      <c r="G282" s="486">
        <f t="shared" si="12"/>
        <v>-9.3519762275089471E-2</v>
      </c>
      <c r="H282" s="489"/>
      <c r="I282" s="484"/>
    </row>
    <row r="283" spans="1:10">
      <c r="A283" t="s">
        <v>831</v>
      </c>
      <c r="B283" s="500">
        <f t="shared" si="13"/>
        <v>6</v>
      </c>
      <c r="C283" s="488" t="str">
        <f>C57</f>
        <v>OPEN</v>
      </c>
      <c r="D283" s="488">
        <f t="shared" si="11"/>
        <v>0</v>
      </c>
      <c r="E283" s="499">
        <f t="shared" si="12"/>
        <v>0</v>
      </c>
      <c r="F283" s="486">
        <f t="shared" si="12"/>
        <v>0</v>
      </c>
      <c r="G283" s="486">
        <f t="shared" si="12"/>
        <v>0</v>
      </c>
      <c r="H283" s="489"/>
      <c r="I283" s="484"/>
    </row>
    <row r="284" spans="1:10">
      <c r="A284" t="s">
        <v>832</v>
      </c>
      <c r="B284" s="500">
        <f t="shared" si="13"/>
        <v>6</v>
      </c>
      <c r="C284" s="488" t="str">
        <f>C61</f>
        <v>OPEN</v>
      </c>
      <c r="D284" s="488">
        <f t="shared" si="11"/>
        <v>0</v>
      </c>
      <c r="E284" s="486">
        <f t="shared" si="12"/>
        <v>0</v>
      </c>
      <c r="F284" s="486">
        <f t="shared" si="12"/>
        <v>0</v>
      </c>
      <c r="G284" s="486">
        <f t="shared" si="12"/>
        <v>0</v>
      </c>
      <c r="H284" s="489"/>
      <c r="I284" s="484"/>
    </row>
    <row r="285" spans="1:10">
      <c r="A285" t="s">
        <v>833</v>
      </c>
      <c r="B285" s="500">
        <f t="shared" si="13"/>
        <v>6</v>
      </c>
      <c r="C285" s="488" t="str">
        <f>C65</f>
        <v>OPEN</v>
      </c>
      <c r="D285" s="488">
        <f t="shared" si="11"/>
        <v>0</v>
      </c>
      <c r="E285" s="486">
        <f t="shared" si="12"/>
        <v>0</v>
      </c>
      <c r="F285" s="486">
        <f t="shared" si="12"/>
        <v>0</v>
      </c>
      <c r="G285" s="486">
        <f t="shared" si="12"/>
        <v>0</v>
      </c>
      <c r="H285" s="489"/>
      <c r="I285" s="484"/>
    </row>
    <row r="286" spans="1:10">
      <c r="A286" t="s">
        <v>834</v>
      </c>
      <c r="B286" s="500">
        <f t="shared" si="13"/>
        <v>6</v>
      </c>
      <c r="C286" s="488" t="str">
        <f>C69</f>
        <v>OPEN</v>
      </c>
      <c r="D286" s="488">
        <f t="shared" si="11"/>
        <v>0</v>
      </c>
      <c r="E286" s="486">
        <f t="shared" si="12"/>
        <v>0</v>
      </c>
      <c r="F286" s="486">
        <f t="shared" si="12"/>
        <v>0</v>
      </c>
      <c r="G286" s="486">
        <f t="shared" si="12"/>
        <v>0</v>
      </c>
      <c r="H286" s="489"/>
      <c r="I286" s="484"/>
    </row>
    <row r="287" spans="1:10">
      <c r="C287" s="490" t="str">
        <f>C197</f>
        <v>Special Programs</v>
      </c>
      <c r="D287" s="490">
        <f t="shared" si="11"/>
        <v>0</v>
      </c>
      <c r="E287" s="486">
        <f t="shared" si="12"/>
        <v>0</v>
      </c>
      <c r="F287" s="486">
        <f t="shared" si="12"/>
        <v>0</v>
      </c>
      <c r="G287" s="486">
        <f t="shared" si="12"/>
        <v>0</v>
      </c>
      <c r="H287" s="489"/>
      <c r="I287" s="484"/>
    </row>
    <row r="288" spans="1:10" ht="12" thickBot="1">
      <c r="B288" t="s">
        <v>33</v>
      </c>
      <c r="C288" s="485" t="str">
        <f>C198</f>
        <v>Total Effect</v>
      </c>
      <c r="D288" s="491"/>
      <c r="E288" s="492"/>
      <c r="F288" s="493"/>
      <c r="G288" s="493"/>
      <c r="H288" s="494"/>
      <c r="I288" s="484"/>
    </row>
    <row r="289" spans="2:9">
      <c r="C289" s="485" t="str">
        <f>C199</f>
        <v>Rank</v>
      </c>
      <c r="D289" s="491"/>
      <c r="E289" s="491"/>
      <c r="F289" s="491"/>
      <c r="G289" s="491"/>
      <c r="H289" s="491"/>
      <c r="I289" s="484"/>
    </row>
    <row r="290" spans="2:9" ht="12" thickBot="1">
      <c r="C290" s="495" t="str">
        <f>C200</f>
        <v>Market Share</v>
      </c>
      <c r="D290" s="496"/>
      <c r="E290" s="497"/>
      <c r="F290" s="497"/>
      <c r="G290" s="497"/>
      <c r="H290" s="493"/>
      <c r="I290" s="498"/>
    </row>
    <row r="291" spans="2:9" ht="12" thickBot="1"/>
    <row r="292" spans="2:9" ht="12" thickBot="1">
      <c r="C292" s="281" t="str">
        <f t="shared" ref="C292:C308" si="14">C202</f>
        <v>Market Model Calculation Segment 2 Alpha Segment 2</v>
      </c>
      <c r="D292" s="253"/>
      <c r="E292" s="254"/>
      <c r="F292" s="254"/>
      <c r="G292" s="255"/>
      <c r="H292" s="255"/>
      <c r="I292" s="256"/>
    </row>
    <row r="293" spans="2:9" ht="12" thickBot="1">
      <c r="C293" s="252" t="str">
        <f t="shared" si="14"/>
        <v>Total  Volume</v>
      </c>
      <c r="D293" s="257"/>
      <c r="E293" s="253"/>
      <c r="F293" s="258"/>
      <c r="G293" s="253"/>
      <c r="H293" s="259"/>
      <c r="I293" s="256"/>
    </row>
    <row r="294" spans="2:9">
      <c r="C294" s="260" t="str">
        <f t="shared" si="14"/>
        <v>Driver Effect</v>
      </c>
      <c r="D294" s="261"/>
      <c r="E294" s="262"/>
      <c r="F294" s="262"/>
      <c r="G294" s="262"/>
      <c r="H294" s="262"/>
      <c r="I294" s="263"/>
    </row>
    <row r="295" spans="2:9">
      <c r="C295" s="264" t="str">
        <f t="shared" si="14"/>
        <v>Price</v>
      </c>
      <c r="D295" s="264">
        <f t="shared" ref="D295:D305" si="15">D205</f>
        <v>8</v>
      </c>
      <c r="E295" s="379">
        <f>(E205-($H205/xxNumOfTeams))/$H216</f>
        <v>-0.27826086972366576</v>
      </c>
      <c r="F295" s="380">
        <f>(F205-($H205/xxNumOfTeams))/$H216</f>
        <v>-0.27826086972366576</v>
      </c>
      <c r="G295" s="380">
        <f>(G205-($H205/xxNumOfTeams))/$H216</f>
        <v>-0.27826086972366576</v>
      </c>
      <c r="H295" s="268"/>
      <c r="I295" s="263"/>
    </row>
    <row r="296" spans="2:9">
      <c r="B296">
        <f>RANK(D296,$D296:$D304)</f>
        <v>3</v>
      </c>
      <c r="C296" s="264" t="str">
        <f t="shared" si="14"/>
        <v>Advertising</v>
      </c>
      <c r="D296" s="264">
        <f t="shared" si="15"/>
        <v>7</v>
      </c>
      <c r="E296" s="381">
        <f>(E206-($H206/xxNumOfTeams))/$H216</f>
        <v>-0.24347826079562265</v>
      </c>
      <c r="F296" s="382">
        <f>(F206-($H206/xxNumOfTeams))/$H216</f>
        <v>-0.24347826079562265</v>
      </c>
      <c r="G296" s="382">
        <f>(G206-($H206/xxNumOfTeams))/$H216</f>
        <v>-0.24347826079562265</v>
      </c>
      <c r="H296" s="270"/>
      <c r="I296" s="263"/>
    </row>
    <row r="297" spans="2:9">
      <c r="B297">
        <f>RANK(D297,$D296:$D304)</f>
        <v>2</v>
      </c>
      <c r="C297" s="264" t="str">
        <f t="shared" si="14"/>
        <v>Features</v>
      </c>
      <c r="D297" s="264">
        <f t="shared" si="15"/>
        <v>8</v>
      </c>
      <c r="E297" s="381">
        <f>(E207-($H207/xxNumOfTeams))/$H216</f>
        <v>-0.27826086948071155</v>
      </c>
      <c r="F297" s="382">
        <f>(F207-($H207/xxNumOfTeams))/$H216</f>
        <v>-0.27826086948071155</v>
      </c>
      <c r="G297" s="382">
        <f>(G207-($H207/xxNumOfTeams))/$H216</f>
        <v>-0.27826086948071155</v>
      </c>
      <c r="H297" s="270"/>
      <c r="I297" s="263"/>
    </row>
    <row r="298" spans="2:9">
      <c r="B298">
        <f>RANK(D298,$D296:$D304)</f>
        <v>9</v>
      </c>
      <c r="C298" s="264" t="str">
        <f t="shared" si="14"/>
        <v>Driver 4</v>
      </c>
      <c r="D298" s="264">
        <f t="shared" si="15"/>
        <v>1</v>
      </c>
      <c r="E298" s="381">
        <f>(E208-($H208/xxNumOfTeams))/$H216</f>
        <v>0</v>
      </c>
      <c r="F298" s="382">
        <f>(F208-($H208/xxNumOfTeams))/$H216</f>
        <v>0</v>
      </c>
      <c r="G298" s="382">
        <f>(G208-($H208/xxNumOfTeams))/$H216</f>
        <v>0</v>
      </c>
      <c r="H298" s="270"/>
      <c r="I298" s="263"/>
    </row>
    <row r="299" spans="2:9">
      <c r="B299">
        <f>RANK(D299,$D296:$D304)</f>
        <v>8</v>
      </c>
      <c r="C299" s="264" t="str">
        <f t="shared" si="14"/>
        <v>Driver 5</v>
      </c>
      <c r="D299" s="264">
        <f t="shared" si="15"/>
        <v>2</v>
      </c>
      <c r="E299" s="381">
        <f>(E209-($H209/xxNumOfTeams))/$H216</f>
        <v>0</v>
      </c>
      <c r="F299" s="382">
        <f>(F209-($H209/xxNumOfTeams))/$H216</f>
        <v>0</v>
      </c>
      <c r="G299" s="382">
        <f>(G209-($H209/xxNumOfTeams))/$H216</f>
        <v>0</v>
      </c>
      <c r="H299" s="270"/>
      <c r="I299" s="263"/>
    </row>
    <row r="300" spans="2:9">
      <c r="B300">
        <f>RANK(D300,$D296:$D304)</f>
        <v>7</v>
      </c>
      <c r="C300" s="264" t="str">
        <f t="shared" si="14"/>
        <v>Driver 6</v>
      </c>
      <c r="D300" s="264">
        <f t="shared" si="15"/>
        <v>3</v>
      </c>
      <c r="E300" s="381">
        <f>(E210-($H210/xxNumOfTeams))/$H216</f>
        <v>0</v>
      </c>
      <c r="F300" s="382">
        <f>(F210-($H210/xxNumOfTeams))/$H216</f>
        <v>0</v>
      </c>
      <c r="G300" s="382">
        <f>(G210-($H210/xxNumOfTeams))/$H216</f>
        <v>0</v>
      </c>
      <c r="H300" s="270"/>
      <c r="I300" s="263"/>
    </row>
    <row r="301" spans="2:9">
      <c r="B301">
        <f>RANK(D301,$D296:$D304)</f>
        <v>6</v>
      </c>
      <c r="C301" s="264" t="str">
        <f t="shared" si="14"/>
        <v>Driver 7</v>
      </c>
      <c r="D301" s="264">
        <f t="shared" si="15"/>
        <v>4</v>
      </c>
      <c r="E301" s="381">
        <f>(E211-($H211/xxNumOfTeams))/$H216</f>
        <v>0</v>
      </c>
      <c r="F301" s="382">
        <f>(F211-($H211/xxNumOfTeams))/$H216</f>
        <v>0</v>
      </c>
      <c r="G301" s="382">
        <f>(G211-($H211/xxNumOfTeams))/$H216</f>
        <v>0</v>
      </c>
      <c r="H301" s="270"/>
      <c r="I301" s="263"/>
    </row>
    <row r="302" spans="2:9">
      <c r="B302">
        <f>RANK(D302,$D296:$D304)</f>
        <v>5</v>
      </c>
      <c r="C302" s="264" t="str">
        <f t="shared" si="14"/>
        <v>Driver 8</v>
      </c>
      <c r="D302" s="264">
        <f t="shared" si="15"/>
        <v>5</v>
      </c>
      <c r="E302" s="381">
        <f>(E212-($H212/xxNumOfTeams))/$H216</f>
        <v>0</v>
      </c>
      <c r="F302" s="382">
        <f>(F212-($H212/xxNumOfTeams))/$H216</f>
        <v>0</v>
      </c>
      <c r="G302" s="382">
        <f>(G212-($H212/xxNumOfTeams))/$H216</f>
        <v>0</v>
      </c>
      <c r="H302" s="270"/>
      <c r="I302" s="263"/>
    </row>
    <row r="303" spans="2:9">
      <c r="B303">
        <f>RANK(D303,$D296:$D304)</f>
        <v>4</v>
      </c>
      <c r="C303" s="264" t="str">
        <f t="shared" si="14"/>
        <v>Driver 9</v>
      </c>
      <c r="D303" s="264">
        <f t="shared" si="15"/>
        <v>6</v>
      </c>
      <c r="E303" s="381">
        <f>(E213-($H213/xxNumOfTeams))/$H216</f>
        <v>0</v>
      </c>
      <c r="F303" s="382">
        <f>(F213-($H213/xxNumOfTeams))/$H216</f>
        <v>0</v>
      </c>
      <c r="G303" s="382">
        <f>(G213-($H213/xxNumOfTeams))/$H216</f>
        <v>0</v>
      </c>
      <c r="H303" s="270"/>
      <c r="I303" s="263"/>
    </row>
    <row r="304" spans="2:9">
      <c r="B304">
        <f>RANK(D304,$D296:$D304)</f>
        <v>1</v>
      </c>
      <c r="C304" s="264" t="str">
        <f t="shared" si="14"/>
        <v>Driver 10</v>
      </c>
      <c r="D304" s="264">
        <f t="shared" si="15"/>
        <v>9</v>
      </c>
      <c r="E304" s="381">
        <f>(E214-($H214/xxNumOfTeams))/$H216</f>
        <v>0</v>
      </c>
      <c r="F304" s="382">
        <f>(F214-($H214/xxNumOfTeams))/$H216</f>
        <v>0</v>
      </c>
      <c r="G304" s="382">
        <f>(G214-($H214/xxNumOfTeams))/$H216</f>
        <v>0</v>
      </c>
      <c r="H304" s="270"/>
      <c r="I304" s="263"/>
    </row>
    <row r="305" spans="3:9">
      <c r="C305" s="271" t="str">
        <f t="shared" si="14"/>
        <v>Special Programs</v>
      </c>
      <c r="D305" s="271">
        <f t="shared" si="15"/>
        <v>0</v>
      </c>
      <c r="E305" s="383">
        <f>(E215-($H215/xxNumOfTeams))/$H216</f>
        <v>0</v>
      </c>
      <c r="F305" s="384">
        <f>(F215-($H215/xxNumOfTeams))/$H216</f>
        <v>0</v>
      </c>
      <c r="G305" s="384">
        <f>(G215-($H215/xxNumOfTeams))/$H216</f>
        <v>0</v>
      </c>
      <c r="H305" s="270"/>
      <c r="I305" s="263"/>
    </row>
    <row r="306" spans="3:9" ht="12" thickBot="1">
      <c r="C306" s="264" t="str">
        <f t="shared" si="14"/>
        <v>Total Effect</v>
      </c>
      <c r="D306" s="143"/>
      <c r="E306" s="274"/>
      <c r="F306" s="275"/>
      <c r="G306" s="275"/>
      <c r="H306" s="276"/>
      <c r="I306" s="263"/>
    </row>
    <row r="307" spans="3:9">
      <c r="C307" s="264" t="str">
        <f t="shared" si="14"/>
        <v>Rank</v>
      </c>
      <c r="D307" s="143"/>
      <c r="E307" s="143"/>
      <c r="F307" s="143"/>
      <c r="G307" s="143"/>
      <c r="H307" s="143"/>
      <c r="I307" s="263"/>
    </row>
    <row r="308" spans="3:9" ht="12" thickBot="1">
      <c r="C308" s="277" t="str">
        <f t="shared" si="14"/>
        <v>Market Share</v>
      </c>
      <c r="D308" s="278"/>
      <c r="E308" s="279"/>
      <c r="F308" s="279"/>
      <c r="G308" s="279"/>
      <c r="H308" s="275"/>
      <c r="I308" s="280"/>
    </row>
    <row r="309" spans="3:9" ht="12" thickBot="1"/>
    <row r="310" spans="3:9" ht="12" thickBot="1">
      <c r="C310" s="281" t="str">
        <f t="shared" ref="C310:C326" si="16">C220</f>
        <v>Market Model Calculation Segment 3 Alpha Segment 3</v>
      </c>
      <c r="D310" s="253"/>
      <c r="E310" s="254"/>
      <c r="F310" s="254"/>
      <c r="G310" s="255"/>
      <c r="H310" s="255"/>
      <c r="I310" s="256"/>
    </row>
    <row r="311" spans="3:9" ht="12" thickBot="1">
      <c r="C311" s="252" t="str">
        <f t="shared" si="16"/>
        <v>Total  Volume</v>
      </c>
      <c r="D311" s="257"/>
      <c r="E311" s="253"/>
      <c r="F311" s="258"/>
      <c r="G311" s="253"/>
      <c r="H311" s="259"/>
      <c r="I311" s="256"/>
    </row>
    <row r="312" spans="3:9">
      <c r="C312" s="260" t="str">
        <f t="shared" si="16"/>
        <v>Driver Effect</v>
      </c>
      <c r="D312" s="261"/>
      <c r="E312" s="262"/>
      <c r="F312" s="262"/>
      <c r="G312" s="262"/>
      <c r="H312" s="262"/>
      <c r="I312" s="263"/>
    </row>
    <row r="313" spans="3:9">
      <c r="C313" s="264" t="str">
        <f t="shared" si="16"/>
        <v>Price</v>
      </c>
      <c r="D313" s="264">
        <f t="shared" ref="D313:D323" si="17">D223</f>
        <v>9</v>
      </c>
      <c r="E313" s="379">
        <f>(E223-($H223/xxNumOfTeams))/$H234</f>
        <v>-0.37894736859519224</v>
      </c>
      <c r="F313" s="380">
        <f>(F223-($H223/xxNumOfTeams))/$H234</f>
        <v>-0.37894736859519224</v>
      </c>
      <c r="G313" s="380">
        <f>(G223-($H223/xxNumOfTeams))/$H234</f>
        <v>-0.37894736859519224</v>
      </c>
      <c r="H313" s="268"/>
      <c r="I313" s="263"/>
    </row>
    <row r="314" spans="3:9">
      <c r="C314" s="264" t="str">
        <f t="shared" si="16"/>
        <v>Advertising</v>
      </c>
      <c r="D314" s="264">
        <f t="shared" si="17"/>
        <v>7</v>
      </c>
      <c r="E314" s="381">
        <f>(E224-($H224/xxNumOfTeams))/$H234</f>
        <v>-0.29473684198336547</v>
      </c>
      <c r="F314" s="382">
        <f>(F224-($H224/xxNumOfTeams))/$H234</f>
        <v>-0.29473684198336547</v>
      </c>
      <c r="G314" s="382">
        <f>(G224-($H224/xxNumOfTeams))/$H234</f>
        <v>-0.29473684198336547</v>
      </c>
      <c r="H314" s="270"/>
      <c r="I314" s="263"/>
    </row>
    <row r="315" spans="3:9">
      <c r="C315" s="264" t="str">
        <f t="shared" si="16"/>
        <v>Features</v>
      </c>
      <c r="D315" s="264">
        <f t="shared" si="17"/>
        <v>3</v>
      </c>
      <c r="E315" s="381">
        <f>(E225-($H225/xxNumOfTeams))/$H234</f>
        <v>-0.12631578942144234</v>
      </c>
      <c r="F315" s="382">
        <f>(F225-($H225/xxNumOfTeams))/$H234</f>
        <v>-0.12631578942144234</v>
      </c>
      <c r="G315" s="382">
        <f>(G225-($H225/xxNumOfTeams))/$H234</f>
        <v>-0.12631578942144234</v>
      </c>
      <c r="H315" s="270"/>
      <c r="I315" s="263"/>
    </row>
    <row r="316" spans="3:9">
      <c r="C316" s="264" t="str">
        <f t="shared" si="16"/>
        <v>Driver 4</v>
      </c>
      <c r="D316" s="264">
        <f t="shared" si="17"/>
        <v>4</v>
      </c>
      <c r="E316" s="381">
        <f>(E226-($H226/xxNumOfTeams))/$H234</f>
        <v>0</v>
      </c>
      <c r="F316" s="382">
        <f>(F226-($H226/xxNumOfTeams))/$H234</f>
        <v>0</v>
      </c>
      <c r="G316" s="382">
        <f>(G226-($H226/xxNumOfTeams))/$H234</f>
        <v>0</v>
      </c>
      <c r="H316" s="270"/>
      <c r="I316" s="263"/>
    </row>
    <row r="317" spans="3:9">
      <c r="C317" s="264" t="str">
        <f t="shared" si="16"/>
        <v>Driver 5</v>
      </c>
      <c r="D317" s="264">
        <f t="shared" si="17"/>
        <v>8</v>
      </c>
      <c r="E317" s="381">
        <f>(E227-($H227/xxNumOfTeams))/$H234</f>
        <v>0</v>
      </c>
      <c r="F317" s="382">
        <f>(F227-($H227/xxNumOfTeams))/$H234</f>
        <v>0</v>
      </c>
      <c r="G317" s="382">
        <f>(G227-($H227/xxNumOfTeams))/$H234</f>
        <v>0</v>
      </c>
      <c r="H317" s="270"/>
      <c r="I317" s="263"/>
    </row>
    <row r="318" spans="3:9">
      <c r="C318" s="264" t="str">
        <f t="shared" si="16"/>
        <v>Driver 6</v>
      </c>
      <c r="D318" s="264">
        <f t="shared" si="17"/>
        <v>5</v>
      </c>
      <c r="E318" s="381">
        <f>(E228-($H228/xxNumOfTeams))/$H234</f>
        <v>0</v>
      </c>
      <c r="F318" s="382">
        <f>(F228-($H228/xxNumOfTeams))/$H234</f>
        <v>0</v>
      </c>
      <c r="G318" s="382">
        <f>(G228-($H228/xxNumOfTeams))/$H234</f>
        <v>0</v>
      </c>
      <c r="H318" s="270"/>
      <c r="I318" s="263"/>
    </row>
    <row r="319" spans="3:9">
      <c r="C319" s="264" t="str">
        <f t="shared" si="16"/>
        <v>Driver 7</v>
      </c>
      <c r="D319" s="264">
        <f t="shared" si="17"/>
        <v>1</v>
      </c>
      <c r="E319" s="381">
        <f>(E229-($H229/xxNumOfTeams))/$H234</f>
        <v>0</v>
      </c>
      <c r="F319" s="382">
        <f>(F229-($H229/xxNumOfTeams))/$H234</f>
        <v>0</v>
      </c>
      <c r="G319" s="382">
        <f>(G229-($H229/xxNumOfTeams))/$H234</f>
        <v>0</v>
      </c>
      <c r="H319" s="270"/>
      <c r="I319" s="263"/>
    </row>
    <row r="320" spans="3:9">
      <c r="C320" s="264" t="str">
        <f t="shared" si="16"/>
        <v>Driver 8</v>
      </c>
      <c r="D320" s="264">
        <f t="shared" si="17"/>
        <v>2</v>
      </c>
      <c r="E320" s="381">
        <f>(E230-($H230/xxNumOfTeams))/$H234</f>
        <v>0</v>
      </c>
      <c r="F320" s="382">
        <f>(F230-($H230/xxNumOfTeams))/$H234</f>
        <v>0</v>
      </c>
      <c r="G320" s="382">
        <f>(G230-($H230/xxNumOfTeams))/$H234</f>
        <v>0</v>
      </c>
      <c r="H320" s="270"/>
      <c r="I320" s="263"/>
    </row>
    <row r="321" spans="2:9">
      <c r="C321" s="264" t="str">
        <f t="shared" si="16"/>
        <v>Driver 9</v>
      </c>
      <c r="D321" s="264">
        <f t="shared" si="17"/>
        <v>6</v>
      </c>
      <c r="E321" s="381">
        <f>(E231-($H231/xxNumOfTeams))/$H234</f>
        <v>0</v>
      </c>
      <c r="F321" s="382">
        <f>(F231-($H231/xxNumOfTeams))/$H234</f>
        <v>0</v>
      </c>
      <c r="G321" s="382">
        <f>(G231-($H231/xxNumOfTeams))/$H234</f>
        <v>0</v>
      </c>
      <c r="H321" s="270"/>
      <c r="I321" s="263"/>
    </row>
    <row r="322" spans="2:9">
      <c r="C322" s="264" t="str">
        <f t="shared" si="16"/>
        <v>Driver 10</v>
      </c>
      <c r="D322" s="264">
        <f t="shared" si="17"/>
        <v>10</v>
      </c>
      <c r="E322" s="381">
        <f>(E232-($H232/xxNumOfTeams))/$H234</f>
        <v>0</v>
      </c>
      <c r="F322" s="382">
        <f>(F232-($H232/xxNumOfTeams))/$H234</f>
        <v>0</v>
      </c>
      <c r="G322" s="382">
        <f>(G232-($H232/xxNumOfTeams))/$H234</f>
        <v>0</v>
      </c>
      <c r="H322" s="270"/>
      <c r="I322" s="263"/>
    </row>
    <row r="323" spans="2:9">
      <c r="C323" s="271" t="str">
        <f t="shared" si="16"/>
        <v>Special Programs</v>
      </c>
      <c r="D323" s="271">
        <f t="shared" si="17"/>
        <v>0</v>
      </c>
      <c r="E323" s="383">
        <f>(E233-($H233/xxNumOfTeams))/$H234</f>
        <v>0</v>
      </c>
      <c r="F323" s="384">
        <f>(F233-($H233/xxNumOfTeams))/$H234</f>
        <v>0</v>
      </c>
      <c r="G323" s="384">
        <f>(G233-($H233/xxNumOfTeams))/$H234</f>
        <v>0</v>
      </c>
      <c r="H323" s="270"/>
      <c r="I323" s="263"/>
    </row>
    <row r="324" spans="2:9" ht="12" thickBot="1">
      <c r="C324" s="264" t="str">
        <f t="shared" si="16"/>
        <v>Total Effect</v>
      </c>
      <c r="D324" s="143"/>
      <c r="E324" s="274"/>
      <c r="F324" s="275"/>
      <c r="G324" s="275"/>
      <c r="H324" s="276"/>
      <c r="I324" s="263"/>
    </row>
    <row r="325" spans="2:9">
      <c r="C325" s="264" t="str">
        <f t="shared" si="16"/>
        <v>Rank</v>
      </c>
      <c r="D325" s="143"/>
      <c r="E325" s="143"/>
      <c r="F325" s="143"/>
      <c r="G325" s="143"/>
      <c r="H325" s="143"/>
      <c r="I325" s="263"/>
    </row>
    <row r="326" spans="2:9" ht="12" thickBot="1">
      <c r="C326" s="277" t="str">
        <f t="shared" si="16"/>
        <v>Market Share</v>
      </c>
      <c r="D326" s="278"/>
      <c r="E326" s="279"/>
      <c r="F326" s="279"/>
      <c r="G326" s="279"/>
      <c r="H326" s="275"/>
      <c r="I326" s="280"/>
    </row>
    <row r="327" spans="2:9" ht="12" thickBot="1"/>
    <row r="328" spans="2:9" ht="12" thickBot="1">
      <c r="C328" s="281" t="str">
        <f t="shared" ref="C328:C337" si="18">C238</f>
        <v>Market Model Calculation Segment 4 Alpha Segment 4</v>
      </c>
      <c r="D328" s="253"/>
      <c r="E328" s="254"/>
      <c r="F328" s="254"/>
      <c r="G328" s="255"/>
      <c r="H328" s="255"/>
      <c r="I328" s="256"/>
    </row>
    <row r="329" spans="2:9" ht="12" thickBot="1">
      <c r="C329" s="252" t="str">
        <f t="shared" si="18"/>
        <v>Total  Volume</v>
      </c>
      <c r="D329" s="257"/>
      <c r="E329" s="253"/>
      <c r="F329" s="258"/>
      <c r="G329" s="253"/>
      <c r="H329" s="259"/>
      <c r="I329" s="256"/>
    </row>
    <row r="330" spans="2:9">
      <c r="C330" s="260" t="str">
        <f t="shared" si="18"/>
        <v>Driver Effect</v>
      </c>
      <c r="D330" s="261"/>
      <c r="E330" s="262"/>
      <c r="F330" s="262"/>
      <c r="G330" s="262"/>
      <c r="H330" s="262"/>
      <c r="I330" s="263"/>
    </row>
    <row r="331" spans="2:9">
      <c r="C331" s="264" t="str">
        <f t="shared" si="18"/>
        <v>Price</v>
      </c>
      <c r="D331" s="264">
        <f t="shared" ref="D331:D337" si="19">D241</f>
        <v>9</v>
      </c>
      <c r="E331" s="379">
        <f>(E241-($H241/xxNumOfTeams))/$H252</f>
        <v>-0.30000000016370937</v>
      </c>
      <c r="F331" s="380">
        <f>(F241-($H241/xxNumOfTeams))/$H252</f>
        <v>-0.30000000016370937</v>
      </c>
      <c r="G331" s="380">
        <f>(G241-($H241/xxNumOfTeams))/$H252</f>
        <v>-0.30000000016370937</v>
      </c>
      <c r="H331" s="268"/>
      <c r="I331" s="263"/>
    </row>
    <row r="332" spans="2:9">
      <c r="B332">
        <f>RANK(D332,$D332:$D340)</f>
        <v>3</v>
      </c>
      <c r="C332" s="264" t="str">
        <f t="shared" si="18"/>
        <v>Advertising</v>
      </c>
      <c r="D332" s="264">
        <f t="shared" si="19"/>
        <v>7</v>
      </c>
      <c r="E332" s="381">
        <f>(E242-($H242/xxNumOfTeams))/$H252</f>
        <v>-0.23333333325693564</v>
      </c>
      <c r="F332" s="382">
        <f>(F242-($H242/xxNumOfTeams))/$H252</f>
        <v>-0.23333333325693564</v>
      </c>
      <c r="G332" s="382">
        <f>(G242-($H242/xxNumOfTeams))/$H252</f>
        <v>-0.23333333325693564</v>
      </c>
      <c r="H332" s="270"/>
      <c r="I332" s="263"/>
    </row>
    <row r="333" spans="2:9">
      <c r="B333">
        <f>RANK(D333,$D332:$D340)</f>
        <v>2</v>
      </c>
      <c r="C333" s="264" t="str">
        <f t="shared" si="18"/>
        <v>Features</v>
      </c>
      <c r="D333" s="264">
        <f t="shared" si="19"/>
        <v>8</v>
      </c>
      <c r="E333" s="381">
        <f>(E243-($H243/xxNumOfTeams))/$H252</f>
        <v>-0.26666666657935501</v>
      </c>
      <c r="F333" s="382">
        <f>(F243-($H243/xxNumOfTeams))/$H252</f>
        <v>-0.26666666657935501</v>
      </c>
      <c r="G333" s="382">
        <f>(G243-($H243/xxNumOfTeams))/$H252</f>
        <v>-0.26666666657935501</v>
      </c>
      <c r="H333" s="270"/>
      <c r="I333" s="263"/>
    </row>
    <row r="334" spans="2:9">
      <c r="B334">
        <f>RANK(D334,$D332:$D340)</f>
        <v>1</v>
      </c>
      <c r="C334" s="264" t="str">
        <f t="shared" si="18"/>
        <v>Driver 4</v>
      </c>
      <c r="D334" s="264">
        <f t="shared" si="19"/>
        <v>10</v>
      </c>
      <c r="E334" s="381">
        <f>(E244-($H244/xxNumOfTeams))/$H252</f>
        <v>0</v>
      </c>
      <c r="F334" s="382">
        <f>(F244-($H244/xxNumOfTeams))/$H252</f>
        <v>0</v>
      </c>
      <c r="G334" s="382">
        <f>(G244-($H244/xxNumOfTeams))/$H252</f>
        <v>0</v>
      </c>
      <c r="H334" s="270"/>
      <c r="I334" s="263"/>
    </row>
    <row r="335" spans="2:9">
      <c r="B335">
        <f>RANK(D335,$D332:$D340)</f>
        <v>4</v>
      </c>
      <c r="C335" s="264" t="str">
        <f t="shared" si="18"/>
        <v>Driver 5</v>
      </c>
      <c r="D335" s="264">
        <f t="shared" si="19"/>
        <v>6</v>
      </c>
      <c r="E335" s="381">
        <f>(E245-($H245/xxNumOfTeams))/$H252</f>
        <v>0</v>
      </c>
      <c r="F335" s="382">
        <f>(F245-($H245/xxNumOfTeams))/$H252</f>
        <v>0</v>
      </c>
      <c r="G335" s="382">
        <f>(G245-($H245/xxNumOfTeams))/$H252</f>
        <v>0</v>
      </c>
      <c r="H335" s="270"/>
      <c r="I335" s="263"/>
    </row>
    <row r="336" spans="2:9">
      <c r="B336">
        <f>RANK(D336,$D332:$D340)</f>
        <v>5</v>
      </c>
      <c r="C336" s="264" t="str">
        <f t="shared" si="18"/>
        <v>Driver 6</v>
      </c>
      <c r="D336" s="264">
        <f t="shared" si="19"/>
        <v>5</v>
      </c>
      <c r="E336" s="381">
        <f>(E246-($H246/xxNumOfTeams))/$H252</f>
        <v>0</v>
      </c>
      <c r="F336" s="382">
        <f>(F246-($H246/xxNumOfTeams))/$H252</f>
        <v>0</v>
      </c>
      <c r="G336" s="382">
        <f>(G246-($H246/xxNumOfTeams))/$H252</f>
        <v>0</v>
      </c>
      <c r="H336" s="270"/>
      <c r="I336" s="263"/>
    </row>
    <row r="337" spans="2:9">
      <c r="B337">
        <f>RANK(D337,$D332:$D340)</f>
        <v>6</v>
      </c>
      <c r="C337" s="264" t="str">
        <f t="shared" si="18"/>
        <v>Driver 7</v>
      </c>
      <c r="D337" s="264">
        <f t="shared" si="19"/>
        <v>4</v>
      </c>
      <c r="E337" s="381">
        <f>(E247-($H247/xxNumOfTeams))/$H252</f>
        <v>0</v>
      </c>
      <c r="F337" s="382">
        <f>(F247-($H247/xxNumOfTeams))/$H252</f>
        <v>0</v>
      </c>
      <c r="G337" s="382">
        <f>(G247-($H247/xxNumOfTeams))/$H252</f>
        <v>0</v>
      </c>
      <c r="H337" s="270"/>
      <c r="I337" s="263"/>
    </row>
    <row r="338" spans="2:9">
      <c r="B338">
        <f>RANK(D338,$D332:$D340)</f>
        <v>7</v>
      </c>
      <c r="C338" s="264" t="str">
        <f t="shared" ref="C338:D344" si="20">C248</f>
        <v>Driver 8</v>
      </c>
      <c r="D338" s="264">
        <f t="shared" si="20"/>
        <v>3</v>
      </c>
      <c r="E338" s="381">
        <f>(E248-($H248/xxNumOfTeams))/$H252</f>
        <v>0</v>
      </c>
      <c r="F338" s="382">
        <f>(F248-($H248/xxNumOfTeams))/$H252</f>
        <v>0</v>
      </c>
      <c r="G338" s="382">
        <f>(G248-($H248/xxNumOfTeams))/$H252</f>
        <v>0</v>
      </c>
      <c r="H338" s="270"/>
      <c r="I338" s="263"/>
    </row>
    <row r="339" spans="2:9">
      <c r="B339">
        <f>RANK(D339,$D332:$D340)</f>
        <v>8</v>
      </c>
      <c r="C339" s="264" t="str">
        <f t="shared" si="20"/>
        <v>Driver 9</v>
      </c>
      <c r="D339" s="264">
        <f t="shared" si="20"/>
        <v>2</v>
      </c>
      <c r="E339" s="381">
        <f>(E249-($H249/xxNumOfTeams))/$H252</f>
        <v>0</v>
      </c>
      <c r="F339" s="382">
        <f>(F249-($H249/xxNumOfTeams))/$H252</f>
        <v>0</v>
      </c>
      <c r="G339" s="382">
        <f>(G249-($H249/xxNumOfTeams))/$H252</f>
        <v>0</v>
      </c>
      <c r="H339" s="270"/>
      <c r="I339" s="263"/>
    </row>
    <row r="340" spans="2:9">
      <c r="B340">
        <f>RANK(D340,$D332:$D340)</f>
        <v>9</v>
      </c>
      <c r="C340" s="264" t="str">
        <f t="shared" si="20"/>
        <v>Driver 10</v>
      </c>
      <c r="D340" s="264">
        <f t="shared" si="20"/>
        <v>1</v>
      </c>
      <c r="E340" s="381">
        <f>(E250-($H250/xxNumOfTeams))/$H252</f>
        <v>0</v>
      </c>
      <c r="F340" s="382">
        <f>(F250-($H250/xxNumOfTeams))/$H252</f>
        <v>0</v>
      </c>
      <c r="G340" s="382">
        <f>(G250-($H250/xxNumOfTeams))/$H252</f>
        <v>0</v>
      </c>
      <c r="H340" s="270"/>
      <c r="I340" s="263"/>
    </row>
    <row r="341" spans="2:9">
      <c r="C341" s="271" t="str">
        <f t="shared" si="20"/>
        <v>Special Programs</v>
      </c>
      <c r="D341" s="271">
        <f t="shared" si="20"/>
        <v>0</v>
      </c>
      <c r="E341" s="383">
        <f>(E251-($H251/xxNumOfTeams))/$H252</f>
        <v>0</v>
      </c>
      <c r="F341" s="384">
        <f>(F251-($H251/xxNumOfTeams))/$H252</f>
        <v>0</v>
      </c>
      <c r="G341" s="384">
        <f>(G251-($H251/xxNumOfTeams))/$H252</f>
        <v>0</v>
      </c>
      <c r="H341" s="270"/>
      <c r="I341" s="263"/>
    </row>
    <row r="342" spans="2:9" ht="12" thickBot="1">
      <c r="C342" s="264" t="str">
        <f t="shared" si="20"/>
        <v>Total Effect</v>
      </c>
      <c r="D342" s="143"/>
      <c r="E342" s="274"/>
      <c r="F342" s="275"/>
      <c r="G342" s="275"/>
      <c r="H342" s="276"/>
      <c r="I342" s="263"/>
    </row>
    <row r="343" spans="2:9">
      <c r="C343" s="264" t="str">
        <f t="shared" si="20"/>
        <v>Rank</v>
      </c>
      <c r="D343" s="143"/>
      <c r="E343" s="143"/>
      <c r="F343" s="143"/>
      <c r="G343" s="143"/>
      <c r="H343" s="143"/>
      <c r="I343" s="263"/>
    </row>
    <row r="344" spans="2:9" ht="12" thickBot="1">
      <c r="C344" s="277" t="str">
        <f t="shared" si="20"/>
        <v>Market Share</v>
      </c>
      <c r="D344" s="278"/>
      <c r="E344" s="279"/>
      <c r="F344" s="279"/>
      <c r="G344" s="279"/>
      <c r="H344" s="275"/>
      <c r="I344" s="280"/>
    </row>
    <row r="345" spans="2:9" ht="12" thickBot="1"/>
    <row r="346" spans="2:9" ht="12" thickBot="1">
      <c r="C346" s="281" t="str">
        <f t="shared" ref="C346:D362" si="21">C256</f>
        <v>Market Model Calculation Segment 5 Alpha Segment 5</v>
      </c>
      <c r="D346" s="253"/>
      <c r="E346" s="254"/>
      <c r="F346" s="254"/>
      <c r="G346" s="255"/>
      <c r="H346" s="255"/>
      <c r="I346" s="256"/>
    </row>
    <row r="347" spans="2:9" ht="12" thickBot="1">
      <c r="C347" s="252" t="str">
        <f t="shared" si="21"/>
        <v>Total  Volume</v>
      </c>
      <c r="D347" s="257"/>
      <c r="E347" s="253"/>
      <c r="F347" s="258"/>
      <c r="G347" s="253"/>
      <c r="H347" s="259"/>
      <c r="I347" s="256"/>
    </row>
    <row r="348" spans="2:9">
      <c r="C348" s="260" t="str">
        <f t="shared" si="21"/>
        <v>Driver Effect</v>
      </c>
      <c r="D348" s="261"/>
      <c r="E348" s="262"/>
      <c r="F348" s="262"/>
      <c r="G348" s="262"/>
      <c r="H348" s="262"/>
      <c r="I348" s="263"/>
    </row>
    <row r="349" spans="2:9">
      <c r="C349" s="264" t="str">
        <f t="shared" si="21"/>
        <v>Price</v>
      </c>
      <c r="D349" s="264">
        <f t="shared" si="21"/>
        <v>10</v>
      </c>
      <c r="E349" s="379">
        <f>(E259-($H259/xxNumOfTeams))/$H270</f>
        <v>-0.34782608712817414</v>
      </c>
      <c r="F349" s="380">
        <f>(F259-($H259/xxNumOfTeams))/$H270</f>
        <v>-0.34782608712817414</v>
      </c>
      <c r="G349" s="380">
        <f>(G259-($H259/xxNumOfTeams))/$H270</f>
        <v>-0.34782608712817414</v>
      </c>
      <c r="H349" s="268"/>
      <c r="I349" s="263"/>
    </row>
    <row r="350" spans="2:9">
      <c r="B350">
        <f>RANK(D350,$D350:$D358)</f>
        <v>5</v>
      </c>
      <c r="C350" s="264" t="str">
        <f t="shared" si="21"/>
        <v>Advertising</v>
      </c>
      <c r="D350" s="264">
        <f t="shared" si="21"/>
        <v>5</v>
      </c>
      <c r="E350" s="381">
        <f>(E260-($H260/xxNumOfTeams))/$H270</f>
        <v>-0.17391304341224068</v>
      </c>
      <c r="F350" s="382">
        <f>(F260-($H260/xxNumOfTeams))/$H270</f>
        <v>-0.17391304341224068</v>
      </c>
      <c r="G350" s="382">
        <f>(G260-($H260/xxNumOfTeams))/$H270</f>
        <v>-0.17391304341224068</v>
      </c>
      <c r="H350" s="270"/>
      <c r="I350" s="263"/>
    </row>
    <row r="351" spans="2:9">
      <c r="B351">
        <f>RANK(D351,$D350:$D358)</f>
        <v>2</v>
      </c>
      <c r="C351" s="264" t="str">
        <f t="shared" si="21"/>
        <v>Features</v>
      </c>
      <c r="D351" s="264">
        <f t="shared" si="21"/>
        <v>8</v>
      </c>
      <c r="E351" s="381">
        <f>(E261-($H261/xxNumOfTeams))/$H270</f>
        <v>-0.27826086945958511</v>
      </c>
      <c r="F351" s="382">
        <f>(F261-($H261/xxNumOfTeams))/$H270</f>
        <v>-0.27826086945958511</v>
      </c>
      <c r="G351" s="382">
        <f>(G261-($H261/xxNumOfTeams))/$H270</f>
        <v>-0.27826086945958511</v>
      </c>
      <c r="H351" s="270"/>
      <c r="I351" s="263"/>
    </row>
    <row r="352" spans="2:9">
      <c r="B352">
        <f>RANK(D352,$D350:$D358)</f>
        <v>1</v>
      </c>
      <c r="C352" s="264" t="str">
        <f t="shared" si="21"/>
        <v>Driver 4</v>
      </c>
      <c r="D352" s="264">
        <f t="shared" si="21"/>
        <v>9</v>
      </c>
      <c r="E352" s="381">
        <f>(E262-($H262/xxNumOfTeams))/$H270</f>
        <v>0</v>
      </c>
      <c r="F352" s="382">
        <f>(F262-($H262/xxNumOfTeams))/$H270</f>
        <v>0</v>
      </c>
      <c r="G352" s="382">
        <f>(G262-($H262/xxNumOfTeams))/$H270</f>
        <v>0</v>
      </c>
      <c r="H352" s="270"/>
      <c r="I352" s="263"/>
    </row>
    <row r="353" spans="2:9">
      <c r="B353">
        <f>RANK(D353,$D350:$D358)</f>
        <v>3</v>
      </c>
      <c r="C353" s="264" t="str">
        <f t="shared" si="21"/>
        <v>Driver 5</v>
      </c>
      <c r="D353" s="264">
        <f t="shared" si="21"/>
        <v>7</v>
      </c>
      <c r="E353" s="381">
        <f>(E263-($H263/xxNumOfTeams))/$H270</f>
        <v>0</v>
      </c>
      <c r="F353" s="382">
        <f>(F263-($H263/xxNumOfTeams))/$H270</f>
        <v>0</v>
      </c>
      <c r="G353" s="382">
        <f>(G263-($H263/xxNumOfTeams))/$H270</f>
        <v>0</v>
      </c>
      <c r="H353" s="270"/>
      <c r="I353" s="263"/>
    </row>
    <row r="354" spans="2:9">
      <c r="B354">
        <f>RANK(D354,$D350:$D358)</f>
        <v>4</v>
      </c>
      <c r="C354" s="264" t="str">
        <f t="shared" si="21"/>
        <v>Driver 6</v>
      </c>
      <c r="D354" s="264">
        <f t="shared" si="21"/>
        <v>6</v>
      </c>
      <c r="E354" s="381">
        <f>(E264-($H264/xxNumOfTeams))/$H270</f>
        <v>0</v>
      </c>
      <c r="F354" s="382">
        <f>(F264-($H264/xxNumOfTeams))/$H270</f>
        <v>0</v>
      </c>
      <c r="G354" s="382">
        <f>(G264-($H264/xxNumOfTeams))/$H270</f>
        <v>0</v>
      </c>
      <c r="H354" s="270"/>
      <c r="I354" s="263"/>
    </row>
    <row r="355" spans="2:9">
      <c r="B355">
        <f>RANK(D355,$D350:$D358)</f>
        <v>6</v>
      </c>
      <c r="C355" s="264" t="str">
        <f t="shared" si="21"/>
        <v>Driver 7</v>
      </c>
      <c r="D355" s="264">
        <f t="shared" si="21"/>
        <v>4</v>
      </c>
      <c r="E355" s="381">
        <f>(E265-($H265/xxNumOfTeams))/$H270</f>
        <v>0</v>
      </c>
      <c r="F355" s="382">
        <f>(F265-($H265/xxNumOfTeams))/$H270</f>
        <v>0</v>
      </c>
      <c r="G355" s="382">
        <f>(G265-($H265/xxNumOfTeams))/$H270</f>
        <v>0</v>
      </c>
      <c r="H355" s="270"/>
      <c r="I355" s="263"/>
    </row>
    <row r="356" spans="2:9">
      <c r="B356">
        <f>RANK(D356,$D350:$D358)</f>
        <v>7</v>
      </c>
      <c r="C356" s="264" t="str">
        <f t="shared" si="21"/>
        <v>Driver 8</v>
      </c>
      <c r="D356" s="264">
        <f t="shared" si="21"/>
        <v>3</v>
      </c>
      <c r="E356" s="381">
        <f>(E266-($H266/xxNumOfTeams))/$H270</f>
        <v>0</v>
      </c>
      <c r="F356" s="382">
        <f>(F266-($H266/xxNumOfTeams))/$H270</f>
        <v>0</v>
      </c>
      <c r="G356" s="382">
        <f>(G266-($H266/xxNumOfTeams))/$H270</f>
        <v>0</v>
      </c>
      <c r="H356" s="270"/>
      <c r="I356" s="263"/>
    </row>
    <row r="357" spans="2:9">
      <c r="B357">
        <f>RANK(D357,$D350:$D358)</f>
        <v>8</v>
      </c>
      <c r="C357" s="264" t="str">
        <f t="shared" si="21"/>
        <v>Driver 9</v>
      </c>
      <c r="D357" s="264">
        <f t="shared" si="21"/>
        <v>2</v>
      </c>
      <c r="E357" s="381">
        <f>(E267-($H267/xxNumOfTeams))/$H270</f>
        <v>0</v>
      </c>
      <c r="F357" s="382">
        <f>(F267-($H267/xxNumOfTeams))/$H270</f>
        <v>0</v>
      </c>
      <c r="G357" s="382">
        <f>(G267-($H267/xxNumOfTeams))/$H270</f>
        <v>0</v>
      </c>
      <c r="H357" s="270"/>
      <c r="I357" s="263"/>
    </row>
    <row r="358" spans="2:9">
      <c r="B358">
        <f>RANK(D358,$D350:$D358)</f>
        <v>9</v>
      </c>
      <c r="C358" s="264" t="str">
        <f t="shared" si="21"/>
        <v>Driver 10</v>
      </c>
      <c r="D358" s="264">
        <f t="shared" si="21"/>
        <v>1</v>
      </c>
      <c r="E358" s="381">
        <f>(E268-($H268/xxNumOfTeams))/$H270</f>
        <v>0</v>
      </c>
      <c r="F358" s="382">
        <f>(F268-($H268/xxNumOfTeams))/$H270</f>
        <v>0</v>
      </c>
      <c r="G358" s="382">
        <f>(G268-($H268/xxNumOfTeams))/$H270</f>
        <v>0</v>
      </c>
      <c r="H358" s="270"/>
      <c r="I358" s="263"/>
    </row>
    <row r="359" spans="2:9">
      <c r="C359" s="271" t="str">
        <f t="shared" si="21"/>
        <v>Special Programs</v>
      </c>
      <c r="D359" s="271">
        <f t="shared" si="21"/>
        <v>0</v>
      </c>
      <c r="E359" s="383">
        <f>(E269-($H269/xxNumOfTeams))/$H270</f>
        <v>0</v>
      </c>
      <c r="F359" s="384">
        <f>(F269-($H269/xxNumOfTeams))/$H270</f>
        <v>0</v>
      </c>
      <c r="G359" s="384">
        <f>(G269-($H269/xxNumOfTeams))/$H270</f>
        <v>0</v>
      </c>
      <c r="H359" s="270"/>
      <c r="I359" s="263"/>
    </row>
    <row r="360" spans="2:9" ht="12" thickBot="1">
      <c r="C360" s="264" t="str">
        <f t="shared" si="21"/>
        <v>Total Effect</v>
      </c>
      <c r="D360" s="143"/>
      <c r="E360" s="274"/>
      <c r="F360" s="275"/>
      <c r="G360" s="275"/>
      <c r="H360" s="276"/>
      <c r="I360" s="263"/>
    </row>
    <row r="361" spans="2:9">
      <c r="C361" s="264" t="str">
        <f t="shared" si="21"/>
        <v>Rank</v>
      </c>
      <c r="D361" s="143"/>
      <c r="E361" s="143"/>
      <c r="F361" s="143"/>
      <c r="G361" s="143"/>
      <c r="H361" s="143"/>
      <c r="I361" s="263"/>
    </row>
    <row r="362" spans="2:9" ht="12" thickBot="1">
      <c r="C362" s="277" t="str">
        <f t="shared" si="21"/>
        <v>Market Share</v>
      </c>
      <c r="D362" s="278"/>
      <c r="E362" s="279"/>
      <c r="F362" s="279"/>
      <c r="G362" s="279"/>
      <c r="H362" s="275"/>
      <c r="I362" s="280"/>
    </row>
    <row r="365" spans="2:9">
      <c r="C365" s="143"/>
    </row>
    <row r="366" spans="2:9">
      <c r="C366" s="143"/>
    </row>
    <row r="367" spans="2:9">
      <c r="C367" s="143" t="s">
        <v>535</v>
      </c>
    </row>
    <row r="368" spans="2:9">
      <c r="E368" s="5" t="str">
        <f>DataNameProd1</f>
        <v>Growth</v>
      </c>
      <c r="F368" s="5" t="str">
        <f>DataNameProd2</f>
        <v>Transform</v>
      </c>
      <c r="G368" s="5" t="str">
        <f>DataNameProd3</f>
        <v>Consumer</v>
      </c>
    </row>
    <row r="369" spans="3:3">
      <c r="C369" t="s">
        <v>210</v>
      </c>
    </row>
  </sheetData>
  <phoneticPr fontId="0" type="noConversion"/>
  <dataValidations count="1">
    <dataValidation type="decimal" allowBlank="1" showInputMessage="1" showErrorMessage="1" sqref="E138 E77:G81 E137:G137">
      <formula1>-1</formula1>
      <formula2>1</formula2>
    </dataValidation>
  </dataValidations>
  <pageMargins left="0.5" right="0.5" top="0.5" bottom="0.5" header="0.5" footer="0.5"/>
  <pageSetup orientation="portrait" r:id="rId1"/>
  <headerFooter alignWithMargins="0"/>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MProd2" enableFormatConditionsCalculation="0">
    <tabColor indexed="10"/>
  </sheetPr>
  <dimension ref="A1:J375"/>
  <sheetViews>
    <sheetView showGridLines="0" workbookViewId="0">
      <pane ySplit="1" topLeftCell="A2" activePane="bottomLeft" state="frozen"/>
      <selection activeCell="D99" sqref="D99"/>
      <selection pane="bottomLeft" activeCell="G18" sqref="G18"/>
    </sheetView>
  </sheetViews>
  <sheetFormatPr defaultRowHeight="11.25"/>
  <cols>
    <col min="1" max="1" width="1.83203125" customWidth="1"/>
    <col min="2" max="2" width="18.83203125" customWidth="1"/>
    <col min="3" max="3" width="15.83203125" customWidth="1"/>
    <col min="4" max="4" width="18.83203125" customWidth="1"/>
    <col min="5" max="7" width="25" customWidth="1"/>
    <col min="8" max="8" width="17.5" bestFit="1" customWidth="1"/>
    <col min="9" max="9" width="11.5" customWidth="1"/>
    <col min="10" max="10" width="11.1640625" customWidth="1"/>
  </cols>
  <sheetData>
    <row r="1" spans="1:10" s="140" customFormat="1" ht="15.75">
      <c r="A1" s="141" t="str">
        <f>"Market Model "&amp; DataNameProd2</f>
        <v>Market Model Transform</v>
      </c>
      <c r="E1" s="138">
        <v>1</v>
      </c>
      <c r="F1" s="138">
        <v>2</v>
      </c>
      <c r="G1" s="138">
        <v>3</v>
      </c>
    </row>
    <row r="2" spans="1:10">
      <c r="A2" s="4"/>
      <c r="B2" s="4"/>
      <c r="C2" s="4"/>
      <c r="D2" s="4"/>
      <c r="E2" s="4"/>
      <c r="F2" s="4"/>
      <c r="G2" s="4"/>
      <c r="H2" s="4"/>
      <c r="I2" s="4"/>
    </row>
    <row r="3" spans="1:10">
      <c r="A3" s="4"/>
      <c r="B3" s="4"/>
      <c r="C3" s="3" t="s">
        <v>1207</v>
      </c>
      <c r="D3" s="3">
        <v>-1</v>
      </c>
      <c r="E3" s="3">
        <v>0</v>
      </c>
      <c r="F3" s="3">
        <v>1</v>
      </c>
      <c r="G3" s="3">
        <v>2</v>
      </c>
      <c r="H3" s="3"/>
      <c r="I3" s="3">
        <v>10</v>
      </c>
      <c r="J3" s="4"/>
    </row>
    <row r="4" spans="1:10">
      <c r="A4" s="4"/>
      <c r="B4" s="4"/>
      <c r="C4" s="26" t="str">
        <f>DataNameProd2</f>
        <v>Transform</v>
      </c>
      <c r="D4" s="357"/>
      <c r="E4" s="357"/>
      <c r="F4" s="357"/>
      <c r="G4" s="357"/>
      <c r="H4" s="357"/>
      <c r="I4" s="357"/>
      <c r="J4" s="4"/>
    </row>
    <row r="5" spans="1:10">
      <c r="A5" s="4"/>
      <c r="B5" s="4"/>
      <c r="C5" s="26"/>
      <c r="D5" s="357"/>
      <c r="E5" s="357"/>
      <c r="F5" s="357"/>
      <c r="G5" s="357"/>
      <c r="H5" s="357"/>
      <c r="I5" s="357"/>
      <c r="J5" s="4"/>
    </row>
    <row r="6" spans="1:10">
      <c r="A6" s="4"/>
      <c r="B6" s="4"/>
      <c r="C6" s="26"/>
      <c r="D6" s="357"/>
      <c r="E6" s="357"/>
      <c r="F6" s="357"/>
      <c r="G6" s="357"/>
      <c r="H6" s="357"/>
      <c r="I6" s="357"/>
      <c r="J6" s="4"/>
    </row>
    <row r="7" spans="1:10">
      <c r="A7" s="4"/>
      <c r="B7" s="4"/>
      <c r="C7" s="26"/>
      <c r="D7" s="357"/>
      <c r="E7" s="357"/>
      <c r="F7" s="357"/>
      <c r="G7" s="357"/>
      <c r="H7" s="357"/>
      <c r="I7" s="357"/>
      <c r="J7" s="4"/>
    </row>
    <row r="8" spans="1:10">
      <c r="A8" s="4"/>
      <c r="B8" s="4"/>
      <c r="C8" s="26"/>
      <c r="D8" s="357"/>
      <c r="E8" s="357"/>
      <c r="F8" s="357"/>
      <c r="G8" s="357"/>
      <c r="H8" s="357"/>
      <c r="I8" s="357"/>
      <c r="J8" s="4"/>
    </row>
    <row r="9" spans="1:10">
      <c r="A9" s="4"/>
      <c r="B9" s="4"/>
      <c r="C9" s="4"/>
      <c r="D9" s="79"/>
      <c r="E9" s="79"/>
      <c r="F9" s="79"/>
      <c r="G9" s="79"/>
      <c r="H9" s="79"/>
      <c r="I9" s="79"/>
      <c r="J9" s="4"/>
    </row>
    <row r="10" spans="1:10">
      <c r="A10" s="4"/>
      <c r="B10" s="4"/>
      <c r="C10" s="71" t="s">
        <v>703</v>
      </c>
      <c r="D10" s="3">
        <v>-1</v>
      </c>
      <c r="E10" s="3">
        <v>0</v>
      </c>
      <c r="F10" s="3">
        <v>1</v>
      </c>
      <c r="G10" s="3">
        <v>2</v>
      </c>
      <c r="H10" s="3"/>
      <c r="I10" s="3">
        <v>10</v>
      </c>
      <c r="J10" s="4"/>
    </row>
    <row r="11" spans="1:10">
      <c r="A11" s="4"/>
      <c r="B11" s="4"/>
      <c r="C11" s="26" t="str">
        <f>DataNameProd2</f>
        <v>Transform</v>
      </c>
      <c r="D11" s="194">
        <f>xxMMProd2Units*(1+D4)</f>
        <v>501250</v>
      </c>
      <c r="E11" s="194">
        <f>xxMMProd2Units*(1+E4)</f>
        <v>501250</v>
      </c>
      <c r="F11" s="194">
        <f>xxMMProd2Units*(1+F4)</f>
        <v>501250</v>
      </c>
      <c r="G11" s="194">
        <f>xxMMProd2Units*(1+G4)</f>
        <v>501250</v>
      </c>
      <c r="H11" s="194">
        <f>xxMMProd2Units*(1+H4)</f>
        <v>501250</v>
      </c>
      <c r="I11" s="425"/>
      <c r="J11" s="4"/>
    </row>
    <row r="12" spans="1:10">
      <c r="A12" s="4"/>
      <c r="B12" s="4"/>
      <c r="C12" s="26"/>
      <c r="D12" s="194">
        <f>xxMMProd2Seg2Units*(1+D5)</f>
        <v>0</v>
      </c>
      <c r="E12" s="194">
        <f>xxMMProd2Seg2Units*(1+E5)</f>
        <v>0</v>
      </c>
      <c r="F12" s="194">
        <f>xxMMProd2Seg2Units*(1+F5)</f>
        <v>0</v>
      </c>
      <c r="G12" s="194">
        <f>xxMMProd2Seg2Units*(1+G5)</f>
        <v>0</v>
      </c>
      <c r="H12" s="194">
        <f>xxMMProd2Seg2Units*(1+H5)</f>
        <v>0</v>
      </c>
      <c r="I12" s="425"/>
      <c r="J12" s="4"/>
    </row>
    <row r="13" spans="1:10">
      <c r="A13" s="4"/>
      <c r="B13" s="4"/>
      <c r="C13" s="26"/>
      <c r="D13" s="194">
        <f>xxMMProd2Seg3Units*(1+D6)</f>
        <v>0</v>
      </c>
      <c r="E13" s="194">
        <f>xxMMProd2Seg3Units*(1+E6)</f>
        <v>0</v>
      </c>
      <c r="F13" s="194">
        <f>xxMMProd2Seg3Units*(1+F6)</f>
        <v>0</v>
      </c>
      <c r="G13" s="194">
        <f>xxMMProd2Seg3Units*(1+G6)</f>
        <v>0</v>
      </c>
      <c r="H13" s="194">
        <f>xxMMProd2Seg3Units*(1+H6)</f>
        <v>0</v>
      </c>
      <c r="I13" s="425"/>
      <c r="J13" s="4"/>
    </row>
    <row r="14" spans="1:10">
      <c r="A14" s="4"/>
      <c r="B14" s="4"/>
      <c r="C14" s="26"/>
      <c r="D14" s="194">
        <f>xxMMProd2Seg4Units *(1+D7)</f>
        <v>0</v>
      </c>
      <c r="E14" s="194">
        <f>xxMMProd2Seg4Units *(1+E7)</f>
        <v>0</v>
      </c>
      <c r="F14" s="194">
        <f>xxMMProd2Seg4Units *(1+F7)</f>
        <v>0</v>
      </c>
      <c r="G14" s="194">
        <f>xxMMProd2Seg4Units *(1+G7)</f>
        <v>0</v>
      </c>
      <c r="H14" s="194">
        <f>xxMMProd2Seg4Units *(1+H7)</f>
        <v>0</v>
      </c>
      <c r="I14" s="425"/>
      <c r="J14" s="4"/>
    </row>
    <row r="15" spans="1:10">
      <c r="A15" s="4"/>
      <c r="B15" s="4"/>
      <c r="C15" s="26"/>
      <c r="D15" s="194">
        <f>xxMMProd2Seg5Units*(1+D8)</f>
        <v>0</v>
      </c>
      <c r="E15" s="194">
        <f>xxMMProd2Seg5Units*(1+E8)</f>
        <v>0</v>
      </c>
      <c r="F15" s="194">
        <f>xxMMProd2Seg5Units*(1+F8)</f>
        <v>0</v>
      </c>
      <c r="G15" s="194">
        <f>xxMMProd2Seg5Units*(1+G8)</f>
        <v>0</v>
      </c>
      <c r="H15" s="194">
        <f>xxMMProd2Seg5Units*(1+H8)</f>
        <v>0</v>
      </c>
      <c r="I15" s="425"/>
      <c r="J15" s="4"/>
    </row>
    <row r="16" spans="1:10">
      <c r="A16" s="4"/>
      <c r="B16" s="4"/>
      <c r="C16" s="4"/>
      <c r="D16" s="79"/>
      <c r="E16" s="79"/>
      <c r="F16" s="79"/>
      <c r="G16" s="79"/>
      <c r="H16" s="79"/>
      <c r="I16" s="4"/>
    </row>
    <row r="17" spans="1:9" ht="12" thickBot="1">
      <c r="A17" s="4"/>
      <c r="B17" s="4"/>
      <c r="C17" s="3" t="s">
        <v>494</v>
      </c>
      <c r="D17" s="4"/>
      <c r="E17" s="4"/>
      <c r="F17" s="583" t="s">
        <v>496</v>
      </c>
      <c r="G17" s="583" t="s">
        <v>1388</v>
      </c>
      <c r="H17" s="4"/>
      <c r="I17" s="4"/>
    </row>
    <row r="18" spans="1:9" ht="12" thickBot="1">
      <c r="A18" s="4"/>
      <c r="B18" s="4"/>
      <c r="C18" s="232" t="str">
        <f>C11</f>
        <v>Transform</v>
      </c>
      <c r="D18" s="460">
        <f>F18+G18</f>
        <v>11640.107700000002</v>
      </c>
      <c r="E18" s="4"/>
      <c r="F18" s="584">
        <f>INDEX($D11:$J11,xxYear+2)-INDEX($D11:$J11,xxYear+1)</f>
        <v>0</v>
      </c>
      <c r="G18" s="582">
        <f>SUM(capProd2Cancellations)*INDEX(paramProd2CancelSubsReenter,1)</f>
        <v>11640.107700000002</v>
      </c>
      <c r="H18" s="4"/>
      <c r="I18" s="4"/>
    </row>
    <row r="19" spans="1:9" ht="12" thickBot="1">
      <c r="A19" s="4"/>
      <c r="B19" s="4"/>
      <c r="C19" s="232">
        <f>C12</f>
        <v>0</v>
      </c>
      <c r="D19" s="226">
        <f>INDEX($D12:$I12,xxYear+2)</f>
        <v>0</v>
      </c>
      <c r="E19" s="4"/>
      <c r="F19" s="4"/>
      <c r="G19" s="4"/>
      <c r="H19" s="4"/>
      <c r="I19" s="4"/>
    </row>
    <row r="20" spans="1:9" ht="12" thickBot="1">
      <c r="A20" s="4"/>
      <c r="B20" s="4"/>
      <c r="C20" s="232">
        <f>C13</f>
        <v>0</v>
      </c>
      <c r="D20" s="226">
        <f>INDEX($D13:$I13,xxYear+2)</f>
        <v>0</v>
      </c>
      <c r="E20" s="4"/>
      <c r="F20" s="4"/>
      <c r="G20" s="4"/>
      <c r="H20" s="4"/>
      <c r="I20" s="4"/>
    </row>
    <row r="21" spans="1:9" ht="12" thickBot="1">
      <c r="A21" s="4"/>
      <c r="B21" s="4"/>
      <c r="C21" s="232">
        <f>C14</f>
        <v>0</v>
      </c>
      <c r="D21" s="226">
        <f>INDEX($D14:$I14,xxYear+2)</f>
        <v>0</v>
      </c>
      <c r="E21" s="4"/>
      <c r="F21" s="4"/>
      <c r="G21" s="4"/>
      <c r="H21" s="4"/>
      <c r="I21" s="4"/>
    </row>
    <row r="22" spans="1:9" ht="12" thickBot="1">
      <c r="A22" s="4"/>
      <c r="B22" s="4"/>
      <c r="C22" s="232">
        <f>C15</f>
        <v>0</v>
      </c>
      <c r="D22" s="226">
        <f>INDEX($D15:$I15,xxYear+2)</f>
        <v>0</v>
      </c>
      <c r="E22" s="4"/>
      <c r="F22" s="4"/>
      <c r="G22" s="4"/>
      <c r="H22" s="4"/>
      <c r="I22" s="4"/>
    </row>
    <row r="23" spans="1:9" ht="5.0999999999999996" customHeight="1" thickBot="1">
      <c r="A23" s="4"/>
      <c r="B23" s="4"/>
      <c r="C23" s="225"/>
      <c r="D23" s="227"/>
      <c r="E23" s="4"/>
      <c r="F23" s="4"/>
      <c r="G23" s="4"/>
      <c r="H23" s="4"/>
      <c r="I23" s="4"/>
    </row>
    <row r="24" spans="1:9" ht="12" thickBot="1">
      <c r="A24" s="4"/>
      <c r="B24" s="4"/>
      <c r="C24" s="3" t="s">
        <v>75</v>
      </c>
      <c r="D24" s="226">
        <f>SUM(D18:D23)</f>
        <v>11640.107700000002</v>
      </c>
      <c r="E24" s="4"/>
      <c r="F24" s="4"/>
      <c r="G24" s="4"/>
      <c r="H24" s="4"/>
      <c r="I24" s="4"/>
    </row>
    <row r="25" spans="1:9">
      <c r="A25" s="4"/>
      <c r="B25" s="4"/>
      <c r="C25" s="3"/>
      <c r="D25" s="3"/>
      <c r="E25" s="3"/>
      <c r="F25" s="4"/>
      <c r="G25" s="4"/>
      <c r="H25" s="4"/>
      <c r="I25" s="4"/>
    </row>
    <row r="26" spans="1:9" ht="12" thickBot="1">
      <c r="A26" s="4"/>
      <c r="B26" s="4"/>
      <c r="C26" s="3" t="s">
        <v>711</v>
      </c>
      <c r="D26" s="234">
        <v>1</v>
      </c>
      <c r="E26" s="235" t="s">
        <v>23</v>
      </c>
      <c r="F26" s="4"/>
      <c r="G26" s="4"/>
      <c r="H26" s="4"/>
      <c r="I26" s="4"/>
    </row>
    <row r="27" spans="1:9" ht="12" thickBot="1">
      <c r="A27" s="4"/>
      <c r="B27" s="4"/>
      <c r="C27" s="3" t="s">
        <v>219</v>
      </c>
      <c r="D27" s="233">
        <f>COUNTIF(D18:D23,"&gt;0")</f>
        <v>1</v>
      </c>
      <c r="E27" s="236" t="s">
        <v>24</v>
      </c>
      <c r="F27" s="79"/>
      <c r="G27" s="79"/>
      <c r="H27" s="79"/>
      <c r="I27" s="4"/>
    </row>
    <row r="28" spans="1:9" ht="12" thickBot="1">
      <c r="A28" s="4"/>
      <c r="B28" s="4"/>
      <c r="C28" s="3" t="s">
        <v>393</v>
      </c>
      <c r="D28" s="233" t="str">
        <f>INDEX(C18:C23,MMSegCurrent)</f>
        <v>Transform</v>
      </c>
      <c r="E28" s="236" t="s">
        <v>1223</v>
      </c>
      <c r="F28" s="79"/>
      <c r="G28" s="79"/>
      <c r="H28" s="79"/>
      <c r="I28" s="4"/>
    </row>
    <row r="29" spans="1:9">
      <c r="A29" s="4"/>
      <c r="B29" s="4" t="s">
        <v>1036</v>
      </c>
      <c r="C29" s="3"/>
      <c r="D29" s="144"/>
      <c r="E29" s="426">
        <v>1</v>
      </c>
      <c r="F29" s="426">
        <v>2</v>
      </c>
      <c r="G29" s="426">
        <v>3</v>
      </c>
      <c r="H29" s="79"/>
      <c r="I29" s="4"/>
    </row>
    <row r="30" spans="1:9" ht="12.75">
      <c r="A30" s="4"/>
      <c r="B30" s="355"/>
      <c r="C30" s="344" t="s">
        <v>287</v>
      </c>
      <c r="D30" s="345"/>
      <c r="E30" s="346" t="str">
        <f>decTeamName</f>
        <v>IIC</v>
      </c>
      <c r="F30" s="346" t="str">
        <f>decTeamName</f>
        <v>Bloomfield</v>
      </c>
      <c r="G30" s="346" t="str">
        <f>decTeamName</f>
        <v>Nextus</v>
      </c>
      <c r="H30" s="347">
        <f ca="1">NOW()</f>
        <v>41680.394886574075</v>
      </c>
      <c r="I30" s="4"/>
    </row>
    <row r="31" spans="1:9" ht="12.75">
      <c r="A31" s="4"/>
      <c r="B31" s="355"/>
      <c r="C31" s="348" t="str">
        <f>MMSegName&amp;"   "&amp;TEXT(INDEX(D18:D22,MMSegCurrent),"#,##0")&amp;" Units"</f>
        <v>Growth   11,640 Units</v>
      </c>
      <c r="D31" s="349"/>
      <c r="E31" s="350"/>
      <c r="F31" s="350"/>
      <c r="G31" s="350"/>
      <c r="H31" s="351"/>
      <c r="I31" s="4"/>
    </row>
    <row r="32" spans="1:9">
      <c r="A32" s="4"/>
      <c r="B32" s="355"/>
      <c r="C32" s="42" t="s">
        <v>594</v>
      </c>
      <c r="D32" s="62"/>
      <c r="E32" s="343" t="b">
        <v>1</v>
      </c>
      <c r="F32" s="343" t="b">
        <v>1</v>
      </c>
      <c r="G32" s="343" t="b">
        <v>1</v>
      </c>
      <c r="H32" s="43">
        <f>COUNTIF(E32:G32,TRUE)</f>
        <v>3</v>
      </c>
      <c r="I32" s="4" t="s">
        <v>29</v>
      </c>
    </row>
    <row r="33" spans="1:9" ht="12.75">
      <c r="A33" s="4"/>
      <c r="B33" s="33"/>
      <c r="C33" s="339" t="str">
        <f>xxMMProd2Driver1</f>
        <v>Price</v>
      </c>
      <c r="D33" s="340">
        <f>INDEX(xxMMProd2Driver1,2+MMSegCurrent)</f>
        <v>9</v>
      </c>
      <c r="E33" s="452">
        <f>decProd2Price</f>
        <v>12000</v>
      </c>
      <c r="F33" s="452">
        <f>decProd2Price</f>
        <v>12600</v>
      </c>
      <c r="G33" s="341">
        <f>decProd2Price</f>
        <v>11640</v>
      </c>
      <c r="H33" s="146"/>
    </row>
    <row r="34" spans="1:9">
      <c r="A34" s="4"/>
      <c r="B34" s="355"/>
      <c r="C34" s="36" t="s">
        <v>1126</v>
      </c>
      <c r="D34" s="40">
        <v>0</v>
      </c>
      <c r="E34" s="41">
        <f>E33</f>
        <v>12000</v>
      </c>
      <c r="F34" s="41">
        <f>F33</f>
        <v>12600</v>
      </c>
      <c r="G34" s="41">
        <f>G33</f>
        <v>11640</v>
      </c>
      <c r="H34" s="39"/>
    </row>
    <row r="35" spans="1:9">
      <c r="A35" s="4"/>
      <c r="B35" s="355"/>
      <c r="C35" s="36" t="s">
        <v>51</v>
      </c>
      <c r="D35" s="338">
        <v>0.9</v>
      </c>
      <c r="E35" s="38">
        <f>IF(MMInMarket=TRUE,E33,0)</f>
        <v>12000</v>
      </c>
      <c r="F35" s="38">
        <f>IF(MMInMarket=TRUE,F33,0)</f>
        <v>12600</v>
      </c>
      <c r="G35" s="38">
        <f>IF(MMInMarket=TRUE,G33,0)</f>
        <v>11640</v>
      </c>
      <c r="H35" s="353">
        <f>IF($H$32=0,0,SUM(E35:G35)/$H$32)</f>
        <v>12080</v>
      </c>
    </row>
    <row r="36" spans="1:9">
      <c r="A36" s="4"/>
      <c r="B36" s="355" t="b">
        <v>1</v>
      </c>
      <c r="C36" s="42" t="s">
        <v>52</v>
      </c>
      <c r="D36" s="174">
        <f>STDEVP(E35:G35)*D35+(STDEVP(E35:G35)=0)</f>
        <v>356.38181771801999</v>
      </c>
      <c r="E36" s="65">
        <f>IF(E35=0,0,(1-NORMDIST(E35,$H35,$D36,TRUE)))*(MMInMarket=TRUE)</f>
        <v>0.58880744172603316</v>
      </c>
      <c r="F36" s="65">
        <f>IF(F35=0,0,(1-NORMDIST(F35,$H35,$D36,TRUE)))*(MMInMarket=TRUE)</f>
        <v>7.2267522970903331E-2</v>
      </c>
      <c r="G36" s="65">
        <f>IF(G35=0,0,(1-NORMDIST(G35,$H35,$D36,TRUE)))*(MMInMarket=TRUE)</f>
        <v>0.89151604598039347</v>
      </c>
      <c r="H36" s="93"/>
      <c r="I36" s="201"/>
    </row>
    <row r="37" spans="1:9" ht="12.75">
      <c r="B37" s="33"/>
      <c r="C37" s="339" t="str">
        <f>xxMMProd2Driver2</f>
        <v>Content</v>
      </c>
      <c r="D37" s="340">
        <f>INDEX(xxMMProd2Driver2,2+MMSegCurrent)</f>
        <v>8</v>
      </c>
      <c r="E37" s="427">
        <f>cbalContentLvl</f>
        <v>2</v>
      </c>
      <c r="F37" s="427">
        <f>cbalContentLvl</f>
        <v>2</v>
      </c>
      <c r="G37" s="427">
        <f>cbalContentLvl</f>
        <v>3</v>
      </c>
      <c r="H37" s="146"/>
    </row>
    <row r="38" spans="1:9">
      <c r="B38" s="33"/>
      <c r="C38" s="36" t="s">
        <v>708</v>
      </c>
      <c r="D38" s="37"/>
      <c r="E38" s="81">
        <f>E37</f>
        <v>2</v>
      </c>
      <c r="F38" s="81">
        <f>F37</f>
        <v>2</v>
      </c>
      <c r="G38" s="81">
        <f>G37</f>
        <v>3</v>
      </c>
      <c r="H38" s="39"/>
    </row>
    <row r="39" spans="1:9">
      <c r="B39" s="33"/>
      <c r="C39" s="36" t="s">
        <v>51</v>
      </c>
      <c r="D39" s="338">
        <v>2</v>
      </c>
      <c r="E39" s="81">
        <f>IF(MMInMarket=TRUE,E38,0)</f>
        <v>2</v>
      </c>
      <c r="F39" s="81">
        <f>IF(MMInMarket=TRUE,F38,0)</f>
        <v>2</v>
      </c>
      <c r="G39" s="81">
        <f>IF(MMInMarket=TRUE,G38,0)</f>
        <v>3</v>
      </c>
      <c r="H39" s="354">
        <f>IF($H$32=0,0,SUM(E39:G39)/$H$32)</f>
        <v>2.3333333333333335</v>
      </c>
    </row>
    <row r="40" spans="1:9">
      <c r="B40" s="355" t="b">
        <v>1</v>
      </c>
      <c r="C40" s="42" t="s">
        <v>53</v>
      </c>
      <c r="D40" s="174">
        <f>STDEVP(E39:G39)*D39+(STDEVP(E39:G39)=0)</f>
        <v>0.94280904158206336</v>
      </c>
      <c r="E40" s="65">
        <f>IF(E39=0,0,NORMDIST(E39,$H39,$D40,TRUE))*(MMInMarket=TRUE)</f>
        <v>0.36183680491588144</v>
      </c>
      <c r="F40" s="65">
        <f>IF(F39=0,0,NORMDIST(F39,$H39,$D40,TRUE))*(MMInMarket=TRUE)</f>
        <v>0.36183680491588144</v>
      </c>
      <c r="G40" s="65">
        <f>IF(G39=0,0,NORMDIST(G39,$H39,$D40,TRUE))*(MMInMarket=TRUE)</f>
        <v>0.76024993890652326</v>
      </c>
      <c r="H40" s="93"/>
      <c r="I40" s="201"/>
    </row>
    <row r="41" spans="1:9" ht="12.75">
      <c r="B41" s="33"/>
      <c r="C41" s="339" t="str">
        <f>xxMMProd2Driver3</f>
        <v>Product Technology</v>
      </c>
      <c r="D41" s="340">
        <f>INDEX(xxMMProd2Driver3,2+MMSegCurrent)</f>
        <v>10</v>
      </c>
      <c r="E41" s="996">
        <f>obalProd2ProdTechLvl+paramProd2AddProdTechLvl+decProd2ProdTechLvl*((365-capProd2TTM)/365)</f>
        <v>2.7173884952878629</v>
      </c>
      <c r="F41" s="996">
        <f>obalProd2ProdTechLvl+paramProd2AddProdTechLvl+decProd2ProdTechLvl*((365-capProd2TTM)/365)</f>
        <v>2.6719713985089024</v>
      </c>
      <c r="G41" s="996">
        <f>obalProd2ProdTechLvl+paramProd2AddProdTechLvl+decProd2ProdTechLvl*((365-capProd2TTM)/365)</f>
        <v>2.6236019524729586</v>
      </c>
      <c r="H41" s="146"/>
    </row>
    <row r="42" spans="1:9">
      <c r="B42" s="33"/>
      <c r="C42" s="36" t="s">
        <v>709</v>
      </c>
      <c r="D42" s="37"/>
      <c r="E42" s="530">
        <f>E41</f>
        <v>2.7173884952878629</v>
      </c>
      <c r="F42" s="530">
        <f>F41</f>
        <v>2.6719713985089024</v>
      </c>
      <c r="G42" s="530">
        <f>G41</f>
        <v>2.6236019524729586</v>
      </c>
      <c r="H42" s="39"/>
    </row>
    <row r="43" spans="1:9">
      <c r="B43" s="33"/>
      <c r="C43" s="36" t="s">
        <v>51</v>
      </c>
      <c r="D43" s="338">
        <v>2</v>
      </c>
      <c r="E43" s="530">
        <f>IF(MMInMarket=TRUE,E42,0)</f>
        <v>2.7173884952878629</v>
      </c>
      <c r="F43" s="530">
        <f>IF(MMInMarket=TRUE,F42,0)</f>
        <v>2.6719713985089024</v>
      </c>
      <c r="G43" s="530">
        <f>IF(MMInMarket=TRUE,G42,0)</f>
        <v>2.6236019524729586</v>
      </c>
      <c r="H43" s="352">
        <f>IF($H$32=0,0,SUM(E43:G43)/$H$32)</f>
        <v>2.6709872820899077</v>
      </c>
    </row>
    <row r="44" spans="1:9">
      <c r="B44" s="355" t="b">
        <v>1</v>
      </c>
      <c r="C44" s="42" t="s">
        <v>54</v>
      </c>
      <c r="D44" s="174">
        <f>STDEVP(E43:G43)*D43+(STDEVP(E43:G43)=0)</f>
        <v>7.6589037808075716E-2</v>
      </c>
      <c r="E44" s="65">
        <f>IF(E43=0,0,NORMDIST(E43,$H43,$D44,TRUE))*(MMInMarket=TRUE)</f>
        <v>0.72769171084835171</v>
      </c>
      <c r="F44" s="65">
        <f>IF(F43=0,0,NORMDIST(F43,$H43,$D44,TRUE))*(MMInMarket=TRUE)</f>
        <v>0.50512599265330971</v>
      </c>
      <c r="G44" s="65">
        <f>IF(G43=0,0,NORMDIST(G43,$H43,$D44,TRUE))*(MMInMarket=TRUE)</f>
        <v>0.26805833019455205</v>
      </c>
      <c r="H44" s="93"/>
      <c r="I44" s="201"/>
    </row>
    <row r="45" spans="1:9" ht="12.75">
      <c r="B45" s="33"/>
      <c r="C45" s="339" t="str">
        <f>xxMMProd2Driver4</f>
        <v>Marketing</v>
      </c>
      <c r="D45" s="340">
        <f>INDEX(xxMMProd2Driver4,2+MMSegCurrent)</f>
        <v>5</v>
      </c>
      <c r="E45" s="427">
        <f>decMarketing</f>
        <v>195000</v>
      </c>
      <c r="F45" s="427">
        <f>decMarketing</f>
        <v>200000</v>
      </c>
      <c r="G45" s="427">
        <f>decMarketing</f>
        <v>150000</v>
      </c>
      <c r="H45" s="146"/>
    </row>
    <row r="46" spans="1:9">
      <c r="B46" s="33"/>
      <c r="C46" s="36" t="s">
        <v>1126</v>
      </c>
      <c r="D46" s="37"/>
      <c r="E46" s="790">
        <f>E45</f>
        <v>195000</v>
      </c>
      <c r="F46" s="790">
        <f>F45</f>
        <v>200000</v>
      </c>
      <c r="G46" s="790">
        <f>G45</f>
        <v>150000</v>
      </c>
      <c r="H46" s="39"/>
    </row>
    <row r="47" spans="1:9">
      <c r="B47" s="33"/>
      <c r="C47" s="36" t="s">
        <v>51</v>
      </c>
      <c r="D47" s="338">
        <v>2</v>
      </c>
      <c r="E47" s="790">
        <f>IF(MMInMarket=TRUE,E46,0)</f>
        <v>195000</v>
      </c>
      <c r="F47" s="790">
        <f>IF(MMInMarket=TRUE,F46,0)</f>
        <v>200000</v>
      </c>
      <c r="G47" s="790">
        <f>IF(MMInMarket=TRUE,G46,0)</f>
        <v>150000</v>
      </c>
      <c r="H47" s="352">
        <f>IF($H$32=0,0,SUM(E47:G47)/$H$32)</f>
        <v>181666.66666666666</v>
      </c>
    </row>
    <row r="48" spans="1:9">
      <c r="B48" s="355" t="b">
        <v>1</v>
      </c>
      <c r="C48" s="42" t="s">
        <v>55</v>
      </c>
      <c r="D48" s="174">
        <f>STDEVP(E47:G47)*D47+(STDEVP(E47:G47)=0)</f>
        <v>44969.125210773476</v>
      </c>
      <c r="E48" s="65">
        <f>IF(E47=0,0,NORMDIST(E47,$H47,$D48,TRUE))*(MMInMarket=TRUE)</f>
        <v>0.61657576216112775</v>
      </c>
      <c r="F48" s="65">
        <f>IF(F47=0,0,NORMDIST(F47,$H47,$D48,TRUE))*(MMInMarket=TRUE)</f>
        <v>0.65824830419082403</v>
      </c>
      <c r="G48" s="65">
        <f>IF(G47=0,0,NORMDIST(G47,$H47,$D48,TRUE))*(MMInMarket=TRUE)</f>
        <v>0.24065820932796345</v>
      </c>
      <c r="H48" s="93"/>
      <c r="I48" s="201"/>
    </row>
    <row r="49" spans="2:9" ht="12.75">
      <c r="B49" s="33"/>
      <c r="C49" s="339" t="str">
        <f>xxMMProd2Driver5</f>
        <v>Sales Force</v>
      </c>
      <c r="D49" s="340">
        <f>INDEX(xxMMProd2Driver5,2+MMSegCurrent)</f>
        <v>7</v>
      </c>
      <c r="E49" s="526">
        <f>capSalesForceNewAccounts</f>
        <v>0.54</v>
      </c>
      <c r="F49" s="526">
        <f>capSalesForceNewAccounts</f>
        <v>0.38999999999999996</v>
      </c>
      <c r="G49" s="526">
        <f>capSalesForceNewAccounts</f>
        <v>0.57000000000000006</v>
      </c>
      <c r="H49" s="146"/>
    </row>
    <row r="50" spans="2:9">
      <c r="B50" s="33"/>
      <c r="C50" s="36" t="s">
        <v>1126</v>
      </c>
      <c r="D50" s="37"/>
      <c r="E50" s="81">
        <f>E49</f>
        <v>0.54</v>
      </c>
      <c r="F50" s="81">
        <f>F49</f>
        <v>0.38999999999999996</v>
      </c>
      <c r="G50" s="81">
        <f>G49</f>
        <v>0.57000000000000006</v>
      </c>
      <c r="H50" s="39"/>
    </row>
    <row r="51" spans="2:9">
      <c r="B51" s="33"/>
      <c r="C51" s="36" t="s">
        <v>51</v>
      </c>
      <c r="D51" s="338">
        <v>2</v>
      </c>
      <c r="E51" s="81">
        <f>IF(MMInMarket=TRUE,E50,0)</f>
        <v>0.54</v>
      </c>
      <c r="F51" s="81">
        <f>IF(MMInMarket=TRUE,F50,0)</f>
        <v>0.38999999999999996</v>
      </c>
      <c r="G51" s="81">
        <f>IF(MMInMarket=TRUE,G50,0)</f>
        <v>0.57000000000000006</v>
      </c>
      <c r="H51" s="352">
        <f>IF($H$32=0,0,SUM(E51:G51)/$H$32)</f>
        <v>0.5</v>
      </c>
    </row>
    <row r="52" spans="2:9">
      <c r="B52" s="355" t="b">
        <v>1</v>
      </c>
      <c r="C52" s="42" t="s">
        <v>56</v>
      </c>
      <c r="D52" s="174">
        <f>STDEVP(E51:G51)*D51+(STDEVP(E51:G51)=0)</f>
        <v>0.1574801574802363</v>
      </c>
      <c r="E52" s="65">
        <f>IF(E51=0,0,NORMDIST(E51,$H51,$D52,TRUE))*(MMInMarket=TRUE)</f>
        <v>0.60025231906515408</v>
      </c>
      <c r="F52" s="65">
        <f>IF(F51=0,0,NORMDIST(F51,$H51,$D52,TRUE))*(MMInMarket=TRUE)</f>
        <v>0.24243206059486588</v>
      </c>
      <c r="G52" s="65">
        <f>IF(G51=0,0,NORMDIST(G51,$H51,$D52,TRUE))*(MMInMarket=TRUE)</f>
        <v>0.67165959622102711</v>
      </c>
      <c r="H52" s="93"/>
      <c r="I52" s="201"/>
    </row>
    <row r="53" spans="2:9" ht="12.75">
      <c r="B53" s="33"/>
      <c r="C53" s="339" t="str">
        <f>xxMMProd2Driver6</f>
        <v>Customer Service</v>
      </c>
      <c r="D53" s="340">
        <f>INDEX(xxMMProd2Driver6,2+MMSegCurrent)</f>
        <v>6</v>
      </c>
      <c r="E53" s="341">
        <f>capCustomerService</f>
        <v>5.04</v>
      </c>
      <c r="F53" s="341">
        <f>capCustomerService</f>
        <v>5.04</v>
      </c>
      <c r="G53" s="341">
        <f>capCustomerService</f>
        <v>2.52</v>
      </c>
      <c r="H53" s="146"/>
    </row>
    <row r="54" spans="2:9">
      <c r="B54" s="33"/>
      <c r="C54" s="36" t="s">
        <v>808</v>
      </c>
      <c r="D54" s="37"/>
      <c r="E54" s="81">
        <f>E53</f>
        <v>5.04</v>
      </c>
      <c r="F54" s="81">
        <f>F53</f>
        <v>5.04</v>
      </c>
      <c r="G54" s="81">
        <f>G53</f>
        <v>2.52</v>
      </c>
      <c r="H54" s="39"/>
    </row>
    <row r="55" spans="2:9">
      <c r="B55" s="33"/>
      <c r="C55" s="36" t="s">
        <v>51</v>
      </c>
      <c r="D55" s="338">
        <v>2</v>
      </c>
      <c r="E55" s="81">
        <f>IF(MMInMarket=TRUE,E54,0)</f>
        <v>5.04</v>
      </c>
      <c r="F55" s="81">
        <f>IF(MMInMarket=TRUE,F54,0)</f>
        <v>5.04</v>
      </c>
      <c r="G55" s="81">
        <f>IF(MMInMarket=TRUE,G54,0)</f>
        <v>2.52</v>
      </c>
      <c r="H55" s="352">
        <f>IF($H$32=0,0,SUM(E55:G55)/$H$32)</f>
        <v>4.2</v>
      </c>
    </row>
    <row r="56" spans="2:9">
      <c r="B56" s="355" t="b">
        <v>1</v>
      </c>
      <c r="C56" s="42" t="s">
        <v>57</v>
      </c>
      <c r="D56" s="174">
        <f>STDEVP(E55:G55)*D55+(STDEVP(E55:G55)=0)</f>
        <v>2.375878784786801</v>
      </c>
      <c r="E56" s="65">
        <f>IF(E55=0,0,NORMDIST(E55,$H55,$D56,TRUE))*(MMInMarket=TRUE)</f>
        <v>0.63816319508411845</v>
      </c>
      <c r="F56" s="65">
        <f>IF(F55=0,0,NORMDIST(F55,$H55,$D56,TRUE))*(MMInMarket=TRUE)</f>
        <v>0.63816319508411845</v>
      </c>
      <c r="G56" s="65">
        <f>IF(G55=0,0,NORMDIST(G55,$H55,$D56,TRUE))*(MMInMarket=TRUE)</f>
        <v>0.23975006109347674</v>
      </c>
      <c r="H56" s="93"/>
      <c r="I56" s="201"/>
    </row>
    <row r="57" spans="2:9" ht="12.75">
      <c r="B57" s="33"/>
      <c r="C57" s="339" t="str">
        <f>xxMMProd2Driver7</f>
        <v>OPEN</v>
      </c>
      <c r="D57" s="340">
        <f>INDEX(xxMMProd2Driver7,2+MMSegCurrent)</f>
        <v>0</v>
      </c>
      <c r="E57" s="526"/>
      <c r="F57" s="526"/>
      <c r="G57" s="526"/>
      <c r="H57" s="146"/>
    </row>
    <row r="58" spans="2:9">
      <c r="B58" s="33"/>
      <c r="C58" s="36" t="s">
        <v>808</v>
      </c>
      <c r="D58" s="37"/>
      <c r="E58" s="529">
        <f>E57</f>
        <v>0</v>
      </c>
      <c r="F58" s="529">
        <f>F57</f>
        <v>0</v>
      </c>
      <c r="G58" s="529">
        <f>G57</f>
        <v>0</v>
      </c>
      <c r="H58" s="39"/>
    </row>
    <row r="59" spans="2:9">
      <c r="B59" s="33"/>
      <c r="C59" s="36" t="s">
        <v>51</v>
      </c>
      <c r="D59" s="338">
        <v>2</v>
      </c>
      <c r="E59" s="529">
        <f>IF(MMInMarket=TRUE,E58,0)</f>
        <v>0</v>
      </c>
      <c r="F59" s="529">
        <f>IF(MMInMarket=TRUE,F58,0)</f>
        <v>0</v>
      </c>
      <c r="G59" s="529">
        <f>IF(MMInMarket=TRUE,G58,0)</f>
        <v>0</v>
      </c>
      <c r="H59" s="352">
        <f>IF($H$32=0,0,SUM(E59:G59)/$H$32)</f>
        <v>0</v>
      </c>
    </row>
    <row r="60" spans="2:9">
      <c r="B60" s="355" t="b">
        <v>1</v>
      </c>
      <c r="C60" s="42" t="s">
        <v>58</v>
      </c>
      <c r="D60" s="174">
        <f>STDEVP(E59:G59)*D59+(STDEVP(E59:G59)=0)</f>
        <v>1</v>
      </c>
      <c r="E60" s="65">
        <f>IF(E59=0,0,NORMDIST(E59,$H59,$D60,TRUE))*(MMInMarket=TRUE)</f>
        <v>0</v>
      </c>
      <c r="F60" s="65">
        <f>IF(F59=0,0,NORMDIST(F59,$H59,$D60,TRUE))*(MMInMarket=TRUE)</f>
        <v>0</v>
      </c>
      <c r="G60" s="65">
        <f>IF(G59=0,0,NORMDIST(G59,$H59,$D60,TRUE))*(MMInMarket=TRUE)</f>
        <v>0</v>
      </c>
      <c r="H60" s="93"/>
      <c r="I60" s="201"/>
    </row>
    <row r="61" spans="2:9" ht="12.75">
      <c r="B61" s="33"/>
      <c r="C61" s="339" t="str">
        <f>xxMMProd2Driver8</f>
        <v>OPEN</v>
      </c>
      <c r="D61" s="340">
        <f>INDEX(xxMMProd2Driver8,2+MMSegCurrent)</f>
        <v>0</v>
      </c>
      <c r="E61" s="527"/>
      <c r="F61" s="527"/>
      <c r="G61" s="527"/>
      <c r="H61" s="146"/>
    </row>
    <row r="62" spans="2:9">
      <c r="B62" s="33"/>
      <c r="C62" s="36" t="s">
        <v>808</v>
      </c>
      <c r="D62" s="37"/>
      <c r="E62" s="532">
        <f>E61</f>
        <v>0</v>
      </c>
      <c r="F62" s="532">
        <f>F61</f>
        <v>0</v>
      </c>
      <c r="G62" s="532">
        <f>G61</f>
        <v>0</v>
      </c>
      <c r="H62" s="39"/>
    </row>
    <row r="63" spans="2:9">
      <c r="B63" s="33"/>
      <c r="C63" s="36" t="s">
        <v>51</v>
      </c>
      <c r="D63" s="338">
        <v>2</v>
      </c>
      <c r="E63" s="532">
        <f>IF(MMInMarket=TRUE,E62,0)</f>
        <v>0</v>
      </c>
      <c r="F63" s="532">
        <f>IF(MMInMarket=TRUE,F62,0)</f>
        <v>0</v>
      </c>
      <c r="G63" s="532">
        <f>IF(MMInMarket=TRUE,G62,0)</f>
        <v>0</v>
      </c>
      <c r="H63" s="352">
        <f>IF($H$32=0,0,SUM(E63:G63)/$H$32)</f>
        <v>0</v>
      </c>
    </row>
    <row r="64" spans="2:9">
      <c r="B64" s="355" t="b">
        <v>1</v>
      </c>
      <c r="C64" s="42" t="s">
        <v>810</v>
      </c>
      <c r="D64" s="174">
        <f>STDEVP(E63:G63)*D63+(STDEVP(E63:G63)=0)</f>
        <v>1</v>
      </c>
      <c r="E64" s="65">
        <f>IF(E63=0,0,NORMDIST(E63,$H63,$D64,TRUE))*(MMInMarket=TRUE)</f>
        <v>0</v>
      </c>
      <c r="F64" s="65">
        <f>IF(F63=0,0,NORMDIST(F63,$H63,$D64,TRUE))*(MMInMarket=TRUE)</f>
        <v>0</v>
      </c>
      <c r="G64" s="65">
        <f>IF(G63=0,0,NORMDIST(G63,$H63,$D64,TRUE))*(MMInMarket=TRUE)</f>
        <v>0</v>
      </c>
      <c r="H64" s="93"/>
      <c r="I64" s="201"/>
    </row>
    <row r="65" spans="1:9" ht="12.75">
      <c r="B65" s="33"/>
      <c r="C65" s="339" t="str">
        <f>xxMMProd2Driver9</f>
        <v>OPEN</v>
      </c>
      <c r="D65" s="340">
        <f>INDEX(xxMMProd2Driver9,2+MMSegCurrent)</f>
        <v>0</v>
      </c>
      <c r="E65" s="531"/>
      <c r="F65" s="531"/>
      <c r="G65" s="531"/>
      <c r="H65" s="146"/>
    </row>
    <row r="66" spans="1:9">
      <c r="B66" s="33"/>
      <c r="C66" s="36" t="s">
        <v>808</v>
      </c>
      <c r="D66" s="37"/>
      <c r="E66" s="81">
        <f>E65</f>
        <v>0</v>
      </c>
      <c r="F66" s="81">
        <f>F65</f>
        <v>0</v>
      </c>
      <c r="G66" s="81">
        <f>G65</f>
        <v>0</v>
      </c>
      <c r="H66" s="39"/>
    </row>
    <row r="67" spans="1:9">
      <c r="B67" s="33"/>
      <c r="C67" s="36" t="s">
        <v>51</v>
      </c>
      <c r="D67" s="338">
        <v>2</v>
      </c>
      <c r="E67" s="81">
        <f>IF(MMInMarket=TRUE,E66,0)</f>
        <v>0</v>
      </c>
      <c r="F67" s="81">
        <f>IF(MMInMarket=TRUE,F66,0)</f>
        <v>0</v>
      </c>
      <c r="G67" s="81">
        <f>IF(MMInMarket=TRUE,G66,0)</f>
        <v>0</v>
      </c>
      <c r="H67" s="352">
        <f>IF($H$32=0,0,SUM(E67:G67)/$H$32)</f>
        <v>0</v>
      </c>
    </row>
    <row r="68" spans="1:9">
      <c r="B68" s="355" t="b">
        <v>1</v>
      </c>
      <c r="C68" s="42" t="s">
        <v>812</v>
      </c>
      <c r="D68" s="174">
        <f>STDEVP(E67:G67)*D67+(STDEVP(E67:G67)=0)</f>
        <v>1</v>
      </c>
      <c r="E68" s="65">
        <f>IF(E67=0,0,NORMDIST(E67,$H67,$D68,TRUE))*(MMInMarket=TRUE)</f>
        <v>0</v>
      </c>
      <c r="F68" s="65">
        <f>IF(F67=0,0,NORMDIST(F67,$H67,$D68,TRUE))*(MMInMarket=TRUE)</f>
        <v>0</v>
      </c>
      <c r="G68" s="65">
        <f>IF(G67=0,0,NORMDIST(G67,$H67,$D68,TRUE))*(MMInMarket=TRUE)</f>
        <v>0</v>
      </c>
      <c r="H68" s="93"/>
      <c r="I68" s="201"/>
    </row>
    <row r="69" spans="1:9" ht="12.75">
      <c r="B69" s="33"/>
      <c r="C69" s="339" t="str">
        <f>xxMMProd2Driver10</f>
        <v>OPEN</v>
      </c>
      <c r="D69" s="340">
        <f>INDEX(xxMMProd2Driver10,2+MMSegCurrent)</f>
        <v>0</v>
      </c>
      <c r="E69" s="342"/>
      <c r="F69" s="342"/>
      <c r="G69" s="342"/>
      <c r="H69" s="146"/>
    </row>
    <row r="70" spans="1:9">
      <c r="B70" s="33"/>
      <c r="C70" s="36" t="s">
        <v>808</v>
      </c>
      <c r="D70" s="37"/>
      <c r="E70" s="81">
        <f>E69</f>
        <v>0</v>
      </c>
      <c r="F70" s="81">
        <f>F69</f>
        <v>0</v>
      </c>
      <c r="G70" s="81">
        <f>G69</f>
        <v>0</v>
      </c>
      <c r="H70" s="39"/>
    </row>
    <row r="71" spans="1:9">
      <c r="B71" s="33"/>
      <c r="C71" s="36" t="s">
        <v>51</v>
      </c>
      <c r="D71" s="338">
        <v>2</v>
      </c>
      <c r="E71" s="81">
        <f>IF(MMInMarket=TRUE,E70,0)</f>
        <v>0</v>
      </c>
      <c r="F71" s="81">
        <f>IF(MMInMarket=TRUE,F70,0)</f>
        <v>0</v>
      </c>
      <c r="G71" s="81">
        <f>IF(MMInMarket=TRUE,G70,0)</f>
        <v>0</v>
      </c>
      <c r="H71" s="352">
        <f>IF($H$32=0,0,SUM(E71:G71)/$H$32)</f>
        <v>0</v>
      </c>
    </row>
    <row r="72" spans="1:9">
      <c r="B72" s="355" t="b">
        <v>1</v>
      </c>
      <c r="C72" s="42" t="s">
        <v>48</v>
      </c>
      <c r="D72" s="174">
        <f>STDEVP(E71:G71)*D71+(STDEVP(E71:G71)=0)</f>
        <v>1</v>
      </c>
      <c r="E72" s="65">
        <f>IF(E71=0,0,NORMDIST(E71,$H71,$D72,TRUE))*(MMInMarket=TRUE)</f>
        <v>0</v>
      </c>
      <c r="F72" s="65">
        <f>IF(F71=0,0,NORMDIST(F71,$H71,$D72,TRUE))*(MMInMarket=TRUE)</f>
        <v>0</v>
      </c>
      <c r="G72" s="65">
        <f>IF(G71=0,0,NORMDIST(G71,$H71,$D72,TRUE))*(MMInMarket=TRUE)</f>
        <v>0</v>
      </c>
      <c r="H72" s="93"/>
      <c r="I72" s="201"/>
    </row>
    <row r="73" spans="1:9" ht="12.75">
      <c r="A73" s="4"/>
      <c r="B73" s="33"/>
      <c r="C73" s="339" t="s">
        <v>451</v>
      </c>
      <c r="D73" s="340"/>
      <c r="E73" s="1" t="s">
        <v>901</v>
      </c>
      <c r="F73" s="1" t="s">
        <v>901</v>
      </c>
      <c r="G73" s="1" t="s">
        <v>901</v>
      </c>
      <c r="H73" s="146"/>
      <c r="I73" s="4"/>
    </row>
    <row r="74" spans="1:9">
      <c r="B74" s="33"/>
      <c r="C74" s="36"/>
      <c r="D74" s="37"/>
      <c r="E74" s="81"/>
      <c r="F74" s="81"/>
      <c r="G74" s="81"/>
      <c r="H74" s="39"/>
    </row>
    <row r="75" spans="1:9">
      <c r="B75" s="33"/>
      <c r="C75" s="36"/>
      <c r="D75" s="37"/>
      <c r="E75" s="81"/>
      <c r="F75" s="81"/>
      <c r="G75" s="81"/>
      <c r="H75" s="39"/>
    </row>
    <row r="76" spans="1:9">
      <c r="B76" s="33"/>
      <c r="C76" s="46" t="s">
        <v>715</v>
      </c>
      <c r="D76" s="90"/>
      <c r="E76" s="57"/>
      <c r="F76" s="57"/>
      <c r="G76" s="57"/>
      <c r="H76" s="91"/>
    </row>
    <row r="77" spans="1:9">
      <c r="B77" s="33"/>
      <c r="C77" s="85" t="s">
        <v>914</v>
      </c>
      <c r="D77" s="21"/>
      <c r="E77" s="409"/>
      <c r="F77" s="409"/>
      <c r="G77" s="409"/>
      <c r="H77" s="92"/>
    </row>
    <row r="78" spans="1:9">
      <c r="B78" s="33"/>
      <c r="C78" s="85" t="s">
        <v>701</v>
      </c>
      <c r="D78" s="21"/>
      <c r="E78" s="409"/>
      <c r="F78" s="409"/>
      <c r="G78" s="409"/>
      <c r="H78" s="92"/>
    </row>
    <row r="79" spans="1:9">
      <c r="B79" s="33"/>
      <c r="C79" s="85" t="s">
        <v>702</v>
      </c>
      <c r="D79" s="21"/>
      <c r="E79" s="409"/>
      <c r="F79" s="409"/>
      <c r="G79" s="409"/>
      <c r="H79" s="92"/>
    </row>
    <row r="80" spans="1:9">
      <c r="B80" s="33"/>
      <c r="C80" s="85" t="s">
        <v>704</v>
      </c>
      <c r="D80" s="21"/>
      <c r="E80" s="409"/>
      <c r="F80" s="409"/>
      <c r="G80" s="409"/>
      <c r="H80" s="92"/>
    </row>
    <row r="81" spans="1:9">
      <c r="B81" s="33"/>
      <c r="C81" s="85" t="s">
        <v>705</v>
      </c>
      <c r="D81" s="21"/>
      <c r="E81" s="409"/>
      <c r="F81" s="409"/>
      <c r="G81" s="409"/>
      <c r="H81" s="92"/>
    </row>
    <row r="82" spans="1:9" ht="5.0999999999999996" customHeight="1">
      <c r="B82" s="33"/>
      <c r="C82" s="184"/>
      <c r="D82" s="185"/>
      <c r="E82" s="185"/>
      <c r="F82" s="185"/>
      <c r="G82" s="185"/>
      <c r="H82" s="186"/>
    </row>
    <row r="83" spans="1:9">
      <c r="B83" s="33"/>
      <c r="C83" s="36"/>
      <c r="D83" s="37"/>
      <c r="E83" s="328">
        <f>paramSpecProgProd2Sales</f>
        <v>0</v>
      </c>
      <c r="F83" s="328">
        <f>paramSpecProgProd2Sales</f>
        <v>0</v>
      </c>
      <c r="G83" s="328">
        <f>paramSpecProgProd2Sales</f>
        <v>0</v>
      </c>
      <c r="H83" s="39"/>
    </row>
    <row r="84" spans="1:9">
      <c r="B84" s="33"/>
      <c r="C84" s="36" t="s">
        <v>808</v>
      </c>
      <c r="D84" s="37"/>
      <c r="E84" s="329">
        <f>E83</f>
        <v>0</v>
      </c>
      <c r="F84" s="329">
        <f>F83</f>
        <v>0</v>
      </c>
      <c r="G84" s="329">
        <f>G83</f>
        <v>0</v>
      </c>
      <c r="H84" s="39"/>
    </row>
    <row r="85" spans="1:9">
      <c r="B85" s="33"/>
      <c r="C85" s="36" t="s">
        <v>51</v>
      </c>
      <c r="D85" s="37"/>
      <c r="E85" s="329">
        <f>IF(MMInMarket=TRUE,E84,0)</f>
        <v>0</v>
      </c>
      <c r="F85" s="329">
        <f>IF(MMInMarket=TRUE,F84,0)</f>
        <v>0</v>
      </c>
      <c r="G85" s="329">
        <f>IF(MMInMarket=TRUE,G84,0)</f>
        <v>0</v>
      </c>
      <c r="H85" s="39"/>
    </row>
    <row r="86" spans="1:9">
      <c r="A86" s="4"/>
      <c r="B86" s="33"/>
      <c r="C86" s="158" t="s">
        <v>451</v>
      </c>
      <c r="D86" s="41"/>
      <c r="E86" s="330">
        <f>E85</f>
        <v>0</v>
      </c>
      <c r="F86" s="330">
        <f>F85</f>
        <v>0</v>
      </c>
      <c r="G86" s="330">
        <f>G85</f>
        <v>0</v>
      </c>
      <c r="H86" s="43"/>
      <c r="I86" s="4"/>
    </row>
    <row r="87" spans="1:9">
      <c r="A87" s="4"/>
      <c r="B87" s="355" t="b">
        <v>1</v>
      </c>
      <c r="H87" s="37"/>
      <c r="I87" s="4"/>
    </row>
    <row r="88" spans="1:9">
      <c r="A88" s="4"/>
      <c r="B88" s="355" t="b">
        <v>1</v>
      </c>
      <c r="C88" s="61" t="s">
        <v>21</v>
      </c>
      <c r="D88" s="41"/>
      <c r="E88" s="63" t="s">
        <v>914</v>
      </c>
      <c r="F88" s="63" t="s">
        <v>701</v>
      </c>
      <c r="G88" s="63" t="s">
        <v>702</v>
      </c>
      <c r="H88" s="37"/>
      <c r="I88" s="4"/>
    </row>
    <row r="89" spans="1:9">
      <c r="A89" s="4"/>
      <c r="B89" s="355" t="b">
        <v>1</v>
      </c>
      <c r="C89" s="331" t="str">
        <f>xxMMProd2Driver1</f>
        <v>Price</v>
      </c>
      <c r="D89" s="332"/>
      <c r="E89" s="333">
        <f>xxMMProd2Driver1</f>
        <v>9</v>
      </c>
      <c r="F89" s="333">
        <f>xxMMProd2Driver1</f>
        <v>0</v>
      </c>
      <c r="G89" s="333">
        <f>xxMMProd2Driver1</f>
        <v>0</v>
      </c>
      <c r="H89" s="4"/>
      <c r="I89" s="4"/>
    </row>
    <row r="90" spans="1:9">
      <c r="A90" s="4"/>
      <c r="B90" s="355" t="b">
        <v>1</v>
      </c>
      <c r="C90" s="331" t="str">
        <f>xxMMProd2Driver2</f>
        <v>Content</v>
      </c>
      <c r="D90" s="332"/>
      <c r="E90" s="333">
        <f>xxMMProd2Driver2</f>
        <v>8</v>
      </c>
      <c r="F90" s="333">
        <f>xxMMProd2Driver2</f>
        <v>0</v>
      </c>
      <c r="G90" s="333">
        <f>xxMMProd2Driver2</f>
        <v>0</v>
      </c>
      <c r="H90" s="4"/>
      <c r="I90" s="4"/>
    </row>
    <row r="91" spans="1:9">
      <c r="A91" s="4"/>
      <c r="B91" s="355" t="b">
        <v>1</v>
      </c>
      <c r="C91" s="331" t="str">
        <f>xxMMProd2Driver3</f>
        <v>Product Technology</v>
      </c>
      <c r="D91" s="332"/>
      <c r="E91" s="333">
        <f>xxMMProd2Driver3</f>
        <v>10</v>
      </c>
      <c r="F91" s="333">
        <f>xxMMProd2Driver3</f>
        <v>0</v>
      </c>
      <c r="G91" s="333">
        <f>xxMMProd2Driver3</f>
        <v>0</v>
      </c>
      <c r="H91" s="4"/>
      <c r="I91" s="4"/>
    </row>
    <row r="92" spans="1:9">
      <c r="A92" s="4"/>
      <c r="B92" s="355" t="b">
        <v>1</v>
      </c>
      <c r="C92" s="331" t="str">
        <f>xxMMProd2Driver4</f>
        <v>Marketing</v>
      </c>
      <c r="D92" s="332"/>
      <c r="E92" s="333">
        <f>xxMMProd2Driver4</f>
        <v>5</v>
      </c>
      <c r="F92" s="333">
        <f>xxMMProd2Driver4</f>
        <v>0</v>
      </c>
      <c r="G92" s="333">
        <f>xxMMProd2Driver4</f>
        <v>0</v>
      </c>
      <c r="H92" s="4"/>
      <c r="I92" s="4"/>
    </row>
    <row r="93" spans="1:9">
      <c r="A93" s="4"/>
      <c r="B93" s="355" t="b">
        <v>1</v>
      </c>
      <c r="C93" s="331" t="str">
        <f>xxMMProd2Driver5</f>
        <v>Sales Force</v>
      </c>
      <c r="D93" s="332"/>
      <c r="E93" s="333">
        <f>xxMMProd2Driver5</f>
        <v>7</v>
      </c>
      <c r="F93" s="333">
        <f>xxMMProd2Driver5</f>
        <v>0</v>
      </c>
      <c r="G93" s="333">
        <f>xxMMProd2Driver5</f>
        <v>0</v>
      </c>
      <c r="H93" s="4"/>
      <c r="I93" s="4"/>
    </row>
    <row r="94" spans="1:9">
      <c r="A94" s="4"/>
      <c r="B94" s="355" t="b">
        <v>1</v>
      </c>
      <c r="C94" s="331" t="str">
        <f>xxMMProd2Driver6</f>
        <v>Customer Service</v>
      </c>
      <c r="D94" s="332"/>
      <c r="E94" s="333">
        <f>xxMMProd2Driver6</f>
        <v>6</v>
      </c>
      <c r="F94" s="333">
        <f>xxMMProd2Driver6</f>
        <v>0</v>
      </c>
      <c r="G94" s="333">
        <f>xxMMProd2Driver6</f>
        <v>0</v>
      </c>
      <c r="H94" s="4"/>
      <c r="I94" s="4"/>
    </row>
    <row r="95" spans="1:9">
      <c r="A95" s="4"/>
      <c r="B95" s="355" t="b">
        <v>1</v>
      </c>
      <c r="C95" s="331" t="str">
        <f>xxMMProd2Driver7</f>
        <v>OPEN</v>
      </c>
      <c r="D95" s="332"/>
      <c r="E95" s="333">
        <f>xxMMProd2Driver7</f>
        <v>0</v>
      </c>
      <c r="F95" s="333">
        <f>xxMMProd2Driver7</f>
        <v>0</v>
      </c>
      <c r="G95" s="333">
        <f>xxMMProd2Driver7</f>
        <v>0</v>
      </c>
      <c r="H95" s="4"/>
      <c r="I95" s="4"/>
    </row>
    <row r="96" spans="1:9">
      <c r="A96" s="4"/>
      <c r="B96" s="355" t="b">
        <v>1</v>
      </c>
      <c r="C96" s="331" t="str">
        <f>xxMMProd2Driver8</f>
        <v>OPEN</v>
      </c>
      <c r="D96" s="332"/>
      <c r="E96" s="333">
        <f>xxMMProd2Driver8</f>
        <v>0</v>
      </c>
      <c r="F96" s="333">
        <f>xxMMProd2Driver8</f>
        <v>0</v>
      </c>
      <c r="G96" s="333">
        <f>xxMMProd2Driver8</f>
        <v>0</v>
      </c>
      <c r="H96" s="4"/>
      <c r="I96" s="4"/>
    </row>
    <row r="97" spans="1:9">
      <c r="A97" s="4"/>
      <c r="B97" s="355" t="b">
        <v>1</v>
      </c>
      <c r="C97" s="331" t="str">
        <f>xxMMProd2Driver9</f>
        <v>OPEN</v>
      </c>
      <c r="D97" s="332"/>
      <c r="E97" s="333">
        <f>xxMMProd2Driver9</f>
        <v>0</v>
      </c>
      <c r="F97" s="333">
        <f>xxMMProd2Driver9</f>
        <v>0</v>
      </c>
      <c r="G97" s="333">
        <f>xxMMProd2Driver9</f>
        <v>0</v>
      </c>
      <c r="H97" s="4"/>
      <c r="I97" s="4"/>
    </row>
    <row r="98" spans="1:9">
      <c r="A98" s="4"/>
      <c r="B98" s="355" t="b">
        <v>1</v>
      </c>
      <c r="C98" s="331" t="str">
        <f>xxMMProd2Driver10</f>
        <v>OPEN</v>
      </c>
      <c r="D98" s="332"/>
      <c r="E98" s="333">
        <f>xxMMProd2Driver10</f>
        <v>0</v>
      </c>
      <c r="F98" s="333">
        <f>xxMMProd2Driver10</f>
        <v>0</v>
      </c>
      <c r="G98" s="333">
        <f>xxMMProd2Driver10</f>
        <v>0</v>
      </c>
      <c r="H98" s="4"/>
      <c r="I98" s="4"/>
    </row>
    <row r="99" spans="1:9">
      <c r="A99" s="4"/>
      <c r="B99" s="33"/>
      <c r="C99" s="4"/>
      <c r="D99" s="38"/>
      <c r="E99" s="80"/>
      <c r="F99" s="80"/>
      <c r="G99" s="80"/>
      <c r="H99" s="4"/>
      <c r="I99" s="4"/>
    </row>
    <row r="100" spans="1:9" ht="12" thickBot="1">
      <c r="A100" s="4"/>
      <c r="B100" s="33"/>
      <c r="C100" s="3"/>
      <c r="D100" s="38"/>
      <c r="E100" s="4"/>
      <c r="F100" s="4"/>
      <c r="G100" s="4"/>
      <c r="H100" s="4"/>
      <c r="I100" s="4"/>
    </row>
    <row r="101" spans="1:9" ht="12" thickBot="1">
      <c r="B101" s="33"/>
      <c r="C101" s="150" t="str">
        <f>"Market Model Calculation Segment " &amp;MMSegCurrent &amp; " " &amp; MMSegName</f>
        <v>Market Model Calculation Segment 1 Growth</v>
      </c>
      <c r="D101" s="152"/>
      <c r="E101" s="148"/>
      <c r="F101" s="148"/>
      <c r="G101" s="149"/>
      <c r="H101" s="149"/>
      <c r="I101" s="48"/>
    </row>
    <row r="102" spans="1:9" ht="12" thickBot="1">
      <c r="B102" s="355"/>
      <c r="C102" s="150" t="s">
        <v>713</v>
      </c>
      <c r="D102" s="153">
        <f>D24</f>
        <v>11640.107700000002</v>
      </c>
      <c r="E102" s="152"/>
      <c r="F102" s="154"/>
      <c r="G102" s="152"/>
      <c r="H102" s="183">
        <f>INDEX(D18:D22,$D$26)</f>
        <v>11640.107700000002</v>
      </c>
      <c r="I102" s="48"/>
    </row>
    <row r="103" spans="1:9">
      <c r="B103" s="33"/>
      <c r="C103" s="156" t="s">
        <v>49</v>
      </c>
      <c r="D103" s="157"/>
      <c r="E103" s="151" t="s">
        <v>1231</v>
      </c>
      <c r="F103" s="151" t="s">
        <v>1232</v>
      </c>
      <c r="G103" s="151" t="s">
        <v>1233</v>
      </c>
      <c r="H103" s="151"/>
      <c r="I103" s="51"/>
    </row>
    <row r="104" spans="1:9">
      <c r="B104" s="698">
        <f>RANK(D104,$D$104:$D$115)</f>
        <v>2</v>
      </c>
      <c r="C104" s="697" t="str">
        <f t="shared" ref="C104:C113" si="0">C89</f>
        <v>Price</v>
      </c>
      <c r="D104" s="696">
        <f t="shared" ref="D104:D113" si="1">INDEX(E89:G89,MMSegCurrent)</f>
        <v>9</v>
      </c>
      <c r="E104" s="764">
        <f>$D104*E36</f>
        <v>5.299266975534298</v>
      </c>
      <c r="F104" s="765">
        <f>$D104*F36</f>
        <v>0.65040770673812998</v>
      </c>
      <c r="G104" s="765">
        <f>$D104*G36</f>
        <v>8.0236444138235417</v>
      </c>
      <c r="H104" s="693">
        <f t="shared" ref="H104:H114" si="2">SUM(E104:G104)</f>
        <v>13.97331909609597</v>
      </c>
      <c r="I104" s="51"/>
    </row>
    <row r="105" spans="1:9">
      <c r="B105" s="698">
        <f t="shared" ref="B105:B113" si="3">RANK(D105,$D$104:$D$115)</f>
        <v>3</v>
      </c>
      <c r="C105" s="697" t="str">
        <f t="shared" si="0"/>
        <v>Content</v>
      </c>
      <c r="D105" s="696">
        <f t="shared" si="1"/>
        <v>8</v>
      </c>
      <c r="E105" s="766">
        <f>$D105*E40</f>
        <v>2.8946944393270515</v>
      </c>
      <c r="F105" s="696">
        <f>$D105*F40</f>
        <v>2.8946944393270515</v>
      </c>
      <c r="G105" s="696">
        <f>$D105*G40</f>
        <v>6.0819995112521861</v>
      </c>
      <c r="H105" s="690">
        <f t="shared" si="2"/>
        <v>11.87138838990629</v>
      </c>
      <c r="I105" s="51"/>
    </row>
    <row r="106" spans="1:9">
      <c r="B106" s="698">
        <f t="shared" si="3"/>
        <v>1</v>
      </c>
      <c r="C106" s="697" t="str">
        <f t="shared" si="0"/>
        <v>Product Technology</v>
      </c>
      <c r="D106" s="696">
        <f t="shared" si="1"/>
        <v>10</v>
      </c>
      <c r="E106" s="766">
        <f>$D106*E44</f>
        <v>7.2769171084835174</v>
      </c>
      <c r="F106" s="696">
        <f>$D106*F44</f>
        <v>5.0512599265330973</v>
      </c>
      <c r="G106" s="696">
        <f>$D106*G44</f>
        <v>2.6805833019455205</v>
      </c>
      <c r="H106" s="690">
        <f t="shared" si="2"/>
        <v>15.008760336962137</v>
      </c>
      <c r="I106" s="51"/>
    </row>
    <row r="107" spans="1:9">
      <c r="B107" s="698">
        <f t="shared" si="3"/>
        <v>6</v>
      </c>
      <c r="C107" s="697" t="str">
        <f t="shared" si="0"/>
        <v>Marketing</v>
      </c>
      <c r="D107" s="696">
        <f t="shared" si="1"/>
        <v>5</v>
      </c>
      <c r="E107" s="766">
        <f>$D107*E48</f>
        <v>3.0828788108056386</v>
      </c>
      <c r="F107" s="696">
        <f>$D107*F48</f>
        <v>3.2912415209541201</v>
      </c>
      <c r="G107" s="696">
        <f>$D107*G48</f>
        <v>1.2032910466398172</v>
      </c>
      <c r="H107" s="690">
        <f t="shared" si="2"/>
        <v>7.5774113783995762</v>
      </c>
      <c r="I107" s="51"/>
    </row>
    <row r="108" spans="1:9">
      <c r="B108" s="698">
        <f t="shared" si="3"/>
        <v>4</v>
      </c>
      <c r="C108" s="697" t="str">
        <f t="shared" si="0"/>
        <v>Sales Force</v>
      </c>
      <c r="D108" s="696">
        <f t="shared" si="1"/>
        <v>7</v>
      </c>
      <c r="E108" s="766">
        <f>$D108*E52</f>
        <v>4.2017662334560786</v>
      </c>
      <c r="F108" s="696">
        <f>$D108*F52</f>
        <v>1.6970244241640611</v>
      </c>
      <c r="G108" s="696">
        <f>$D108*G52</f>
        <v>4.7016171735471897</v>
      </c>
      <c r="H108" s="690">
        <f t="shared" si="2"/>
        <v>10.600407831167329</v>
      </c>
      <c r="I108" s="51"/>
    </row>
    <row r="109" spans="1:9">
      <c r="B109" s="698">
        <f t="shared" si="3"/>
        <v>5</v>
      </c>
      <c r="C109" s="697" t="str">
        <f t="shared" si="0"/>
        <v>Customer Service</v>
      </c>
      <c r="D109" s="696">
        <f t="shared" si="1"/>
        <v>6</v>
      </c>
      <c r="E109" s="766">
        <f>$D109*E56</f>
        <v>3.8289791705047107</v>
      </c>
      <c r="F109" s="696">
        <f>$D109*F56</f>
        <v>3.8289791705047107</v>
      </c>
      <c r="G109" s="696">
        <f>$D109*G56</f>
        <v>1.4385003665608604</v>
      </c>
      <c r="H109" s="690">
        <f t="shared" si="2"/>
        <v>9.0964587075702816</v>
      </c>
      <c r="I109" s="51"/>
    </row>
    <row r="110" spans="1:9">
      <c r="B110" s="698">
        <f t="shared" si="3"/>
        <v>7</v>
      </c>
      <c r="C110" s="697" t="str">
        <f t="shared" si="0"/>
        <v>OPEN</v>
      </c>
      <c r="D110" s="696">
        <f t="shared" si="1"/>
        <v>0</v>
      </c>
      <c r="E110" s="766">
        <f>$D110*E60</f>
        <v>0</v>
      </c>
      <c r="F110" s="696">
        <f>$D110*F60</f>
        <v>0</v>
      </c>
      <c r="G110" s="696">
        <f>$D110*G60</f>
        <v>0</v>
      </c>
      <c r="H110" s="690">
        <f t="shared" si="2"/>
        <v>0</v>
      </c>
      <c r="I110" s="51"/>
    </row>
    <row r="111" spans="1:9">
      <c r="B111" s="698">
        <f t="shared" si="3"/>
        <v>7</v>
      </c>
      <c r="C111" s="697" t="str">
        <f t="shared" si="0"/>
        <v>OPEN</v>
      </c>
      <c r="D111" s="696">
        <f t="shared" si="1"/>
        <v>0</v>
      </c>
      <c r="E111" s="766">
        <f>$D111*E64</f>
        <v>0</v>
      </c>
      <c r="F111" s="696">
        <f>$D111*F64</f>
        <v>0</v>
      </c>
      <c r="G111" s="696">
        <f>$D111*G64</f>
        <v>0</v>
      </c>
      <c r="H111" s="690">
        <f t="shared" si="2"/>
        <v>0</v>
      </c>
      <c r="I111" s="51"/>
    </row>
    <row r="112" spans="1:9">
      <c r="B112" s="698">
        <f t="shared" si="3"/>
        <v>7</v>
      </c>
      <c r="C112" s="697" t="str">
        <f t="shared" si="0"/>
        <v>OPEN</v>
      </c>
      <c r="D112" s="696">
        <f t="shared" si="1"/>
        <v>0</v>
      </c>
      <c r="E112" s="766">
        <f>$D112*E68</f>
        <v>0</v>
      </c>
      <c r="F112" s="696">
        <f>$D112*F68</f>
        <v>0</v>
      </c>
      <c r="G112" s="696">
        <f>$D112*G68</f>
        <v>0</v>
      </c>
      <c r="H112" s="690">
        <f t="shared" si="2"/>
        <v>0</v>
      </c>
      <c r="I112" s="51"/>
    </row>
    <row r="113" spans="1:9">
      <c r="B113" s="698">
        <f t="shared" si="3"/>
        <v>7</v>
      </c>
      <c r="C113" s="697" t="str">
        <f t="shared" si="0"/>
        <v>OPEN</v>
      </c>
      <c r="D113" s="696">
        <f t="shared" si="1"/>
        <v>0</v>
      </c>
      <c r="E113" s="766">
        <f>$D113*E72</f>
        <v>0</v>
      </c>
      <c r="F113" s="696">
        <f>$D113*F72</f>
        <v>0</v>
      </c>
      <c r="G113" s="696">
        <f>$D113*G72</f>
        <v>0</v>
      </c>
      <c r="H113" s="690">
        <f t="shared" si="2"/>
        <v>0</v>
      </c>
      <c r="I113" s="51"/>
    </row>
    <row r="114" spans="1:9">
      <c r="B114" s="698">
        <v>99</v>
      </c>
      <c r="C114" s="689" t="s">
        <v>451</v>
      </c>
      <c r="D114" s="688"/>
      <c r="E114" s="767">
        <f>E86*SUM($E$104:$G$113)</f>
        <v>0</v>
      </c>
      <c r="F114" s="768">
        <f>F86*SUM($E$104:$G$113)</f>
        <v>0</v>
      </c>
      <c r="G114" s="768">
        <f>G86*SUM($E$104:$G$113)</f>
        <v>0</v>
      </c>
      <c r="H114" s="690">
        <f t="shared" si="2"/>
        <v>0</v>
      </c>
      <c r="I114" s="51"/>
    </row>
    <row r="115" spans="1:9" ht="12" thickBot="1">
      <c r="B115" s="698">
        <v>100</v>
      </c>
      <c r="C115" s="697" t="s">
        <v>50</v>
      </c>
      <c r="D115" s="688"/>
      <c r="E115" s="769">
        <f>SUM(E104:E114)</f>
        <v>26.58450273811129</v>
      </c>
      <c r="F115" s="770">
        <f>SUM(F104:F114)</f>
        <v>17.413607188221171</v>
      </c>
      <c r="G115" s="770">
        <f>SUM(G104:G114)</f>
        <v>24.129635813769113</v>
      </c>
      <c r="H115" s="683">
        <f>SUM(H104:H114)</f>
        <v>68.127745740101588</v>
      </c>
      <c r="I115" s="51"/>
    </row>
    <row r="116" spans="1:9">
      <c r="B116" s="33"/>
      <c r="C116" s="49" t="s">
        <v>60</v>
      </c>
      <c r="D116" s="37"/>
      <c r="E116" s="37">
        <f>RANK(E115,$E115:$G115)</f>
        <v>1</v>
      </c>
      <c r="F116" s="37">
        <f>RANK(F115,$E115:$G115)</f>
        <v>3</v>
      </c>
      <c r="G116" s="37">
        <f>RANK(G115,$E115:$G115)</f>
        <v>2</v>
      </c>
      <c r="H116" s="37"/>
      <c r="I116" s="51"/>
    </row>
    <row r="117" spans="1:9" ht="12" thickBot="1">
      <c r="B117" s="33"/>
      <c r="C117" s="53" t="s">
        <v>714</v>
      </c>
      <c r="D117" s="47"/>
      <c r="E117" s="451">
        <f>IF(xxYear&gt;0,IF(tlOutputNumTeams&gt;=mmProd1!E$1,E115/SUM($E115:$G115)+INDEX(datapageCompProd2ShareBoost,xxYear),datapageCompProd2MktShare),datapageCompProd2MktShare)</f>
        <v>0.4</v>
      </c>
      <c r="F117" s="451">
        <f>IF(xxYear&gt;0,IF(tlOutputNumTeams&gt;=mmProd1!F$1,F115/SUM($E115:$G115)+INDEX(datapageCompProd2ShareBoost,xxYear),datapageCompProd2MktShare),datapageCompProd2MktShare)</f>
        <v>0.34</v>
      </c>
      <c r="G117" s="451">
        <f>IF(xxYear&gt;0,IF(tlOutputNumTeams&gt;=mmProd1!G$1,G115/SUM($E115:$G115)+INDEX(datapageCompProd2ShareBoost,xxYear),datapageCompProd2MktShare),datapageCompProd2MktShare)</f>
        <v>0.26</v>
      </c>
      <c r="H117" s="453">
        <f>H102</f>
        <v>11640.107700000002</v>
      </c>
      <c r="I117" s="298" t="s">
        <v>25</v>
      </c>
    </row>
    <row r="118" spans="1:9">
      <c r="A118" s="4"/>
      <c r="C118" s="3"/>
      <c r="D118" s="38"/>
      <c r="E118" s="4"/>
      <c r="F118" s="4"/>
      <c r="G118" s="4"/>
      <c r="H118" s="4"/>
      <c r="I118" s="31"/>
    </row>
    <row r="119" spans="1:9">
      <c r="C119" s="46" t="s">
        <v>714</v>
      </c>
      <c r="D119" s="90"/>
      <c r="E119" s="90"/>
      <c r="F119" s="90"/>
      <c r="G119" s="90"/>
      <c r="H119" s="91"/>
      <c r="I119" s="31"/>
    </row>
    <row r="120" spans="1:9">
      <c r="C120" s="85" t="s">
        <v>914</v>
      </c>
      <c r="D120" s="294" t="s">
        <v>27</v>
      </c>
      <c r="E120" s="467">
        <f>E117</f>
        <v>0.4</v>
      </c>
      <c r="F120" s="467">
        <f t="shared" ref="F120:H120" si="4">F117</f>
        <v>0.34</v>
      </c>
      <c r="G120" s="467">
        <f t="shared" si="4"/>
        <v>0.26</v>
      </c>
      <c r="H120" s="763">
        <f t="shared" si="4"/>
        <v>11640.107700000002</v>
      </c>
      <c r="I120" s="297" t="s">
        <v>26</v>
      </c>
    </row>
    <row r="121" spans="1:9">
      <c r="C121" s="85" t="s">
        <v>701</v>
      </c>
      <c r="D121" s="21"/>
      <c r="E121" s="295"/>
      <c r="F121" s="295"/>
      <c r="G121" s="295"/>
      <c r="H121" s="296"/>
    </row>
    <row r="122" spans="1:9">
      <c r="C122" s="85" t="s">
        <v>702</v>
      </c>
      <c r="D122" s="21"/>
      <c r="E122" s="295"/>
      <c r="F122" s="295"/>
      <c r="G122" s="295"/>
      <c r="H122" s="296"/>
    </row>
    <row r="123" spans="1:9">
      <c r="C123" s="85" t="s">
        <v>704</v>
      </c>
      <c r="D123" s="21"/>
      <c r="E123" s="295"/>
      <c r="F123" s="295"/>
      <c r="G123" s="295"/>
      <c r="H123" s="296"/>
    </row>
    <row r="124" spans="1:9">
      <c r="C124" s="85" t="s">
        <v>705</v>
      </c>
      <c r="D124" s="21"/>
      <c r="E124" s="295"/>
      <c r="F124" s="295"/>
      <c r="G124" s="295"/>
      <c r="H124" s="296"/>
    </row>
    <row r="125" spans="1:9">
      <c r="C125" s="184"/>
      <c r="D125" s="185"/>
      <c r="E125" s="202"/>
      <c r="F125" s="202"/>
      <c r="G125" s="202"/>
      <c r="H125" s="203"/>
    </row>
    <row r="127" spans="1:9">
      <c r="C127" s="46" t="s">
        <v>70</v>
      </c>
      <c r="D127" s="90"/>
      <c r="E127" s="90"/>
      <c r="F127" s="90"/>
      <c r="G127" s="90"/>
      <c r="H127" s="91" t="s">
        <v>289</v>
      </c>
    </row>
    <row r="128" spans="1:9">
      <c r="C128" s="85" t="s">
        <v>914</v>
      </c>
      <c r="D128" s="21"/>
      <c r="E128" s="86">
        <f t="shared" ref="E128:H130" si="5">E120</f>
        <v>0.4</v>
      </c>
      <c r="F128" s="86">
        <f t="shared" si="5"/>
        <v>0.34</v>
      </c>
      <c r="G128" s="86">
        <f t="shared" si="5"/>
        <v>0.26</v>
      </c>
      <c r="H128" s="95">
        <f t="shared" si="5"/>
        <v>11640.107700000002</v>
      </c>
    </row>
    <row r="129" spans="1:9">
      <c r="C129" s="85" t="s">
        <v>701</v>
      </c>
      <c r="D129" s="21"/>
      <c r="E129" s="86">
        <f t="shared" si="5"/>
        <v>0</v>
      </c>
      <c r="F129" s="86">
        <f t="shared" si="5"/>
        <v>0</v>
      </c>
      <c r="G129" s="86">
        <f t="shared" si="5"/>
        <v>0</v>
      </c>
      <c r="H129" s="95">
        <f t="shared" si="5"/>
        <v>0</v>
      </c>
    </row>
    <row r="130" spans="1:9">
      <c r="C130" s="85" t="s">
        <v>702</v>
      </c>
      <c r="D130" s="21"/>
      <c r="E130" s="86">
        <f t="shared" si="5"/>
        <v>0</v>
      </c>
      <c r="F130" s="86">
        <f t="shared" si="5"/>
        <v>0</v>
      </c>
      <c r="G130" s="86">
        <f t="shared" si="5"/>
        <v>0</v>
      </c>
      <c r="H130" s="95">
        <f t="shared" si="5"/>
        <v>0</v>
      </c>
    </row>
    <row r="131" spans="1:9">
      <c r="C131" s="85" t="s">
        <v>704</v>
      </c>
      <c r="D131" s="21"/>
      <c r="E131" s="86">
        <f t="shared" ref="E131:H132" si="6">E123</f>
        <v>0</v>
      </c>
      <c r="F131" s="86">
        <f t="shared" si="6"/>
        <v>0</v>
      </c>
      <c r="G131" s="86">
        <f t="shared" si="6"/>
        <v>0</v>
      </c>
      <c r="H131" s="95">
        <f t="shared" si="6"/>
        <v>0</v>
      </c>
    </row>
    <row r="132" spans="1:9">
      <c r="C132" s="85" t="s">
        <v>705</v>
      </c>
      <c r="D132" s="21"/>
      <c r="E132" s="86">
        <f t="shared" si="6"/>
        <v>0</v>
      </c>
      <c r="F132" s="86">
        <f t="shared" si="6"/>
        <v>0</v>
      </c>
      <c r="G132" s="86">
        <f t="shared" si="6"/>
        <v>0</v>
      </c>
      <c r="H132" s="95">
        <f t="shared" si="6"/>
        <v>0</v>
      </c>
    </row>
    <row r="133" spans="1:9">
      <c r="C133" s="184"/>
      <c r="D133" s="185"/>
      <c r="E133" s="202"/>
      <c r="F133" s="202"/>
      <c r="G133" s="202"/>
      <c r="H133" s="186"/>
    </row>
    <row r="134" spans="1:9">
      <c r="C134" s="88" t="s">
        <v>707</v>
      </c>
      <c r="D134" s="89"/>
      <c r="E134" s="204">
        <f>SUMPRODUCT(E128:E133,$H$128:$H$133)</f>
        <v>4656.0430800000013</v>
      </c>
      <c r="F134" s="204">
        <f>SUMPRODUCT(F128:F133,$H$128:$H$133)</f>
        <v>3957.6366180000009</v>
      </c>
      <c r="G134" s="204">
        <f>SUMPRODUCT(G128:G133,$H$128:$H$133)</f>
        <v>3026.4280020000006</v>
      </c>
      <c r="H134" s="97">
        <f>SUM(E134:G134) + (xxNumOfTeams*0)</f>
        <v>11640.107700000002</v>
      </c>
    </row>
    <row r="135" spans="1:9">
      <c r="C135" s="31" t="s">
        <v>714</v>
      </c>
      <c r="D135" s="31"/>
      <c r="E135" s="98">
        <f>IF($H$134&gt;0,E134/$H$134,0)</f>
        <v>0.4</v>
      </c>
      <c r="F135" s="98">
        <f>IF($H$134&gt;0,F134/$H$134,0)</f>
        <v>0.34</v>
      </c>
      <c r="G135" s="98">
        <f>IF($H$134&gt;0,G134/$H$134,0)</f>
        <v>0.26</v>
      </c>
    </row>
    <row r="136" spans="1:9">
      <c r="A136" s="4"/>
      <c r="B136" s="4"/>
      <c r="C136" s="3"/>
      <c r="D136" s="38"/>
      <c r="E136" s="4"/>
      <c r="F136" s="4"/>
      <c r="G136" s="4"/>
      <c r="H136" s="4"/>
      <c r="I136" s="4"/>
    </row>
    <row r="137" spans="1:9">
      <c r="A137" s="4"/>
      <c r="B137" s="4"/>
      <c r="C137" s="3" t="s">
        <v>61</v>
      </c>
      <c r="D137" s="4"/>
      <c r="E137" s="66">
        <f>E135</f>
        <v>0.4</v>
      </c>
      <c r="F137" s="66">
        <f>F135</f>
        <v>0.34</v>
      </c>
      <c r="G137" s="66">
        <f>G135</f>
        <v>0.26</v>
      </c>
      <c r="H137" s="4"/>
      <c r="I137" s="4"/>
    </row>
    <row r="138" spans="1:9">
      <c r="A138" s="4"/>
      <c r="B138" s="4"/>
      <c r="C138" s="67" t="s">
        <v>62</v>
      </c>
      <c r="D138" s="58"/>
      <c r="E138" s="178">
        <f>ROUNDDOWN(E135*$H134,0)</f>
        <v>4656</v>
      </c>
      <c r="F138" s="178">
        <f>ROUNDDOWN(F135*$H134,0)</f>
        <v>3957</v>
      </c>
      <c r="G138" s="178">
        <f>ROUNDDOWN(G135*$H134,0)</f>
        <v>3026</v>
      </c>
      <c r="H138" s="180">
        <f>SUM(E138:G138) + (xxNumOfTeams*0)</f>
        <v>11639</v>
      </c>
      <c r="I138" s="36" t="s">
        <v>270</v>
      </c>
    </row>
    <row r="139" spans="1:9">
      <c r="A139" s="4"/>
      <c r="B139" s="4"/>
      <c r="C139" s="196" t="s">
        <v>63</v>
      </c>
      <c r="D139" s="143"/>
      <c r="E139" s="466"/>
      <c r="F139" s="466"/>
      <c r="G139" s="195"/>
      <c r="H139" s="179">
        <f>SUM(E139:G139) + (xxNumOfTeams*0)</f>
        <v>0</v>
      </c>
      <c r="I139" s="36" t="s">
        <v>271</v>
      </c>
    </row>
    <row r="140" spans="1:9">
      <c r="A140" s="4"/>
      <c r="B140" s="4"/>
      <c r="C140" s="36" t="s">
        <v>64</v>
      </c>
      <c r="D140" s="37"/>
      <c r="E140" s="81">
        <f>ROUND(E139-E138,0)</f>
        <v>-4656</v>
      </c>
      <c r="F140" s="81">
        <f>ROUND(F139-F138,0)</f>
        <v>-3957</v>
      </c>
      <c r="G140" s="81">
        <f>ROUND(G139-G138,0)</f>
        <v>-3026</v>
      </c>
      <c r="H140" s="181">
        <f>SUM(E140:G140)-SUMPRODUCT(E140:G140,E141:G141) + (xxNumOfTeams*0)</f>
        <v>-11639</v>
      </c>
      <c r="I140" s="36"/>
    </row>
    <row r="141" spans="1:9">
      <c r="A141" s="4"/>
      <c r="B141" s="4"/>
      <c r="C141" s="36" t="s">
        <v>65</v>
      </c>
      <c r="D141" s="37"/>
      <c r="E141" s="37">
        <f>1*(E140&gt;0)</f>
        <v>0</v>
      </c>
      <c r="F141" s="37">
        <f>1*(F140&gt;0)</f>
        <v>0</v>
      </c>
      <c r="G141" s="37">
        <f>1*(G140&gt;0)</f>
        <v>0</v>
      </c>
      <c r="H141" s="36">
        <f>SUM(E141:G141) + (xxNumOfTeams*0)</f>
        <v>0</v>
      </c>
      <c r="I141" s="36"/>
    </row>
    <row r="142" spans="1:9">
      <c r="A142" s="4"/>
      <c r="B142" s="4"/>
      <c r="C142" s="36" t="s">
        <v>66</v>
      </c>
      <c r="D142" s="37"/>
      <c r="E142" s="45">
        <f>IF(AND(E141&gt;0,E138&gt;0),+E137*E141/SUMPRODUCT($E137:$G137,$E141:$G141),0)</f>
        <v>0</v>
      </c>
      <c r="F142" s="45">
        <f>IF(AND(F141&gt;0,F138&gt;0),+F137*F141/SUMPRODUCT($E137:$G137,$E141:$G141),0)</f>
        <v>0</v>
      </c>
      <c r="G142" s="45">
        <f>IF(AND(G141&gt;0,G138&gt;0),+G137*G141/SUMPRODUCT($E137:$G137,$E141:$G141),0)</f>
        <v>0</v>
      </c>
      <c r="H142" s="36"/>
      <c r="I142" s="36"/>
    </row>
    <row r="143" spans="1:9">
      <c r="A143" s="4"/>
      <c r="B143" s="4"/>
      <c r="C143" s="36" t="s">
        <v>67</v>
      </c>
      <c r="D143" s="37"/>
      <c r="E143" s="463">
        <f>-MAX(-E140,ROUND(E137*$H140,0))*E141</f>
        <v>0</v>
      </c>
      <c r="F143" s="463">
        <f>-MAX(-F140,ROUND(F137*$H140,0))*F141</f>
        <v>0</v>
      </c>
      <c r="G143" s="463">
        <f>-MAX(-G140,ROUND(G137*$H140,0))*G141</f>
        <v>0</v>
      </c>
      <c r="H143" s="36">
        <f>ROUND(SUM(E143:G143),0) + (xxNumOfTeams*0)</f>
        <v>0</v>
      </c>
      <c r="I143" s="36" t="s">
        <v>805</v>
      </c>
    </row>
    <row r="144" spans="1:9">
      <c r="A144" s="4"/>
      <c r="B144" s="4"/>
      <c r="C144" s="36"/>
      <c r="D144" s="37"/>
      <c r="E144" s="18">
        <f>ROUND(E137*$H140,0)*E141</f>
        <v>0</v>
      </c>
      <c r="F144" s="18">
        <f>ROUND(F137*$H140,0)*F141</f>
        <v>0</v>
      </c>
      <c r="G144" s="18">
        <f>ROUND(G137*$H140,0)*G141</f>
        <v>0</v>
      </c>
      <c r="H144" s="36"/>
      <c r="I144" s="36" t="s">
        <v>157</v>
      </c>
    </row>
    <row r="145" spans="1:9">
      <c r="A145" s="4"/>
      <c r="B145" s="4"/>
      <c r="C145" s="36" t="s">
        <v>22</v>
      </c>
      <c r="D145" s="37"/>
      <c r="E145" s="197"/>
      <c r="F145" s="197"/>
      <c r="G145" s="197"/>
      <c r="H145" s="36" t="s">
        <v>112</v>
      </c>
      <c r="I145" s="36"/>
    </row>
    <row r="146" spans="1:9">
      <c r="A146" s="4"/>
      <c r="B146" s="4"/>
      <c r="C146" s="36" t="s">
        <v>68</v>
      </c>
      <c r="D146" s="37"/>
      <c r="E146" s="289"/>
      <c r="F146" s="289"/>
      <c r="G146" s="289"/>
      <c r="H146" s="36" t="s">
        <v>111</v>
      </c>
      <c r="I146" s="36"/>
    </row>
    <row r="147" spans="1:9">
      <c r="A147" s="4"/>
      <c r="B147" s="4"/>
      <c r="C147" s="36" t="s">
        <v>69</v>
      </c>
      <c r="D147" s="37"/>
      <c r="E147" s="81">
        <f>MIN(E139,E140-E146-E143-E145*$H138)</f>
        <v>-4656</v>
      </c>
      <c r="F147" s="81">
        <f>MIN(F139,F140-F146-F143-F145*$H138)</f>
        <v>-3957</v>
      </c>
      <c r="G147" s="81">
        <f>MIN(G139,G140-G146-G143-G145*$H138)</f>
        <v>-3026</v>
      </c>
      <c r="H147" s="179"/>
      <c r="I147" s="36"/>
    </row>
    <row r="148" spans="1:9">
      <c r="A148" s="4"/>
      <c r="B148" s="4"/>
      <c r="C148" s="36" t="s">
        <v>684</v>
      </c>
      <c r="D148" s="37"/>
      <c r="E148" s="81">
        <f>MAX(E147,0)</f>
        <v>0</v>
      </c>
      <c r="F148" s="81">
        <f>MAX(F147,0)</f>
        <v>0</v>
      </c>
      <c r="G148" s="81">
        <f>MAX(G147,0)</f>
        <v>0</v>
      </c>
      <c r="H148" s="179"/>
      <c r="I148" s="36"/>
    </row>
    <row r="149" spans="1:9">
      <c r="A149" s="4"/>
      <c r="B149" s="4"/>
      <c r="C149" s="68" t="s">
        <v>492</v>
      </c>
      <c r="D149" s="37"/>
      <c r="E149" s="454">
        <f>MAX(0,MIN(E138+E143+E146+E145*$H138,E139))</f>
        <v>4656</v>
      </c>
      <c r="F149" s="454">
        <f>MAX(0,MIN(F138+F143+F146+F145*$H138,F139))</f>
        <v>3957</v>
      </c>
      <c r="G149" s="164">
        <f>MAX(0,MIN(G138+G143+G146+G145*$H138,G139))</f>
        <v>3026</v>
      </c>
      <c r="H149" s="179">
        <f>SUM(E149:G149) + (xxNumOfTeams*0)</f>
        <v>11639</v>
      </c>
      <c r="I149" s="36" t="s">
        <v>855</v>
      </c>
    </row>
    <row r="150" spans="1:9">
      <c r="A150" s="4"/>
      <c r="B150" s="4"/>
      <c r="C150" s="60" t="s">
        <v>493</v>
      </c>
      <c r="D150" s="62"/>
      <c r="E150" s="455">
        <f>E149/MAX(1,$H149)</f>
        <v>0.40003436721367813</v>
      </c>
      <c r="F150" s="455">
        <f>F149/MAX(1,$H149)</f>
        <v>0.33997766131110918</v>
      </c>
      <c r="G150" s="63">
        <f>G149/MAX(1,$H149)</f>
        <v>0.25998797147521263</v>
      </c>
      <c r="H150" s="179">
        <f>H138-H149</f>
        <v>0</v>
      </c>
      <c r="I150" s="36" t="s">
        <v>1241</v>
      </c>
    </row>
    <row r="151" spans="1:9">
      <c r="A151" s="4"/>
      <c r="B151" s="4"/>
      <c r="C151" s="69" t="s">
        <v>60</v>
      </c>
      <c r="D151" s="35"/>
      <c r="E151" s="35">
        <f>RANK(E150,$E$150:$G$150)</f>
        <v>1</v>
      </c>
      <c r="F151" s="35">
        <f>RANK(F150,$E$150:$G$150)</f>
        <v>2</v>
      </c>
      <c r="G151" s="35">
        <f>RANK(G150,$E$150:$G$150)</f>
        <v>3</v>
      </c>
      <c r="H151" s="60"/>
      <c r="I151" s="36"/>
    </row>
    <row r="152" spans="1:9">
      <c r="A152" s="4"/>
      <c r="B152" s="4"/>
      <c r="C152" s="3"/>
      <c r="D152" s="38"/>
      <c r="E152" s="4"/>
      <c r="F152" s="4"/>
      <c r="G152" s="4"/>
      <c r="H152" s="4"/>
      <c r="I152" s="4"/>
    </row>
    <row r="154" spans="1:9">
      <c r="C154" s="46" t="s">
        <v>683</v>
      </c>
      <c r="D154" s="90"/>
      <c r="E154" s="90"/>
      <c r="F154" s="90"/>
      <c r="G154" s="90"/>
      <c r="H154" s="91"/>
    </row>
    <row r="155" spans="1:9">
      <c r="C155" s="102" t="s">
        <v>914</v>
      </c>
      <c r="D155" s="205">
        <f>IF(SUM($H$128:$H$133)&gt;0,H128/SUM($H$128:$H$133),0)</f>
        <v>1</v>
      </c>
      <c r="E155" s="206">
        <f t="shared" ref="E155:G159" si="7">E128*$D155</f>
        <v>0.4</v>
      </c>
      <c r="F155" s="206">
        <f t="shared" si="7"/>
        <v>0.34</v>
      </c>
      <c r="G155" s="206">
        <f t="shared" si="7"/>
        <v>0.26</v>
      </c>
      <c r="H155" s="84"/>
    </row>
    <row r="156" spans="1:9">
      <c r="C156" s="85" t="s">
        <v>701</v>
      </c>
      <c r="D156" s="205">
        <f>IF(SUM($H$128:$H$133)&gt;0,H129/SUM($H$128:$H$133),0)</f>
        <v>0</v>
      </c>
      <c r="E156" s="207">
        <f t="shared" si="7"/>
        <v>0</v>
      </c>
      <c r="F156" s="207">
        <f t="shared" si="7"/>
        <v>0</v>
      </c>
      <c r="G156" s="207">
        <f t="shared" si="7"/>
        <v>0</v>
      </c>
      <c r="H156" s="92"/>
    </row>
    <row r="157" spans="1:9">
      <c r="C157" s="85" t="s">
        <v>702</v>
      </c>
      <c r="D157" s="205">
        <f>IF(SUM($H$128:$H$133)&gt;0,H130/SUM($H$128:$H$133),0)</f>
        <v>0</v>
      </c>
      <c r="E157" s="207">
        <f t="shared" si="7"/>
        <v>0</v>
      </c>
      <c r="F157" s="207">
        <f t="shared" si="7"/>
        <v>0</v>
      </c>
      <c r="G157" s="207">
        <f t="shared" si="7"/>
        <v>0</v>
      </c>
      <c r="H157" s="92"/>
    </row>
    <row r="158" spans="1:9">
      <c r="C158" s="85" t="s">
        <v>704</v>
      </c>
      <c r="D158" s="205">
        <f>IF(SUM($H$128:$H$133)&gt;0,H131/SUM($H$128:$H$133),0)</f>
        <v>0</v>
      </c>
      <c r="E158" s="207">
        <f t="shared" si="7"/>
        <v>0</v>
      </c>
      <c r="F158" s="207">
        <f t="shared" si="7"/>
        <v>0</v>
      </c>
      <c r="G158" s="207">
        <f t="shared" si="7"/>
        <v>0</v>
      </c>
      <c r="H158" s="92"/>
    </row>
    <row r="159" spans="1:9">
      <c r="C159" s="85" t="s">
        <v>705</v>
      </c>
      <c r="D159" s="205">
        <f>IF(SUM($H$128:$H$133)&gt;0,H132/SUM($H$128:$H$133),0)</f>
        <v>0</v>
      </c>
      <c r="E159" s="207">
        <f t="shared" si="7"/>
        <v>0</v>
      </c>
      <c r="F159" s="207">
        <f t="shared" si="7"/>
        <v>0</v>
      </c>
      <c r="G159" s="207">
        <f t="shared" si="7"/>
        <v>0</v>
      </c>
      <c r="H159" s="92"/>
    </row>
    <row r="160" spans="1:9">
      <c r="C160" s="184"/>
      <c r="D160" s="202"/>
      <c r="E160" s="208"/>
      <c r="F160" s="208"/>
      <c r="G160" s="208"/>
      <c r="H160" s="186"/>
    </row>
    <row r="161" spans="3:9">
      <c r="C161" s="64" t="s">
        <v>799</v>
      </c>
      <c r="D161" s="61"/>
      <c r="E161" s="101">
        <f>ROUND(SUM(E155:E160),4)</f>
        <v>0.4</v>
      </c>
      <c r="F161" s="101">
        <f>ROUND(SUM(F155:F160),4)</f>
        <v>0.34</v>
      </c>
      <c r="G161" s="101">
        <f>ROUND(SUM(G155:G160),4)</f>
        <v>0.26</v>
      </c>
      <c r="H161" s="93"/>
    </row>
    <row r="162" spans="3:9">
      <c r="E162" s="99"/>
      <c r="F162" s="99"/>
      <c r="G162" s="99"/>
    </row>
    <row r="163" spans="3:9">
      <c r="C163" s="67" t="s">
        <v>71</v>
      </c>
      <c r="D163" s="83"/>
      <c r="E163" s="83"/>
      <c r="F163" s="83"/>
      <c r="G163" s="83"/>
      <c r="H163" s="84"/>
      <c r="I163" s="112" t="s">
        <v>72</v>
      </c>
    </row>
    <row r="164" spans="3:9">
      <c r="C164" s="46" t="s">
        <v>73</v>
      </c>
      <c r="D164" s="57"/>
      <c r="E164" s="107">
        <f>E150-E161</f>
        <v>3.4367213678110353E-5</v>
      </c>
      <c r="F164" s="107">
        <f>F150-F161</f>
        <v>-2.2338688890843894E-5</v>
      </c>
      <c r="G164" s="107">
        <f>G150-G161</f>
        <v>-1.2028524787377481E-5</v>
      </c>
      <c r="H164" s="91"/>
      <c r="I164" s="113" t="s">
        <v>59</v>
      </c>
    </row>
    <row r="165" spans="3:9">
      <c r="C165" s="102" t="s">
        <v>914</v>
      </c>
      <c r="D165" s="83"/>
      <c r="E165" s="108">
        <f>IF(E$161&gt;0, E155+E$164*E155/E$161, 0)</f>
        <v>0.40003436721367813</v>
      </c>
      <c r="F165" s="108">
        <f>IF(F$161&gt;0, F155+F$164*F155/F$161, 0)</f>
        <v>0.33997766131110918</v>
      </c>
      <c r="G165" s="108">
        <f>IF(G$161&gt;0, G155+G$164*G155/G$161, 0)</f>
        <v>0.25998797147521263</v>
      </c>
      <c r="H165" s="209">
        <f>SUM(E165:G165)</f>
        <v>1</v>
      </c>
      <c r="I165" s="210">
        <f>IF(H165=0,0,D155/H165)</f>
        <v>1</v>
      </c>
    </row>
    <row r="166" spans="3:9">
      <c r="C166" s="85" t="s">
        <v>701</v>
      </c>
      <c r="D166" s="21"/>
      <c r="E166" s="108">
        <f t="shared" ref="E166:G169" si="8">IF(E$161&gt;0, E156+E$164*E156/E$161, 0)</f>
        <v>0</v>
      </c>
      <c r="F166" s="108">
        <f t="shared" si="8"/>
        <v>0</v>
      </c>
      <c r="G166" s="108">
        <f t="shared" si="8"/>
        <v>0</v>
      </c>
      <c r="H166" s="211">
        <f>SUM(E166:G166)</f>
        <v>0</v>
      </c>
      <c r="I166" s="210">
        <f>IF(H166=0,0,D156/H166)</f>
        <v>0</v>
      </c>
    </row>
    <row r="167" spans="3:9">
      <c r="C167" s="85" t="s">
        <v>702</v>
      </c>
      <c r="D167" s="21"/>
      <c r="E167" s="108">
        <f t="shared" si="8"/>
        <v>0</v>
      </c>
      <c r="F167" s="108">
        <f t="shared" si="8"/>
        <v>0</v>
      </c>
      <c r="G167" s="108">
        <f t="shared" si="8"/>
        <v>0</v>
      </c>
      <c r="H167" s="211">
        <f>SUM(E167:G167)</f>
        <v>0</v>
      </c>
      <c r="I167" s="210">
        <f>IF(H167=0,0,D157/H167)</f>
        <v>0</v>
      </c>
    </row>
    <row r="168" spans="3:9">
      <c r="C168" s="85" t="s">
        <v>704</v>
      </c>
      <c r="D168" s="21"/>
      <c r="E168" s="108">
        <f t="shared" si="8"/>
        <v>0</v>
      </c>
      <c r="F168" s="108">
        <f t="shared" si="8"/>
        <v>0</v>
      </c>
      <c r="G168" s="108">
        <f t="shared" si="8"/>
        <v>0</v>
      </c>
      <c r="H168" s="211">
        <f>SUM(E168:G168)</f>
        <v>0</v>
      </c>
      <c r="I168" s="210">
        <f>IF(H168=0,0,D158/H168)</f>
        <v>0</v>
      </c>
    </row>
    <row r="169" spans="3:9">
      <c r="C169" s="85" t="s">
        <v>705</v>
      </c>
      <c r="D169" s="21"/>
      <c r="E169" s="108">
        <f t="shared" si="8"/>
        <v>0</v>
      </c>
      <c r="F169" s="108">
        <f t="shared" si="8"/>
        <v>0</v>
      </c>
      <c r="G169" s="108">
        <f t="shared" si="8"/>
        <v>0</v>
      </c>
      <c r="H169" s="211">
        <f>SUM(E169:G169)</f>
        <v>0</v>
      </c>
      <c r="I169" s="210">
        <f>IF(H169=0,0,D159/H169)</f>
        <v>0</v>
      </c>
    </row>
    <row r="170" spans="3:9">
      <c r="C170" s="184"/>
      <c r="D170" s="185"/>
      <c r="E170" s="190"/>
      <c r="F170" s="190"/>
      <c r="G170" s="190"/>
      <c r="H170" s="186"/>
      <c r="I170" s="111"/>
    </row>
    <row r="172" spans="3:9">
      <c r="C172" s="46" t="s">
        <v>76</v>
      </c>
      <c r="D172" s="90"/>
      <c r="E172" s="90"/>
      <c r="F172" s="90"/>
      <c r="G172" s="90"/>
      <c r="H172" s="91"/>
    </row>
    <row r="173" spans="3:9">
      <c r="C173" s="85" t="s">
        <v>914</v>
      </c>
      <c r="D173" s="21"/>
      <c r="E173" s="207">
        <f t="shared" ref="E173:G177" si="9">E165*$I165</f>
        <v>0.40003436721367813</v>
      </c>
      <c r="F173" s="207">
        <f t="shared" si="9"/>
        <v>0.33997766131110918</v>
      </c>
      <c r="G173" s="207">
        <f t="shared" si="9"/>
        <v>0.25998797147521263</v>
      </c>
      <c r="H173" s="211">
        <f>SUM(E173:G173)</f>
        <v>1</v>
      </c>
    </row>
    <row r="174" spans="3:9">
      <c r="C174" s="85" t="s">
        <v>701</v>
      </c>
      <c r="D174" s="21"/>
      <c r="E174" s="207">
        <f t="shared" si="9"/>
        <v>0</v>
      </c>
      <c r="F174" s="207">
        <f t="shared" si="9"/>
        <v>0</v>
      </c>
      <c r="G174" s="207">
        <f t="shared" si="9"/>
        <v>0</v>
      </c>
      <c r="H174" s="211">
        <f>SUM(E174:G174)</f>
        <v>0</v>
      </c>
    </row>
    <row r="175" spans="3:9">
      <c r="C175" s="85" t="s">
        <v>702</v>
      </c>
      <c r="D175" s="21"/>
      <c r="E175" s="207">
        <f t="shared" si="9"/>
        <v>0</v>
      </c>
      <c r="F175" s="207">
        <f t="shared" si="9"/>
        <v>0</v>
      </c>
      <c r="G175" s="207">
        <f t="shared" si="9"/>
        <v>0</v>
      </c>
      <c r="H175" s="211">
        <f>SUM(E175:G175)</f>
        <v>0</v>
      </c>
    </row>
    <row r="176" spans="3:9">
      <c r="C176" s="85" t="s">
        <v>704</v>
      </c>
      <c r="D176" s="21"/>
      <c r="E176" s="207">
        <f t="shared" si="9"/>
        <v>0</v>
      </c>
      <c r="F176" s="207">
        <f t="shared" si="9"/>
        <v>0</v>
      </c>
      <c r="G176" s="207">
        <f t="shared" si="9"/>
        <v>0</v>
      </c>
      <c r="H176" s="211">
        <f>SUM(E176:G176)</f>
        <v>0</v>
      </c>
    </row>
    <row r="177" spans="2:9">
      <c r="C177" s="85" t="s">
        <v>705</v>
      </c>
      <c r="D177" s="21"/>
      <c r="E177" s="207">
        <f t="shared" si="9"/>
        <v>0</v>
      </c>
      <c r="F177" s="207">
        <f t="shared" si="9"/>
        <v>0</v>
      </c>
      <c r="G177" s="207">
        <f t="shared" si="9"/>
        <v>0</v>
      </c>
      <c r="H177" s="211">
        <f>SUM(E177:G177)</f>
        <v>0</v>
      </c>
    </row>
    <row r="178" spans="2:9">
      <c r="C178" s="187"/>
      <c r="D178" s="188"/>
      <c r="E178" s="188"/>
      <c r="F178" s="188"/>
      <c r="G178" s="188"/>
      <c r="H178" s="189"/>
    </row>
    <row r="179" spans="2:9">
      <c r="C179" s="46" t="s">
        <v>77</v>
      </c>
      <c r="D179" s="90"/>
      <c r="E179" s="114">
        <f>SUM(E173:E178)-E150</f>
        <v>0</v>
      </c>
      <c r="F179" s="114">
        <f>SUM(F173:F178)-F150</f>
        <v>0</v>
      </c>
      <c r="G179" s="114">
        <f>SUM(G173:G178)-G150</f>
        <v>0</v>
      </c>
      <c r="H179" s="91"/>
    </row>
    <row r="181" spans="2:9">
      <c r="C181" s="46" t="s">
        <v>74</v>
      </c>
      <c r="D181" s="90"/>
      <c r="E181" s="90"/>
      <c r="F181" s="90"/>
      <c r="G181" s="90"/>
      <c r="H181" s="91"/>
    </row>
    <row r="182" spans="2:9">
      <c r="C182" s="85" t="s">
        <v>914</v>
      </c>
      <c r="D182" s="21"/>
      <c r="E182" s="212">
        <f>IF(E173=0,0,ROUND(E$149*E173/SUM(E$173:E$178),0))</f>
        <v>4656</v>
      </c>
      <c r="F182" s="212">
        <f>IF(F173=0,0,ROUND(F$149*F173/SUM(F$173:F$178),0))</f>
        <v>3957</v>
      </c>
      <c r="G182" s="212">
        <f>IF(G173=0,0,ROUND(G$149*G173/SUM(G$173:G$178),0))</f>
        <v>3026</v>
      </c>
      <c r="H182" s="213">
        <f>SUM(E182:G182)</f>
        <v>11639</v>
      </c>
    </row>
    <row r="183" spans="2:9">
      <c r="C183" s="85" t="s">
        <v>701</v>
      </c>
      <c r="D183" s="21"/>
      <c r="E183" s="212">
        <f t="shared" ref="E183:G186" si="10">IF(E174=0,0,ROUND(E$149*E174/SUM(E$173:E$178),0))</f>
        <v>0</v>
      </c>
      <c r="F183" s="212">
        <f t="shared" si="10"/>
        <v>0</v>
      </c>
      <c r="G183" s="212">
        <f t="shared" si="10"/>
        <v>0</v>
      </c>
      <c r="H183" s="213">
        <f>SUM(E183:G183)</f>
        <v>0</v>
      </c>
    </row>
    <row r="184" spans="2:9">
      <c r="C184" s="85" t="s">
        <v>702</v>
      </c>
      <c r="D184" s="21"/>
      <c r="E184" s="212">
        <f t="shared" si="10"/>
        <v>0</v>
      </c>
      <c r="F184" s="212">
        <f t="shared" si="10"/>
        <v>0</v>
      </c>
      <c r="G184" s="212">
        <f t="shared" si="10"/>
        <v>0</v>
      </c>
      <c r="H184" s="213">
        <f>SUM(E184:G184)</f>
        <v>0</v>
      </c>
    </row>
    <row r="185" spans="2:9">
      <c r="C185" s="85" t="s">
        <v>704</v>
      </c>
      <c r="D185" s="21"/>
      <c r="E185" s="212">
        <f t="shared" si="10"/>
        <v>0</v>
      </c>
      <c r="F185" s="212">
        <f t="shared" si="10"/>
        <v>0</v>
      </c>
      <c r="G185" s="212">
        <f t="shared" si="10"/>
        <v>0</v>
      </c>
      <c r="H185" s="213">
        <f>SUM(E185:G185)</f>
        <v>0</v>
      </c>
    </row>
    <row r="186" spans="2:9">
      <c r="C186" s="85" t="s">
        <v>705</v>
      </c>
      <c r="D186" s="21"/>
      <c r="E186" s="212">
        <f t="shared" si="10"/>
        <v>0</v>
      </c>
      <c r="F186" s="212">
        <f t="shared" si="10"/>
        <v>0</v>
      </c>
      <c r="G186" s="212">
        <f t="shared" si="10"/>
        <v>0</v>
      </c>
      <c r="H186" s="213">
        <f>SUM(E186:G186)</f>
        <v>0</v>
      </c>
    </row>
    <row r="187" spans="2:9">
      <c r="C187" s="184"/>
      <c r="D187" s="185"/>
      <c r="E187" s="185"/>
      <c r="F187" s="185"/>
      <c r="G187" s="185"/>
      <c r="H187" s="186"/>
    </row>
    <row r="188" spans="2:9">
      <c r="C188" s="46" t="s">
        <v>75</v>
      </c>
      <c r="D188" s="57"/>
      <c r="E188" s="199">
        <f>SUM(E182:E187)</f>
        <v>4656</v>
      </c>
      <c r="F188" s="199">
        <f>SUM(F182:F187)</f>
        <v>3957</v>
      </c>
      <c r="G188" s="199">
        <f>SUM(G182:G187)</f>
        <v>3026</v>
      </c>
      <c r="H188" s="214">
        <f>SUM(H182:H187)</f>
        <v>11639</v>
      </c>
      <c r="I188" s="198" t="s">
        <v>28</v>
      </c>
    </row>
    <row r="189" spans="2:9">
      <c r="C189" s="64" t="s">
        <v>714</v>
      </c>
      <c r="D189" s="61"/>
      <c r="E189" s="115">
        <f>IF(SUM($E$182:$G$187)&gt;0,SUM(E182:E187)/SUM($E$182:$G$187),0)</f>
        <v>0.40003436721367813</v>
      </c>
      <c r="F189" s="115">
        <f>IF(SUM($E$182:$G$187)&gt;0,SUM(F182:F187)/SUM($E$182:$G$187),0)</f>
        <v>0.33997766131110918</v>
      </c>
      <c r="G189" s="115">
        <f>IF(SUM($E$182:$G$187)&gt;0,SUM(G182:G187)/SUM($E$182:$G$187),0)</f>
        <v>0.25998797147521263</v>
      </c>
      <c r="H189" s="93"/>
    </row>
    <row r="191" spans="2:9" ht="12" thickBot="1"/>
    <row r="192" spans="2:9" ht="12" thickBot="1">
      <c r="B192" t="s">
        <v>30</v>
      </c>
      <c r="C192" s="281" t="s">
        <v>1392</v>
      </c>
      <c r="D192" s="152"/>
      <c r="E192" s="148"/>
      <c r="F192" s="148"/>
      <c r="G192" s="149"/>
      <c r="H192" s="149"/>
      <c r="I192" s="48"/>
    </row>
    <row r="193" spans="2:9" ht="12" thickBot="1">
      <c r="C193" s="150" t="s">
        <v>713</v>
      </c>
      <c r="D193" s="153">
        <v>80424.56</v>
      </c>
      <c r="E193" s="152"/>
      <c r="F193" s="154"/>
      <c r="G193" s="152"/>
      <c r="H193" s="155">
        <v>80424.56</v>
      </c>
      <c r="I193" s="48"/>
    </row>
    <row r="194" spans="2:9">
      <c r="C194" s="156" t="s">
        <v>49</v>
      </c>
      <c r="D194" s="157"/>
      <c r="E194" s="151" t="s">
        <v>1231</v>
      </c>
      <c r="F194" s="151" t="s">
        <v>1232</v>
      </c>
      <c r="G194" s="151" t="s">
        <v>1233</v>
      </c>
      <c r="H194" s="151"/>
      <c r="I194" s="51"/>
    </row>
    <row r="195" spans="2:9">
      <c r="B195" s="698">
        <f>RANK(D195,$D$195:$D$206)</f>
        <v>2</v>
      </c>
      <c r="C195" s="697" t="s">
        <v>288</v>
      </c>
      <c r="D195" s="696">
        <v>9</v>
      </c>
      <c r="E195" s="695">
        <v>7.4531999751325957</v>
      </c>
      <c r="F195" s="694">
        <v>0.53499492151113426</v>
      </c>
      <c r="G195" s="694">
        <v>6.5694989996215849</v>
      </c>
      <c r="H195" s="693">
        <v>14.557693896265315</v>
      </c>
      <c r="I195" s="51"/>
    </row>
    <row r="196" spans="2:9">
      <c r="B196" s="698">
        <f t="shared" ref="B196:B204" si="11">RANK(D196,$D$195:$D$206)</f>
        <v>3</v>
      </c>
      <c r="C196" s="697" t="s">
        <v>1759</v>
      </c>
      <c r="D196" s="696">
        <v>8</v>
      </c>
      <c r="E196" s="692">
        <v>2.8946944393270515</v>
      </c>
      <c r="F196" s="691">
        <v>2.8946944393270515</v>
      </c>
      <c r="G196" s="691">
        <v>6.0819995112521861</v>
      </c>
      <c r="H196" s="690">
        <v>11.87138838990629</v>
      </c>
      <c r="I196" s="51"/>
    </row>
    <row r="197" spans="2:9">
      <c r="B197" s="698">
        <f t="shared" si="11"/>
        <v>1</v>
      </c>
      <c r="C197" s="697" t="s">
        <v>1274</v>
      </c>
      <c r="D197" s="696">
        <v>10</v>
      </c>
      <c r="E197" s="692">
        <v>2.3975006109347676</v>
      </c>
      <c r="F197" s="691">
        <v>6.3816319508411858</v>
      </c>
      <c r="G197" s="691">
        <v>6.3816319508411858</v>
      </c>
      <c r="H197" s="690">
        <v>15.160764512617138</v>
      </c>
      <c r="I197" s="51"/>
    </row>
    <row r="198" spans="2:9">
      <c r="B198" s="698">
        <f t="shared" si="11"/>
        <v>6</v>
      </c>
      <c r="C198" s="697" t="s">
        <v>1226</v>
      </c>
      <c r="D198" s="696">
        <v>5</v>
      </c>
      <c r="E198" s="692">
        <v>1.8091840245794071</v>
      </c>
      <c r="F198" s="691">
        <v>1.8091840245794071</v>
      </c>
      <c r="G198" s="691">
        <v>3.8012496945326162</v>
      </c>
      <c r="H198" s="690">
        <v>7.4196177436914308</v>
      </c>
      <c r="I198" s="51"/>
    </row>
    <row r="199" spans="2:9">
      <c r="B199" s="698">
        <f t="shared" si="11"/>
        <v>4</v>
      </c>
      <c r="C199" s="697" t="s">
        <v>2134</v>
      </c>
      <c r="D199" s="696">
        <v>7</v>
      </c>
      <c r="E199" s="692">
        <v>3.5</v>
      </c>
      <c r="F199" s="691">
        <v>1.8910198111259695</v>
      </c>
      <c r="G199" s="691">
        <v>5.1089801888740309</v>
      </c>
      <c r="H199" s="690">
        <v>10.5</v>
      </c>
      <c r="I199" s="51"/>
    </row>
    <row r="200" spans="2:9">
      <c r="B200" s="698">
        <f t="shared" si="11"/>
        <v>5</v>
      </c>
      <c r="C200" s="697" t="s">
        <v>2135</v>
      </c>
      <c r="D200" s="696">
        <v>6</v>
      </c>
      <c r="E200" s="692">
        <v>3</v>
      </c>
      <c r="F200" s="691">
        <v>3</v>
      </c>
      <c r="G200" s="691">
        <v>3</v>
      </c>
      <c r="H200" s="690">
        <v>9</v>
      </c>
      <c r="I200" s="51"/>
    </row>
    <row r="201" spans="2:9">
      <c r="B201" s="698">
        <f t="shared" si="11"/>
        <v>7</v>
      </c>
      <c r="C201" s="697" t="s">
        <v>2136</v>
      </c>
      <c r="D201" s="696">
        <v>0</v>
      </c>
      <c r="E201" s="692">
        <v>0</v>
      </c>
      <c r="F201" s="691">
        <v>0</v>
      </c>
      <c r="G201" s="691">
        <v>0</v>
      </c>
      <c r="H201" s="690">
        <v>0</v>
      </c>
      <c r="I201" s="51"/>
    </row>
    <row r="202" spans="2:9">
      <c r="B202" s="698">
        <f t="shared" si="11"/>
        <v>7</v>
      </c>
      <c r="C202" s="697" t="s">
        <v>2136</v>
      </c>
      <c r="D202" s="696">
        <v>0</v>
      </c>
      <c r="E202" s="692">
        <v>0</v>
      </c>
      <c r="F202" s="691">
        <v>0</v>
      </c>
      <c r="G202" s="691">
        <v>0</v>
      </c>
      <c r="H202" s="690">
        <v>0</v>
      </c>
      <c r="I202" s="51"/>
    </row>
    <row r="203" spans="2:9">
      <c r="B203" s="698">
        <f t="shared" si="11"/>
        <v>7</v>
      </c>
      <c r="C203" s="697" t="s">
        <v>2136</v>
      </c>
      <c r="D203" s="696">
        <v>0</v>
      </c>
      <c r="E203" s="692">
        <v>0</v>
      </c>
      <c r="F203" s="691">
        <v>0</v>
      </c>
      <c r="G203" s="691">
        <v>0</v>
      </c>
      <c r="H203" s="690">
        <v>0</v>
      </c>
      <c r="I203" s="51"/>
    </row>
    <row r="204" spans="2:9">
      <c r="B204" s="698">
        <f t="shared" si="11"/>
        <v>7</v>
      </c>
      <c r="C204" s="697" t="s">
        <v>2136</v>
      </c>
      <c r="D204" s="696">
        <v>0</v>
      </c>
      <c r="E204" s="692">
        <v>0</v>
      </c>
      <c r="F204" s="691">
        <v>0</v>
      </c>
      <c r="G204" s="691">
        <v>0</v>
      </c>
      <c r="H204" s="690">
        <v>0</v>
      </c>
      <c r="I204" s="51"/>
    </row>
    <row r="205" spans="2:9">
      <c r="B205" s="698">
        <v>99</v>
      </c>
      <c r="C205" s="689" t="s">
        <v>451</v>
      </c>
      <c r="D205" s="688"/>
      <c r="E205" s="687">
        <v>0</v>
      </c>
      <c r="F205" s="686">
        <v>0</v>
      </c>
      <c r="G205" s="686">
        <v>0</v>
      </c>
      <c r="H205" s="690">
        <v>0</v>
      </c>
      <c r="I205" s="51"/>
    </row>
    <row r="206" spans="2:9" ht="12" thickBot="1">
      <c r="B206" s="698">
        <v>100</v>
      </c>
      <c r="C206" s="697" t="s">
        <v>50</v>
      </c>
      <c r="D206" s="688"/>
      <c r="E206" s="685">
        <v>21.054579049973825</v>
      </c>
      <c r="F206" s="684">
        <v>16.511525147384749</v>
      </c>
      <c r="G206" s="684">
        <v>30.943360345121604</v>
      </c>
      <c r="H206" s="683">
        <v>68.509464542480174</v>
      </c>
      <c r="I206" s="51"/>
    </row>
    <row r="207" spans="2:9">
      <c r="C207" s="49" t="s">
        <v>60</v>
      </c>
      <c r="D207" s="37"/>
      <c r="E207" s="37">
        <v>2</v>
      </c>
      <c r="F207" s="37">
        <v>3</v>
      </c>
      <c r="G207" s="37">
        <v>1</v>
      </c>
      <c r="H207" s="37"/>
      <c r="I207" s="51"/>
    </row>
    <row r="208" spans="2:9" ht="12" thickBot="1">
      <c r="C208" s="53" t="s">
        <v>714</v>
      </c>
      <c r="D208" s="47"/>
      <c r="E208" s="54">
        <v>0.4</v>
      </c>
      <c r="F208" s="54">
        <v>0.34</v>
      </c>
      <c r="G208" s="54">
        <v>0.26</v>
      </c>
      <c r="H208" s="55">
        <v>80424.56</v>
      </c>
      <c r="I208" s="56" t="s">
        <v>25</v>
      </c>
    </row>
    <row r="209" spans="2:9" ht="12" thickBot="1">
      <c r="C209" t="s">
        <v>714</v>
      </c>
      <c r="E209">
        <v>0.2</v>
      </c>
      <c r="F209">
        <v>0.2</v>
      </c>
      <c r="G209">
        <v>0.2</v>
      </c>
      <c r="H209">
        <v>450001</v>
      </c>
      <c r="I209" t="s">
        <v>25</v>
      </c>
    </row>
    <row r="210" spans="2:9" ht="12" thickBot="1">
      <c r="B210" t="s">
        <v>475</v>
      </c>
      <c r="C210" s="281" t="s">
        <v>394</v>
      </c>
      <c r="D210" s="152"/>
      <c r="E210" s="148"/>
      <c r="F210" s="148"/>
      <c r="G210" s="149"/>
      <c r="H210" s="149"/>
      <c r="I210" s="48"/>
    </row>
    <row r="211" spans="2:9" ht="12" thickBot="1">
      <c r="C211" s="150" t="s">
        <v>713</v>
      </c>
      <c r="D211" s="153">
        <v>450001</v>
      </c>
      <c r="E211" s="152"/>
      <c r="F211" s="154"/>
      <c r="G211" s="152"/>
      <c r="H211" s="155">
        <v>450001</v>
      </c>
      <c r="I211" s="48"/>
    </row>
    <row r="212" spans="2:9">
      <c r="C212" s="156" t="s">
        <v>49</v>
      </c>
      <c r="D212" s="157"/>
      <c r="E212" s="151" t="s">
        <v>1231</v>
      </c>
      <c r="F212" s="151" t="s">
        <v>1232</v>
      </c>
      <c r="G212" s="151" t="s">
        <v>1233</v>
      </c>
      <c r="H212" s="151"/>
      <c r="I212" s="51"/>
    </row>
    <row r="213" spans="2:9">
      <c r="C213" s="49" t="s">
        <v>288</v>
      </c>
      <c r="D213" s="38">
        <v>10</v>
      </c>
      <c r="E213" s="161">
        <v>5.0000000021827917</v>
      </c>
      <c r="F213" s="44">
        <v>5.0000000021827917</v>
      </c>
      <c r="G213" s="44">
        <v>5.0000000021827917</v>
      </c>
      <c r="H213" s="50">
        <v>25.000000010913958</v>
      </c>
      <c r="I213" s="51"/>
    </row>
    <row r="214" spans="2:9">
      <c r="C214" s="49" t="s">
        <v>290</v>
      </c>
      <c r="D214" s="38">
        <v>8</v>
      </c>
      <c r="E214" s="162">
        <v>3.9999999982537666</v>
      </c>
      <c r="F214" s="45">
        <v>3.9999999982537666</v>
      </c>
      <c r="G214" s="45">
        <v>3.9999999982537666</v>
      </c>
      <c r="H214" s="52">
        <v>19.999999991268833</v>
      </c>
      <c r="I214" s="51"/>
    </row>
    <row r="215" spans="2:9">
      <c r="C215" s="49" t="s">
        <v>1212</v>
      </c>
      <c r="D215" s="38">
        <v>5</v>
      </c>
      <c r="E215" s="162">
        <v>0</v>
      </c>
      <c r="F215" s="45">
        <v>0</v>
      </c>
      <c r="G215" s="45">
        <v>0</v>
      </c>
      <c r="H215" s="52">
        <v>0</v>
      </c>
      <c r="I215" s="51"/>
    </row>
    <row r="216" spans="2:9">
      <c r="C216" s="49" t="s">
        <v>910</v>
      </c>
      <c r="D216" s="38">
        <v>1</v>
      </c>
      <c r="E216" s="162">
        <v>0</v>
      </c>
      <c r="F216" s="45">
        <v>0</v>
      </c>
      <c r="G216" s="45">
        <v>0</v>
      </c>
      <c r="H216" s="52">
        <v>0</v>
      </c>
      <c r="I216" s="51"/>
    </row>
    <row r="217" spans="2:9">
      <c r="C217" s="49" t="s">
        <v>911</v>
      </c>
      <c r="D217" s="38">
        <v>1</v>
      </c>
      <c r="E217" s="162">
        <v>0</v>
      </c>
      <c r="F217" s="45">
        <v>0</v>
      </c>
      <c r="G217" s="45">
        <v>0</v>
      </c>
      <c r="H217" s="52">
        <v>0</v>
      </c>
      <c r="I217" s="51"/>
    </row>
    <row r="218" spans="2:9">
      <c r="C218" s="49" t="s">
        <v>912</v>
      </c>
      <c r="D218" s="38">
        <v>1</v>
      </c>
      <c r="E218" s="162">
        <v>0</v>
      </c>
      <c r="F218" s="45">
        <v>0</v>
      </c>
      <c r="G218" s="45">
        <v>0</v>
      </c>
      <c r="H218" s="52">
        <v>0</v>
      </c>
      <c r="I218" s="51"/>
    </row>
    <row r="219" spans="2:9">
      <c r="C219" s="49" t="s">
        <v>710</v>
      </c>
      <c r="D219" s="38">
        <v>1</v>
      </c>
      <c r="E219" s="162">
        <v>0</v>
      </c>
      <c r="F219" s="45">
        <v>0</v>
      </c>
      <c r="G219" s="45">
        <v>0</v>
      </c>
      <c r="H219" s="52">
        <v>0</v>
      </c>
      <c r="I219" s="51"/>
    </row>
    <row r="220" spans="2:9">
      <c r="C220" s="49" t="s">
        <v>809</v>
      </c>
      <c r="D220" s="38">
        <v>1</v>
      </c>
      <c r="E220" s="162">
        <v>0</v>
      </c>
      <c r="F220" s="45">
        <v>0</v>
      </c>
      <c r="G220" s="45">
        <v>0</v>
      </c>
      <c r="H220" s="52">
        <v>0</v>
      </c>
      <c r="I220" s="51"/>
    </row>
    <row r="221" spans="2:9">
      <c r="C221" s="49" t="s">
        <v>811</v>
      </c>
      <c r="D221" s="38">
        <v>1</v>
      </c>
      <c r="E221" s="162">
        <v>0</v>
      </c>
      <c r="F221" s="45">
        <v>0</v>
      </c>
      <c r="G221" s="45">
        <v>0</v>
      </c>
      <c r="H221" s="52">
        <v>0</v>
      </c>
      <c r="I221" s="51"/>
    </row>
    <row r="222" spans="2:9">
      <c r="C222" s="49" t="s">
        <v>195</v>
      </c>
      <c r="D222" s="38">
        <v>1</v>
      </c>
      <c r="E222" s="162">
        <v>0</v>
      </c>
      <c r="F222" s="45">
        <v>0</v>
      </c>
      <c r="G222" s="45">
        <v>0</v>
      </c>
      <c r="H222" s="52">
        <v>0</v>
      </c>
      <c r="I222" s="51"/>
    </row>
    <row r="223" spans="2:9">
      <c r="C223" s="145" t="s">
        <v>451</v>
      </c>
      <c r="D223" s="37"/>
      <c r="E223" s="163">
        <v>0</v>
      </c>
      <c r="F223" s="63">
        <v>0</v>
      </c>
      <c r="G223" s="63">
        <v>0</v>
      </c>
      <c r="H223" s="52">
        <v>0</v>
      </c>
      <c r="I223" s="51"/>
    </row>
    <row r="224" spans="2:9" ht="12" thickBot="1">
      <c r="C224" s="49" t="s">
        <v>50</v>
      </c>
      <c r="D224" s="37"/>
      <c r="E224" s="159">
        <v>9.0000000004365575</v>
      </c>
      <c r="F224" s="160">
        <v>9.0000000004365575</v>
      </c>
      <c r="G224" s="160">
        <v>9.0000000004365575</v>
      </c>
      <c r="H224" s="147">
        <v>45.000000002182787</v>
      </c>
      <c r="I224" s="51"/>
    </row>
    <row r="225" spans="2:9">
      <c r="C225" s="49" t="s">
        <v>60</v>
      </c>
      <c r="D225" s="37"/>
      <c r="E225" s="37">
        <v>1</v>
      </c>
      <c r="F225" s="37">
        <v>1</v>
      </c>
      <c r="G225" s="37">
        <v>1</v>
      </c>
      <c r="H225" s="37"/>
      <c r="I225" s="51"/>
    </row>
    <row r="226" spans="2:9" ht="12" thickBot="1">
      <c r="C226" s="53" t="s">
        <v>714</v>
      </c>
      <c r="D226" s="47"/>
      <c r="E226" s="54">
        <v>0.2</v>
      </c>
      <c r="F226" s="54">
        <v>0.2</v>
      </c>
      <c r="G226" s="54">
        <v>0.2</v>
      </c>
      <c r="H226" s="55">
        <v>450001</v>
      </c>
      <c r="I226" s="56" t="s">
        <v>25</v>
      </c>
    </row>
    <row r="227" spans="2:9" ht="12" thickBot="1">
      <c r="C227" t="s">
        <v>714</v>
      </c>
      <c r="E227">
        <v>0.2</v>
      </c>
      <c r="F227">
        <v>0.2</v>
      </c>
      <c r="G227">
        <v>0.2</v>
      </c>
      <c r="H227">
        <v>450001</v>
      </c>
      <c r="I227" t="s">
        <v>25</v>
      </c>
    </row>
    <row r="228" spans="2:9" ht="12" thickBot="1">
      <c r="B228" t="s">
        <v>769</v>
      </c>
      <c r="C228" s="281" t="s">
        <v>394</v>
      </c>
      <c r="D228" s="152"/>
      <c r="E228" s="148"/>
      <c r="F228" s="148"/>
      <c r="G228" s="149"/>
      <c r="H228" s="149"/>
      <c r="I228" s="48"/>
    </row>
    <row r="229" spans="2:9" ht="12" thickBot="1">
      <c r="C229" s="150" t="s">
        <v>713</v>
      </c>
      <c r="D229" s="153">
        <v>450001</v>
      </c>
      <c r="E229" s="152"/>
      <c r="F229" s="154"/>
      <c r="G229" s="152"/>
      <c r="H229" s="155">
        <v>450001</v>
      </c>
      <c r="I229" s="48"/>
    </row>
    <row r="230" spans="2:9">
      <c r="C230" s="156" t="s">
        <v>49</v>
      </c>
      <c r="D230" s="157"/>
      <c r="E230" s="151" t="s">
        <v>1231</v>
      </c>
      <c r="F230" s="151" t="s">
        <v>1232</v>
      </c>
      <c r="G230" s="151" t="s">
        <v>1233</v>
      </c>
      <c r="H230" s="151"/>
      <c r="I230" s="51"/>
    </row>
    <row r="231" spans="2:9">
      <c r="C231" s="49" t="s">
        <v>288</v>
      </c>
      <c r="D231" s="38">
        <v>10</v>
      </c>
      <c r="E231" s="161">
        <v>5.0000000021827917</v>
      </c>
      <c r="F231" s="44">
        <v>5.0000000021827917</v>
      </c>
      <c r="G231" s="44">
        <v>5.0000000021827917</v>
      </c>
      <c r="H231" s="50">
        <v>25.000000010913958</v>
      </c>
      <c r="I231" s="51"/>
    </row>
    <row r="232" spans="2:9">
      <c r="C232" s="49" t="s">
        <v>290</v>
      </c>
      <c r="D232" s="38">
        <v>8</v>
      </c>
      <c r="E232" s="162">
        <v>3.9999999982537666</v>
      </c>
      <c r="F232" s="45">
        <v>3.9999999982537666</v>
      </c>
      <c r="G232" s="45">
        <v>3.9999999982537666</v>
      </c>
      <c r="H232" s="52">
        <v>19.999999991268833</v>
      </c>
      <c r="I232" s="51"/>
    </row>
    <row r="233" spans="2:9">
      <c r="C233" s="49" t="s">
        <v>1212</v>
      </c>
      <c r="D233" s="38">
        <v>5</v>
      </c>
      <c r="E233" s="162">
        <v>0</v>
      </c>
      <c r="F233" s="45">
        <v>0</v>
      </c>
      <c r="G233" s="45">
        <v>0</v>
      </c>
      <c r="H233" s="52">
        <v>0</v>
      </c>
      <c r="I233" s="51"/>
    </row>
    <row r="234" spans="2:9">
      <c r="C234" s="49" t="s">
        <v>910</v>
      </c>
      <c r="D234" s="38">
        <v>1</v>
      </c>
      <c r="E234" s="162">
        <v>0</v>
      </c>
      <c r="F234" s="45">
        <v>0</v>
      </c>
      <c r="G234" s="45">
        <v>0</v>
      </c>
      <c r="H234" s="52">
        <v>0</v>
      </c>
      <c r="I234" s="51"/>
    </row>
    <row r="235" spans="2:9">
      <c r="C235" s="49" t="s">
        <v>911</v>
      </c>
      <c r="D235" s="38">
        <v>1</v>
      </c>
      <c r="E235" s="162">
        <v>0</v>
      </c>
      <c r="F235" s="45">
        <v>0</v>
      </c>
      <c r="G235" s="45">
        <v>0</v>
      </c>
      <c r="H235" s="52">
        <v>0</v>
      </c>
      <c r="I235" s="51"/>
    </row>
    <row r="236" spans="2:9">
      <c r="C236" s="49" t="s">
        <v>912</v>
      </c>
      <c r="D236" s="38">
        <v>1</v>
      </c>
      <c r="E236" s="162">
        <v>0</v>
      </c>
      <c r="F236" s="45">
        <v>0</v>
      </c>
      <c r="G236" s="45">
        <v>0</v>
      </c>
      <c r="H236" s="52">
        <v>0</v>
      </c>
      <c r="I236" s="51"/>
    </row>
    <row r="237" spans="2:9">
      <c r="C237" s="49" t="s">
        <v>710</v>
      </c>
      <c r="D237" s="38">
        <v>1</v>
      </c>
      <c r="E237" s="162">
        <v>0</v>
      </c>
      <c r="F237" s="45">
        <v>0</v>
      </c>
      <c r="G237" s="45">
        <v>0</v>
      </c>
      <c r="H237" s="52">
        <v>0</v>
      </c>
      <c r="I237" s="51"/>
    </row>
    <row r="238" spans="2:9">
      <c r="C238" s="49" t="s">
        <v>809</v>
      </c>
      <c r="D238" s="38">
        <v>1</v>
      </c>
      <c r="E238" s="162">
        <v>0</v>
      </c>
      <c r="F238" s="45">
        <v>0</v>
      </c>
      <c r="G238" s="45">
        <v>0</v>
      </c>
      <c r="H238" s="52">
        <v>0</v>
      </c>
      <c r="I238" s="51"/>
    </row>
    <row r="239" spans="2:9">
      <c r="C239" s="49" t="s">
        <v>811</v>
      </c>
      <c r="D239" s="38">
        <v>1</v>
      </c>
      <c r="E239" s="162">
        <v>0</v>
      </c>
      <c r="F239" s="45">
        <v>0</v>
      </c>
      <c r="G239" s="45">
        <v>0</v>
      </c>
      <c r="H239" s="52">
        <v>0</v>
      </c>
      <c r="I239" s="51"/>
    </row>
    <row r="240" spans="2:9">
      <c r="C240" s="49" t="s">
        <v>195</v>
      </c>
      <c r="D240" s="38">
        <v>1</v>
      </c>
      <c r="E240" s="162">
        <v>0</v>
      </c>
      <c r="F240" s="45">
        <v>0</v>
      </c>
      <c r="G240" s="45">
        <v>0</v>
      </c>
      <c r="H240" s="52">
        <v>0</v>
      </c>
      <c r="I240" s="51"/>
    </row>
    <row r="241" spans="2:9">
      <c r="C241" s="145" t="s">
        <v>451</v>
      </c>
      <c r="D241" s="37"/>
      <c r="E241" s="163">
        <v>0</v>
      </c>
      <c r="F241" s="63">
        <v>0</v>
      </c>
      <c r="G241" s="63">
        <v>0</v>
      </c>
      <c r="H241" s="52">
        <v>0</v>
      </c>
      <c r="I241" s="51"/>
    </row>
    <row r="242" spans="2:9" ht="12" thickBot="1">
      <c r="C242" s="49" t="s">
        <v>50</v>
      </c>
      <c r="D242" s="37"/>
      <c r="E242" s="159">
        <v>9.0000000004365575</v>
      </c>
      <c r="F242" s="160">
        <v>9.0000000004365575</v>
      </c>
      <c r="G242" s="160">
        <v>9.0000000004365575</v>
      </c>
      <c r="H242" s="147">
        <v>45.000000002182787</v>
      </c>
      <c r="I242" s="51"/>
    </row>
    <row r="243" spans="2:9">
      <c r="C243" s="49" t="s">
        <v>60</v>
      </c>
      <c r="D243" s="37"/>
      <c r="E243" s="37">
        <v>1</v>
      </c>
      <c r="F243" s="37">
        <v>1</v>
      </c>
      <c r="G243" s="37">
        <v>1</v>
      </c>
      <c r="H243" s="37"/>
      <c r="I243" s="51"/>
    </row>
    <row r="244" spans="2:9" ht="12" thickBot="1">
      <c r="C244" s="53" t="s">
        <v>714</v>
      </c>
      <c r="D244" s="47"/>
      <c r="E244" s="54">
        <v>0.2</v>
      </c>
      <c r="F244" s="54">
        <v>0.2</v>
      </c>
      <c r="G244" s="54">
        <v>0.2</v>
      </c>
      <c r="H244" s="55">
        <v>450001</v>
      </c>
      <c r="I244" s="56" t="s">
        <v>25</v>
      </c>
    </row>
    <row r="245" spans="2:9" ht="12" thickBot="1">
      <c r="C245" t="s">
        <v>714</v>
      </c>
      <c r="E245">
        <v>0.2</v>
      </c>
      <c r="F245">
        <v>0.2</v>
      </c>
      <c r="G245">
        <v>0.2</v>
      </c>
      <c r="H245">
        <v>450001</v>
      </c>
      <c r="I245" t="s">
        <v>25</v>
      </c>
    </row>
    <row r="246" spans="2:9" ht="12" thickBot="1">
      <c r="B246" t="s">
        <v>768</v>
      </c>
      <c r="C246" s="281" t="s">
        <v>394</v>
      </c>
      <c r="D246" s="152"/>
      <c r="E246" s="148"/>
      <c r="F246" s="148"/>
      <c r="G246" s="149"/>
      <c r="H246" s="149"/>
      <c r="I246" s="48"/>
    </row>
    <row r="247" spans="2:9" ht="12" thickBot="1">
      <c r="C247" s="150" t="s">
        <v>713</v>
      </c>
      <c r="D247" s="153">
        <v>450001</v>
      </c>
      <c r="E247" s="152"/>
      <c r="F247" s="154"/>
      <c r="G247" s="152"/>
      <c r="H247" s="155">
        <v>450001</v>
      </c>
      <c r="I247" s="48"/>
    </row>
    <row r="248" spans="2:9">
      <c r="C248" s="156" t="s">
        <v>49</v>
      </c>
      <c r="D248" s="157"/>
      <c r="E248" s="151" t="s">
        <v>1231</v>
      </c>
      <c r="F248" s="151" t="s">
        <v>1232</v>
      </c>
      <c r="G248" s="151" t="s">
        <v>1233</v>
      </c>
      <c r="H248" s="151"/>
      <c r="I248" s="51"/>
    </row>
    <row r="249" spans="2:9">
      <c r="C249" s="49" t="s">
        <v>288</v>
      </c>
      <c r="D249" s="38">
        <v>10</v>
      </c>
      <c r="E249" s="161">
        <v>5.0000000021827917</v>
      </c>
      <c r="F249" s="44">
        <v>5.0000000021827917</v>
      </c>
      <c r="G249" s="44">
        <v>5.0000000021827917</v>
      </c>
      <c r="H249" s="50">
        <v>25.000000010913958</v>
      </c>
      <c r="I249" s="51"/>
    </row>
    <row r="250" spans="2:9">
      <c r="C250" s="49" t="s">
        <v>290</v>
      </c>
      <c r="D250" s="38">
        <v>8</v>
      </c>
      <c r="E250" s="162">
        <v>3.9999999982537666</v>
      </c>
      <c r="F250" s="45">
        <v>3.9999999982537666</v>
      </c>
      <c r="G250" s="45">
        <v>3.9999999982537666</v>
      </c>
      <c r="H250" s="52">
        <v>19.999999991268833</v>
      </c>
      <c r="I250" s="51"/>
    </row>
    <row r="251" spans="2:9">
      <c r="C251" s="49" t="s">
        <v>1212</v>
      </c>
      <c r="D251" s="38">
        <v>5</v>
      </c>
      <c r="E251" s="162">
        <v>0</v>
      </c>
      <c r="F251" s="45">
        <v>0</v>
      </c>
      <c r="G251" s="45">
        <v>0</v>
      </c>
      <c r="H251" s="52">
        <v>0</v>
      </c>
      <c r="I251" s="51"/>
    </row>
    <row r="252" spans="2:9">
      <c r="C252" s="49" t="s">
        <v>910</v>
      </c>
      <c r="D252" s="38">
        <v>1</v>
      </c>
      <c r="E252" s="162">
        <v>0</v>
      </c>
      <c r="F252" s="45">
        <v>0</v>
      </c>
      <c r="G252" s="45">
        <v>0</v>
      </c>
      <c r="H252" s="52">
        <v>0</v>
      </c>
      <c r="I252" s="51"/>
    </row>
    <row r="253" spans="2:9">
      <c r="C253" s="49" t="s">
        <v>911</v>
      </c>
      <c r="D253" s="38">
        <v>1</v>
      </c>
      <c r="E253" s="162">
        <v>0</v>
      </c>
      <c r="F253" s="45">
        <v>0</v>
      </c>
      <c r="G253" s="45">
        <v>0</v>
      </c>
      <c r="H253" s="52">
        <v>0</v>
      </c>
      <c r="I253" s="51"/>
    </row>
    <row r="254" spans="2:9">
      <c r="C254" s="49" t="s">
        <v>912</v>
      </c>
      <c r="D254" s="38">
        <v>1</v>
      </c>
      <c r="E254" s="162">
        <v>0</v>
      </c>
      <c r="F254" s="45">
        <v>0</v>
      </c>
      <c r="G254" s="45">
        <v>0</v>
      </c>
      <c r="H254" s="52">
        <v>0</v>
      </c>
      <c r="I254" s="51"/>
    </row>
    <row r="255" spans="2:9">
      <c r="C255" s="49" t="s">
        <v>710</v>
      </c>
      <c r="D255" s="38">
        <v>1</v>
      </c>
      <c r="E255" s="162">
        <v>0</v>
      </c>
      <c r="F255" s="45">
        <v>0</v>
      </c>
      <c r="G255" s="45">
        <v>0</v>
      </c>
      <c r="H255" s="52">
        <v>0</v>
      </c>
      <c r="I255" s="51"/>
    </row>
    <row r="256" spans="2:9">
      <c r="C256" s="49" t="s">
        <v>809</v>
      </c>
      <c r="D256" s="38">
        <v>1</v>
      </c>
      <c r="E256" s="162">
        <v>0</v>
      </c>
      <c r="F256" s="45">
        <v>0</v>
      </c>
      <c r="G256" s="45">
        <v>0</v>
      </c>
      <c r="H256" s="52">
        <v>0</v>
      </c>
      <c r="I256" s="51"/>
    </row>
    <row r="257" spans="2:9">
      <c r="C257" s="49" t="s">
        <v>811</v>
      </c>
      <c r="D257" s="38">
        <v>1</v>
      </c>
      <c r="E257" s="162">
        <v>0</v>
      </c>
      <c r="F257" s="45">
        <v>0</v>
      </c>
      <c r="G257" s="45">
        <v>0</v>
      </c>
      <c r="H257" s="52">
        <v>0</v>
      </c>
      <c r="I257" s="51"/>
    </row>
    <row r="258" spans="2:9">
      <c r="C258" s="49" t="s">
        <v>195</v>
      </c>
      <c r="D258" s="38">
        <v>1</v>
      </c>
      <c r="E258" s="162">
        <v>0</v>
      </c>
      <c r="F258" s="45">
        <v>0</v>
      </c>
      <c r="G258" s="45">
        <v>0</v>
      </c>
      <c r="H258" s="52">
        <v>0</v>
      </c>
      <c r="I258" s="51"/>
    </row>
    <row r="259" spans="2:9">
      <c r="C259" s="145" t="s">
        <v>451</v>
      </c>
      <c r="D259" s="37"/>
      <c r="E259" s="163">
        <v>0</v>
      </c>
      <c r="F259" s="63">
        <v>0</v>
      </c>
      <c r="G259" s="63">
        <v>0</v>
      </c>
      <c r="H259" s="52">
        <v>0</v>
      </c>
      <c r="I259" s="51"/>
    </row>
    <row r="260" spans="2:9" ht="12" thickBot="1">
      <c r="C260" s="49" t="s">
        <v>50</v>
      </c>
      <c r="D260" s="37"/>
      <c r="E260" s="159">
        <v>9.0000000004365575</v>
      </c>
      <c r="F260" s="160">
        <v>9.0000000004365575</v>
      </c>
      <c r="G260" s="160">
        <v>9.0000000004365575</v>
      </c>
      <c r="H260" s="147">
        <v>45.000000002182787</v>
      </c>
      <c r="I260" s="51"/>
    </row>
    <row r="261" spans="2:9">
      <c r="C261" s="49" t="s">
        <v>60</v>
      </c>
      <c r="D261" s="37"/>
      <c r="E261" s="37">
        <v>1</v>
      </c>
      <c r="F261" s="37">
        <v>1</v>
      </c>
      <c r="G261" s="37">
        <v>1</v>
      </c>
      <c r="H261" s="37"/>
      <c r="I261" s="51"/>
    </row>
    <row r="262" spans="2:9" ht="12" thickBot="1">
      <c r="C262" s="53" t="s">
        <v>714</v>
      </c>
      <c r="D262" s="47"/>
      <c r="E262" s="54">
        <v>0.2</v>
      </c>
      <c r="F262" s="54">
        <v>0.2</v>
      </c>
      <c r="G262" s="54">
        <v>0.2</v>
      </c>
      <c r="H262" s="55">
        <v>450001</v>
      </c>
      <c r="I262" s="56" t="s">
        <v>25</v>
      </c>
    </row>
    <row r="263" spans="2:9" ht="12" thickBot="1">
      <c r="C263" t="s">
        <v>714</v>
      </c>
      <c r="E263">
        <v>0.2</v>
      </c>
      <c r="F263">
        <v>0.2</v>
      </c>
      <c r="G263">
        <v>0.2</v>
      </c>
      <c r="H263">
        <v>450001</v>
      </c>
      <c r="I263" t="s">
        <v>25</v>
      </c>
    </row>
    <row r="264" spans="2:9" ht="12" thickBot="1">
      <c r="B264" t="s">
        <v>134</v>
      </c>
      <c r="C264" s="281" t="s">
        <v>394</v>
      </c>
      <c r="D264" s="152"/>
      <c r="E264" s="148"/>
      <c r="F264" s="148"/>
      <c r="G264" s="149"/>
      <c r="H264" s="149"/>
      <c r="I264" s="48"/>
    </row>
    <row r="265" spans="2:9" ht="12" thickBot="1">
      <c r="C265" s="150" t="s">
        <v>713</v>
      </c>
      <c r="D265" s="153">
        <v>450001</v>
      </c>
      <c r="E265" s="152"/>
      <c r="F265" s="154"/>
      <c r="G265" s="152"/>
      <c r="H265" s="155">
        <v>450001</v>
      </c>
      <c r="I265" s="48"/>
    </row>
    <row r="266" spans="2:9">
      <c r="C266" s="156" t="s">
        <v>49</v>
      </c>
      <c r="D266" s="157"/>
      <c r="E266" s="151" t="s">
        <v>1231</v>
      </c>
      <c r="F266" s="151" t="s">
        <v>1232</v>
      </c>
      <c r="G266" s="151" t="s">
        <v>1233</v>
      </c>
      <c r="H266" s="151"/>
      <c r="I266" s="51"/>
    </row>
    <row r="267" spans="2:9">
      <c r="C267" s="49" t="s">
        <v>288</v>
      </c>
      <c r="D267" s="38">
        <v>10</v>
      </c>
      <c r="E267" s="161">
        <v>5.0000000021827917</v>
      </c>
      <c r="F267" s="44">
        <v>5.0000000021827917</v>
      </c>
      <c r="G267" s="44">
        <v>5.0000000021827917</v>
      </c>
      <c r="H267" s="50">
        <v>25.000000010913958</v>
      </c>
      <c r="I267" s="51"/>
    </row>
    <row r="268" spans="2:9">
      <c r="C268" s="49" t="s">
        <v>290</v>
      </c>
      <c r="D268" s="38">
        <v>8</v>
      </c>
      <c r="E268" s="162">
        <v>3.9999999982537666</v>
      </c>
      <c r="F268" s="45">
        <v>3.9999999982537666</v>
      </c>
      <c r="G268" s="45">
        <v>3.9999999982537666</v>
      </c>
      <c r="H268" s="52">
        <v>19.999999991268833</v>
      </c>
      <c r="I268" s="51"/>
    </row>
    <row r="269" spans="2:9">
      <c r="C269" s="49" t="s">
        <v>1212</v>
      </c>
      <c r="D269" s="38">
        <v>5</v>
      </c>
      <c r="E269" s="162">
        <v>0</v>
      </c>
      <c r="F269" s="45">
        <v>0</v>
      </c>
      <c r="G269" s="45">
        <v>0</v>
      </c>
      <c r="H269" s="52">
        <v>0</v>
      </c>
      <c r="I269" s="51"/>
    </row>
    <row r="270" spans="2:9">
      <c r="C270" s="49" t="s">
        <v>910</v>
      </c>
      <c r="D270" s="38">
        <v>1</v>
      </c>
      <c r="E270" s="162">
        <v>0</v>
      </c>
      <c r="F270" s="45">
        <v>0</v>
      </c>
      <c r="G270" s="45">
        <v>0</v>
      </c>
      <c r="H270" s="52">
        <v>0</v>
      </c>
      <c r="I270" s="51"/>
    </row>
    <row r="271" spans="2:9">
      <c r="C271" s="49" t="s">
        <v>911</v>
      </c>
      <c r="D271" s="38">
        <v>1</v>
      </c>
      <c r="E271" s="162">
        <v>0</v>
      </c>
      <c r="F271" s="45">
        <v>0</v>
      </c>
      <c r="G271" s="45">
        <v>0</v>
      </c>
      <c r="H271" s="52">
        <v>0</v>
      </c>
      <c r="I271" s="51"/>
    </row>
    <row r="272" spans="2:9">
      <c r="C272" s="49" t="s">
        <v>912</v>
      </c>
      <c r="D272" s="38">
        <v>1</v>
      </c>
      <c r="E272" s="162">
        <v>0</v>
      </c>
      <c r="F272" s="45">
        <v>0</v>
      </c>
      <c r="G272" s="45">
        <v>0</v>
      </c>
      <c r="H272" s="52">
        <v>0</v>
      </c>
      <c r="I272" s="51"/>
    </row>
    <row r="273" spans="1:10">
      <c r="C273" s="49" t="s">
        <v>710</v>
      </c>
      <c r="D273" s="38">
        <v>1</v>
      </c>
      <c r="E273" s="162">
        <v>0</v>
      </c>
      <c r="F273" s="45">
        <v>0</v>
      </c>
      <c r="G273" s="45">
        <v>0</v>
      </c>
      <c r="H273" s="52">
        <v>0</v>
      </c>
      <c r="I273" s="51"/>
    </row>
    <row r="274" spans="1:10">
      <c r="C274" s="49" t="s">
        <v>809</v>
      </c>
      <c r="D274" s="38">
        <v>1</v>
      </c>
      <c r="E274" s="162">
        <v>0</v>
      </c>
      <c r="F274" s="45">
        <v>0</v>
      </c>
      <c r="G274" s="45">
        <v>0</v>
      </c>
      <c r="H274" s="52">
        <v>0</v>
      </c>
      <c r="I274" s="51"/>
    </row>
    <row r="275" spans="1:10">
      <c r="C275" s="49" t="s">
        <v>811</v>
      </c>
      <c r="D275" s="38">
        <v>1</v>
      </c>
      <c r="E275" s="162">
        <v>0</v>
      </c>
      <c r="F275" s="45">
        <v>0</v>
      </c>
      <c r="G275" s="45">
        <v>0</v>
      </c>
      <c r="H275" s="52">
        <v>0</v>
      </c>
      <c r="I275" s="51"/>
    </row>
    <row r="276" spans="1:10">
      <c r="C276" s="49" t="s">
        <v>195</v>
      </c>
      <c r="D276" s="38">
        <v>1</v>
      </c>
      <c r="E276" s="162">
        <v>0</v>
      </c>
      <c r="F276" s="45">
        <v>0</v>
      </c>
      <c r="G276" s="45">
        <v>0</v>
      </c>
      <c r="H276" s="52">
        <v>0</v>
      </c>
      <c r="I276" s="51"/>
    </row>
    <row r="277" spans="1:10">
      <c r="C277" s="145" t="s">
        <v>451</v>
      </c>
      <c r="D277" s="37"/>
      <c r="E277" s="163">
        <v>0</v>
      </c>
      <c r="F277" s="63">
        <v>0</v>
      </c>
      <c r="G277" s="63">
        <v>0</v>
      </c>
      <c r="H277" s="52">
        <v>0</v>
      </c>
      <c r="I277" s="51"/>
    </row>
    <row r="278" spans="1:10" ht="12" thickBot="1">
      <c r="C278" s="49" t="s">
        <v>50</v>
      </c>
      <c r="D278" s="37"/>
      <c r="E278" s="159">
        <v>9.0000000004365575</v>
      </c>
      <c r="F278" s="160">
        <v>9.0000000004365575</v>
      </c>
      <c r="G278" s="160">
        <v>9.0000000004365575</v>
      </c>
      <c r="H278" s="147">
        <v>45.000000002182787</v>
      </c>
      <c r="I278" s="51"/>
    </row>
    <row r="279" spans="1:10">
      <c r="C279" s="49" t="s">
        <v>60</v>
      </c>
      <c r="D279" s="37"/>
      <c r="E279" s="37">
        <v>1</v>
      </c>
      <c r="F279" s="37">
        <v>1</v>
      </c>
      <c r="G279" s="37">
        <v>1</v>
      </c>
      <c r="H279" s="37"/>
      <c r="I279" s="51"/>
    </row>
    <row r="280" spans="1:10" ht="12" thickBot="1">
      <c r="C280" s="53" t="s">
        <v>714</v>
      </c>
      <c r="D280" s="47"/>
      <c r="E280" s="54">
        <v>0.2</v>
      </c>
      <c r="F280" s="54">
        <v>0.2</v>
      </c>
      <c r="G280" s="54">
        <v>0.2</v>
      </c>
      <c r="H280" s="55">
        <v>450001</v>
      </c>
      <c r="I280" s="56" t="s">
        <v>25</v>
      </c>
    </row>
    <row r="281" spans="1:10" ht="12" thickBot="1"/>
    <row r="282" spans="1:10" ht="12" thickBot="1">
      <c r="C282" s="281" t="str">
        <f t="shared" ref="C282:D297" si="12">C192</f>
        <v>Market Model Calculation Segment 1 Transform</v>
      </c>
      <c r="D282" s="253"/>
      <c r="E282" s="254"/>
      <c r="F282" s="254"/>
      <c r="G282" s="255"/>
      <c r="H282" s="255"/>
      <c r="I282" s="256"/>
    </row>
    <row r="283" spans="1:10" ht="12" thickBot="1">
      <c r="C283" s="252" t="str">
        <f t="shared" si="12"/>
        <v>Total  Volume</v>
      </c>
      <c r="D283" s="257"/>
      <c r="E283" s="253"/>
      <c r="F283" s="258"/>
      <c r="G283" s="253"/>
      <c r="H283" s="259"/>
      <c r="I283" s="256"/>
    </row>
    <row r="284" spans="1:10">
      <c r="C284" s="260" t="str">
        <f t="shared" si="12"/>
        <v>Driver Effect</v>
      </c>
      <c r="D284" s="261"/>
      <c r="E284" s="262"/>
      <c r="F284" s="262"/>
      <c r="G284" s="262"/>
      <c r="H284" s="262"/>
      <c r="I284" s="263"/>
    </row>
    <row r="285" spans="1:10">
      <c r="A285" t="s">
        <v>836</v>
      </c>
      <c r="C285" s="485" t="str">
        <f>C33</f>
        <v>Price</v>
      </c>
      <c r="D285" s="264">
        <f t="shared" si="12"/>
        <v>9</v>
      </c>
      <c r="E285" s="499">
        <f t="shared" ref="E285:G295" si="13">(E104-($H104/xxNumOfTeams))/$H$115</f>
        <v>-0.12732040413684087</v>
      </c>
      <c r="F285" s="486">
        <f t="shared" si="13"/>
        <v>-0.19555778992281644</v>
      </c>
      <c r="G285" s="486">
        <f t="shared" si="13"/>
        <v>-8.7331154401756622E-2</v>
      </c>
      <c r="H285" s="268"/>
      <c r="I285" s="263"/>
    </row>
    <row r="286" spans="1:10">
      <c r="A286" t="s">
        <v>837</v>
      </c>
      <c r="B286" s="500">
        <f>IF(C286=0,0,RANK(D286,$D$286:$D$294))</f>
        <v>2</v>
      </c>
      <c r="C286" s="488" t="str">
        <f>C37</f>
        <v>Content</v>
      </c>
      <c r="D286" s="264">
        <f t="shared" si="12"/>
        <v>8</v>
      </c>
      <c r="E286" s="499">
        <f t="shared" si="13"/>
        <v>-0.13176267397462627</v>
      </c>
      <c r="F286" s="486">
        <f t="shared" si="13"/>
        <v>-0.13176267397462627</v>
      </c>
      <c r="G286" s="486">
        <f t="shared" si="13"/>
        <v>-8.4978430091314963E-2</v>
      </c>
      <c r="H286" s="270"/>
      <c r="I286" s="263"/>
      <c r="J286" t="s">
        <v>998</v>
      </c>
    </row>
    <row r="287" spans="1:10">
      <c r="A287" t="s">
        <v>838</v>
      </c>
      <c r="B287" s="500">
        <f t="shared" ref="B287:B294" si="14">IF(C287=0,0,RANK(D287,$D$286:$D$294))</f>
        <v>1</v>
      </c>
      <c r="C287" s="488" t="str">
        <f>C41</f>
        <v>Product Technology</v>
      </c>
      <c r="D287" s="264">
        <f t="shared" si="12"/>
        <v>10</v>
      </c>
      <c r="E287" s="499">
        <f t="shared" si="13"/>
        <v>-0.11349037230696854</v>
      </c>
      <c r="F287" s="486">
        <f t="shared" si="13"/>
        <v>-0.14615925277221997</v>
      </c>
      <c r="G287" s="486">
        <f t="shared" si="13"/>
        <v>-0.18095677320730666</v>
      </c>
      <c r="H287" s="270"/>
      <c r="I287" s="263"/>
    </row>
    <row r="288" spans="1:10">
      <c r="A288" t="s">
        <v>201</v>
      </c>
      <c r="B288" s="500">
        <f t="shared" si="14"/>
        <v>5</v>
      </c>
      <c r="C288" s="488" t="str">
        <f>C45</f>
        <v>Marketing</v>
      </c>
      <c r="D288" s="264">
        <f t="shared" si="12"/>
        <v>5</v>
      </c>
      <c r="E288" s="499">
        <f t="shared" si="13"/>
        <v>-6.5972131013111598E-2</v>
      </c>
      <c r="F288" s="486">
        <f t="shared" si="13"/>
        <v>-6.2913719085857203E-2</v>
      </c>
      <c r="G288" s="486">
        <f t="shared" si="13"/>
        <v>-9.3561298154149874E-2</v>
      </c>
      <c r="H288" s="270"/>
      <c r="I288" s="263"/>
    </row>
    <row r="289" spans="1:9">
      <c r="A289" t="s">
        <v>202</v>
      </c>
      <c r="B289" s="500">
        <f t="shared" si="14"/>
        <v>3</v>
      </c>
      <c r="C289" s="488" t="str">
        <f>C49</f>
        <v>Sales Force</v>
      </c>
      <c r="D289" s="264">
        <f t="shared" si="12"/>
        <v>7</v>
      </c>
      <c r="E289" s="499">
        <f t="shared" si="13"/>
        <v>-9.3921228835623427E-2</v>
      </c>
      <c r="F289" s="486">
        <f t="shared" si="13"/>
        <v>-0.13068659927437651</v>
      </c>
      <c r="G289" s="486">
        <f t="shared" si="13"/>
        <v>-8.6584263042010112E-2</v>
      </c>
      <c r="H289" s="270"/>
      <c r="I289" s="263"/>
    </row>
    <row r="290" spans="1:9">
      <c r="A290" t="s">
        <v>203</v>
      </c>
      <c r="B290" s="500">
        <f t="shared" si="14"/>
        <v>4</v>
      </c>
      <c r="C290" s="488" t="str">
        <f>C53</f>
        <v>Customer Service</v>
      </c>
      <c r="D290" s="264">
        <f t="shared" si="12"/>
        <v>6</v>
      </c>
      <c r="E290" s="499">
        <f t="shared" si="13"/>
        <v>-7.7317684297970368E-2</v>
      </c>
      <c r="F290" s="486">
        <f t="shared" si="13"/>
        <v>-7.7317684297970368E-2</v>
      </c>
      <c r="G290" s="486">
        <f t="shared" si="13"/>
        <v>-0.11240586721045384</v>
      </c>
      <c r="H290" s="270"/>
      <c r="I290" s="263"/>
    </row>
    <row r="291" spans="1:9">
      <c r="A291" t="s">
        <v>204</v>
      </c>
      <c r="B291" s="500">
        <f t="shared" si="14"/>
        <v>6</v>
      </c>
      <c r="C291" s="488" t="str">
        <f>C57</f>
        <v>OPEN</v>
      </c>
      <c r="D291" s="264">
        <f t="shared" si="12"/>
        <v>0</v>
      </c>
      <c r="E291" s="499">
        <f t="shared" si="13"/>
        <v>0</v>
      </c>
      <c r="F291" s="486">
        <f t="shared" si="13"/>
        <v>0</v>
      </c>
      <c r="G291" s="486">
        <f t="shared" si="13"/>
        <v>0</v>
      </c>
      <c r="H291" s="270"/>
      <c r="I291" s="263"/>
    </row>
    <row r="292" spans="1:9">
      <c r="A292" t="s">
        <v>205</v>
      </c>
      <c r="B292" s="500">
        <f t="shared" si="14"/>
        <v>6</v>
      </c>
      <c r="C292" s="488" t="str">
        <f>C61</f>
        <v>OPEN</v>
      </c>
      <c r="D292" s="264">
        <f t="shared" si="12"/>
        <v>0</v>
      </c>
      <c r="E292" s="486">
        <f t="shared" si="13"/>
        <v>0</v>
      </c>
      <c r="F292" s="486">
        <f t="shared" si="13"/>
        <v>0</v>
      </c>
      <c r="G292" s="486">
        <f t="shared" si="13"/>
        <v>0</v>
      </c>
      <c r="H292" s="270"/>
      <c r="I292" s="263"/>
    </row>
    <row r="293" spans="1:9">
      <c r="A293" t="s">
        <v>206</v>
      </c>
      <c r="B293" s="500">
        <f t="shared" si="14"/>
        <v>6</v>
      </c>
      <c r="C293" s="488" t="str">
        <f>C65</f>
        <v>OPEN</v>
      </c>
      <c r="D293" s="264">
        <f t="shared" si="12"/>
        <v>0</v>
      </c>
      <c r="E293" s="486">
        <f t="shared" si="13"/>
        <v>0</v>
      </c>
      <c r="F293" s="486">
        <f t="shared" si="13"/>
        <v>0</v>
      </c>
      <c r="G293" s="486">
        <f t="shared" si="13"/>
        <v>0</v>
      </c>
      <c r="H293" s="270"/>
      <c r="I293" s="263"/>
    </row>
    <row r="294" spans="1:9">
      <c r="A294" t="s">
        <v>207</v>
      </c>
      <c r="B294" s="500">
        <f t="shared" si="14"/>
        <v>6</v>
      </c>
      <c r="C294" s="488" t="str">
        <f>C69</f>
        <v>OPEN</v>
      </c>
      <c r="D294" s="264">
        <f t="shared" si="12"/>
        <v>0</v>
      </c>
      <c r="E294" s="486">
        <f t="shared" si="13"/>
        <v>0</v>
      </c>
      <c r="F294" s="486">
        <f t="shared" si="13"/>
        <v>0</v>
      </c>
      <c r="G294" s="486">
        <f t="shared" si="13"/>
        <v>0</v>
      </c>
      <c r="H294" s="270"/>
      <c r="I294" s="263"/>
    </row>
    <row r="295" spans="1:9">
      <c r="C295" s="271" t="str">
        <f t="shared" si="12"/>
        <v>Special Programs</v>
      </c>
      <c r="D295" s="271">
        <f t="shared" si="12"/>
        <v>0</v>
      </c>
      <c r="E295" s="486">
        <f t="shared" si="13"/>
        <v>0</v>
      </c>
      <c r="F295" s="486">
        <f t="shared" si="13"/>
        <v>0</v>
      </c>
      <c r="G295" s="486">
        <f t="shared" si="13"/>
        <v>0</v>
      </c>
      <c r="H295" s="270"/>
      <c r="I295" s="263"/>
    </row>
    <row r="296" spans="1:9" ht="12" thickBot="1">
      <c r="C296" s="264" t="str">
        <f t="shared" si="12"/>
        <v>Total Effect</v>
      </c>
      <c r="D296" s="143"/>
      <c r="E296" s="274"/>
      <c r="F296" s="275"/>
      <c r="G296" s="275"/>
      <c r="H296" s="276"/>
      <c r="I296" s="263"/>
    </row>
    <row r="297" spans="1:9">
      <c r="C297" s="264" t="str">
        <f t="shared" si="12"/>
        <v>Rank</v>
      </c>
      <c r="D297" s="143"/>
      <c r="E297" s="143"/>
      <c r="F297" s="143"/>
      <c r="G297" s="143"/>
      <c r="H297" s="143"/>
      <c r="I297" s="263"/>
    </row>
    <row r="298" spans="1:9" ht="12" thickBot="1">
      <c r="C298" s="277" t="str">
        <f t="shared" ref="C298:D313" si="15">C208</f>
        <v>Market Share</v>
      </c>
      <c r="D298" s="278"/>
      <c r="E298" s="279"/>
      <c r="F298" s="279"/>
      <c r="G298" s="279"/>
      <c r="H298" s="275"/>
      <c r="I298" s="280"/>
    </row>
    <row r="299" spans="1:9" ht="12" thickBot="1"/>
    <row r="300" spans="1:9" ht="12" thickBot="1">
      <c r="C300" s="281" t="str">
        <f t="shared" si="15"/>
        <v>Market Model Calculation Segment 1 Beta Consumers</v>
      </c>
      <c r="D300" s="253"/>
      <c r="E300" s="254"/>
      <c r="F300" s="254"/>
      <c r="G300" s="255"/>
      <c r="H300" s="255"/>
      <c r="I300" s="256"/>
    </row>
    <row r="301" spans="1:9" ht="12" thickBot="1">
      <c r="C301" s="252" t="str">
        <f t="shared" si="15"/>
        <v>Total  Volume</v>
      </c>
      <c r="D301" s="257"/>
      <c r="E301" s="253"/>
      <c r="F301" s="258"/>
      <c r="G301" s="253"/>
      <c r="H301" s="259"/>
      <c r="I301" s="256"/>
    </row>
    <row r="302" spans="1:9">
      <c r="C302" s="260" t="str">
        <f t="shared" si="15"/>
        <v>Driver Effect</v>
      </c>
      <c r="D302" s="261"/>
      <c r="E302" s="262"/>
      <c r="F302" s="262"/>
      <c r="G302" s="262"/>
      <c r="H302" s="262"/>
      <c r="I302" s="263"/>
    </row>
    <row r="303" spans="1:9">
      <c r="C303" s="264" t="str">
        <f t="shared" si="15"/>
        <v>Price</v>
      </c>
      <c r="D303" s="264">
        <f t="shared" si="15"/>
        <v>10</v>
      </c>
      <c r="E303" s="379">
        <f>(E213-($H213/xxNumOfTeams))/$H224</f>
        <v>-0.44444444461691196</v>
      </c>
      <c r="F303" s="380">
        <f>(F213-($H213/xxNumOfTeams))/$H224</f>
        <v>-0.44444444461691196</v>
      </c>
      <c r="G303" s="380">
        <f>(G213-($H213/xxNumOfTeams))/$H224</f>
        <v>-0.44444444461691196</v>
      </c>
      <c r="H303" s="268"/>
      <c r="I303" s="263"/>
    </row>
    <row r="304" spans="1:9">
      <c r="B304">
        <f>RANK(D304,$D304:$D312)</f>
        <v>1</v>
      </c>
      <c r="C304" s="264" t="str">
        <f t="shared" si="15"/>
        <v>Advertising</v>
      </c>
      <c r="D304" s="264">
        <f t="shared" si="15"/>
        <v>8</v>
      </c>
      <c r="E304" s="381">
        <f>(E214-($H214/xxNumOfTeams))/$H224</f>
        <v>-0.35555555538308808</v>
      </c>
      <c r="F304" s="382">
        <f>(F214-($H214/xxNumOfTeams))/$H224</f>
        <v>-0.35555555538308808</v>
      </c>
      <c r="G304" s="382">
        <f>(G214-($H214/xxNumOfTeams))/$H224</f>
        <v>-0.35555555538308808</v>
      </c>
      <c r="H304" s="270"/>
      <c r="I304" s="263"/>
    </row>
    <row r="305" spans="2:9">
      <c r="B305">
        <f>RANK(D305,$D304:$D312)</f>
        <v>2</v>
      </c>
      <c r="C305" s="264" t="str">
        <f t="shared" si="15"/>
        <v>Driver 3</v>
      </c>
      <c r="D305" s="264">
        <f t="shared" si="15"/>
        <v>5</v>
      </c>
      <c r="E305" s="381">
        <f>(E215-($H215/xxNumOfTeams))/$H224</f>
        <v>0</v>
      </c>
      <c r="F305" s="382">
        <f>(F215-($H215/xxNumOfTeams))/$H224</f>
        <v>0</v>
      </c>
      <c r="G305" s="382">
        <f>(G215-($H215/xxNumOfTeams))/$H224</f>
        <v>0</v>
      </c>
      <c r="H305" s="270"/>
      <c r="I305" s="263"/>
    </row>
    <row r="306" spans="2:9">
      <c r="B306">
        <f>RANK(D306,$D304:$D312)</f>
        <v>3</v>
      </c>
      <c r="C306" s="264" t="str">
        <f t="shared" si="15"/>
        <v>Driver 4</v>
      </c>
      <c r="D306" s="264">
        <f t="shared" si="15"/>
        <v>1</v>
      </c>
      <c r="E306" s="381">
        <f>(E216-($H216/xxNumOfTeams))/$H224</f>
        <v>0</v>
      </c>
      <c r="F306" s="382">
        <f>(F216-($H216/xxNumOfTeams))/$H224</f>
        <v>0</v>
      </c>
      <c r="G306" s="382">
        <f>(G216-($H216/xxNumOfTeams))/$H224</f>
        <v>0</v>
      </c>
      <c r="H306" s="270"/>
      <c r="I306" s="263"/>
    </row>
    <row r="307" spans="2:9">
      <c r="B307">
        <f>RANK(D307,$D304:$D312)</f>
        <v>3</v>
      </c>
      <c r="C307" s="264" t="str">
        <f t="shared" si="15"/>
        <v>Driver 5</v>
      </c>
      <c r="D307" s="264">
        <f t="shared" si="15"/>
        <v>1</v>
      </c>
      <c r="E307" s="381">
        <f>(E217-($H217/xxNumOfTeams))/$H224</f>
        <v>0</v>
      </c>
      <c r="F307" s="382">
        <f>(F217-($H217/xxNumOfTeams))/$H224</f>
        <v>0</v>
      </c>
      <c r="G307" s="382">
        <f>(G217-($H217/xxNumOfTeams))/$H224</f>
        <v>0</v>
      </c>
      <c r="H307" s="270"/>
      <c r="I307" s="263"/>
    </row>
    <row r="308" spans="2:9">
      <c r="B308">
        <f>RANK(D308,$D304:$D312)</f>
        <v>3</v>
      </c>
      <c r="C308" s="264" t="str">
        <f t="shared" si="15"/>
        <v>Driver 6</v>
      </c>
      <c r="D308" s="264">
        <f t="shared" si="15"/>
        <v>1</v>
      </c>
      <c r="E308" s="381">
        <f>(E218-($H218/xxNumOfTeams))/$H224</f>
        <v>0</v>
      </c>
      <c r="F308" s="382">
        <f>(F218-($H218/xxNumOfTeams))/$H224</f>
        <v>0</v>
      </c>
      <c r="G308" s="382">
        <f>(G218-($H218/xxNumOfTeams))/$H224</f>
        <v>0</v>
      </c>
      <c r="H308" s="270"/>
      <c r="I308" s="263"/>
    </row>
    <row r="309" spans="2:9">
      <c r="B309">
        <f>RANK(D309,$D304:$D312)</f>
        <v>3</v>
      </c>
      <c r="C309" s="264" t="str">
        <f t="shared" si="15"/>
        <v>Driver 7</v>
      </c>
      <c r="D309" s="264">
        <f t="shared" si="15"/>
        <v>1</v>
      </c>
      <c r="E309" s="381">
        <f>(E219-($H219/xxNumOfTeams))/$H224</f>
        <v>0</v>
      </c>
      <c r="F309" s="382">
        <f>(F219-($H219/xxNumOfTeams))/$H224</f>
        <v>0</v>
      </c>
      <c r="G309" s="382">
        <f>(G219-($H219/xxNumOfTeams))/$H224</f>
        <v>0</v>
      </c>
      <c r="H309" s="270"/>
      <c r="I309" s="263"/>
    </row>
    <row r="310" spans="2:9">
      <c r="B310">
        <f>RANK(D310,$D304:$D312)</f>
        <v>3</v>
      </c>
      <c r="C310" s="264" t="str">
        <f t="shared" si="15"/>
        <v>Driver 8</v>
      </c>
      <c r="D310" s="264">
        <f t="shared" si="15"/>
        <v>1</v>
      </c>
      <c r="E310" s="381">
        <f>(E220-($H220/xxNumOfTeams))/$H224</f>
        <v>0</v>
      </c>
      <c r="F310" s="382">
        <f>(F220-($H220/xxNumOfTeams))/$H224</f>
        <v>0</v>
      </c>
      <c r="G310" s="382">
        <f>(G220-($H220/xxNumOfTeams))/$H224</f>
        <v>0</v>
      </c>
      <c r="H310" s="270"/>
      <c r="I310" s="263"/>
    </row>
    <row r="311" spans="2:9">
      <c r="B311">
        <f>RANK(D311,$D304:$D312)</f>
        <v>3</v>
      </c>
      <c r="C311" s="264" t="str">
        <f t="shared" si="15"/>
        <v>Driver 9</v>
      </c>
      <c r="D311" s="264">
        <f t="shared" si="15"/>
        <v>1</v>
      </c>
      <c r="E311" s="381">
        <f>(E221-($H221/xxNumOfTeams))/$H224</f>
        <v>0</v>
      </c>
      <c r="F311" s="382">
        <f>(F221-($H221/xxNumOfTeams))/$H224</f>
        <v>0</v>
      </c>
      <c r="G311" s="382">
        <f>(G221-($H221/xxNumOfTeams))/$H224</f>
        <v>0</v>
      </c>
      <c r="H311" s="270"/>
      <c r="I311" s="263"/>
    </row>
    <row r="312" spans="2:9">
      <c r="B312">
        <f>RANK(D312,$D304:$D312)</f>
        <v>3</v>
      </c>
      <c r="C312" s="264" t="str">
        <f t="shared" si="15"/>
        <v>Driver 10</v>
      </c>
      <c r="D312" s="264">
        <f t="shared" si="15"/>
        <v>1</v>
      </c>
      <c r="E312" s="381">
        <f>(E222-($H222/xxNumOfTeams))/$H224</f>
        <v>0</v>
      </c>
      <c r="F312" s="382">
        <f>(F222-($H222/xxNumOfTeams))/$H224</f>
        <v>0</v>
      </c>
      <c r="G312" s="382">
        <f>(G222-($H222/xxNumOfTeams))/$H224</f>
        <v>0</v>
      </c>
      <c r="H312" s="270"/>
      <c r="I312" s="263"/>
    </row>
    <row r="313" spans="2:9">
      <c r="C313" s="271" t="str">
        <f t="shared" si="15"/>
        <v>Special Programs</v>
      </c>
      <c r="D313" s="271">
        <f t="shared" si="15"/>
        <v>0</v>
      </c>
      <c r="E313" s="383">
        <f>(E223-($H223/xxNumOfTeams))/$H224</f>
        <v>0</v>
      </c>
      <c r="F313" s="384">
        <f>(F223-($H223/xxNumOfTeams))/$H224</f>
        <v>0</v>
      </c>
      <c r="G313" s="384">
        <f>(G223-($H223/xxNumOfTeams))/$H224</f>
        <v>0</v>
      </c>
      <c r="H313" s="270"/>
      <c r="I313" s="263"/>
    </row>
    <row r="314" spans="2:9" ht="12" thickBot="1">
      <c r="C314" s="264" t="str">
        <f t="shared" ref="C314:D329" si="16">C224</f>
        <v>Total Effect</v>
      </c>
      <c r="D314" s="143"/>
      <c r="E314" s="274"/>
      <c r="F314" s="275"/>
      <c r="G314" s="275"/>
      <c r="H314" s="276"/>
      <c r="I314" s="263"/>
    </row>
    <row r="315" spans="2:9">
      <c r="C315" s="264" t="str">
        <f t="shared" si="16"/>
        <v>Rank</v>
      </c>
      <c r="D315" s="143"/>
      <c r="E315" s="143"/>
      <c r="F315" s="143"/>
      <c r="G315" s="143"/>
      <c r="H315" s="143"/>
      <c r="I315" s="263"/>
    </row>
    <row r="316" spans="2:9" ht="12" thickBot="1">
      <c r="C316" s="277" t="str">
        <f t="shared" si="16"/>
        <v>Market Share</v>
      </c>
      <c r="D316" s="278"/>
      <c r="E316" s="279"/>
      <c r="F316" s="279"/>
      <c r="G316" s="279"/>
      <c r="H316" s="275"/>
      <c r="I316" s="280"/>
    </row>
    <row r="317" spans="2:9" ht="12" thickBot="1"/>
    <row r="318" spans="2:9" ht="12" thickBot="1">
      <c r="C318" s="281" t="str">
        <f t="shared" si="16"/>
        <v>Market Model Calculation Segment 1 Beta Consumers</v>
      </c>
      <c r="D318" s="253"/>
      <c r="E318" s="254"/>
      <c r="F318" s="254"/>
      <c r="G318" s="255"/>
      <c r="H318" s="255"/>
      <c r="I318" s="256"/>
    </row>
    <row r="319" spans="2:9" ht="12" thickBot="1">
      <c r="C319" s="252" t="str">
        <f t="shared" si="16"/>
        <v>Total  Volume</v>
      </c>
      <c r="D319" s="257"/>
      <c r="E319" s="253"/>
      <c r="F319" s="258"/>
      <c r="G319" s="253"/>
      <c r="H319" s="259"/>
      <c r="I319" s="256"/>
    </row>
    <row r="320" spans="2:9">
      <c r="C320" s="260" t="str">
        <f t="shared" si="16"/>
        <v>Driver Effect</v>
      </c>
      <c r="D320" s="261"/>
      <c r="E320" s="262"/>
      <c r="F320" s="262"/>
      <c r="G320" s="262"/>
      <c r="H320" s="262"/>
      <c r="I320" s="263"/>
    </row>
    <row r="321" spans="3:9">
      <c r="C321" s="264" t="str">
        <f t="shared" si="16"/>
        <v>Price</v>
      </c>
      <c r="D321" s="264">
        <f t="shared" si="16"/>
        <v>10</v>
      </c>
      <c r="E321" s="379">
        <f>(E231-($H231/xxNumOfTeams))/$H242</f>
        <v>-0.44444444461691196</v>
      </c>
      <c r="F321" s="380">
        <f>(F231-($H231/xxNumOfTeams))/$H242</f>
        <v>-0.44444444461691196</v>
      </c>
      <c r="G321" s="380">
        <f>(G231-($H231/xxNumOfTeams))/$H242</f>
        <v>-0.44444444461691196</v>
      </c>
      <c r="H321" s="268"/>
      <c r="I321" s="263"/>
    </row>
    <row r="322" spans="3:9">
      <c r="C322" s="264" t="str">
        <f t="shared" si="16"/>
        <v>Advertising</v>
      </c>
      <c r="D322" s="264">
        <f t="shared" si="16"/>
        <v>8</v>
      </c>
      <c r="E322" s="381">
        <f>(E232-($H232/xxNumOfTeams))/$H242</f>
        <v>-0.35555555538308808</v>
      </c>
      <c r="F322" s="382">
        <f>(F232-($H232/xxNumOfTeams))/$H242</f>
        <v>-0.35555555538308808</v>
      </c>
      <c r="G322" s="382">
        <f>(G232-($H232/xxNumOfTeams))/$H242</f>
        <v>-0.35555555538308808</v>
      </c>
      <c r="H322" s="270"/>
      <c r="I322" s="263"/>
    </row>
    <row r="323" spans="3:9">
      <c r="C323" s="264" t="str">
        <f t="shared" si="16"/>
        <v>Driver 3</v>
      </c>
      <c r="D323" s="264">
        <f t="shared" si="16"/>
        <v>5</v>
      </c>
      <c r="E323" s="381">
        <f>(E233-($H233/xxNumOfTeams))/$H242</f>
        <v>0</v>
      </c>
      <c r="F323" s="382">
        <f>(F233-($H233/xxNumOfTeams))/$H242</f>
        <v>0</v>
      </c>
      <c r="G323" s="382">
        <f>(G233-($H233/xxNumOfTeams))/$H242</f>
        <v>0</v>
      </c>
      <c r="H323" s="270"/>
      <c r="I323" s="263"/>
    </row>
    <row r="324" spans="3:9">
      <c r="C324" s="264" t="str">
        <f t="shared" si="16"/>
        <v>Driver 4</v>
      </c>
      <c r="D324" s="264">
        <f t="shared" si="16"/>
        <v>1</v>
      </c>
      <c r="E324" s="381">
        <f>(E234-($H234/xxNumOfTeams))/$H242</f>
        <v>0</v>
      </c>
      <c r="F324" s="382">
        <f>(F234-($H234/xxNumOfTeams))/$H242</f>
        <v>0</v>
      </c>
      <c r="G324" s="382">
        <f>(G234-($H234/xxNumOfTeams))/$H242</f>
        <v>0</v>
      </c>
      <c r="H324" s="270"/>
      <c r="I324" s="263"/>
    </row>
    <row r="325" spans="3:9">
      <c r="C325" s="264" t="str">
        <f t="shared" si="16"/>
        <v>Driver 5</v>
      </c>
      <c r="D325" s="264">
        <f t="shared" si="16"/>
        <v>1</v>
      </c>
      <c r="E325" s="381">
        <f>(E235-($H235/xxNumOfTeams))/$H242</f>
        <v>0</v>
      </c>
      <c r="F325" s="382">
        <f>(F235-($H235/xxNumOfTeams))/$H242</f>
        <v>0</v>
      </c>
      <c r="G325" s="382">
        <f>(G235-($H235/xxNumOfTeams))/$H242</f>
        <v>0</v>
      </c>
      <c r="H325" s="270"/>
      <c r="I325" s="263"/>
    </row>
    <row r="326" spans="3:9">
      <c r="C326" s="264" t="str">
        <f t="shared" si="16"/>
        <v>Driver 6</v>
      </c>
      <c r="D326" s="264">
        <f t="shared" si="16"/>
        <v>1</v>
      </c>
      <c r="E326" s="381">
        <f>(E236-($H236/xxNumOfTeams))/$H242</f>
        <v>0</v>
      </c>
      <c r="F326" s="382">
        <f>(F236-($H236/xxNumOfTeams))/$H242</f>
        <v>0</v>
      </c>
      <c r="G326" s="382">
        <f>(G236-($H236/xxNumOfTeams))/$H242</f>
        <v>0</v>
      </c>
      <c r="H326" s="270"/>
      <c r="I326" s="263"/>
    </row>
    <row r="327" spans="3:9">
      <c r="C327" s="264" t="str">
        <f t="shared" si="16"/>
        <v>Driver 7</v>
      </c>
      <c r="D327" s="264">
        <f t="shared" si="16"/>
        <v>1</v>
      </c>
      <c r="E327" s="381">
        <f>(E237-($H237/xxNumOfTeams))/$H242</f>
        <v>0</v>
      </c>
      <c r="F327" s="382">
        <f>(F237-($H237/xxNumOfTeams))/$H242</f>
        <v>0</v>
      </c>
      <c r="G327" s="382">
        <f>(G237-($H237/xxNumOfTeams))/$H242</f>
        <v>0</v>
      </c>
      <c r="H327" s="270"/>
      <c r="I327" s="263"/>
    </row>
    <row r="328" spans="3:9">
      <c r="C328" s="264" t="str">
        <f t="shared" si="16"/>
        <v>Driver 8</v>
      </c>
      <c r="D328" s="264">
        <f t="shared" si="16"/>
        <v>1</v>
      </c>
      <c r="E328" s="381">
        <f>(E238-($H238/xxNumOfTeams))/$H242</f>
        <v>0</v>
      </c>
      <c r="F328" s="382">
        <f>(F238-($H238/xxNumOfTeams))/$H242</f>
        <v>0</v>
      </c>
      <c r="G328" s="382">
        <f>(G238-($H238/xxNumOfTeams))/$H242</f>
        <v>0</v>
      </c>
      <c r="H328" s="270"/>
      <c r="I328" s="263"/>
    </row>
    <row r="329" spans="3:9">
      <c r="C329" s="264" t="str">
        <f t="shared" si="16"/>
        <v>Driver 9</v>
      </c>
      <c r="D329" s="264">
        <f t="shared" si="16"/>
        <v>1</v>
      </c>
      <c r="E329" s="381">
        <f>(E239-($H239/xxNumOfTeams))/$H242</f>
        <v>0</v>
      </c>
      <c r="F329" s="382">
        <f>(F239-($H239/xxNumOfTeams))/$H242</f>
        <v>0</v>
      </c>
      <c r="G329" s="382">
        <f>(G239-($H239/xxNumOfTeams))/$H242</f>
        <v>0</v>
      </c>
      <c r="H329" s="270"/>
      <c r="I329" s="263"/>
    </row>
    <row r="330" spans="3:9">
      <c r="C330" s="264" t="str">
        <f t="shared" ref="C330:D345" si="17">C240</f>
        <v>Driver 10</v>
      </c>
      <c r="D330" s="264">
        <f t="shared" si="17"/>
        <v>1</v>
      </c>
      <c r="E330" s="381">
        <f>(E240-($H240/xxNumOfTeams))/$H242</f>
        <v>0</v>
      </c>
      <c r="F330" s="382">
        <f>(F240-($H240/xxNumOfTeams))/$H242</f>
        <v>0</v>
      </c>
      <c r="G330" s="382">
        <f>(G240-($H240/xxNumOfTeams))/$H242</f>
        <v>0</v>
      </c>
      <c r="H330" s="270"/>
      <c r="I330" s="263"/>
    </row>
    <row r="331" spans="3:9">
      <c r="C331" s="271" t="str">
        <f t="shared" si="17"/>
        <v>Special Programs</v>
      </c>
      <c r="D331" s="271">
        <f t="shared" si="17"/>
        <v>0</v>
      </c>
      <c r="E331" s="383">
        <f>(E241-($H241/xxNumOfTeams))/$H242</f>
        <v>0</v>
      </c>
      <c r="F331" s="384">
        <f>(F241-($H241/xxNumOfTeams))/$H242</f>
        <v>0</v>
      </c>
      <c r="G331" s="384">
        <f>(G241-($H241/xxNumOfTeams))/$H242</f>
        <v>0</v>
      </c>
      <c r="H331" s="270"/>
      <c r="I331" s="263"/>
    </row>
    <row r="332" spans="3:9" ht="12" thickBot="1">
      <c r="C332" s="264" t="str">
        <f t="shared" si="17"/>
        <v>Total Effect</v>
      </c>
      <c r="D332" s="143"/>
      <c r="E332" s="274"/>
      <c r="F332" s="275"/>
      <c r="G332" s="275"/>
      <c r="H332" s="276"/>
      <c r="I332" s="263"/>
    </row>
    <row r="333" spans="3:9">
      <c r="C333" s="264" t="str">
        <f t="shared" si="17"/>
        <v>Rank</v>
      </c>
      <c r="D333" s="143"/>
      <c r="E333" s="143"/>
      <c r="F333" s="143"/>
      <c r="G333" s="143"/>
      <c r="H333" s="143"/>
      <c r="I333" s="263"/>
    </row>
    <row r="334" spans="3:9" ht="12" thickBot="1">
      <c r="C334" s="277" t="str">
        <f t="shared" si="17"/>
        <v>Market Share</v>
      </c>
      <c r="D334" s="278"/>
      <c r="E334" s="279"/>
      <c r="F334" s="279"/>
      <c r="G334" s="279"/>
      <c r="H334" s="275"/>
      <c r="I334" s="280"/>
    </row>
    <row r="335" spans="3:9" ht="12" thickBot="1"/>
    <row r="336" spans="3:9" ht="12" thickBot="1">
      <c r="C336" s="281" t="str">
        <f t="shared" si="17"/>
        <v>Market Model Calculation Segment 1 Beta Consumers</v>
      </c>
      <c r="D336" s="253"/>
      <c r="E336" s="254"/>
      <c r="F336" s="254"/>
      <c r="G336" s="255"/>
      <c r="H336" s="255"/>
      <c r="I336" s="256"/>
    </row>
    <row r="337" spans="2:9" ht="12" thickBot="1">
      <c r="C337" s="252" t="str">
        <f t="shared" si="17"/>
        <v>Total  Volume</v>
      </c>
      <c r="D337" s="257"/>
      <c r="E337" s="253"/>
      <c r="F337" s="258"/>
      <c r="G337" s="253"/>
      <c r="H337" s="259"/>
      <c r="I337" s="256"/>
    </row>
    <row r="338" spans="2:9">
      <c r="C338" s="260" t="str">
        <f t="shared" si="17"/>
        <v>Driver Effect</v>
      </c>
      <c r="D338" s="261"/>
      <c r="E338" s="262"/>
      <c r="F338" s="262"/>
      <c r="G338" s="262"/>
      <c r="H338" s="262"/>
      <c r="I338" s="263"/>
    </row>
    <row r="339" spans="2:9">
      <c r="C339" s="264" t="str">
        <f t="shared" si="17"/>
        <v>Price</v>
      </c>
      <c r="D339" s="264">
        <f t="shared" si="17"/>
        <v>10</v>
      </c>
      <c r="E339" s="379">
        <f>(E249-($H249/xxNumOfTeams))/$H260</f>
        <v>-0.44444444461691196</v>
      </c>
      <c r="F339" s="380">
        <f>(F249-($H249/xxNumOfTeams))/$H260</f>
        <v>-0.44444444461691196</v>
      </c>
      <c r="G339" s="380">
        <f>(G249-($H249/xxNumOfTeams))/$H260</f>
        <v>-0.44444444461691196</v>
      </c>
      <c r="H339" s="268"/>
      <c r="I339" s="263"/>
    </row>
    <row r="340" spans="2:9">
      <c r="B340">
        <f>RANK(D340,$D340:$D348)</f>
        <v>1</v>
      </c>
      <c r="C340" s="264" t="str">
        <f t="shared" si="17"/>
        <v>Advertising</v>
      </c>
      <c r="D340" s="264">
        <f t="shared" si="17"/>
        <v>8</v>
      </c>
      <c r="E340" s="381">
        <f>(E250-($H250/xxNumOfTeams))/$H260</f>
        <v>-0.35555555538308808</v>
      </c>
      <c r="F340" s="382">
        <f>(F250-($H250/xxNumOfTeams))/$H260</f>
        <v>-0.35555555538308808</v>
      </c>
      <c r="G340" s="382">
        <f>(G250-($H250/xxNumOfTeams))/$H260</f>
        <v>-0.35555555538308808</v>
      </c>
      <c r="H340" s="270"/>
      <c r="I340" s="263"/>
    </row>
    <row r="341" spans="2:9">
      <c r="B341">
        <f>RANK(D341,$D340:$D348)</f>
        <v>2</v>
      </c>
      <c r="C341" s="264" t="str">
        <f t="shared" si="17"/>
        <v>Driver 3</v>
      </c>
      <c r="D341" s="264">
        <f t="shared" si="17"/>
        <v>5</v>
      </c>
      <c r="E341" s="381">
        <f>(E251-($H251/xxNumOfTeams))/$H260</f>
        <v>0</v>
      </c>
      <c r="F341" s="382">
        <f>(F251-($H251/xxNumOfTeams))/$H260</f>
        <v>0</v>
      </c>
      <c r="G341" s="382">
        <f>(G251-($H251/xxNumOfTeams))/$H260</f>
        <v>0</v>
      </c>
      <c r="H341" s="270"/>
      <c r="I341" s="263"/>
    </row>
    <row r="342" spans="2:9">
      <c r="B342">
        <f>RANK(D342,$D340:$D348)</f>
        <v>3</v>
      </c>
      <c r="C342" s="264" t="str">
        <f t="shared" si="17"/>
        <v>Driver 4</v>
      </c>
      <c r="D342" s="264">
        <f t="shared" si="17"/>
        <v>1</v>
      </c>
      <c r="E342" s="381">
        <f>(E252-($H252/xxNumOfTeams))/$H260</f>
        <v>0</v>
      </c>
      <c r="F342" s="382">
        <f>(F252-($H252/xxNumOfTeams))/$H260</f>
        <v>0</v>
      </c>
      <c r="G342" s="382">
        <f>(G252-($H252/xxNumOfTeams))/$H260</f>
        <v>0</v>
      </c>
      <c r="H342" s="270"/>
      <c r="I342" s="263"/>
    </row>
    <row r="343" spans="2:9">
      <c r="B343">
        <f>RANK(D343,$D340:$D348)</f>
        <v>3</v>
      </c>
      <c r="C343" s="264" t="str">
        <f t="shared" si="17"/>
        <v>Driver 5</v>
      </c>
      <c r="D343" s="264">
        <f t="shared" si="17"/>
        <v>1</v>
      </c>
      <c r="E343" s="381">
        <f>(E253-($H253/xxNumOfTeams))/$H260</f>
        <v>0</v>
      </c>
      <c r="F343" s="382">
        <f>(F253-($H253/xxNumOfTeams))/$H260</f>
        <v>0</v>
      </c>
      <c r="G343" s="382">
        <f>(G253-($H253/xxNumOfTeams))/$H260</f>
        <v>0</v>
      </c>
      <c r="H343" s="270"/>
      <c r="I343" s="263"/>
    </row>
    <row r="344" spans="2:9">
      <c r="B344">
        <f>RANK(D344,$D340:$D348)</f>
        <v>3</v>
      </c>
      <c r="C344" s="264" t="str">
        <f t="shared" si="17"/>
        <v>Driver 6</v>
      </c>
      <c r="D344" s="264">
        <f t="shared" si="17"/>
        <v>1</v>
      </c>
      <c r="E344" s="381">
        <f>(E254-($H254/xxNumOfTeams))/$H260</f>
        <v>0</v>
      </c>
      <c r="F344" s="382">
        <f>(F254-($H254/xxNumOfTeams))/$H260</f>
        <v>0</v>
      </c>
      <c r="G344" s="382">
        <f>(G254-($H254/xxNumOfTeams))/$H260</f>
        <v>0</v>
      </c>
      <c r="H344" s="270"/>
      <c r="I344" s="263"/>
    </row>
    <row r="345" spans="2:9">
      <c r="B345">
        <f>RANK(D345,$D340:$D348)</f>
        <v>3</v>
      </c>
      <c r="C345" s="264" t="str">
        <f t="shared" si="17"/>
        <v>Driver 7</v>
      </c>
      <c r="D345" s="264">
        <f t="shared" si="17"/>
        <v>1</v>
      </c>
      <c r="E345" s="381">
        <f>(E255-($H255/xxNumOfTeams))/$H260</f>
        <v>0</v>
      </c>
      <c r="F345" s="382">
        <f>(F255-($H255/xxNumOfTeams))/$H260</f>
        <v>0</v>
      </c>
      <c r="G345" s="382">
        <f>(G255-($H255/xxNumOfTeams))/$H260</f>
        <v>0</v>
      </c>
      <c r="H345" s="270"/>
      <c r="I345" s="263"/>
    </row>
    <row r="346" spans="2:9">
      <c r="B346">
        <f>RANK(D346,$D340:$D348)</f>
        <v>3</v>
      </c>
      <c r="C346" s="264" t="str">
        <f t="shared" ref="C346:D352" si="18">C256</f>
        <v>Driver 8</v>
      </c>
      <c r="D346" s="264">
        <f t="shared" si="18"/>
        <v>1</v>
      </c>
      <c r="E346" s="381">
        <f>(E256-($H256/xxNumOfTeams))/$H260</f>
        <v>0</v>
      </c>
      <c r="F346" s="382">
        <f>(F256-($H256/xxNumOfTeams))/$H260</f>
        <v>0</v>
      </c>
      <c r="G346" s="382">
        <f>(G256-($H256/xxNumOfTeams))/$H260</f>
        <v>0</v>
      </c>
      <c r="H346" s="270"/>
      <c r="I346" s="263"/>
    </row>
    <row r="347" spans="2:9">
      <c r="B347">
        <f>RANK(D347,$D340:$D348)</f>
        <v>3</v>
      </c>
      <c r="C347" s="264" t="str">
        <f t="shared" si="18"/>
        <v>Driver 9</v>
      </c>
      <c r="D347" s="264">
        <f t="shared" si="18"/>
        <v>1</v>
      </c>
      <c r="E347" s="381">
        <f>(E257-($H257/xxNumOfTeams))/$H260</f>
        <v>0</v>
      </c>
      <c r="F347" s="382">
        <f>(F257-($H257/xxNumOfTeams))/$H260</f>
        <v>0</v>
      </c>
      <c r="G347" s="382">
        <f>(G257-($H257/xxNumOfTeams))/$H260</f>
        <v>0</v>
      </c>
      <c r="H347" s="270"/>
      <c r="I347" s="263"/>
    </row>
    <row r="348" spans="2:9">
      <c r="B348">
        <f>RANK(D348,$D340:$D348)</f>
        <v>3</v>
      </c>
      <c r="C348" s="264" t="str">
        <f t="shared" si="18"/>
        <v>Driver 10</v>
      </c>
      <c r="D348" s="264">
        <f t="shared" si="18"/>
        <v>1</v>
      </c>
      <c r="E348" s="381">
        <f>(E258-($H258/xxNumOfTeams))/$H260</f>
        <v>0</v>
      </c>
      <c r="F348" s="382">
        <f>(F258-($H258/xxNumOfTeams))/$H260</f>
        <v>0</v>
      </c>
      <c r="G348" s="382">
        <f>(G258-($H258/xxNumOfTeams))/$H260</f>
        <v>0</v>
      </c>
      <c r="H348" s="270"/>
      <c r="I348" s="263"/>
    </row>
    <row r="349" spans="2:9">
      <c r="C349" s="271" t="str">
        <f t="shared" si="18"/>
        <v>Special Programs</v>
      </c>
      <c r="D349" s="271">
        <f t="shared" si="18"/>
        <v>0</v>
      </c>
      <c r="E349" s="383">
        <f>(E259-($H259/xxNumOfTeams))/$H260</f>
        <v>0</v>
      </c>
      <c r="F349" s="384">
        <f>(F259-($H259/xxNumOfTeams))/$H260</f>
        <v>0</v>
      </c>
      <c r="G349" s="384">
        <f>(G259-($H259/xxNumOfTeams))/$H260</f>
        <v>0</v>
      </c>
      <c r="H349" s="270"/>
      <c r="I349" s="263"/>
    </row>
    <row r="350" spans="2:9" ht="12" thickBot="1">
      <c r="C350" s="264" t="str">
        <f t="shared" si="18"/>
        <v>Total Effect</v>
      </c>
      <c r="D350" s="143"/>
      <c r="E350" s="274"/>
      <c r="F350" s="275"/>
      <c r="G350" s="275"/>
      <c r="H350" s="276"/>
      <c r="I350" s="263"/>
    </row>
    <row r="351" spans="2:9">
      <c r="C351" s="264" t="str">
        <f t="shared" si="18"/>
        <v>Rank</v>
      </c>
      <c r="D351" s="143"/>
      <c r="E351" s="143"/>
      <c r="F351" s="143"/>
      <c r="G351" s="143"/>
      <c r="H351" s="143"/>
      <c r="I351" s="263"/>
    </row>
    <row r="352" spans="2:9" ht="12" thickBot="1">
      <c r="C352" s="277" t="str">
        <f t="shared" si="18"/>
        <v>Market Share</v>
      </c>
      <c r="D352" s="278"/>
      <c r="E352" s="279"/>
      <c r="F352" s="279"/>
      <c r="G352" s="279"/>
      <c r="H352" s="275"/>
      <c r="I352" s="280"/>
    </row>
    <row r="353" spans="2:9" ht="12" thickBot="1"/>
    <row r="354" spans="2:9" ht="12" thickBot="1">
      <c r="C354" s="281" t="str">
        <f t="shared" ref="C354:D369" si="19">C264</f>
        <v>Market Model Calculation Segment 1 Beta Consumers</v>
      </c>
      <c r="D354" s="253"/>
      <c r="E354" s="254"/>
      <c r="F354" s="254"/>
      <c r="G354" s="255"/>
      <c r="H354" s="255"/>
      <c r="I354" s="256"/>
    </row>
    <row r="355" spans="2:9" ht="12" thickBot="1">
      <c r="C355" s="252" t="str">
        <f t="shared" si="19"/>
        <v>Total  Volume</v>
      </c>
      <c r="D355" s="257"/>
      <c r="E355" s="253"/>
      <c r="F355" s="258"/>
      <c r="G355" s="253"/>
      <c r="H355" s="259"/>
      <c r="I355" s="256"/>
    </row>
    <row r="356" spans="2:9">
      <c r="C356" s="260" t="str">
        <f t="shared" si="19"/>
        <v>Driver Effect</v>
      </c>
      <c r="D356" s="261"/>
      <c r="E356" s="262"/>
      <c r="F356" s="262"/>
      <c r="G356" s="262"/>
      <c r="H356" s="262"/>
      <c r="I356" s="263"/>
    </row>
    <row r="357" spans="2:9">
      <c r="C357" s="264" t="str">
        <f t="shared" si="19"/>
        <v>Price</v>
      </c>
      <c r="D357" s="264">
        <f t="shared" si="19"/>
        <v>10</v>
      </c>
      <c r="E357" s="379">
        <f>(E267-($H267/xxNumOfTeams))/$H278</f>
        <v>-0.44444444461691196</v>
      </c>
      <c r="F357" s="380">
        <f>(F267-($H267/xxNumOfTeams))/$H278</f>
        <v>-0.44444444461691196</v>
      </c>
      <c r="G357" s="380">
        <f>(G267-($H267/xxNumOfTeams))/$H278</f>
        <v>-0.44444444461691196</v>
      </c>
      <c r="H357" s="268"/>
      <c r="I357" s="263"/>
    </row>
    <row r="358" spans="2:9">
      <c r="B358">
        <f>RANK(D358,$D358:$D366)</f>
        <v>1</v>
      </c>
      <c r="C358" s="264" t="str">
        <f t="shared" si="19"/>
        <v>Advertising</v>
      </c>
      <c r="D358" s="264">
        <f t="shared" si="19"/>
        <v>8</v>
      </c>
      <c r="E358" s="381">
        <f>(E268-($H268/xxNumOfTeams))/$H278</f>
        <v>-0.35555555538308808</v>
      </c>
      <c r="F358" s="382">
        <f>(F268-($H268/xxNumOfTeams))/$H278</f>
        <v>-0.35555555538308808</v>
      </c>
      <c r="G358" s="382">
        <f>(G268-($H268/xxNumOfTeams))/$H278</f>
        <v>-0.35555555538308808</v>
      </c>
      <c r="H358" s="270"/>
      <c r="I358" s="263"/>
    </row>
    <row r="359" spans="2:9">
      <c r="B359">
        <f>RANK(D359,$D358:$D366)</f>
        <v>2</v>
      </c>
      <c r="C359" s="264" t="str">
        <f t="shared" si="19"/>
        <v>Driver 3</v>
      </c>
      <c r="D359" s="264">
        <f t="shared" si="19"/>
        <v>5</v>
      </c>
      <c r="E359" s="381">
        <f>(E269-($H269/xxNumOfTeams))/$H278</f>
        <v>0</v>
      </c>
      <c r="F359" s="382">
        <f>(F269-($H269/xxNumOfTeams))/$H278</f>
        <v>0</v>
      </c>
      <c r="G359" s="382">
        <f>(G269-($H269/xxNumOfTeams))/$H278</f>
        <v>0</v>
      </c>
      <c r="H359" s="270"/>
      <c r="I359" s="263"/>
    </row>
    <row r="360" spans="2:9">
      <c r="B360">
        <f>RANK(D360,$D358:$D366)</f>
        <v>3</v>
      </c>
      <c r="C360" s="264" t="str">
        <f t="shared" si="19"/>
        <v>Driver 4</v>
      </c>
      <c r="D360" s="264">
        <f t="shared" si="19"/>
        <v>1</v>
      </c>
      <c r="E360" s="381">
        <f>(E270-($H270/xxNumOfTeams))/$H278</f>
        <v>0</v>
      </c>
      <c r="F360" s="382">
        <f>(F270-($H270/xxNumOfTeams))/$H278</f>
        <v>0</v>
      </c>
      <c r="G360" s="382">
        <f>(G270-($H270/xxNumOfTeams))/$H278</f>
        <v>0</v>
      </c>
      <c r="H360" s="270"/>
      <c r="I360" s="263"/>
    </row>
    <row r="361" spans="2:9">
      <c r="B361">
        <f>RANK(D361,$D358:$D366)</f>
        <v>3</v>
      </c>
      <c r="C361" s="264" t="str">
        <f t="shared" si="19"/>
        <v>Driver 5</v>
      </c>
      <c r="D361" s="264">
        <f t="shared" si="19"/>
        <v>1</v>
      </c>
      <c r="E361" s="381">
        <f>(E271-($H271/xxNumOfTeams))/$H278</f>
        <v>0</v>
      </c>
      <c r="F361" s="382">
        <f>(F271-($H271/xxNumOfTeams))/$H278</f>
        <v>0</v>
      </c>
      <c r="G361" s="382">
        <f>(G271-($H271/xxNumOfTeams))/$H278</f>
        <v>0</v>
      </c>
      <c r="H361" s="270"/>
      <c r="I361" s="263"/>
    </row>
    <row r="362" spans="2:9">
      <c r="B362">
        <f>RANK(D362,$D358:$D366)</f>
        <v>3</v>
      </c>
      <c r="C362" s="264" t="str">
        <f t="shared" si="19"/>
        <v>Driver 6</v>
      </c>
      <c r="D362" s="264">
        <f t="shared" si="19"/>
        <v>1</v>
      </c>
      <c r="E362" s="381">
        <f>(E272-($H272/xxNumOfTeams))/$H278</f>
        <v>0</v>
      </c>
      <c r="F362" s="382">
        <f>(F272-($H272/xxNumOfTeams))/$H278</f>
        <v>0</v>
      </c>
      <c r="G362" s="382">
        <f>(G272-($H272/xxNumOfTeams))/$H278</f>
        <v>0</v>
      </c>
      <c r="H362" s="270"/>
      <c r="I362" s="263"/>
    </row>
    <row r="363" spans="2:9">
      <c r="B363">
        <f>RANK(D363,$D358:$D366)</f>
        <v>3</v>
      </c>
      <c r="C363" s="264" t="str">
        <f t="shared" si="19"/>
        <v>Driver 7</v>
      </c>
      <c r="D363" s="264">
        <f t="shared" si="19"/>
        <v>1</v>
      </c>
      <c r="E363" s="381">
        <f>(E273-($H273/xxNumOfTeams))/$H278</f>
        <v>0</v>
      </c>
      <c r="F363" s="382">
        <f>(F273-($H273/xxNumOfTeams))/$H278</f>
        <v>0</v>
      </c>
      <c r="G363" s="382">
        <f>(G273-($H273/xxNumOfTeams))/$H278</f>
        <v>0</v>
      </c>
      <c r="H363" s="270"/>
      <c r="I363" s="263"/>
    </row>
    <row r="364" spans="2:9">
      <c r="B364">
        <f>RANK(D364,$D358:$D366)</f>
        <v>3</v>
      </c>
      <c r="C364" s="264" t="str">
        <f t="shared" si="19"/>
        <v>Driver 8</v>
      </c>
      <c r="D364" s="264">
        <f t="shared" si="19"/>
        <v>1</v>
      </c>
      <c r="E364" s="381">
        <f>(E274-($H274/xxNumOfTeams))/$H278</f>
        <v>0</v>
      </c>
      <c r="F364" s="382">
        <f>(F274-($H274/xxNumOfTeams))/$H278</f>
        <v>0</v>
      </c>
      <c r="G364" s="382">
        <f>(G274-($H274/xxNumOfTeams))/$H278</f>
        <v>0</v>
      </c>
      <c r="H364" s="270"/>
      <c r="I364" s="263"/>
    </row>
    <row r="365" spans="2:9">
      <c r="B365">
        <f>RANK(D365,$D358:$D366)</f>
        <v>3</v>
      </c>
      <c r="C365" s="264" t="str">
        <f t="shared" si="19"/>
        <v>Driver 9</v>
      </c>
      <c r="D365" s="264">
        <f t="shared" si="19"/>
        <v>1</v>
      </c>
      <c r="E365" s="381">
        <f>(E275-($H275/xxNumOfTeams))/$H278</f>
        <v>0</v>
      </c>
      <c r="F365" s="382">
        <f>(F275-($H275/xxNumOfTeams))/$H278</f>
        <v>0</v>
      </c>
      <c r="G365" s="382">
        <f>(G275-($H275/xxNumOfTeams))/$H278</f>
        <v>0</v>
      </c>
      <c r="H365" s="270"/>
      <c r="I365" s="263"/>
    </row>
    <row r="366" spans="2:9">
      <c r="B366">
        <f>RANK(D366,$D358:$D366)</f>
        <v>3</v>
      </c>
      <c r="C366" s="264" t="str">
        <f t="shared" si="19"/>
        <v>Driver 10</v>
      </c>
      <c r="D366" s="264">
        <f t="shared" si="19"/>
        <v>1</v>
      </c>
      <c r="E366" s="381">
        <f>(E276-($H276/xxNumOfTeams))/$H278</f>
        <v>0</v>
      </c>
      <c r="F366" s="382">
        <f>(F276-($H276/xxNumOfTeams))/$H278</f>
        <v>0</v>
      </c>
      <c r="G366" s="382">
        <f>(G276-($H276/xxNumOfTeams))/$H278</f>
        <v>0</v>
      </c>
      <c r="H366" s="270"/>
      <c r="I366" s="263"/>
    </row>
    <row r="367" spans="2:9">
      <c r="C367" s="271" t="str">
        <f t="shared" si="19"/>
        <v>Special Programs</v>
      </c>
      <c r="D367" s="271">
        <f t="shared" si="19"/>
        <v>0</v>
      </c>
      <c r="E367" s="383">
        <f>(E277-($H277/xxNumOfTeams))/$H278</f>
        <v>0</v>
      </c>
      <c r="F367" s="384">
        <f>(F277-($H277/xxNumOfTeams))/$H278</f>
        <v>0</v>
      </c>
      <c r="G367" s="384">
        <f>(G277-($H277/xxNumOfTeams))/$H278</f>
        <v>0</v>
      </c>
      <c r="H367" s="270"/>
      <c r="I367" s="263"/>
    </row>
    <row r="368" spans="2:9" ht="12" thickBot="1">
      <c r="C368" s="264" t="str">
        <f t="shared" si="19"/>
        <v>Total Effect</v>
      </c>
      <c r="D368" s="143"/>
      <c r="E368" s="274"/>
      <c r="F368" s="275"/>
      <c r="G368" s="275"/>
      <c r="H368" s="276"/>
      <c r="I368" s="263"/>
    </row>
    <row r="369" spans="3:9">
      <c r="C369" s="264" t="str">
        <f t="shared" si="19"/>
        <v>Rank</v>
      </c>
      <c r="D369" s="143"/>
      <c r="E369" s="143"/>
      <c r="F369" s="143"/>
      <c r="G369" s="143"/>
      <c r="H369" s="143"/>
      <c r="I369" s="263"/>
    </row>
    <row r="370" spans="3:9" ht="12" thickBot="1">
      <c r="C370" s="277" t="str">
        <f>C280</f>
        <v>Market Share</v>
      </c>
      <c r="D370" s="278"/>
      <c r="E370" s="279"/>
      <c r="F370" s="279"/>
      <c r="G370" s="279"/>
      <c r="H370" s="275"/>
      <c r="I370" s="280"/>
    </row>
    <row r="372" spans="3:9">
      <c r="C372" s="143" t="s">
        <v>1226</v>
      </c>
      <c r="H372" s="412" t="s">
        <v>1113</v>
      </c>
    </row>
    <row r="373" spans="3:9">
      <c r="C373" s="143" t="s">
        <v>532</v>
      </c>
      <c r="H373" s="412" t="s">
        <v>1114</v>
      </c>
    </row>
    <row r="374" spans="3:9">
      <c r="C374" s="143" t="s">
        <v>533</v>
      </c>
      <c r="H374" s="412" t="s">
        <v>1115</v>
      </c>
    </row>
    <row r="375" spans="3:9">
      <c r="C375" s="143" t="s">
        <v>534</v>
      </c>
      <c r="H375" s="412" t="s">
        <v>1116</v>
      </c>
    </row>
  </sheetData>
  <phoneticPr fontId="0" type="noConversion"/>
  <dataValidations count="1">
    <dataValidation type="decimal" allowBlank="1" showInputMessage="1" showErrorMessage="1" sqref="E145:G145 E77:G81">
      <formula1>-1</formula1>
      <formula2>1</formula2>
    </dataValidation>
  </dataValidations>
  <pageMargins left="0.5" right="0.5" top="0.5" bottom="0.5"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Page" enableFormatConditionsCalculation="0">
    <tabColor indexed="14"/>
  </sheetPr>
  <dimension ref="A1:V691"/>
  <sheetViews>
    <sheetView workbookViewId="0">
      <pane ySplit="1" topLeftCell="A509" activePane="bottomLeft" state="frozen"/>
      <selection pane="bottomLeft" activeCell="M513" sqref="M513"/>
    </sheetView>
  </sheetViews>
  <sheetFormatPr defaultRowHeight="11.25"/>
  <cols>
    <col min="1" max="1" width="15" bestFit="1" customWidth="1"/>
    <col min="2" max="2" width="23.33203125" customWidth="1"/>
    <col min="3" max="3" width="16.33203125" customWidth="1"/>
    <col min="4" max="4" width="16.6640625" bestFit="1" customWidth="1"/>
    <col min="5" max="5" width="12.33203125" customWidth="1"/>
    <col min="6" max="7" width="13.1640625" bestFit="1" customWidth="1"/>
    <col min="8" max="8" width="25.1640625" customWidth="1"/>
    <col min="9" max="10" width="13.33203125" bestFit="1" customWidth="1"/>
    <col min="11" max="11" width="11.6640625" bestFit="1" customWidth="1"/>
    <col min="12" max="12" width="11.5" bestFit="1" customWidth="1"/>
    <col min="13" max="13" width="11.6640625" bestFit="1" customWidth="1"/>
    <col min="14" max="14" width="11.83203125" bestFit="1" customWidth="1"/>
    <col min="15" max="16" width="14.1640625" bestFit="1" customWidth="1"/>
    <col min="17" max="17" width="14.33203125" customWidth="1"/>
    <col min="19" max="19" width="19.1640625" customWidth="1"/>
  </cols>
  <sheetData>
    <row r="1" spans="1:20" s="140" customFormat="1" ht="15.75">
      <c r="A1" s="138" t="s">
        <v>495</v>
      </c>
      <c r="E1" s="138"/>
      <c r="F1" s="138"/>
      <c r="G1" s="138"/>
      <c r="H1" s="138"/>
      <c r="I1" s="138"/>
    </row>
    <row r="2" spans="1:20">
      <c r="A2" s="3" t="s">
        <v>299</v>
      </c>
      <c r="B2" s="5"/>
      <c r="C2" s="21"/>
      <c r="S2" s="123"/>
      <c r="T2" s="123"/>
    </row>
    <row r="3" spans="1:20">
      <c r="S3" s="123"/>
      <c r="T3" s="123"/>
    </row>
    <row r="4" spans="1:20">
      <c r="B4" s="3" t="s">
        <v>941</v>
      </c>
      <c r="C4" s="3" t="s">
        <v>355</v>
      </c>
      <c r="D4" t="s">
        <v>300</v>
      </c>
      <c r="E4" t="s">
        <v>940</v>
      </c>
      <c r="F4" t="s">
        <v>357</v>
      </c>
      <c r="S4" s="123"/>
      <c r="T4" s="123"/>
    </row>
    <row r="5" spans="1:20">
      <c r="B5" s="102" t="s">
        <v>629</v>
      </c>
      <c r="C5" s="288" t="str">
        <f>INDEX(D5:I5,xxContLangCode)</f>
        <v>Growth</v>
      </c>
      <c r="D5" s="564" t="s">
        <v>1207</v>
      </c>
      <c r="E5" s="83" t="str">
        <f>D5&amp;" Swedish"</f>
        <v>Growth Swedish</v>
      </c>
      <c r="F5" s="83" t="s">
        <v>358</v>
      </c>
      <c r="G5" s="83"/>
      <c r="H5" s="83"/>
      <c r="I5" s="84"/>
      <c r="S5" s="123"/>
      <c r="T5" s="123"/>
    </row>
    <row r="6" spans="1:20">
      <c r="B6" s="85" t="s">
        <v>630</v>
      </c>
      <c r="C6" s="188" t="str">
        <f t="shared" ref="C6:C17" si="0">INDEX(D6:G6,xxContLangCode)</f>
        <v>Transform</v>
      </c>
      <c r="D6" s="563" t="s">
        <v>1341</v>
      </c>
      <c r="E6" s="21" t="str">
        <f t="shared" ref="E6:E20" si="1">D6&amp;" Swedish"</f>
        <v>Transform Swedish</v>
      </c>
      <c r="F6" s="21"/>
      <c r="G6" s="21"/>
      <c r="H6" s="21"/>
      <c r="I6" s="92"/>
      <c r="S6" s="123"/>
      <c r="T6" s="123"/>
    </row>
    <row r="7" spans="1:20">
      <c r="B7" s="85" t="s">
        <v>631</v>
      </c>
      <c r="C7" s="188" t="str">
        <f t="shared" si="0"/>
        <v>Consumer</v>
      </c>
      <c r="D7" s="21" t="s">
        <v>155</v>
      </c>
      <c r="E7" s="21" t="str">
        <f t="shared" si="1"/>
        <v>Consumer Swedish</v>
      </c>
      <c r="F7" s="21"/>
      <c r="G7" s="21"/>
      <c r="H7" s="21"/>
      <c r="I7" s="92"/>
      <c r="S7" s="123"/>
      <c r="T7" s="123"/>
    </row>
    <row r="8" spans="1:20">
      <c r="B8" s="85" t="s">
        <v>632</v>
      </c>
      <c r="C8" s="188" t="str">
        <f t="shared" si="0"/>
        <v>Consumer Consumables</v>
      </c>
      <c r="D8" s="21" t="s">
        <v>156</v>
      </c>
      <c r="E8" s="21" t="str">
        <f t="shared" si="1"/>
        <v>Consumer Consumables Swedish</v>
      </c>
      <c r="F8" s="21"/>
      <c r="G8" s="21"/>
      <c r="H8" s="21"/>
      <c r="I8" s="92"/>
      <c r="S8" s="123"/>
      <c r="T8" s="123"/>
    </row>
    <row r="9" spans="1:20">
      <c r="B9" s="85" t="s">
        <v>633</v>
      </c>
      <c r="C9" s="188" t="str">
        <f t="shared" si="0"/>
        <v>Services</v>
      </c>
      <c r="D9" s="21" t="s">
        <v>529</v>
      </c>
      <c r="E9" s="21" t="str">
        <f t="shared" si="1"/>
        <v>Services Swedish</v>
      </c>
      <c r="F9" s="21"/>
      <c r="G9" s="21"/>
      <c r="H9" s="21"/>
      <c r="I9" s="92"/>
      <c r="S9" s="123"/>
      <c r="T9" s="123"/>
    </row>
    <row r="10" spans="1:20">
      <c r="B10" s="85" t="s">
        <v>1</v>
      </c>
      <c r="C10" s="188" t="str">
        <f t="shared" si="0"/>
        <v>Services</v>
      </c>
      <c r="D10" s="21" t="s">
        <v>529</v>
      </c>
      <c r="E10" s="21" t="str">
        <f t="shared" si="1"/>
        <v>Services Swedish</v>
      </c>
      <c r="F10" s="21"/>
      <c r="G10" s="21"/>
      <c r="H10" s="21"/>
      <c r="I10" s="92"/>
      <c r="S10" s="123"/>
      <c r="T10" s="123"/>
    </row>
    <row r="11" spans="1:20">
      <c r="B11" s="85" t="s">
        <v>961</v>
      </c>
      <c r="C11" s="188" t="str">
        <f t="shared" si="0"/>
        <v>Engineers</v>
      </c>
      <c r="D11" s="21" t="s">
        <v>147</v>
      </c>
      <c r="E11" s="21" t="str">
        <f t="shared" si="1"/>
        <v>Engineers Swedish</v>
      </c>
      <c r="F11" s="21"/>
      <c r="G11" s="21"/>
      <c r="H11" s="21"/>
      <c r="I11" s="92"/>
      <c r="S11" s="123"/>
      <c r="T11" s="123"/>
    </row>
    <row r="12" spans="1:20">
      <c r="B12" s="85" t="s">
        <v>463</v>
      </c>
      <c r="C12" s="188" t="str">
        <f t="shared" si="0"/>
        <v>Staff</v>
      </c>
      <c r="D12" s="563" t="s">
        <v>2093</v>
      </c>
      <c r="E12" s="21" t="str">
        <f t="shared" si="1"/>
        <v>Staff Swedish</v>
      </c>
      <c r="F12" s="21"/>
      <c r="G12" s="21"/>
      <c r="H12" s="21"/>
      <c r="I12" s="92"/>
      <c r="S12" s="123"/>
      <c r="T12" s="123"/>
    </row>
    <row r="13" spans="1:20">
      <c r="A13" s="3"/>
      <c r="B13" s="85" t="s">
        <v>464</v>
      </c>
      <c r="C13" s="188" t="str">
        <f t="shared" si="0"/>
        <v>Services Personnel</v>
      </c>
      <c r="D13" s="21" t="s">
        <v>143</v>
      </c>
      <c r="E13" s="21" t="str">
        <f t="shared" si="1"/>
        <v>Services Personnel Swedish</v>
      </c>
      <c r="F13" s="21"/>
      <c r="G13" s="21"/>
      <c r="H13" s="21"/>
      <c r="I13" s="92"/>
      <c r="S13" s="123"/>
      <c r="T13" s="123"/>
    </row>
    <row r="14" spans="1:20">
      <c r="B14" s="85" t="s">
        <v>465</v>
      </c>
      <c r="C14" s="188" t="str">
        <f t="shared" si="0"/>
        <v>Services Contractors</v>
      </c>
      <c r="D14" s="21" t="s">
        <v>321</v>
      </c>
      <c r="E14" s="21" t="str">
        <f t="shared" si="1"/>
        <v>Services Contractors Swedish</v>
      </c>
      <c r="F14" s="21"/>
      <c r="G14" s="21"/>
      <c r="H14" s="21"/>
      <c r="I14" s="92"/>
      <c r="S14" s="123"/>
      <c r="T14" s="123"/>
    </row>
    <row r="15" spans="1:20">
      <c r="B15" s="85" t="s">
        <v>466</v>
      </c>
      <c r="C15" s="188" t="str">
        <f t="shared" si="0"/>
        <v>International Labor</v>
      </c>
      <c r="D15" s="21" t="s">
        <v>310</v>
      </c>
      <c r="E15" s="21" t="str">
        <f t="shared" si="1"/>
        <v>International Labor Swedish</v>
      </c>
      <c r="F15" s="21"/>
      <c r="G15" s="21"/>
      <c r="H15" s="21"/>
      <c r="I15" s="92"/>
      <c r="S15" s="123"/>
      <c r="T15" s="123"/>
    </row>
    <row r="16" spans="1:20">
      <c r="B16" s="85" t="s">
        <v>467</v>
      </c>
      <c r="C16" s="188" t="str">
        <f t="shared" si="0"/>
        <v>Gamma Sales</v>
      </c>
      <c r="D16" s="21" t="s">
        <v>273</v>
      </c>
      <c r="E16" s="21" t="str">
        <f t="shared" si="1"/>
        <v>Gamma Sales Swedish</v>
      </c>
      <c r="F16" s="21"/>
      <c r="G16" s="21"/>
      <c r="H16" s="21"/>
      <c r="I16" s="92"/>
      <c r="S16" s="123"/>
      <c r="T16" s="123"/>
    </row>
    <row r="17" spans="2:20">
      <c r="B17" s="85" t="s">
        <v>468</v>
      </c>
      <c r="C17" s="188" t="str">
        <f t="shared" si="0"/>
        <v>Bid Labor</v>
      </c>
      <c r="D17" s="21" t="s">
        <v>311</v>
      </c>
      <c r="E17" s="21" t="str">
        <f t="shared" si="1"/>
        <v>Bid Labor Swedish</v>
      </c>
      <c r="F17" s="21"/>
      <c r="G17" s="21"/>
      <c r="H17" s="21"/>
      <c r="I17" s="92"/>
      <c r="S17" s="123"/>
      <c r="T17" s="123"/>
    </row>
    <row r="18" spans="2:20">
      <c r="B18" s="85" t="s">
        <v>469</v>
      </c>
      <c r="C18" s="188" t="str">
        <f t="shared" ref="C18:C54" si="2">INDEX(D18:G18,xxContLangCode)</f>
        <v>Delta Sales</v>
      </c>
      <c r="D18" s="21" t="s">
        <v>699</v>
      </c>
      <c r="E18" s="21" t="str">
        <f t="shared" si="1"/>
        <v>Delta Sales Swedish</v>
      </c>
      <c r="F18" s="21"/>
      <c r="G18" s="21"/>
      <c r="H18" s="21"/>
      <c r="I18" s="92"/>
      <c r="S18" s="123"/>
      <c r="T18" s="123"/>
    </row>
    <row r="19" spans="2:20">
      <c r="B19" s="85" t="s">
        <v>470</v>
      </c>
      <c r="C19" s="188" t="str">
        <f t="shared" si="2"/>
        <v>Employee 9</v>
      </c>
      <c r="D19" s="21" t="s">
        <v>2</v>
      </c>
      <c r="E19" s="21" t="str">
        <f t="shared" si="1"/>
        <v>Employee 9 Swedish</v>
      </c>
      <c r="F19" s="21"/>
      <c r="G19" s="21"/>
      <c r="H19" s="21"/>
      <c r="I19" s="92"/>
      <c r="S19" s="123"/>
      <c r="T19" s="123"/>
    </row>
    <row r="20" spans="2:20">
      <c r="B20" s="85" t="s">
        <v>471</v>
      </c>
      <c r="C20" s="188" t="str">
        <f t="shared" si="2"/>
        <v>Employee 10</v>
      </c>
      <c r="D20" s="21" t="s">
        <v>3</v>
      </c>
      <c r="E20" s="21" t="str">
        <f t="shared" si="1"/>
        <v>Employee 10 Swedish</v>
      </c>
      <c r="F20" s="21"/>
      <c r="G20" s="21"/>
      <c r="H20" s="21"/>
      <c r="I20" s="92"/>
      <c r="S20" s="123"/>
      <c r="T20" s="123"/>
    </row>
    <row r="21" spans="2:20">
      <c r="B21" s="85" t="s">
        <v>636</v>
      </c>
      <c r="C21" s="188" t="str">
        <f t="shared" si="2"/>
        <v>Data Center</v>
      </c>
      <c r="D21" s="563" t="s">
        <v>1428</v>
      </c>
      <c r="E21" s="21" t="s">
        <v>639</v>
      </c>
      <c r="F21" s="21"/>
      <c r="G21" s="21"/>
      <c r="H21" s="21"/>
      <c r="I21" s="92"/>
      <c r="S21" s="123"/>
      <c r="T21" s="123"/>
    </row>
    <row r="22" spans="2:20">
      <c r="B22" s="85" t="s">
        <v>637</v>
      </c>
      <c r="C22" s="188" t="str">
        <f t="shared" si="2"/>
        <v>Property</v>
      </c>
      <c r="D22" s="563" t="s">
        <v>1649</v>
      </c>
      <c r="E22" s="21" t="s">
        <v>640</v>
      </c>
      <c r="F22" s="21"/>
      <c r="G22" s="21"/>
      <c r="H22" s="21"/>
      <c r="I22" s="92"/>
      <c r="S22" s="123"/>
      <c r="T22" s="123"/>
    </row>
    <row r="23" spans="2:20">
      <c r="B23" s="85" t="s">
        <v>638</v>
      </c>
      <c r="C23" s="188" t="str">
        <f t="shared" si="2"/>
        <v>Bid Plant</v>
      </c>
      <c r="D23" s="21" t="s">
        <v>634</v>
      </c>
      <c r="E23" s="21" t="s">
        <v>1206</v>
      </c>
      <c r="F23" s="21"/>
      <c r="G23" s="21"/>
      <c r="H23" s="21"/>
      <c r="I23" s="92"/>
      <c r="S23" s="123"/>
      <c r="T23" s="123"/>
    </row>
    <row r="24" spans="2:20">
      <c r="B24" s="85" t="s">
        <v>753</v>
      </c>
      <c r="C24" s="188" t="str">
        <f t="shared" si="2"/>
        <v>Growth Product</v>
      </c>
      <c r="D24" s="563" t="s">
        <v>1342</v>
      </c>
      <c r="E24" s="21" t="s">
        <v>1191</v>
      </c>
      <c r="F24" s="21"/>
      <c r="G24" s="21"/>
      <c r="H24" s="21"/>
      <c r="I24" s="92"/>
      <c r="S24" s="123"/>
      <c r="T24" s="123"/>
    </row>
    <row r="25" spans="2:20">
      <c r="B25" s="85" t="s">
        <v>754</v>
      </c>
      <c r="C25" s="188" t="str">
        <f t="shared" si="2"/>
        <v>Growth Service</v>
      </c>
      <c r="D25" s="563" t="s">
        <v>1343</v>
      </c>
      <c r="E25" s="21" t="s">
        <v>1192</v>
      </c>
      <c r="F25" s="21"/>
      <c r="G25" s="21"/>
      <c r="H25" s="21"/>
      <c r="I25" s="92"/>
      <c r="S25" s="123"/>
      <c r="T25" s="123"/>
    </row>
    <row r="26" spans="2:20">
      <c r="B26" s="85" t="s">
        <v>755</v>
      </c>
      <c r="C26" s="188" t="str">
        <f t="shared" si="2"/>
        <v>Alpha Segment 3</v>
      </c>
      <c r="D26" s="21" t="s">
        <v>197</v>
      </c>
      <c r="E26" s="21" t="s">
        <v>1193</v>
      </c>
      <c r="F26" s="21"/>
      <c r="G26" s="21"/>
      <c r="H26" s="21"/>
      <c r="I26" s="92"/>
      <c r="S26" s="123"/>
      <c r="T26" s="123"/>
    </row>
    <row r="27" spans="2:20">
      <c r="B27" s="85" t="s">
        <v>756</v>
      </c>
      <c r="C27" s="188" t="str">
        <f t="shared" si="2"/>
        <v>Alpha Segment 4</v>
      </c>
      <c r="D27" s="21" t="s">
        <v>198</v>
      </c>
      <c r="E27" s="21" t="s">
        <v>1194</v>
      </c>
      <c r="F27" s="21"/>
      <c r="G27" s="21"/>
      <c r="H27" s="21"/>
      <c r="I27" s="92"/>
      <c r="S27" s="123"/>
      <c r="T27" s="123"/>
    </row>
    <row r="28" spans="2:20">
      <c r="B28" s="85" t="s">
        <v>757</v>
      </c>
      <c r="C28" s="188" t="str">
        <f t="shared" si="2"/>
        <v>Alpha Segment 5</v>
      </c>
      <c r="D28" s="21" t="s">
        <v>199</v>
      </c>
      <c r="E28" s="21" t="s">
        <v>1195</v>
      </c>
      <c r="F28" s="21"/>
      <c r="G28" s="21"/>
      <c r="H28" s="21"/>
      <c r="I28" s="92"/>
      <c r="S28" s="123"/>
      <c r="T28" s="123"/>
    </row>
    <row r="29" spans="2:20">
      <c r="B29" s="85" t="s">
        <v>1310</v>
      </c>
      <c r="C29" s="188" t="str">
        <f t="shared" si="2"/>
        <v>Transform Product</v>
      </c>
      <c r="D29" s="563" t="s">
        <v>1344</v>
      </c>
      <c r="E29" s="21" t="str">
        <f>DataNameProd2 &amp; " Consumers"</f>
        <v>Transform Consumers</v>
      </c>
      <c r="F29" s="21"/>
      <c r="G29" s="21"/>
      <c r="H29" s="21"/>
      <c r="I29" s="92"/>
      <c r="S29" s="123"/>
      <c r="T29" s="123"/>
    </row>
    <row r="30" spans="2:20">
      <c r="B30" s="85" t="s">
        <v>758</v>
      </c>
      <c r="C30" s="188" t="str">
        <f t="shared" si="2"/>
        <v>Transform Service</v>
      </c>
      <c r="D30" s="563" t="s">
        <v>1345</v>
      </c>
      <c r="E30" s="21" t="str">
        <f>DataNameProd2 &amp; " Consumers"</f>
        <v>Transform Consumers</v>
      </c>
      <c r="F30" s="21"/>
      <c r="G30" s="21"/>
      <c r="H30" s="21"/>
      <c r="I30" s="92"/>
      <c r="S30" s="123"/>
      <c r="T30" s="123"/>
    </row>
    <row r="31" spans="2:20">
      <c r="B31" s="85" t="s">
        <v>759</v>
      </c>
      <c r="C31" s="188" t="str">
        <f t="shared" si="2"/>
        <v>NA()</v>
      </c>
      <c r="D31" s="21" t="s">
        <v>1196</v>
      </c>
      <c r="E31" s="21" t="s">
        <v>1196</v>
      </c>
      <c r="F31" s="21"/>
      <c r="G31" s="21"/>
      <c r="H31" s="21"/>
      <c r="I31" s="92"/>
      <c r="S31" s="123"/>
      <c r="T31" s="123"/>
    </row>
    <row r="32" spans="2:20">
      <c r="B32" s="85" t="s">
        <v>685</v>
      </c>
      <c r="C32" s="188" t="str">
        <f t="shared" si="2"/>
        <v>NA()</v>
      </c>
      <c r="D32" s="21" t="s">
        <v>1196</v>
      </c>
      <c r="E32" s="21" t="s">
        <v>1196</v>
      </c>
      <c r="F32" s="21"/>
      <c r="G32" s="21"/>
      <c r="H32" s="21"/>
      <c r="I32" s="92"/>
      <c r="S32" s="123"/>
      <c r="T32" s="123"/>
    </row>
    <row r="33" spans="2:20">
      <c r="B33" s="85" t="s">
        <v>1309</v>
      </c>
      <c r="C33" s="188" t="str">
        <f t="shared" si="2"/>
        <v>NA()</v>
      </c>
      <c r="D33" s="21" t="s">
        <v>1196</v>
      </c>
      <c r="E33" s="21" t="s">
        <v>1196</v>
      </c>
      <c r="F33" s="21"/>
      <c r="G33" s="21"/>
      <c r="H33" s="21"/>
      <c r="I33" s="92"/>
      <c r="S33" s="123"/>
      <c r="T33" s="123"/>
    </row>
    <row r="34" spans="2:20">
      <c r="B34" s="85" t="s">
        <v>1315</v>
      </c>
      <c r="C34" s="188" t="str">
        <f t="shared" si="2"/>
        <v>Big Company 1</v>
      </c>
      <c r="D34" s="21" t="s">
        <v>1197</v>
      </c>
      <c r="E34" s="21" t="s">
        <v>1197</v>
      </c>
      <c r="F34" s="21"/>
      <c r="G34" s="21"/>
      <c r="H34" s="21"/>
      <c r="I34" s="92"/>
      <c r="S34" s="123"/>
      <c r="T34" s="123"/>
    </row>
    <row r="35" spans="2:20">
      <c r="B35" s="85" t="s">
        <v>1311</v>
      </c>
      <c r="C35" s="188" t="str">
        <f t="shared" si="2"/>
        <v>Big Company 2</v>
      </c>
      <c r="D35" s="21" t="s">
        <v>1198</v>
      </c>
      <c r="E35" s="21" t="s">
        <v>1198</v>
      </c>
      <c r="F35" s="21"/>
      <c r="G35" s="21"/>
      <c r="H35" s="21"/>
      <c r="I35" s="92"/>
      <c r="S35" s="123"/>
      <c r="T35" s="123"/>
    </row>
    <row r="36" spans="2:20">
      <c r="B36" s="85" t="s">
        <v>1312</v>
      </c>
      <c r="C36" s="188" t="str">
        <f t="shared" si="2"/>
        <v>Big Company 3</v>
      </c>
      <c r="D36" s="21" t="s">
        <v>1199</v>
      </c>
      <c r="E36" s="21" t="s">
        <v>1199</v>
      </c>
      <c r="F36" s="21"/>
      <c r="G36" s="21"/>
      <c r="H36" s="21"/>
      <c r="I36" s="92"/>
      <c r="S36" s="123"/>
      <c r="T36" s="123"/>
    </row>
    <row r="37" spans="2:20">
      <c r="B37" s="85" t="s">
        <v>1313</v>
      </c>
      <c r="C37" s="188" t="str">
        <f t="shared" si="2"/>
        <v>Big Company 4</v>
      </c>
      <c r="D37" s="21" t="s">
        <v>1200</v>
      </c>
      <c r="E37" s="21" t="s">
        <v>1200</v>
      </c>
      <c r="F37" s="21"/>
      <c r="G37" s="21"/>
      <c r="H37" s="21"/>
      <c r="I37" s="92"/>
      <c r="S37" s="123"/>
      <c r="T37" s="123"/>
    </row>
    <row r="38" spans="2:20">
      <c r="B38" s="85" t="s">
        <v>1314</v>
      </c>
      <c r="C38" s="188" t="str">
        <f t="shared" si="2"/>
        <v>Big Company 5</v>
      </c>
      <c r="D38" s="21" t="s">
        <v>317</v>
      </c>
      <c r="E38" s="21" t="s">
        <v>317</v>
      </c>
      <c r="F38" s="21"/>
      <c r="G38" s="21"/>
      <c r="H38" s="21"/>
      <c r="I38" s="92"/>
      <c r="S38" s="123"/>
      <c r="T38" s="123"/>
    </row>
    <row r="39" spans="2:20">
      <c r="B39" s="85" t="s">
        <v>1172</v>
      </c>
      <c r="C39" s="188" t="str">
        <f t="shared" ref="C39:C53" si="3">INDEX(D39:G39,xxContLangCode)</f>
        <v>Bid Co 1</v>
      </c>
      <c r="D39" s="21" t="s">
        <v>1317</v>
      </c>
      <c r="E39" s="21" t="s">
        <v>318</v>
      </c>
      <c r="F39" s="21"/>
      <c r="G39" s="21"/>
      <c r="H39" s="21"/>
      <c r="I39" s="92"/>
      <c r="S39" s="123"/>
      <c r="T39" s="123"/>
    </row>
    <row r="40" spans="2:20">
      <c r="B40" s="85" t="s">
        <v>1173</v>
      </c>
      <c r="C40" s="188" t="str">
        <f t="shared" si="3"/>
        <v>Bid Co 2</v>
      </c>
      <c r="D40" s="21" t="s">
        <v>1318</v>
      </c>
      <c r="E40" s="21" t="s">
        <v>319</v>
      </c>
      <c r="F40" s="21"/>
      <c r="G40" s="21"/>
      <c r="H40" s="21"/>
      <c r="I40" s="92"/>
      <c r="S40" s="123"/>
      <c r="T40" s="123"/>
    </row>
    <row r="41" spans="2:20">
      <c r="B41" s="85" t="s">
        <v>1316</v>
      </c>
      <c r="C41" s="188" t="str">
        <f t="shared" si="3"/>
        <v>Bid Co 3</v>
      </c>
      <c r="D41" s="21" t="s">
        <v>1319</v>
      </c>
      <c r="E41" s="21" t="s">
        <v>320</v>
      </c>
      <c r="F41" s="21"/>
      <c r="G41" s="21"/>
      <c r="H41" s="21"/>
      <c r="I41" s="92"/>
      <c r="S41" s="123"/>
      <c r="T41" s="123"/>
    </row>
    <row r="42" spans="2:20">
      <c r="B42" s="85" t="s">
        <v>1170</v>
      </c>
      <c r="C42" s="188" t="str">
        <f t="shared" si="3"/>
        <v>Bid Co 4</v>
      </c>
      <c r="D42" s="21" t="s">
        <v>1320</v>
      </c>
      <c r="E42" s="21" t="s">
        <v>1082</v>
      </c>
      <c r="F42" s="21"/>
      <c r="G42" s="21"/>
      <c r="H42" s="21"/>
      <c r="I42" s="92"/>
      <c r="S42" s="123"/>
      <c r="T42" s="123"/>
    </row>
    <row r="43" spans="2:20">
      <c r="B43" s="85" t="s">
        <v>1171</v>
      </c>
      <c r="C43" s="188" t="str">
        <f t="shared" si="3"/>
        <v>Bid Co 5</v>
      </c>
      <c r="D43" s="21" t="s">
        <v>1321</v>
      </c>
      <c r="E43" s="21" t="s">
        <v>1083</v>
      </c>
      <c r="F43" s="21"/>
      <c r="G43" s="21"/>
      <c r="H43" s="21"/>
      <c r="I43" s="92"/>
      <c r="S43" s="123"/>
      <c r="T43" s="123"/>
    </row>
    <row r="44" spans="2:20">
      <c r="B44" s="85" t="s">
        <v>1178</v>
      </c>
      <c r="C44" s="188" t="str">
        <f t="shared" si="3"/>
        <v>Product 5 Segment 1</v>
      </c>
      <c r="D44" s="21" t="s">
        <v>1084</v>
      </c>
      <c r="E44" s="21" t="s">
        <v>1084</v>
      </c>
      <c r="F44" s="21"/>
      <c r="G44" s="21"/>
      <c r="H44" s="21"/>
      <c r="I44" s="92"/>
      <c r="S44" s="123"/>
      <c r="T44" s="123"/>
    </row>
    <row r="45" spans="2:20">
      <c r="B45" s="85" t="s">
        <v>1174</v>
      </c>
      <c r="C45" s="188" t="str">
        <f t="shared" si="3"/>
        <v>Product 5 Segment 2</v>
      </c>
      <c r="D45" s="21" t="s">
        <v>1085</v>
      </c>
      <c r="E45" s="21" t="s">
        <v>1085</v>
      </c>
      <c r="F45" s="21"/>
      <c r="G45" s="21"/>
      <c r="H45" s="21"/>
      <c r="I45" s="92"/>
      <c r="S45" s="123"/>
      <c r="T45" s="123"/>
    </row>
    <row r="46" spans="2:20">
      <c r="B46" s="85" t="s">
        <v>1175</v>
      </c>
      <c r="C46" s="188" t="str">
        <f t="shared" si="3"/>
        <v>Product 5 Segment 3</v>
      </c>
      <c r="D46" s="21" t="s">
        <v>1086</v>
      </c>
      <c r="E46" s="21" t="s">
        <v>1086</v>
      </c>
      <c r="F46" s="21"/>
      <c r="G46" s="21"/>
      <c r="H46" s="21"/>
      <c r="I46" s="92"/>
      <c r="S46" s="123"/>
      <c r="T46" s="123"/>
    </row>
    <row r="47" spans="2:20">
      <c r="B47" s="85" t="s">
        <v>1176</v>
      </c>
      <c r="C47" s="188" t="str">
        <f t="shared" si="3"/>
        <v>Product 5 Segment 4</v>
      </c>
      <c r="D47" s="21" t="s">
        <v>1087</v>
      </c>
      <c r="E47" s="21" t="s">
        <v>1087</v>
      </c>
      <c r="F47" s="21"/>
      <c r="G47" s="21"/>
      <c r="H47" s="21"/>
      <c r="I47" s="92"/>
      <c r="S47" s="123"/>
      <c r="T47" s="123"/>
    </row>
    <row r="48" spans="2:20">
      <c r="B48" s="85" t="s">
        <v>1177</v>
      </c>
      <c r="C48" s="188" t="str">
        <f t="shared" si="3"/>
        <v>Product 5 Segment 5</v>
      </c>
      <c r="D48" s="21" t="s">
        <v>1088</v>
      </c>
      <c r="E48" s="21" t="s">
        <v>1088</v>
      </c>
      <c r="F48" s="21"/>
      <c r="G48" s="21"/>
      <c r="H48" s="21"/>
      <c r="I48" s="92"/>
      <c r="S48" s="123"/>
      <c r="T48" s="123"/>
    </row>
    <row r="49" spans="2:20">
      <c r="B49" s="85" t="s">
        <v>1190</v>
      </c>
      <c r="C49" s="188" t="str">
        <f t="shared" si="3"/>
        <v>Product 6 Segment 1</v>
      </c>
      <c r="D49" s="21" t="s">
        <v>1089</v>
      </c>
      <c r="E49" s="21" t="s">
        <v>1089</v>
      </c>
      <c r="F49" s="21"/>
      <c r="G49" s="21"/>
      <c r="H49" s="21"/>
      <c r="I49" s="92"/>
      <c r="S49" s="123"/>
      <c r="T49" s="123"/>
    </row>
    <row r="50" spans="2:20">
      <c r="B50" s="85" t="s">
        <v>1179</v>
      </c>
      <c r="C50" s="188" t="str">
        <f t="shared" si="3"/>
        <v>Product 6 Segment 2</v>
      </c>
      <c r="D50" s="21" t="s">
        <v>1090</v>
      </c>
      <c r="E50" s="21" t="s">
        <v>1090</v>
      </c>
      <c r="F50" s="21"/>
      <c r="G50" s="21"/>
      <c r="H50" s="21"/>
      <c r="I50" s="92"/>
      <c r="S50" s="123"/>
      <c r="T50" s="123"/>
    </row>
    <row r="51" spans="2:20">
      <c r="B51" s="85" t="s">
        <v>1180</v>
      </c>
      <c r="C51" s="188" t="str">
        <f t="shared" si="3"/>
        <v>Product 6 Segment 3</v>
      </c>
      <c r="D51" s="21" t="s">
        <v>1091</v>
      </c>
      <c r="E51" s="21" t="s">
        <v>1091</v>
      </c>
      <c r="F51" s="21"/>
      <c r="G51" s="21"/>
      <c r="H51" s="21"/>
      <c r="I51" s="92"/>
      <c r="S51" s="123"/>
      <c r="T51" s="123"/>
    </row>
    <row r="52" spans="2:20">
      <c r="B52" s="85" t="s">
        <v>1181</v>
      </c>
      <c r="C52" s="188" t="str">
        <f t="shared" si="3"/>
        <v>Product 6 Segment 4</v>
      </c>
      <c r="D52" s="21" t="s">
        <v>1092</v>
      </c>
      <c r="E52" s="21" t="s">
        <v>1092</v>
      </c>
      <c r="F52" s="21"/>
      <c r="G52" s="21"/>
      <c r="H52" s="21"/>
      <c r="I52" s="92"/>
      <c r="S52" s="123"/>
      <c r="T52" s="123"/>
    </row>
    <row r="53" spans="2:20">
      <c r="B53" s="85" t="s">
        <v>1189</v>
      </c>
      <c r="C53" s="188" t="str">
        <f t="shared" si="3"/>
        <v>Product 6 Segment 5</v>
      </c>
      <c r="D53" s="21" t="s">
        <v>1093</v>
      </c>
      <c r="E53" s="21" t="s">
        <v>1093</v>
      </c>
      <c r="F53" s="21"/>
      <c r="G53" s="21"/>
      <c r="H53" s="21"/>
      <c r="I53" s="92"/>
      <c r="S53" s="123"/>
      <c r="T53" s="123"/>
    </row>
    <row r="54" spans="2:20">
      <c r="B54" s="85"/>
      <c r="C54" s="188">
        <f t="shared" si="2"/>
        <v>0</v>
      </c>
      <c r="D54" s="21"/>
      <c r="E54" s="21"/>
      <c r="F54" s="21"/>
      <c r="G54" s="21"/>
      <c r="H54" s="21"/>
      <c r="I54" s="92"/>
      <c r="S54" s="123"/>
      <c r="T54" s="123"/>
    </row>
    <row r="55" spans="2:20">
      <c r="B55" s="184"/>
      <c r="C55" s="185"/>
      <c r="D55" s="185"/>
      <c r="E55" s="185"/>
      <c r="F55" s="185"/>
      <c r="G55" s="185"/>
      <c r="H55" s="185"/>
      <c r="I55" s="186"/>
      <c r="S55" s="123"/>
      <c r="T55" s="123"/>
    </row>
    <row r="57" spans="2:20">
      <c r="B57" s="21"/>
      <c r="C57" s="21"/>
      <c r="D57" s="21"/>
      <c r="E57" s="21"/>
      <c r="F57" s="21"/>
      <c r="G57" s="21"/>
      <c r="H57" s="21"/>
      <c r="I57" s="21"/>
      <c r="S57" s="123"/>
      <c r="T57" s="123"/>
    </row>
    <row r="58" spans="2:20">
      <c r="B58" s="3" t="s">
        <v>970</v>
      </c>
    </row>
    <row r="60" spans="2:20">
      <c r="B60" t="str">
        <f>DataNameProd1</f>
        <v>Growth</v>
      </c>
      <c r="C60" s="1000">
        <f>155000/0.4</f>
        <v>387500</v>
      </c>
      <c r="D60" t="s">
        <v>969</v>
      </c>
      <c r="S60" s="123"/>
      <c r="T60" s="123"/>
    </row>
    <row r="61" spans="2:20">
      <c r="B61" t="str">
        <f>DataNameProd2</f>
        <v>Transform</v>
      </c>
      <c r="C61" s="70">
        <f>200500/0.4</f>
        <v>501250</v>
      </c>
      <c r="D61" t="s">
        <v>1213</v>
      </c>
      <c r="S61" s="123"/>
      <c r="T61" s="123"/>
    </row>
    <row r="62" spans="2:20">
      <c r="B62" t="str">
        <f>DataNameProd3</f>
        <v>Consumer</v>
      </c>
      <c r="C62" s="70">
        <v>6500000</v>
      </c>
      <c r="D62" t="s">
        <v>1214</v>
      </c>
      <c r="S62" s="123"/>
      <c r="T62" s="123"/>
    </row>
    <row r="63" spans="2:20">
      <c r="B63" t="str">
        <f>DataNameProd4</f>
        <v>Consumer Consumables</v>
      </c>
      <c r="C63" s="70"/>
      <c r="D63" t="s">
        <v>1215</v>
      </c>
      <c r="S63" s="123"/>
      <c r="T63" s="123"/>
    </row>
    <row r="64" spans="2:20">
      <c r="B64" t="str">
        <f>DataNameProd5</f>
        <v>Services</v>
      </c>
      <c r="C64" s="70">
        <v>1500000</v>
      </c>
      <c r="D64" t="s">
        <v>1216</v>
      </c>
      <c r="S64" s="123"/>
      <c r="T64" s="123"/>
    </row>
    <row r="65" spans="1:20">
      <c r="B65" t="str">
        <f>DataNameProd6</f>
        <v>Services</v>
      </c>
      <c r="C65" s="70"/>
      <c r="D65" t="s">
        <v>968</v>
      </c>
      <c r="S65" s="123"/>
      <c r="T65" s="123"/>
    </row>
    <row r="66" spans="1:20">
      <c r="C66" s="165"/>
      <c r="S66" s="123"/>
      <c r="T66" s="123"/>
    </row>
    <row r="67" spans="1:20">
      <c r="S67" s="123"/>
      <c r="T67" s="123"/>
    </row>
    <row r="68" spans="1:20">
      <c r="A68" s="3" t="s">
        <v>496</v>
      </c>
      <c r="S68" s="123"/>
      <c r="T68" s="123"/>
    </row>
    <row r="69" spans="1:20">
      <c r="A69" s="3" t="s">
        <v>497</v>
      </c>
      <c r="B69" s="168"/>
      <c r="S69" s="123"/>
      <c r="T69" s="123"/>
    </row>
    <row r="70" spans="1:20">
      <c r="A70" s="3"/>
      <c r="B70" s="3" t="s">
        <v>141</v>
      </c>
      <c r="S70" s="123"/>
      <c r="T70" s="123"/>
    </row>
    <row r="71" spans="1:20" ht="12" customHeight="1">
      <c r="B71" s="3" t="s">
        <v>901</v>
      </c>
      <c r="C71" s="71">
        <v>-2</v>
      </c>
      <c r="D71" s="71">
        <v>-1</v>
      </c>
      <c r="E71" s="71">
        <v>0</v>
      </c>
      <c r="F71" s="71">
        <v>1</v>
      </c>
      <c r="G71" s="71">
        <v>2</v>
      </c>
      <c r="H71" s="71">
        <v>3</v>
      </c>
      <c r="I71" s="71">
        <v>4</v>
      </c>
      <c r="J71" s="71">
        <v>5</v>
      </c>
      <c r="S71" s="123"/>
      <c r="T71" s="123"/>
    </row>
    <row r="72" spans="1:20">
      <c r="B72" s="4" t="s">
        <v>902</v>
      </c>
      <c r="C72" s="72"/>
      <c r="D72" s="72"/>
      <c r="E72" s="73"/>
      <c r="F72" s="11">
        <v>101</v>
      </c>
      <c r="G72" s="11">
        <v>101</v>
      </c>
      <c r="H72" s="11">
        <v>101</v>
      </c>
      <c r="I72" s="11">
        <v>101</v>
      </c>
      <c r="J72" s="11">
        <v>101</v>
      </c>
      <c r="S72" s="123"/>
      <c r="T72" s="123"/>
    </row>
    <row r="73" spans="1:20">
      <c r="B73" s="4" t="s">
        <v>903</v>
      </c>
      <c r="C73" s="72"/>
      <c r="D73" s="72"/>
      <c r="E73" s="73"/>
      <c r="F73" s="76"/>
      <c r="G73" s="11">
        <v>102</v>
      </c>
      <c r="H73" s="11">
        <v>102</v>
      </c>
      <c r="I73" s="11">
        <v>102</v>
      </c>
      <c r="J73" s="11">
        <v>102</v>
      </c>
      <c r="S73" s="123"/>
      <c r="T73" s="123"/>
    </row>
    <row r="74" spans="1:20">
      <c r="B74" s="4" t="s">
        <v>904</v>
      </c>
      <c r="C74" s="74"/>
      <c r="D74" s="74"/>
      <c r="E74" s="75"/>
      <c r="F74" s="77"/>
      <c r="G74" s="77"/>
      <c r="H74" s="24">
        <v>103</v>
      </c>
      <c r="I74" s="24">
        <v>103</v>
      </c>
      <c r="J74" s="24">
        <v>103</v>
      </c>
      <c r="S74" s="123"/>
      <c r="T74" s="123"/>
    </row>
    <row r="75" spans="1:20">
      <c r="B75" s="4" t="s">
        <v>905</v>
      </c>
      <c r="C75" s="74"/>
      <c r="D75" s="74"/>
      <c r="E75" s="75"/>
      <c r="F75" s="77"/>
      <c r="G75" s="77"/>
      <c r="H75" s="78"/>
      <c r="I75" s="24">
        <v>104</v>
      </c>
      <c r="J75" s="24">
        <v>104</v>
      </c>
      <c r="S75" s="123"/>
      <c r="T75" s="123"/>
    </row>
    <row r="76" spans="1:20">
      <c r="B76" s="4" t="s">
        <v>906</v>
      </c>
      <c r="C76" s="72"/>
      <c r="D76" s="72"/>
      <c r="E76" s="72"/>
      <c r="F76" s="76"/>
      <c r="G76" s="76"/>
      <c r="H76" s="78"/>
      <c r="I76" s="78"/>
      <c r="J76" s="24">
        <v>105</v>
      </c>
      <c r="S76" s="123"/>
      <c r="T76" s="123"/>
    </row>
    <row r="77" spans="1:20">
      <c r="B77" s="4"/>
      <c r="C77" s="4"/>
      <c r="D77" s="4"/>
      <c r="E77" s="4"/>
      <c r="F77" s="4"/>
      <c r="G77" s="4"/>
      <c r="H77" s="4"/>
      <c r="I77" s="4"/>
      <c r="J77" s="4"/>
      <c r="K77" s="4"/>
      <c r="S77" s="123"/>
      <c r="T77" s="123"/>
    </row>
    <row r="78" spans="1:20">
      <c r="B78" s="3" t="s">
        <v>900</v>
      </c>
      <c r="S78" s="123"/>
      <c r="T78" s="123"/>
    </row>
    <row r="79" spans="1:20">
      <c r="B79" s="3" t="s">
        <v>901</v>
      </c>
      <c r="C79" s="3">
        <f>C71</f>
        <v>-2</v>
      </c>
      <c r="D79" s="3">
        <f t="shared" ref="D79:J79" si="4">D71</f>
        <v>-1</v>
      </c>
      <c r="E79" s="3">
        <f t="shared" si="4"/>
        <v>0</v>
      </c>
      <c r="F79" s="3">
        <f t="shared" si="4"/>
        <v>1</v>
      </c>
      <c r="G79" s="3">
        <f t="shared" si="4"/>
        <v>2</v>
      </c>
      <c r="H79" s="3">
        <f t="shared" si="4"/>
        <v>3</v>
      </c>
      <c r="I79" s="3">
        <f t="shared" si="4"/>
        <v>4</v>
      </c>
      <c r="J79" s="3">
        <f t="shared" si="4"/>
        <v>5</v>
      </c>
      <c r="S79" s="123"/>
      <c r="T79" s="123"/>
    </row>
    <row r="80" spans="1:20">
      <c r="B80" t="s">
        <v>496</v>
      </c>
      <c r="C80" s="11">
        <v>90</v>
      </c>
      <c r="D80" s="11">
        <v>95</v>
      </c>
      <c r="E80" s="11">
        <v>100</v>
      </c>
      <c r="F80" s="11">
        <v>110</v>
      </c>
      <c r="G80" s="11">
        <v>120</v>
      </c>
      <c r="H80" s="11">
        <v>130</v>
      </c>
      <c r="I80" s="11">
        <v>140</v>
      </c>
      <c r="J80" s="11">
        <v>150</v>
      </c>
      <c r="S80" s="123"/>
      <c r="T80" s="123"/>
    </row>
    <row r="81" spans="1:20">
      <c r="C81" s="3"/>
      <c r="D81" s="3"/>
      <c r="E81" s="3"/>
      <c r="F81" s="3"/>
      <c r="G81" s="3"/>
      <c r="H81" s="3"/>
      <c r="I81" s="3"/>
      <c r="J81" s="3"/>
      <c r="S81" s="123"/>
      <c r="T81" s="123"/>
    </row>
    <row r="82" spans="1:20">
      <c r="A82" s="3" t="str">
        <f>DataNameProd1 &amp; " Data"</f>
        <v>Growth Data</v>
      </c>
      <c r="S82" s="123"/>
      <c r="T82" s="123"/>
    </row>
    <row r="83" spans="1:20">
      <c r="B83" s="3" t="s">
        <v>141</v>
      </c>
      <c r="S83" s="123"/>
      <c r="T83" s="123"/>
    </row>
    <row r="84" spans="1:20">
      <c r="B84" s="3" t="s">
        <v>901</v>
      </c>
      <c r="C84" s="71">
        <f>C79</f>
        <v>-2</v>
      </c>
      <c r="D84" s="71">
        <f t="shared" ref="D84:J84" si="5">D79</f>
        <v>-1</v>
      </c>
      <c r="E84" s="71">
        <f t="shared" si="5"/>
        <v>0</v>
      </c>
      <c r="F84" s="71">
        <f t="shared" si="5"/>
        <v>1</v>
      </c>
      <c r="G84" s="71">
        <f t="shared" si="5"/>
        <v>2</v>
      </c>
      <c r="H84" s="71">
        <f t="shared" si="5"/>
        <v>3</v>
      </c>
      <c r="I84" s="71">
        <f t="shared" si="5"/>
        <v>4</v>
      </c>
      <c r="J84" s="71">
        <f t="shared" si="5"/>
        <v>5</v>
      </c>
      <c r="S84" s="123"/>
      <c r="T84" s="123"/>
    </row>
    <row r="85" spans="1:20">
      <c r="B85" s="4" t="str">
        <f>DataNameProd1 &amp; " Growth Year 0"</f>
        <v>Growth Growth Year 0</v>
      </c>
      <c r="C85" s="72"/>
      <c r="D85" s="72"/>
      <c r="E85" s="73"/>
      <c r="F85" s="11">
        <v>201</v>
      </c>
      <c r="G85" s="11">
        <v>202</v>
      </c>
      <c r="H85" s="11">
        <v>203</v>
      </c>
      <c r="I85" s="11">
        <v>204</v>
      </c>
      <c r="J85" s="11">
        <v>205</v>
      </c>
      <c r="S85" s="123"/>
      <c r="T85" s="123"/>
    </row>
    <row r="86" spans="1:20">
      <c r="B86" s="4" t="str">
        <f>DataNameProd1 &amp; " Growth Year 1"</f>
        <v>Growth Growth Year 1</v>
      </c>
      <c r="C86" s="72"/>
      <c r="D86" s="72"/>
      <c r="E86" s="73"/>
      <c r="F86" s="76"/>
      <c r="G86" s="11">
        <v>202</v>
      </c>
      <c r="H86" s="11">
        <v>202</v>
      </c>
      <c r="I86" s="11">
        <v>202</v>
      </c>
      <c r="J86" s="11">
        <v>202</v>
      </c>
      <c r="S86" s="123"/>
      <c r="T86" s="123"/>
    </row>
    <row r="87" spans="1:20">
      <c r="B87" s="4" t="str">
        <f>DataNameProd1 &amp; " Growth Year 2"</f>
        <v>Growth Growth Year 2</v>
      </c>
      <c r="C87" s="74"/>
      <c r="D87" s="74"/>
      <c r="E87" s="75"/>
      <c r="F87" s="77"/>
      <c r="G87" s="77"/>
      <c r="H87" s="24">
        <v>203</v>
      </c>
      <c r="I87" s="24">
        <v>203</v>
      </c>
      <c r="J87" s="24">
        <v>203</v>
      </c>
      <c r="S87" s="123"/>
      <c r="T87" s="123"/>
    </row>
    <row r="88" spans="1:20">
      <c r="B88" s="4" t="str">
        <f>DataNameProd1 &amp; " Growth Year 3"</f>
        <v>Growth Growth Year 3</v>
      </c>
      <c r="C88" s="74"/>
      <c r="D88" s="74"/>
      <c r="E88" s="75"/>
      <c r="F88" s="77"/>
      <c r="G88" s="77"/>
      <c r="H88" s="78"/>
      <c r="I88" s="24">
        <v>204</v>
      </c>
      <c r="J88" s="24">
        <v>204</v>
      </c>
      <c r="S88" s="123"/>
      <c r="T88" s="123"/>
    </row>
    <row r="89" spans="1:20">
      <c r="B89" s="4" t="str">
        <f>DataNameProd1 &amp; " Growth Year 4"</f>
        <v>Growth Growth Year 4</v>
      </c>
      <c r="C89" s="72"/>
      <c r="D89" s="72"/>
      <c r="E89" s="72"/>
      <c r="F89" s="76"/>
      <c r="G89" s="76"/>
      <c r="H89" s="78"/>
      <c r="I89" s="78"/>
      <c r="J89" s="24">
        <v>205</v>
      </c>
      <c r="S89" s="123"/>
      <c r="T89" s="123"/>
    </row>
    <row r="90" spans="1:20">
      <c r="B90" s="4"/>
      <c r="C90" s="4"/>
      <c r="D90" s="4"/>
      <c r="E90" s="4"/>
      <c r="F90" s="4"/>
      <c r="G90" s="4"/>
      <c r="H90" s="4"/>
      <c r="I90" s="4"/>
      <c r="J90" s="4"/>
      <c r="S90" s="123"/>
      <c r="T90" s="123"/>
    </row>
    <row r="91" spans="1:20">
      <c r="B91" s="3" t="s">
        <v>900</v>
      </c>
      <c r="C91" t="s">
        <v>601</v>
      </c>
      <c r="S91" s="123"/>
      <c r="T91" s="123"/>
    </row>
    <row r="92" spans="1:20">
      <c r="B92" s="3" t="s">
        <v>901</v>
      </c>
      <c r="C92" s="3">
        <f>C84</f>
        <v>-2</v>
      </c>
      <c r="D92" s="3">
        <f t="shared" ref="D92:J92" si="6">D84</f>
        <v>-1</v>
      </c>
      <c r="E92" s="3">
        <f t="shared" si="6"/>
        <v>0</v>
      </c>
      <c r="F92" s="3">
        <f t="shared" si="6"/>
        <v>1</v>
      </c>
      <c r="G92" s="3">
        <f t="shared" si="6"/>
        <v>2</v>
      </c>
      <c r="H92" s="3">
        <f t="shared" si="6"/>
        <v>3</v>
      </c>
      <c r="I92" s="3">
        <f t="shared" si="6"/>
        <v>4</v>
      </c>
      <c r="J92" s="3">
        <f t="shared" si="6"/>
        <v>5</v>
      </c>
      <c r="S92" s="123"/>
      <c r="T92" s="123"/>
    </row>
    <row r="93" spans="1:20">
      <c r="B93" s="4" t="str">
        <f>DataNameProd1 &amp; " Growth"</f>
        <v>Growth Growth</v>
      </c>
      <c r="C93" s="1018">
        <v>95.5</v>
      </c>
      <c r="D93" s="1018">
        <v>97.5</v>
      </c>
      <c r="E93" s="1018">
        <v>100</v>
      </c>
      <c r="F93" s="1018">
        <v>108</v>
      </c>
      <c r="G93" s="1019">
        <v>112</v>
      </c>
      <c r="H93" s="1019">
        <v>118</v>
      </c>
      <c r="I93" s="1019">
        <v>120</v>
      </c>
      <c r="J93" s="1020">
        <v>100</v>
      </c>
      <c r="K93" s="565" t="s">
        <v>816</v>
      </c>
      <c r="S93" s="123"/>
      <c r="T93" s="123"/>
    </row>
    <row r="94" spans="1:20">
      <c r="S94" s="123"/>
      <c r="T94" s="123"/>
    </row>
    <row r="95" spans="1:20">
      <c r="B95" s="3" t="s">
        <v>913</v>
      </c>
      <c r="C95" s="3">
        <f>C92</f>
        <v>-2</v>
      </c>
      <c r="D95" s="3">
        <f t="shared" ref="D95:J95" si="7">D92</f>
        <v>-1</v>
      </c>
      <c r="E95" s="3">
        <f t="shared" si="7"/>
        <v>0</v>
      </c>
      <c r="F95" s="3">
        <f t="shared" si="7"/>
        <v>1</v>
      </c>
      <c r="G95" s="3">
        <f t="shared" si="7"/>
        <v>2</v>
      </c>
      <c r="H95" s="3">
        <f t="shared" si="7"/>
        <v>3</v>
      </c>
      <c r="I95" s="3">
        <f t="shared" si="7"/>
        <v>4</v>
      </c>
      <c r="J95" s="3">
        <f t="shared" si="7"/>
        <v>5</v>
      </c>
      <c r="S95" s="123"/>
      <c r="T95" s="123"/>
    </row>
    <row r="96" spans="1:20">
      <c r="B96" t="str">
        <f>DataNameProd1 &amp; " " &amp; DataNameProd1Seg1 &amp; " %"</f>
        <v>Growth Growth Product %</v>
      </c>
      <c r="C96" s="12">
        <v>1</v>
      </c>
      <c r="D96" s="12">
        <v>1</v>
      </c>
      <c r="E96" s="12">
        <v>1</v>
      </c>
      <c r="F96" s="12">
        <v>1</v>
      </c>
      <c r="G96" s="12">
        <v>1</v>
      </c>
      <c r="H96" s="12">
        <v>1</v>
      </c>
      <c r="I96" s="12">
        <v>1</v>
      </c>
      <c r="J96" s="12">
        <v>1</v>
      </c>
      <c r="K96" s="12"/>
      <c r="S96" s="123"/>
      <c r="T96" s="123"/>
    </row>
    <row r="97" spans="1:20">
      <c r="B97" t="str">
        <f>DataNameProd1 &amp; " " &amp; DataNameProd1Seg2 &amp; " %"</f>
        <v>Growth Growth Service %</v>
      </c>
      <c r="C97" s="12">
        <v>0</v>
      </c>
      <c r="D97" s="12">
        <v>0</v>
      </c>
      <c r="E97" s="12">
        <v>0</v>
      </c>
      <c r="F97" s="12">
        <v>0</v>
      </c>
      <c r="G97" s="12">
        <v>0</v>
      </c>
      <c r="H97" s="12">
        <v>0</v>
      </c>
      <c r="I97" s="12">
        <v>0</v>
      </c>
      <c r="J97" s="12">
        <v>0</v>
      </c>
      <c r="K97" s="12"/>
      <c r="S97" s="123"/>
      <c r="T97" s="123"/>
    </row>
    <row r="98" spans="1:20">
      <c r="B98" t="str">
        <f>DataNameProd1 &amp; " " &amp; DataNameProd1Seg3 &amp; " %"</f>
        <v>Growth Alpha Segment 3 %</v>
      </c>
      <c r="C98" s="12">
        <v>0</v>
      </c>
      <c r="D98" s="12">
        <v>0</v>
      </c>
      <c r="E98" s="12">
        <v>0</v>
      </c>
      <c r="F98" s="12">
        <v>0</v>
      </c>
      <c r="G98" s="12">
        <v>0</v>
      </c>
      <c r="H98" s="12">
        <v>0</v>
      </c>
      <c r="I98" s="12">
        <v>0</v>
      </c>
      <c r="J98" s="12">
        <v>0</v>
      </c>
      <c r="K98" s="12"/>
      <c r="S98" s="123"/>
      <c r="T98" s="123"/>
    </row>
    <row r="99" spans="1:20">
      <c r="B99" t="str">
        <f>DataNameProd1 &amp; " " &amp; DataNameProd1Seg4 &amp; " %"</f>
        <v>Growth Alpha Segment 4 %</v>
      </c>
      <c r="C99" s="12">
        <v>0</v>
      </c>
      <c r="D99" s="12">
        <v>0</v>
      </c>
      <c r="E99" s="12">
        <v>0</v>
      </c>
      <c r="F99" s="12">
        <v>0</v>
      </c>
      <c r="G99" s="12">
        <v>0</v>
      </c>
      <c r="H99" s="12">
        <v>0</v>
      </c>
      <c r="I99" s="12">
        <v>0</v>
      </c>
      <c r="J99" s="12">
        <v>0</v>
      </c>
      <c r="S99" s="123"/>
      <c r="T99" s="123"/>
    </row>
    <row r="100" spans="1:20">
      <c r="B100" t="str">
        <f>DataNameProd1 &amp; " " &amp; DataNameProd1Seg5 &amp; " %"</f>
        <v>Growth Alpha Segment 5 %</v>
      </c>
      <c r="C100" s="12">
        <v>0</v>
      </c>
      <c r="D100" s="12">
        <v>0</v>
      </c>
      <c r="E100" s="12">
        <v>0</v>
      </c>
      <c r="F100" s="12">
        <v>0</v>
      </c>
      <c r="G100" s="12">
        <v>0</v>
      </c>
      <c r="H100" s="12">
        <v>0</v>
      </c>
      <c r="I100" s="12">
        <v>0</v>
      </c>
      <c r="J100" s="12">
        <v>0</v>
      </c>
      <c r="L100" s="18">
        <f>F103/10</f>
        <v>41850</v>
      </c>
      <c r="S100" s="123"/>
      <c r="T100" s="123"/>
    </row>
    <row r="101" spans="1:20">
      <c r="F101" s="15">
        <f>F103/$E103-1</f>
        <v>8.0000000000000071E-2</v>
      </c>
      <c r="G101" s="15">
        <f>G103/$E103-1</f>
        <v>0.12000000000000011</v>
      </c>
      <c r="H101" s="15">
        <f>H103/$E103-1</f>
        <v>0.17999999999999994</v>
      </c>
      <c r="I101" s="18"/>
      <c r="J101" s="18"/>
      <c r="S101" s="123"/>
      <c r="T101" s="123"/>
    </row>
    <row r="102" spans="1:20">
      <c r="A102" s="3"/>
      <c r="C102" s="3">
        <f>C95</f>
        <v>-2</v>
      </c>
      <c r="D102" s="3">
        <f t="shared" ref="D102:J102" si="8">D95</f>
        <v>-1</v>
      </c>
      <c r="E102" s="3">
        <f t="shared" si="8"/>
        <v>0</v>
      </c>
      <c r="F102" s="3">
        <f t="shared" si="8"/>
        <v>1</v>
      </c>
      <c r="G102" s="3">
        <f t="shared" si="8"/>
        <v>2</v>
      </c>
      <c r="H102" s="3">
        <f t="shared" si="8"/>
        <v>3</v>
      </c>
      <c r="I102" s="3">
        <f t="shared" si="8"/>
        <v>4</v>
      </c>
      <c r="J102" s="3">
        <f t="shared" si="8"/>
        <v>5</v>
      </c>
      <c r="S102" s="123"/>
      <c r="T102" s="123"/>
    </row>
    <row r="103" spans="1:20">
      <c r="B103" t="str">
        <f>DataNameProd1</f>
        <v>Growth</v>
      </c>
      <c r="C103" s="228">
        <f t="shared" ref="C103:H103" si="9">xxProd1BaseUnits*C93/100</f>
        <v>370062.5</v>
      </c>
      <c r="D103" s="228">
        <f t="shared" si="9"/>
        <v>377812.5</v>
      </c>
      <c r="E103" s="228">
        <f t="shared" si="9"/>
        <v>387500</v>
      </c>
      <c r="F103" s="228">
        <f t="shared" si="9"/>
        <v>418500</v>
      </c>
      <c r="G103" s="228">
        <f t="shared" si="9"/>
        <v>434000</v>
      </c>
      <c r="H103" s="228">
        <f t="shared" si="9"/>
        <v>457250</v>
      </c>
      <c r="I103" s="228">
        <f>H103*I93/100</f>
        <v>548700</v>
      </c>
      <c r="J103" s="228">
        <f>I103*J93/100</f>
        <v>548700</v>
      </c>
      <c r="K103" t="s">
        <v>752</v>
      </c>
      <c r="N103" s="18">
        <f>155000/0.4</f>
        <v>387500</v>
      </c>
      <c r="S103" s="123"/>
      <c r="T103" s="123"/>
    </row>
    <row r="104" spans="1:20">
      <c r="B104" t="str">
        <f>DataNameProd1 &amp; " " &amp; DataNameProd1Seg1 &amp; " Units"</f>
        <v>Growth Growth Product Units</v>
      </c>
      <c r="C104" s="228">
        <f>C$103*C96</f>
        <v>370062.5</v>
      </c>
      <c r="D104" s="228">
        <f t="shared" ref="D104:J104" si="10">D$103*D96</f>
        <v>377812.5</v>
      </c>
      <c r="E104" s="228">
        <f t="shared" si="10"/>
        <v>387500</v>
      </c>
      <c r="F104" s="228">
        <f t="shared" si="10"/>
        <v>418500</v>
      </c>
      <c r="G104" s="228">
        <f t="shared" si="10"/>
        <v>434000</v>
      </c>
      <c r="H104" s="228">
        <f t="shared" si="10"/>
        <v>457250</v>
      </c>
      <c r="I104" s="228">
        <f t="shared" si="10"/>
        <v>548700</v>
      </c>
      <c r="J104" s="228">
        <f t="shared" si="10"/>
        <v>548700</v>
      </c>
      <c r="K104" t="s">
        <v>981</v>
      </c>
      <c r="N104" s="14">
        <f>cap!E10+cap!F10+cap!G10</f>
        <v>407842.42185937497</v>
      </c>
      <c r="S104" s="123"/>
      <c r="T104" s="123"/>
    </row>
    <row r="105" spans="1:20">
      <c r="B105" t="str">
        <f>DataNameProd1 &amp; " " &amp; DataNameProd1Seg2 &amp; " Units"</f>
        <v>Growth Growth Service Units</v>
      </c>
      <c r="C105" s="228">
        <f t="shared" ref="C105:J108" si="11">C$103*C97</f>
        <v>0</v>
      </c>
      <c r="D105" s="228">
        <f t="shared" si="11"/>
        <v>0</v>
      </c>
      <c r="E105" s="228">
        <f t="shared" si="11"/>
        <v>0</v>
      </c>
      <c r="F105" s="228">
        <f t="shared" si="11"/>
        <v>0</v>
      </c>
      <c r="G105" s="228">
        <f t="shared" si="11"/>
        <v>0</v>
      </c>
      <c r="H105" s="228">
        <f t="shared" si="11"/>
        <v>0</v>
      </c>
      <c r="I105" s="228">
        <f t="shared" si="11"/>
        <v>0</v>
      </c>
      <c r="J105" s="228">
        <f t="shared" si="11"/>
        <v>0</v>
      </c>
      <c r="K105" t="s">
        <v>982</v>
      </c>
      <c r="S105" s="123"/>
      <c r="T105" s="123"/>
    </row>
    <row r="106" spans="1:20">
      <c r="B106" t="str">
        <f>DataNameProd1 &amp; " " &amp; DataNameProd1Seg3 &amp; " Units"</f>
        <v>Growth Alpha Segment 3 Units</v>
      </c>
      <c r="C106" s="228">
        <f t="shared" si="11"/>
        <v>0</v>
      </c>
      <c r="D106" s="228">
        <f t="shared" si="11"/>
        <v>0</v>
      </c>
      <c r="E106" s="228">
        <f t="shared" si="11"/>
        <v>0</v>
      </c>
      <c r="F106" s="228">
        <f t="shared" si="11"/>
        <v>0</v>
      </c>
      <c r="G106" s="228">
        <f t="shared" si="11"/>
        <v>0</v>
      </c>
      <c r="H106" s="228">
        <f t="shared" si="11"/>
        <v>0</v>
      </c>
      <c r="I106" s="228">
        <f t="shared" si="11"/>
        <v>0</v>
      </c>
      <c r="J106" s="228">
        <f t="shared" si="11"/>
        <v>0</v>
      </c>
      <c r="K106" t="s">
        <v>983</v>
      </c>
      <c r="S106" s="123"/>
      <c r="T106" s="123"/>
    </row>
    <row r="107" spans="1:20">
      <c r="B107" t="str">
        <f>DataNameProd1 &amp; " " &amp; DataNameProd1Seg4 &amp; " Units"</f>
        <v>Growth Alpha Segment 4 Units</v>
      </c>
      <c r="C107" s="228">
        <f t="shared" si="11"/>
        <v>0</v>
      </c>
      <c r="D107" s="228">
        <f t="shared" si="11"/>
        <v>0</v>
      </c>
      <c r="E107" s="228">
        <f t="shared" si="11"/>
        <v>0</v>
      </c>
      <c r="F107" s="228">
        <f t="shared" si="11"/>
        <v>0</v>
      </c>
      <c r="G107" s="228">
        <f t="shared" si="11"/>
        <v>0</v>
      </c>
      <c r="H107" s="228">
        <f t="shared" si="11"/>
        <v>0</v>
      </c>
      <c r="I107" s="228">
        <f t="shared" si="11"/>
        <v>0</v>
      </c>
      <c r="J107" s="228">
        <f t="shared" si="11"/>
        <v>0</v>
      </c>
      <c r="K107" t="s">
        <v>984</v>
      </c>
      <c r="S107" s="123"/>
      <c r="T107" s="123"/>
    </row>
    <row r="108" spans="1:20">
      <c r="B108" t="str">
        <f>DataNameProd1 &amp; " " &amp; DataNameProd1Seg5 &amp; " Units"</f>
        <v>Growth Alpha Segment 5 Units</v>
      </c>
      <c r="C108" s="228">
        <f t="shared" si="11"/>
        <v>0</v>
      </c>
      <c r="D108" s="228">
        <f t="shared" si="11"/>
        <v>0</v>
      </c>
      <c r="E108" s="228">
        <f t="shared" si="11"/>
        <v>0</v>
      </c>
      <c r="F108" s="228">
        <f t="shared" si="11"/>
        <v>0</v>
      </c>
      <c r="G108" s="228">
        <f t="shared" si="11"/>
        <v>0</v>
      </c>
      <c r="H108" s="228">
        <f t="shared" si="11"/>
        <v>0</v>
      </c>
      <c r="I108" s="228">
        <f t="shared" si="11"/>
        <v>0</v>
      </c>
      <c r="J108" s="228">
        <f t="shared" si="11"/>
        <v>0</v>
      </c>
      <c r="K108" t="s">
        <v>751</v>
      </c>
      <c r="S108" s="123"/>
      <c r="T108" s="123"/>
    </row>
    <row r="109" spans="1:20">
      <c r="C109" s="14"/>
      <c r="D109" s="14"/>
      <c r="E109" s="14"/>
      <c r="F109" s="14"/>
      <c r="G109" s="14"/>
      <c r="H109" s="14"/>
      <c r="I109" s="14"/>
      <c r="J109" s="14"/>
      <c r="S109" s="123"/>
      <c r="T109" s="123"/>
    </row>
    <row r="110" spans="1:20">
      <c r="B110" t="s">
        <v>359</v>
      </c>
      <c r="C110" s="10">
        <f>C103/xxNumOfTeams</f>
        <v>370062.5</v>
      </c>
      <c r="D110" s="10">
        <f t="shared" ref="D110:J110" si="12">D103/xxNumOfTeams</f>
        <v>377812.5</v>
      </c>
      <c r="E110" s="10">
        <f t="shared" si="12"/>
        <v>387500</v>
      </c>
      <c r="F110" s="10">
        <f t="shared" si="12"/>
        <v>418500</v>
      </c>
      <c r="G110" s="10">
        <f t="shared" si="12"/>
        <v>434000</v>
      </c>
      <c r="H110" s="10">
        <f t="shared" si="12"/>
        <v>457250</v>
      </c>
      <c r="I110" s="10">
        <f t="shared" si="12"/>
        <v>548700</v>
      </c>
      <c r="J110" s="10">
        <f t="shared" si="12"/>
        <v>548700</v>
      </c>
      <c r="Q110" t="s">
        <v>531</v>
      </c>
      <c r="S110" s="123"/>
      <c r="T110" s="123"/>
    </row>
    <row r="111" spans="1:20" ht="12" thickBot="1">
      <c r="C111" s="10"/>
      <c r="D111" s="10"/>
      <c r="E111" s="10"/>
      <c r="F111" s="10"/>
      <c r="G111" s="10"/>
      <c r="H111" s="10"/>
      <c r="I111" s="10"/>
      <c r="J111" s="10"/>
      <c r="S111" s="123"/>
      <c r="T111" s="123"/>
    </row>
    <row r="112" spans="1:20">
      <c r="B112" s="224" t="str">
        <f>DataNameProd1&amp;" Market Model Prod1 Drivers"</f>
        <v>Growth Market Model Prod1 Drivers</v>
      </c>
      <c r="C112" s="176"/>
      <c r="D112" s="176"/>
      <c r="E112" s="176"/>
      <c r="F112" s="176"/>
      <c r="G112" s="176"/>
      <c r="H112" s="176"/>
      <c r="I112" s="176"/>
      <c r="J112" s="176"/>
      <c r="K112" s="177"/>
      <c r="S112" s="123"/>
      <c r="T112" s="123"/>
    </row>
    <row r="113" spans="2:20">
      <c r="B113" s="129"/>
      <c r="C113" s="59" t="s">
        <v>446</v>
      </c>
      <c r="D113" s="59"/>
      <c r="E113" s="59" t="s">
        <v>914</v>
      </c>
      <c r="F113" s="59" t="s">
        <v>701</v>
      </c>
      <c r="G113" s="59" t="s">
        <v>702</v>
      </c>
      <c r="H113" s="59" t="s">
        <v>704</v>
      </c>
      <c r="I113" s="59" t="s">
        <v>705</v>
      </c>
      <c r="J113" s="21"/>
      <c r="K113" s="130"/>
      <c r="S113" s="123"/>
      <c r="T113" s="123"/>
    </row>
    <row r="114" spans="2:20" ht="11.25" customHeight="1">
      <c r="B114" s="129" t="s">
        <v>32</v>
      </c>
      <c r="C114" s="538" t="s">
        <v>288</v>
      </c>
      <c r="D114" s="538"/>
      <c r="E114" s="538">
        <f>VLOOKUP(C114,$N$114:$O$119,2,FALSE)</f>
        <v>6</v>
      </c>
      <c r="F114" s="538">
        <v>0</v>
      </c>
      <c r="G114" s="538">
        <v>0</v>
      </c>
      <c r="H114" s="538">
        <v>0</v>
      </c>
      <c r="I114" s="538">
        <v>0</v>
      </c>
      <c r="J114" s="230" t="s">
        <v>971</v>
      </c>
      <c r="K114" s="130" t="s">
        <v>213</v>
      </c>
      <c r="N114" s="665" t="s">
        <v>1274</v>
      </c>
      <c r="O114" s="665">
        <v>10</v>
      </c>
      <c r="Q114" s="715"/>
      <c r="R114" s="716"/>
      <c r="S114" s="123"/>
      <c r="T114" s="123"/>
    </row>
    <row r="115" spans="2:20" ht="11.25" customHeight="1">
      <c r="B115" s="129" t="s">
        <v>38</v>
      </c>
      <c r="C115" s="538" t="s">
        <v>1759</v>
      </c>
      <c r="D115" s="538"/>
      <c r="E115" s="538">
        <f t="shared" ref="E115:E119" si="13">VLOOKUP(C115,$N$114:$O$119,2,FALSE)</f>
        <v>7</v>
      </c>
      <c r="F115" s="538">
        <v>0</v>
      </c>
      <c r="G115" s="538">
        <v>0</v>
      </c>
      <c r="H115" s="538">
        <v>0</v>
      </c>
      <c r="I115" s="538">
        <v>0</v>
      </c>
      <c r="J115" s="230" t="s">
        <v>972</v>
      </c>
      <c r="K115" s="130" t="s">
        <v>214</v>
      </c>
      <c r="N115" s="665" t="s">
        <v>288</v>
      </c>
      <c r="O115" s="665">
        <v>6</v>
      </c>
      <c r="Q115" s="715"/>
      <c r="R115" s="716"/>
      <c r="S115" s="123"/>
      <c r="T115" s="123"/>
    </row>
    <row r="116" spans="2:20" ht="11.25" customHeight="1">
      <c r="B116" s="129" t="s">
        <v>39</v>
      </c>
      <c r="C116" s="538" t="s">
        <v>1274</v>
      </c>
      <c r="D116" s="538"/>
      <c r="E116" s="538">
        <f t="shared" si="13"/>
        <v>10</v>
      </c>
      <c r="F116" s="538">
        <v>0</v>
      </c>
      <c r="G116" s="538">
        <v>0</v>
      </c>
      <c r="H116" s="538">
        <v>0</v>
      </c>
      <c r="I116" s="538">
        <v>0</v>
      </c>
      <c r="J116" s="230" t="s">
        <v>973</v>
      </c>
      <c r="K116" s="130" t="s">
        <v>215</v>
      </c>
      <c r="N116" s="666" t="s">
        <v>1759</v>
      </c>
      <c r="O116" s="665">
        <v>7</v>
      </c>
      <c r="Q116" s="715"/>
      <c r="R116" s="716"/>
      <c r="S116" s="123"/>
      <c r="T116" s="123"/>
    </row>
    <row r="117" spans="2:20" ht="11.25" customHeight="1">
      <c r="B117" s="129" t="s">
        <v>716</v>
      </c>
      <c r="C117" s="538" t="s">
        <v>1226</v>
      </c>
      <c r="D117" s="538"/>
      <c r="E117" s="538">
        <f t="shared" si="13"/>
        <v>8</v>
      </c>
      <c r="F117" s="538">
        <v>0</v>
      </c>
      <c r="G117" s="538">
        <v>0</v>
      </c>
      <c r="H117" s="538">
        <v>0</v>
      </c>
      <c r="I117" s="538">
        <v>0</v>
      </c>
      <c r="J117" s="230" t="s">
        <v>974</v>
      </c>
      <c r="K117" s="130" t="s">
        <v>217</v>
      </c>
      <c r="N117" s="666" t="s">
        <v>2134</v>
      </c>
      <c r="O117" s="665">
        <v>9</v>
      </c>
      <c r="Q117" s="715"/>
      <c r="R117" s="716"/>
      <c r="S117" s="123"/>
      <c r="T117" s="123"/>
    </row>
    <row r="118" spans="2:20" ht="11.25" customHeight="1">
      <c r="B118" s="129" t="s">
        <v>717</v>
      </c>
      <c r="C118" s="538" t="s">
        <v>2134</v>
      </c>
      <c r="D118" s="538"/>
      <c r="E118" s="538">
        <f t="shared" si="13"/>
        <v>9</v>
      </c>
      <c r="F118" s="538">
        <v>0</v>
      </c>
      <c r="G118" s="538">
        <v>0</v>
      </c>
      <c r="H118" s="538">
        <v>0</v>
      </c>
      <c r="I118" s="538">
        <v>0</v>
      </c>
      <c r="J118" s="230" t="s">
        <v>975</v>
      </c>
      <c r="K118" s="130" t="s">
        <v>856</v>
      </c>
      <c r="N118" s="665" t="s">
        <v>2135</v>
      </c>
      <c r="O118" s="665">
        <v>5</v>
      </c>
      <c r="Q118" s="715"/>
      <c r="R118" s="716"/>
      <c r="S118" s="123"/>
      <c r="T118" s="123"/>
    </row>
    <row r="119" spans="2:20" ht="11.25" customHeight="1">
      <c r="B119" s="129" t="s">
        <v>718</v>
      </c>
      <c r="C119" s="538" t="s">
        <v>2135</v>
      </c>
      <c r="D119" s="538"/>
      <c r="E119" s="538">
        <f t="shared" si="13"/>
        <v>5</v>
      </c>
      <c r="F119" s="538">
        <v>0</v>
      </c>
      <c r="G119" s="538">
        <v>0</v>
      </c>
      <c r="H119" s="538">
        <v>0</v>
      </c>
      <c r="I119" s="538">
        <v>0</v>
      </c>
      <c r="J119" s="230" t="s">
        <v>976</v>
      </c>
      <c r="K119" s="130" t="s">
        <v>857</v>
      </c>
      <c r="N119" s="665" t="s">
        <v>1226</v>
      </c>
      <c r="O119" s="665">
        <v>8</v>
      </c>
      <c r="Q119" s="715"/>
      <c r="R119" s="716"/>
      <c r="S119" s="123"/>
      <c r="T119" s="123"/>
    </row>
    <row r="120" spans="2:20" ht="11.25" customHeight="1">
      <c r="B120" s="129" t="s">
        <v>719</v>
      </c>
      <c r="C120" s="538" t="s">
        <v>2136</v>
      </c>
      <c r="D120" s="538"/>
      <c r="E120" s="538">
        <v>0</v>
      </c>
      <c r="F120" s="538">
        <v>0</v>
      </c>
      <c r="G120" s="538">
        <v>0</v>
      </c>
      <c r="H120" s="538">
        <v>0</v>
      </c>
      <c r="I120" s="538">
        <v>0</v>
      </c>
      <c r="J120" s="230" t="s">
        <v>977</v>
      </c>
      <c r="K120" s="130" t="s">
        <v>858</v>
      </c>
      <c r="S120" s="123"/>
      <c r="T120" s="123"/>
    </row>
    <row r="121" spans="2:20">
      <c r="B121" s="129" t="s">
        <v>849</v>
      </c>
      <c r="C121" s="538" t="s">
        <v>2136</v>
      </c>
      <c r="D121" s="538"/>
      <c r="E121" s="538">
        <v>0</v>
      </c>
      <c r="F121" s="538">
        <v>0</v>
      </c>
      <c r="G121" s="538">
        <v>0</v>
      </c>
      <c r="H121" s="538">
        <v>0</v>
      </c>
      <c r="I121" s="538">
        <v>0</v>
      </c>
      <c r="J121" s="230" t="s">
        <v>978</v>
      </c>
      <c r="K121" s="130" t="s">
        <v>859</v>
      </c>
      <c r="S121" s="123"/>
      <c r="T121" s="123"/>
    </row>
    <row r="122" spans="2:20">
      <c r="B122" s="129" t="s">
        <v>850</v>
      </c>
      <c r="C122" s="538" t="s">
        <v>2136</v>
      </c>
      <c r="D122" s="538"/>
      <c r="E122" s="538">
        <v>0</v>
      </c>
      <c r="F122" s="538">
        <v>0</v>
      </c>
      <c r="G122" s="538">
        <v>0</v>
      </c>
      <c r="H122" s="538">
        <v>0</v>
      </c>
      <c r="I122" s="538">
        <v>0</v>
      </c>
      <c r="J122" s="230" t="s">
        <v>979</v>
      </c>
      <c r="K122" s="130" t="s">
        <v>860</v>
      </c>
      <c r="S122" s="123"/>
      <c r="T122" s="123"/>
    </row>
    <row r="123" spans="2:20">
      <c r="B123" s="129" t="s">
        <v>851</v>
      </c>
      <c r="C123" s="538" t="s">
        <v>2136</v>
      </c>
      <c r="D123" s="538"/>
      <c r="E123" s="538">
        <v>0</v>
      </c>
      <c r="F123" s="538">
        <v>0</v>
      </c>
      <c r="G123" s="538">
        <v>0</v>
      </c>
      <c r="H123" s="538">
        <v>0</v>
      </c>
      <c r="I123" s="538">
        <v>0</v>
      </c>
      <c r="J123" s="230" t="s">
        <v>980</v>
      </c>
      <c r="K123" s="130" t="s">
        <v>861</v>
      </c>
      <c r="S123" s="123"/>
      <c r="T123" s="123"/>
    </row>
    <row r="124" spans="2:20" ht="12" thickBot="1">
      <c r="B124" s="131"/>
      <c r="C124" s="132"/>
      <c r="D124" s="132"/>
      <c r="E124" s="132">
        <f>SUM(E114:E123)</f>
        <v>45</v>
      </c>
      <c r="F124" s="132"/>
      <c r="G124" s="132"/>
      <c r="H124" s="132"/>
      <c r="I124" s="132"/>
      <c r="J124" s="132"/>
      <c r="K124" s="133"/>
      <c r="S124" s="123"/>
      <c r="T124" s="123"/>
    </row>
    <row r="125" spans="2:20">
      <c r="B125" s="21"/>
      <c r="C125" s="21"/>
      <c r="D125" s="21"/>
      <c r="E125" s="21"/>
      <c r="F125" s="21"/>
      <c r="G125" s="21"/>
      <c r="H125" s="21"/>
      <c r="I125" s="21"/>
      <c r="J125" s="21"/>
      <c r="K125" s="21"/>
      <c r="S125" s="123"/>
      <c r="T125" s="123"/>
    </row>
    <row r="126" spans="2:20">
      <c r="B126" s="3" t="s">
        <v>900</v>
      </c>
      <c r="S126" s="123"/>
      <c r="T126" s="123"/>
    </row>
    <row r="127" spans="2:20">
      <c r="B127" s="3" t="s">
        <v>901</v>
      </c>
      <c r="C127" s="3">
        <f>C$84</f>
        <v>-2</v>
      </c>
      <c r="D127" s="3">
        <f t="shared" ref="D127:J127" si="14">D$84</f>
        <v>-1</v>
      </c>
      <c r="E127" s="3">
        <f t="shared" si="14"/>
        <v>0</v>
      </c>
      <c r="F127" s="3">
        <f t="shared" si="14"/>
        <v>1</v>
      </c>
      <c r="G127" s="3">
        <f t="shared" si="14"/>
        <v>2</v>
      </c>
      <c r="H127" s="3">
        <f t="shared" si="14"/>
        <v>3</v>
      </c>
      <c r="I127" s="3">
        <f t="shared" si="14"/>
        <v>4</v>
      </c>
      <c r="J127" s="3">
        <f t="shared" si="14"/>
        <v>5</v>
      </c>
      <c r="S127" s="123"/>
      <c r="T127" s="123"/>
    </row>
    <row r="128" spans="2:20">
      <c r="B128" s="4" t="str">
        <f>DataNameProd2 &amp; " Growth"</f>
        <v>Transform Growth</v>
      </c>
      <c r="C128" s="10">
        <v>100</v>
      </c>
      <c r="D128" s="10">
        <v>100</v>
      </c>
      <c r="E128" s="10">
        <v>100</v>
      </c>
      <c r="F128" s="10">
        <v>100</v>
      </c>
      <c r="G128" s="10">
        <v>100</v>
      </c>
      <c r="H128" s="10">
        <v>100</v>
      </c>
      <c r="I128" s="10">
        <v>100</v>
      </c>
      <c r="J128" s="1021">
        <v>100</v>
      </c>
      <c r="K128" t="s">
        <v>596</v>
      </c>
      <c r="S128" s="123"/>
      <c r="T128" s="123"/>
    </row>
    <row r="129" spans="1:20">
      <c r="B129" s="4"/>
      <c r="C129" s="11"/>
      <c r="D129" s="11"/>
      <c r="E129" s="11"/>
      <c r="F129" s="135"/>
      <c r="G129" s="135"/>
      <c r="H129" s="135"/>
      <c r="I129" s="135"/>
      <c r="J129" s="135"/>
      <c r="K129" s="34"/>
      <c r="S129" s="123"/>
      <c r="T129" s="123"/>
    </row>
    <row r="130" spans="1:20">
      <c r="A130" s="3" t="str">
        <f>DataNameProd2 &amp; " Data"</f>
        <v>Transform Data</v>
      </c>
      <c r="B130" s="21"/>
      <c r="C130" s="21"/>
      <c r="D130" s="21"/>
      <c r="E130" s="21"/>
      <c r="F130" s="15">
        <v>0.03</v>
      </c>
      <c r="G130" s="15">
        <v>0.03</v>
      </c>
      <c r="H130" s="15">
        <v>0.04</v>
      </c>
      <c r="I130" s="21"/>
      <c r="J130" s="21"/>
      <c r="K130" s="21"/>
      <c r="S130" s="123"/>
      <c r="T130" s="123"/>
    </row>
    <row r="131" spans="1:20">
      <c r="A131" s="3"/>
      <c r="C131" s="3">
        <v>-2</v>
      </c>
      <c r="D131" s="3">
        <v>-1</v>
      </c>
      <c r="E131" s="3">
        <v>0</v>
      </c>
      <c r="F131" s="3">
        <v>1</v>
      </c>
      <c r="G131" s="3">
        <v>2</v>
      </c>
      <c r="H131" s="3">
        <v>3</v>
      </c>
      <c r="I131" s="3">
        <v>4</v>
      </c>
      <c r="J131" s="3">
        <v>5</v>
      </c>
      <c r="S131" s="123"/>
      <c r="T131" s="123"/>
    </row>
    <row r="132" spans="1:20">
      <c r="B132" t="str">
        <f>DataNameProd2</f>
        <v>Transform</v>
      </c>
      <c r="C132" s="231">
        <f t="shared" ref="C132:H132" si="15">xxProd2BaseUnits*C128/100</f>
        <v>501250</v>
      </c>
      <c r="D132" s="585">
        <f>xxProd2BaseUnits*D128/100</f>
        <v>501250</v>
      </c>
      <c r="E132" s="231">
        <f>xxProd2BaseUnits*E128/100</f>
        <v>501250</v>
      </c>
      <c r="F132" s="231">
        <f t="shared" si="15"/>
        <v>501250</v>
      </c>
      <c r="G132" s="231">
        <f t="shared" si="15"/>
        <v>501250</v>
      </c>
      <c r="H132" s="231">
        <f t="shared" si="15"/>
        <v>501250</v>
      </c>
      <c r="I132" s="231">
        <f>H132*I128/100</f>
        <v>501250</v>
      </c>
      <c r="J132" s="231">
        <f>I132*J128/100</f>
        <v>501250</v>
      </c>
      <c r="K132" t="s">
        <v>1094</v>
      </c>
      <c r="S132" s="123"/>
      <c r="T132" s="123"/>
    </row>
    <row r="133" spans="1:20">
      <c r="B133" t="str">
        <f>DataNameProd2 &amp; " " &amp; DataNameProd2Seg1 &amp; " Units"</f>
        <v>Transform Transform Product Units</v>
      </c>
      <c r="C133" s="228">
        <f>C132</f>
        <v>501250</v>
      </c>
      <c r="D133" s="228">
        <f t="shared" ref="D133:J133" si="16">D132</f>
        <v>501250</v>
      </c>
      <c r="E133" s="228">
        <f t="shared" si="16"/>
        <v>501250</v>
      </c>
      <c r="F133" s="228">
        <f t="shared" si="16"/>
        <v>501250</v>
      </c>
      <c r="G133" s="228">
        <f t="shared" si="16"/>
        <v>501250</v>
      </c>
      <c r="H133" s="228">
        <f t="shared" si="16"/>
        <v>501250</v>
      </c>
      <c r="I133" s="228">
        <f t="shared" si="16"/>
        <v>501250</v>
      </c>
      <c r="J133" s="228">
        <f t="shared" si="16"/>
        <v>501250</v>
      </c>
      <c r="K133" t="s">
        <v>1095</v>
      </c>
      <c r="S133" s="123"/>
      <c r="T133" s="123"/>
    </row>
    <row r="134" spans="1:20">
      <c r="B134" t="str">
        <f>DataNameProd2 &amp; " " &amp; DataNameProd2Seg2 &amp; " Units"</f>
        <v>Transform Transform Service Units</v>
      </c>
      <c r="C134" s="228"/>
      <c r="D134" s="228"/>
      <c r="E134" s="228"/>
      <c r="F134" s="228"/>
      <c r="G134" s="228"/>
      <c r="H134" s="228"/>
      <c r="I134" s="228"/>
      <c r="J134" s="228"/>
      <c r="K134" t="s">
        <v>1096</v>
      </c>
      <c r="S134" s="123"/>
      <c r="T134" s="123"/>
    </row>
    <row r="135" spans="1:20">
      <c r="B135" t="str">
        <f>DataNameProd2 &amp; " " &amp; DataNameProd2Seg3 &amp; " Units"</f>
        <v>Transform NA() Units</v>
      </c>
      <c r="C135" s="228"/>
      <c r="D135" s="228"/>
      <c r="E135" s="228"/>
      <c r="F135" s="228"/>
      <c r="G135" s="228"/>
      <c r="H135" s="228"/>
      <c r="I135" s="228"/>
      <c r="J135" s="228"/>
      <c r="K135" t="s">
        <v>842</v>
      </c>
      <c r="S135" s="123"/>
      <c r="T135" s="123"/>
    </row>
    <row r="136" spans="1:20">
      <c r="B136" t="str">
        <f>DataNameProd2 &amp; " " &amp; DataNameProd2Seg4 &amp; " Units"</f>
        <v>Transform NA() Units</v>
      </c>
      <c r="C136" s="228"/>
      <c r="D136" s="228"/>
      <c r="E136" s="228"/>
      <c r="F136" s="228"/>
      <c r="G136" s="228"/>
      <c r="H136" s="228"/>
      <c r="I136" s="228"/>
      <c r="J136" s="228"/>
      <c r="K136" t="s">
        <v>843</v>
      </c>
      <c r="S136" s="123"/>
      <c r="T136" s="123"/>
    </row>
    <row r="137" spans="1:20">
      <c r="B137" t="str">
        <f>DataNameProd2 &amp; " " &amp; DataNameProd2Seg5 &amp; " Units"</f>
        <v>Transform NA() Units</v>
      </c>
      <c r="C137" s="228"/>
      <c r="D137" s="228"/>
      <c r="E137" s="228"/>
      <c r="F137" s="228"/>
      <c r="G137" s="228"/>
      <c r="H137" s="228"/>
      <c r="I137" s="228"/>
      <c r="J137" s="228"/>
      <c r="K137" t="s">
        <v>844</v>
      </c>
      <c r="S137" s="123"/>
      <c r="T137" s="123"/>
    </row>
    <row r="138" spans="1:20">
      <c r="C138" s="14"/>
      <c r="D138" s="14"/>
      <c r="E138" s="14"/>
      <c r="F138" s="14"/>
      <c r="G138" s="14"/>
      <c r="H138" s="14"/>
      <c r="I138" s="14"/>
      <c r="J138" s="14"/>
      <c r="S138" s="123"/>
      <c r="T138" s="123"/>
    </row>
    <row r="139" spans="1:20">
      <c r="B139" t="s">
        <v>359</v>
      </c>
      <c r="C139" s="11">
        <f>C132/xxNumOfTeams</f>
        <v>501250</v>
      </c>
      <c r="D139" s="11">
        <f t="shared" ref="D139:J139" si="17">D132/xxNumOfTeams</f>
        <v>501250</v>
      </c>
      <c r="E139" s="11">
        <f t="shared" si="17"/>
        <v>501250</v>
      </c>
      <c r="F139" s="11">
        <f t="shared" si="17"/>
        <v>501250</v>
      </c>
      <c r="G139" s="11">
        <f t="shared" si="17"/>
        <v>501250</v>
      </c>
      <c r="H139" s="11">
        <f t="shared" si="17"/>
        <v>501250</v>
      </c>
      <c r="I139" s="11">
        <f t="shared" si="17"/>
        <v>501250</v>
      </c>
      <c r="J139" s="11">
        <f t="shared" si="17"/>
        <v>501250</v>
      </c>
      <c r="S139" s="123"/>
      <c r="T139" s="123"/>
    </row>
    <row r="140" spans="1:20" ht="12" thickBot="1">
      <c r="C140" s="10"/>
      <c r="D140" s="10"/>
      <c r="E140" s="10"/>
      <c r="F140" s="10"/>
      <c r="G140" s="10"/>
      <c r="H140" s="10"/>
      <c r="I140" s="10"/>
      <c r="J140" s="10"/>
      <c r="S140" s="123"/>
      <c r="T140" s="123"/>
    </row>
    <row r="141" spans="1:20">
      <c r="B141" s="224" t="s">
        <v>517</v>
      </c>
      <c r="C141" s="176"/>
      <c r="D141" s="176"/>
      <c r="E141" s="176"/>
      <c r="F141" s="176"/>
      <c r="G141" s="176"/>
      <c r="H141" s="176"/>
      <c r="I141" s="176"/>
      <c r="J141" s="176"/>
      <c r="K141" s="177"/>
      <c r="S141" s="123"/>
      <c r="T141" s="123"/>
    </row>
    <row r="142" spans="1:20">
      <c r="B142" s="129"/>
      <c r="C142" s="59" t="str">
        <f>DataNameProd2</f>
        <v>Transform</v>
      </c>
      <c r="D142" s="59"/>
      <c r="E142" s="59" t="s">
        <v>914</v>
      </c>
      <c r="F142" s="59" t="s">
        <v>701</v>
      </c>
      <c r="G142" s="59" t="s">
        <v>702</v>
      </c>
      <c r="H142" s="59" t="s">
        <v>704</v>
      </c>
      <c r="I142" s="59" t="s">
        <v>705</v>
      </c>
      <c r="J142" s="21"/>
      <c r="K142" s="130"/>
      <c r="S142" s="123"/>
      <c r="T142" s="123"/>
    </row>
    <row r="143" spans="1:20" ht="11.25" customHeight="1">
      <c r="B143" s="129" t="s">
        <v>34</v>
      </c>
      <c r="C143" s="538" t="s">
        <v>288</v>
      </c>
      <c r="D143" s="538"/>
      <c r="E143" s="538">
        <f t="shared" ref="E143:E148" si="18">VLOOKUP(C143,$N$143:$O$148,2,FALSE)</f>
        <v>9</v>
      </c>
      <c r="F143" s="538">
        <v>0</v>
      </c>
      <c r="G143" s="538">
        <v>0</v>
      </c>
      <c r="H143" s="538">
        <v>0</v>
      </c>
      <c r="I143" s="538">
        <v>0</v>
      </c>
      <c r="J143" s="230" t="s">
        <v>518</v>
      </c>
      <c r="K143" s="130" t="s">
        <v>862</v>
      </c>
      <c r="N143" s="665" t="s">
        <v>1274</v>
      </c>
      <c r="O143" s="665">
        <v>10</v>
      </c>
      <c r="Q143" s="715"/>
      <c r="R143" s="716"/>
      <c r="S143" s="123"/>
      <c r="T143" s="123"/>
    </row>
    <row r="144" spans="1:20" ht="11.25" customHeight="1">
      <c r="B144" s="129" t="s">
        <v>852</v>
      </c>
      <c r="C144" s="538" t="s">
        <v>1759</v>
      </c>
      <c r="D144" s="538"/>
      <c r="E144" s="538">
        <f t="shared" si="18"/>
        <v>8</v>
      </c>
      <c r="F144" s="538">
        <v>0</v>
      </c>
      <c r="G144" s="538">
        <v>0</v>
      </c>
      <c r="H144" s="538">
        <v>0</v>
      </c>
      <c r="I144" s="538">
        <v>0</v>
      </c>
      <c r="J144" s="230" t="s">
        <v>519</v>
      </c>
      <c r="K144" s="130" t="s">
        <v>863</v>
      </c>
      <c r="N144" s="665" t="s">
        <v>288</v>
      </c>
      <c r="O144" s="666">
        <v>9</v>
      </c>
      <c r="Q144" s="715"/>
      <c r="R144" s="716"/>
      <c r="S144" s="123"/>
      <c r="T144" s="123"/>
    </row>
    <row r="145" spans="1:20" ht="11.25" customHeight="1">
      <c r="B145" s="129" t="s">
        <v>853</v>
      </c>
      <c r="C145" s="538" t="s">
        <v>1274</v>
      </c>
      <c r="D145" s="538"/>
      <c r="E145" s="538">
        <f t="shared" si="18"/>
        <v>10</v>
      </c>
      <c r="F145" s="538">
        <v>0</v>
      </c>
      <c r="G145" s="538">
        <v>0</v>
      </c>
      <c r="H145" s="538">
        <v>0</v>
      </c>
      <c r="I145" s="538">
        <v>0</v>
      </c>
      <c r="J145" s="230" t="s">
        <v>520</v>
      </c>
      <c r="K145" s="130" t="s">
        <v>864</v>
      </c>
      <c r="N145" s="665" t="s">
        <v>1759</v>
      </c>
      <c r="O145" s="666">
        <v>8</v>
      </c>
      <c r="Q145" s="715"/>
      <c r="R145" s="716"/>
      <c r="S145" s="123"/>
      <c r="T145" s="123"/>
    </row>
    <row r="146" spans="1:20" ht="11.25" customHeight="1">
      <c r="B146" s="129" t="s">
        <v>208</v>
      </c>
      <c r="C146" s="538" t="s">
        <v>1226</v>
      </c>
      <c r="D146" s="538"/>
      <c r="E146" s="538">
        <f t="shared" si="18"/>
        <v>5</v>
      </c>
      <c r="F146" s="538">
        <v>0</v>
      </c>
      <c r="G146" s="538">
        <v>0</v>
      </c>
      <c r="H146" s="538">
        <v>0</v>
      </c>
      <c r="I146" s="538">
        <v>0</v>
      </c>
      <c r="J146" s="230" t="s">
        <v>521</v>
      </c>
      <c r="K146" s="130" t="s">
        <v>865</v>
      </c>
      <c r="N146" s="665" t="s">
        <v>2134</v>
      </c>
      <c r="O146" s="665">
        <v>7</v>
      </c>
      <c r="Q146" s="715"/>
      <c r="R146" s="716"/>
      <c r="S146" s="123"/>
      <c r="T146" s="123"/>
    </row>
    <row r="147" spans="1:20" ht="11.25" customHeight="1">
      <c r="B147" s="129" t="s">
        <v>209</v>
      </c>
      <c r="C147" s="538" t="s">
        <v>2134</v>
      </c>
      <c r="D147" s="538"/>
      <c r="E147" s="538">
        <f t="shared" si="18"/>
        <v>7</v>
      </c>
      <c r="F147" s="538">
        <v>0</v>
      </c>
      <c r="G147" s="538">
        <v>0</v>
      </c>
      <c r="H147" s="538">
        <v>0</v>
      </c>
      <c r="I147" s="538">
        <v>0</v>
      </c>
      <c r="J147" s="230" t="s">
        <v>15</v>
      </c>
      <c r="K147" s="130" t="s">
        <v>225</v>
      </c>
      <c r="N147" s="665" t="s">
        <v>2135</v>
      </c>
      <c r="O147" s="665">
        <v>6</v>
      </c>
      <c r="Q147" s="715"/>
      <c r="R147" s="716"/>
      <c r="S147" s="123"/>
      <c r="T147" s="123"/>
    </row>
    <row r="148" spans="1:20" ht="11.25" customHeight="1">
      <c r="B148" s="129" t="s">
        <v>1236</v>
      </c>
      <c r="C148" s="538" t="s">
        <v>2135</v>
      </c>
      <c r="D148" s="538"/>
      <c r="E148" s="538">
        <f t="shared" si="18"/>
        <v>6</v>
      </c>
      <c r="F148" s="538">
        <v>0</v>
      </c>
      <c r="G148" s="538">
        <v>0</v>
      </c>
      <c r="H148" s="538">
        <v>0</v>
      </c>
      <c r="I148" s="538">
        <v>0</v>
      </c>
      <c r="J148" s="230" t="s">
        <v>16</v>
      </c>
      <c r="K148" s="130" t="s">
        <v>226</v>
      </c>
      <c r="N148" s="665" t="s">
        <v>1226</v>
      </c>
      <c r="O148" s="665">
        <v>5</v>
      </c>
      <c r="Q148" s="715"/>
      <c r="R148" s="716"/>
      <c r="S148" s="123"/>
      <c r="T148" s="123"/>
    </row>
    <row r="149" spans="1:20" ht="11.25" customHeight="1">
      <c r="B149" s="129" t="s">
        <v>1237</v>
      </c>
      <c r="C149" s="538" t="s">
        <v>2136</v>
      </c>
      <c r="D149" s="538"/>
      <c r="E149" s="538">
        <v>0</v>
      </c>
      <c r="F149" s="538">
        <v>0</v>
      </c>
      <c r="G149" s="538">
        <v>0</v>
      </c>
      <c r="H149" s="538">
        <v>0</v>
      </c>
      <c r="I149" s="538">
        <v>0</v>
      </c>
      <c r="J149" s="230" t="s">
        <v>17</v>
      </c>
      <c r="K149" s="130" t="s">
        <v>227</v>
      </c>
      <c r="S149" s="123"/>
      <c r="T149" s="123"/>
    </row>
    <row r="150" spans="1:20">
      <c r="B150" s="129" t="s">
        <v>1238</v>
      </c>
      <c r="C150" s="538" t="s">
        <v>2136</v>
      </c>
      <c r="D150" s="538"/>
      <c r="E150" s="538">
        <v>0</v>
      </c>
      <c r="F150" s="538">
        <v>0</v>
      </c>
      <c r="G150" s="538">
        <v>0</v>
      </c>
      <c r="H150" s="538">
        <v>0</v>
      </c>
      <c r="I150" s="538">
        <v>0</v>
      </c>
      <c r="J150" s="230" t="s">
        <v>18</v>
      </c>
      <c r="K150" s="130" t="s">
        <v>228</v>
      </c>
      <c r="S150" s="123"/>
      <c r="T150" s="123"/>
    </row>
    <row r="151" spans="1:20">
      <c r="B151" s="129" t="s">
        <v>1322</v>
      </c>
      <c r="C151" s="538" t="s">
        <v>2136</v>
      </c>
      <c r="D151" s="538"/>
      <c r="E151" s="538">
        <v>0</v>
      </c>
      <c r="F151" s="538">
        <v>0</v>
      </c>
      <c r="G151" s="538">
        <v>0</v>
      </c>
      <c r="H151" s="538">
        <v>0</v>
      </c>
      <c r="I151" s="538">
        <v>0</v>
      </c>
      <c r="J151" s="230" t="s">
        <v>1210</v>
      </c>
      <c r="K151" s="130" t="s">
        <v>229</v>
      </c>
      <c r="S151" s="123"/>
      <c r="T151" s="123"/>
    </row>
    <row r="152" spans="1:20">
      <c r="B152" s="129" t="s">
        <v>1323</v>
      </c>
      <c r="C152" s="538" t="s">
        <v>2136</v>
      </c>
      <c r="D152" s="538"/>
      <c r="E152" s="538">
        <v>0</v>
      </c>
      <c r="F152" s="538">
        <v>0</v>
      </c>
      <c r="G152" s="538">
        <v>0</v>
      </c>
      <c r="H152" s="538">
        <v>0</v>
      </c>
      <c r="I152" s="538">
        <v>0</v>
      </c>
      <c r="J152" s="230" t="s">
        <v>1211</v>
      </c>
      <c r="K152" s="130" t="s">
        <v>230</v>
      </c>
      <c r="S152" s="123"/>
      <c r="T152" s="123"/>
    </row>
    <row r="153" spans="1:20" ht="12" thickBot="1">
      <c r="B153" s="131"/>
      <c r="C153" s="132"/>
      <c r="D153" s="132"/>
      <c r="E153" s="132">
        <f>SUM(E143:E152)</f>
        <v>45</v>
      </c>
      <c r="F153" s="132"/>
      <c r="G153" s="132"/>
      <c r="H153" s="132"/>
      <c r="I153" s="132"/>
      <c r="J153" s="132"/>
      <c r="K153" s="133"/>
      <c r="S153" s="123"/>
      <c r="T153" s="123"/>
    </row>
    <row r="154" spans="1:20">
      <c r="B154" s="21"/>
      <c r="C154" s="21"/>
      <c r="D154" s="21"/>
      <c r="E154" s="21"/>
      <c r="F154" s="21"/>
      <c r="G154" s="21"/>
      <c r="H154" s="21"/>
      <c r="I154" s="21"/>
      <c r="J154" s="21"/>
      <c r="K154" s="21"/>
      <c r="S154" s="123"/>
      <c r="T154" s="123"/>
    </row>
    <row r="155" spans="1:20">
      <c r="B155" s="3" t="s">
        <v>900</v>
      </c>
      <c r="S155" s="123"/>
      <c r="T155" s="123"/>
    </row>
    <row r="156" spans="1:20">
      <c r="B156" s="3" t="s">
        <v>901</v>
      </c>
      <c r="C156" s="3">
        <f>C$84</f>
        <v>-2</v>
      </c>
      <c r="D156" s="3">
        <f t="shared" ref="D156:J156" si="19">D$84</f>
        <v>-1</v>
      </c>
      <c r="E156" s="3">
        <f t="shared" si="19"/>
        <v>0</v>
      </c>
      <c r="F156" s="3">
        <f t="shared" si="19"/>
        <v>1</v>
      </c>
      <c r="G156" s="3">
        <f t="shared" si="19"/>
        <v>2</v>
      </c>
      <c r="H156" s="3">
        <f t="shared" si="19"/>
        <v>3</v>
      </c>
      <c r="I156" s="3">
        <f t="shared" si="19"/>
        <v>4</v>
      </c>
      <c r="J156" s="3">
        <f t="shared" si="19"/>
        <v>5</v>
      </c>
      <c r="S156" s="123"/>
      <c r="T156" s="123"/>
    </row>
    <row r="157" spans="1:20">
      <c r="B157" s="4" t="str">
        <f>DataNameProd1 &amp; " Growth"</f>
        <v>Growth Growth</v>
      </c>
      <c r="C157" s="11">
        <v>90</v>
      </c>
      <c r="D157" s="11">
        <v>95</v>
      </c>
      <c r="E157" s="11">
        <v>100</v>
      </c>
      <c r="F157" s="11">
        <v>105</v>
      </c>
      <c r="G157" s="135">
        <v>103</v>
      </c>
      <c r="H157" s="135">
        <v>109</v>
      </c>
      <c r="I157" s="135">
        <v>163</v>
      </c>
      <c r="J157" s="414">
        <v>100</v>
      </c>
      <c r="K157" t="s">
        <v>597</v>
      </c>
      <c r="S157" s="123"/>
      <c r="T157" s="123"/>
    </row>
    <row r="158" spans="1:20">
      <c r="B158" s="4"/>
      <c r="C158" s="11"/>
      <c r="D158" s="11"/>
      <c r="E158" s="11"/>
      <c r="F158" s="135"/>
      <c r="G158" s="135"/>
      <c r="H158" s="135"/>
      <c r="I158" s="135"/>
      <c r="J158" s="135"/>
      <c r="K158" s="34"/>
      <c r="S158" s="123"/>
      <c r="T158" s="123"/>
    </row>
    <row r="159" spans="1:20">
      <c r="A159" s="3" t="str">
        <f>DataNameProd3 &amp; " Data"</f>
        <v>Consumer Data</v>
      </c>
      <c r="B159" s="21"/>
      <c r="C159" s="21"/>
      <c r="D159" s="21"/>
      <c r="E159" s="21"/>
      <c r="F159" s="15"/>
      <c r="G159" s="15"/>
      <c r="H159" s="15"/>
      <c r="I159" s="21"/>
      <c r="J159" s="21"/>
      <c r="K159" s="21"/>
      <c r="S159" s="123"/>
      <c r="T159" s="123"/>
    </row>
    <row r="160" spans="1:20">
      <c r="A160" s="3"/>
      <c r="C160" s="3">
        <v>-2</v>
      </c>
      <c r="D160" s="3">
        <v>-1</v>
      </c>
      <c r="E160" s="3">
        <v>0</v>
      </c>
      <c r="F160" s="3">
        <v>1</v>
      </c>
      <c r="G160" s="3">
        <v>2</v>
      </c>
      <c r="H160" s="3">
        <v>3</v>
      </c>
      <c r="I160" s="3">
        <v>4</v>
      </c>
      <c r="J160" s="3">
        <v>5</v>
      </c>
      <c r="S160" s="123"/>
      <c r="T160" s="123"/>
    </row>
    <row r="161" spans="2:20">
      <c r="B161" t="str">
        <f>DataNameProd3</f>
        <v>Consumer</v>
      </c>
      <c r="C161" s="231">
        <f t="shared" ref="C161:J161" si="20">xxProd3BaseUnits*C157/100</f>
        <v>5850000</v>
      </c>
      <c r="D161" s="231">
        <f t="shared" si="20"/>
        <v>6175000</v>
      </c>
      <c r="E161" s="231">
        <f t="shared" si="20"/>
        <v>6500000</v>
      </c>
      <c r="F161" s="231">
        <f t="shared" si="20"/>
        <v>6825000</v>
      </c>
      <c r="G161" s="231">
        <f t="shared" si="20"/>
        <v>6695000</v>
      </c>
      <c r="H161" s="231">
        <f t="shared" si="20"/>
        <v>7085000</v>
      </c>
      <c r="I161" s="231">
        <f t="shared" si="20"/>
        <v>10595000</v>
      </c>
      <c r="J161" s="231">
        <f t="shared" si="20"/>
        <v>6500000</v>
      </c>
      <c r="K161" t="s">
        <v>395</v>
      </c>
      <c r="S161" s="123"/>
      <c r="T161" s="123"/>
    </row>
    <row r="162" spans="2:20">
      <c r="B162" t="str">
        <f>DataNameProd3 &amp; " " &amp; DataNameProd3Seg1 &amp; " Units"</f>
        <v>Consumer Big Company 1 Units</v>
      </c>
      <c r="C162" s="231">
        <f>C161</f>
        <v>5850000</v>
      </c>
      <c r="D162" s="231">
        <f t="shared" ref="D162:J162" si="21">D161</f>
        <v>6175000</v>
      </c>
      <c r="E162" s="231">
        <f t="shared" si="21"/>
        <v>6500000</v>
      </c>
      <c r="F162" s="231">
        <f t="shared" si="21"/>
        <v>6825000</v>
      </c>
      <c r="G162" s="231">
        <f t="shared" si="21"/>
        <v>6695000</v>
      </c>
      <c r="H162" s="231">
        <f t="shared" si="21"/>
        <v>7085000</v>
      </c>
      <c r="I162" s="231">
        <f t="shared" si="21"/>
        <v>10595000</v>
      </c>
      <c r="J162" s="231">
        <f t="shared" si="21"/>
        <v>6500000</v>
      </c>
      <c r="K162" t="s">
        <v>866</v>
      </c>
      <c r="S162" s="123"/>
      <c r="T162" s="123"/>
    </row>
    <row r="163" spans="2:20">
      <c r="B163" t="str">
        <f>DataNameProd3 &amp; " " &amp; DataNameProd3Seg2 &amp; " Units"</f>
        <v>Consumer Big Company 2 Units</v>
      </c>
      <c r="C163" s="231"/>
      <c r="D163" s="231"/>
      <c r="E163" s="231"/>
      <c r="F163" s="231"/>
      <c r="G163" s="231"/>
      <c r="H163" s="231"/>
      <c r="I163" s="231"/>
      <c r="J163" s="231"/>
      <c r="K163" t="s">
        <v>867</v>
      </c>
      <c r="S163" s="123"/>
      <c r="T163" s="123"/>
    </row>
    <row r="164" spans="2:20">
      <c r="B164" t="str">
        <f>DataNameProd3 &amp; " " &amp; DataNameProd3Seg3 &amp; " Units"</f>
        <v>Consumer Big Company 3 Units</v>
      </c>
      <c r="C164" s="231"/>
      <c r="D164" s="231"/>
      <c r="E164" s="231"/>
      <c r="F164" s="231"/>
      <c r="G164" s="231"/>
      <c r="H164" s="231"/>
      <c r="I164" s="231"/>
      <c r="J164" s="231"/>
      <c r="K164" t="s">
        <v>868</v>
      </c>
      <c r="S164" s="123"/>
      <c r="T164" s="123"/>
    </row>
    <row r="165" spans="2:20">
      <c r="B165" t="str">
        <f>DataNameProd3 &amp; " " &amp; DataNameProd3Seg4 &amp; " Units"</f>
        <v>Consumer Big Company 4 Units</v>
      </c>
      <c r="C165" s="231"/>
      <c r="D165" s="231"/>
      <c r="E165" s="231"/>
      <c r="F165" s="231"/>
      <c r="G165" s="231"/>
      <c r="H165" s="231"/>
      <c r="I165" s="231"/>
      <c r="J165" s="231"/>
      <c r="K165" t="s">
        <v>869</v>
      </c>
      <c r="S165" s="123"/>
      <c r="T165" s="123"/>
    </row>
    <row r="166" spans="2:20">
      <c r="B166" t="str">
        <f>DataNameProd3 &amp; " " &amp; DataNameProd3Seg5 &amp; " Units"</f>
        <v>Consumer Big Company 5 Units</v>
      </c>
      <c r="C166" s="231"/>
      <c r="D166" s="231"/>
      <c r="E166" s="231"/>
      <c r="F166" s="231"/>
      <c r="G166" s="231"/>
      <c r="H166" s="231"/>
      <c r="I166" s="231"/>
      <c r="J166" s="231"/>
      <c r="K166" t="s">
        <v>870</v>
      </c>
      <c r="S166" s="123"/>
      <c r="T166" s="123"/>
    </row>
    <row r="167" spans="2:20">
      <c r="C167" s="14"/>
      <c r="D167" s="14"/>
      <c r="E167" s="14"/>
      <c r="F167" s="14"/>
      <c r="G167" s="14"/>
      <c r="H167" s="14"/>
      <c r="I167" s="14"/>
      <c r="J167" s="14"/>
      <c r="S167" s="123"/>
      <c r="T167" s="123"/>
    </row>
    <row r="168" spans="2:20">
      <c r="B168" t="s">
        <v>359</v>
      </c>
      <c r="C168" s="11">
        <f>C161/xxNumOfTeams</f>
        <v>5850000</v>
      </c>
      <c r="D168" s="11">
        <f t="shared" ref="D168:J168" si="22">D161/xxNumOfTeams</f>
        <v>6175000</v>
      </c>
      <c r="E168" s="11">
        <f t="shared" si="22"/>
        <v>6500000</v>
      </c>
      <c r="F168" s="11">
        <f t="shared" si="22"/>
        <v>6825000</v>
      </c>
      <c r="G168" s="11">
        <f t="shared" si="22"/>
        <v>6695000</v>
      </c>
      <c r="H168" s="11">
        <f t="shared" si="22"/>
        <v>7085000</v>
      </c>
      <c r="I168" s="11">
        <f t="shared" si="22"/>
        <v>10595000</v>
      </c>
      <c r="J168" s="11">
        <f t="shared" si="22"/>
        <v>6500000</v>
      </c>
      <c r="S168" s="123"/>
      <c r="T168" s="123"/>
    </row>
    <row r="169" spans="2:20" ht="12" thickBot="1">
      <c r="C169" s="10"/>
      <c r="D169" s="10"/>
      <c r="E169" s="10"/>
      <c r="F169" s="10"/>
      <c r="G169" s="10"/>
      <c r="H169" s="10"/>
      <c r="I169" s="10"/>
      <c r="J169" s="10"/>
      <c r="S169" s="123"/>
      <c r="T169" s="123"/>
    </row>
    <row r="170" spans="2:20">
      <c r="B170" s="224" t="s">
        <v>875</v>
      </c>
      <c r="C170" s="176"/>
      <c r="D170" s="176"/>
      <c r="E170" s="176"/>
      <c r="F170" s="176"/>
      <c r="G170" s="176"/>
      <c r="H170" s="176"/>
      <c r="I170" s="176"/>
      <c r="J170" s="176"/>
      <c r="K170" s="177"/>
      <c r="S170" s="123"/>
      <c r="T170" s="123"/>
    </row>
    <row r="171" spans="2:20">
      <c r="B171" s="129"/>
      <c r="C171" s="59" t="str">
        <f>DataNameProd3</f>
        <v>Consumer</v>
      </c>
      <c r="D171" s="59"/>
      <c r="E171" s="59" t="s">
        <v>914</v>
      </c>
      <c r="F171" s="59" t="s">
        <v>701</v>
      </c>
      <c r="G171" s="59" t="s">
        <v>702</v>
      </c>
      <c r="H171" s="59" t="s">
        <v>704</v>
      </c>
      <c r="I171" s="59" t="s">
        <v>705</v>
      </c>
      <c r="J171" s="21"/>
      <c r="K171" s="130"/>
      <c r="S171" s="123"/>
      <c r="T171" s="123"/>
    </row>
    <row r="172" spans="2:20">
      <c r="B172" s="129" t="s">
        <v>35</v>
      </c>
      <c r="C172" s="538" t="s">
        <v>288</v>
      </c>
      <c r="D172" s="538"/>
      <c r="E172" s="538">
        <f>CHOOSE(xxYear+1,20,20,25,20)</f>
        <v>20</v>
      </c>
      <c r="F172" s="538">
        <v>0</v>
      </c>
      <c r="G172" s="538">
        <v>0</v>
      </c>
      <c r="H172" s="538">
        <v>0</v>
      </c>
      <c r="I172" s="538">
        <v>0</v>
      </c>
      <c r="J172" s="230" t="s">
        <v>876</v>
      </c>
      <c r="K172" s="130" t="s">
        <v>231</v>
      </c>
      <c r="S172" s="123"/>
      <c r="T172" s="123"/>
    </row>
    <row r="173" spans="2:20">
      <c r="B173" s="129" t="s">
        <v>1324</v>
      </c>
      <c r="C173" s="538" t="s">
        <v>815</v>
      </c>
      <c r="D173" s="538"/>
      <c r="E173" s="538">
        <v>15</v>
      </c>
      <c r="F173" s="538">
        <v>0</v>
      </c>
      <c r="G173" s="538">
        <v>0</v>
      </c>
      <c r="H173" s="538">
        <v>0</v>
      </c>
      <c r="I173" s="538">
        <v>0</v>
      </c>
      <c r="J173" s="230" t="s">
        <v>877</v>
      </c>
      <c r="K173" s="130" t="s">
        <v>232</v>
      </c>
      <c r="P173">
        <v>0.2</v>
      </c>
      <c r="Q173" t="s">
        <v>532</v>
      </c>
      <c r="S173" s="123"/>
      <c r="T173" s="123"/>
    </row>
    <row r="174" spans="2:20">
      <c r="B174" s="129" t="s">
        <v>1325</v>
      </c>
      <c r="C174" s="538" t="s">
        <v>196</v>
      </c>
      <c r="D174" s="538"/>
      <c r="E174" s="538">
        <f>CHOOSE(xxYear+1,6,6,7,8)</f>
        <v>6</v>
      </c>
      <c r="F174" s="538">
        <v>0</v>
      </c>
      <c r="G174" s="538">
        <v>0</v>
      </c>
      <c r="H174" s="538">
        <v>0</v>
      </c>
      <c r="I174" s="538">
        <v>0</v>
      </c>
      <c r="J174" s="230" t="s">
        <v>878</v>
      </c>
      <c r="K174" s="130" t="s">
        <v>244</v>
      </c>
      <c r="P174">
        <v>0.2</v>
      </c>
      <c r="Q174" s="143" t="s">
        <v>19</v>
      </c>
      <c r="S174" s="123"/>
      <c r="T174" s="123"/>
    </row>
    <row r="175" spans="2:20">
      <c r="B175" s="129" t="s">
        <v>1326</v>
      </c>
      <c r="C175" s="538" t="s">
        <v>665</v>
      </c>
      <c r="D175" s="538"/>
      <c r="E175" s="538">
        <v>12</v>
      </c>
      <c r="F175" s="538">
        <v>0</v>
      </c>
      <c r="G175" s="538">
        <v>0</v>
      </c>
      <c r="H175" s="538">
        <v>0</v>
      </c>
      <c r="I175" s="538">
        <v>0</v>
      </c>
      <c r="J175" s="230" t="s">
        <v>485</v>
      </c>
      <c r="K175" s="130" t="s">
        <v>245</v>
      </c>
      <c r="P175">
        <v>0.15</v>
      </c>
      <c r="Q175" s="143" t="s">
        <v>1226</v>
      </c>
      <c r="S175" s="123"/>
      <c r="T175" s="123"/>
    </row>
    <row r="176" spans="2:20">
      <c r="B176" s="129" t="s">
        <v>1327</v>
      </c>
      <c r="C176" s="538" t="s">
        <v>450</v>
      </c>
      <c r="D176" s="538"/>
      <c r="E176" s="538">
        <v>1</v>
      </c>
      <c r="F176" s="538">
        <v>0</v>
      </c>
      <c r="G176" s="538">
        <v>0</v>
      </c>
      <c r="H176" s="538">
        <v>0</v>
      </c>
      <c r="I176" s="538">
        <v>0</v>
      </c>
      <c r="J176" s="230" t="s">
        <v>486</v>
      </c>
      <c r="K176" s="130" t="s">
        <v>246</v>
      </c>
      <c r="P176">
        <v>0.45</v>
      </c>
      <c r="Q176" t="s">
        <v>533</v>
      </c>
      <c r="S176" s="123"/>
      <c r="T176" s="123"/>
    </row>
    <row r="177" spans="1:20">
      <c r="B177" s="129" t="s">
        <v>1328</v>
      </c>
      <c r="C177" s="538" t="s">
        <v>956</v>
      </c>
      <c r="D177" s="538"/>
      <c r="E177" s="538">
        <f>CHOOSE(xxYear+1,4,4,5,6)</f>
        <v>4</v>
      </c>
      <c r="F177" s="538">
        <v>0</v>
      </c>
      <c r="G177" s="538">
        <v>0</v>
      </c>
      <c r="H177" s="538">
        <v>0</v>
      </c>
      <c r="I177" s="538">
        <v>0</v>
      </c>
      <c r="J177" s="230" t="s">
        <v>487</v>
      </c>
      <c r="K177" s="130" t="s">
        <v>247</v>
      </c>
      <c r="S177" s="123"/>
      <c r="T177" s="123"/>
    </row>
    <row r="178" spans="1:20">
      <c r="B178" s="129" t="s">
        <v>1329</v>
      </c>
      <c r="C178" s="538" t="s">
        <v>953</v>
      </c>
      <c r="D178" s="538"/>
      <c r="E178" s="538">
        <v>7</v>
      </c>
      <c r="F178" s="538">
        <v>0</v>
      </c>
      <c r="G178" s="538">
        <v>0</v>
      </c>
      <c r="H178" s="538">
        <v>0</v>
      </c>
      <c r="I178" s="538">
        <v>0</v>
      </c>
      <c r="J178" s="230" t="s">
        <v>488</v>
      </c>
      <c r="K178" s="130" t="s">
        <v>248</v>
      </c>
      <c r="S178" s="123"/>
      <c r="T178" s="123"/>
    </row>
    <row r="179" spans="1:20">
      <c r="B179" s="129" t="s">
        <v>1330</v>
      </c>
      <c r="C179" s="538" t="s">
        <v>666</v>
      </c>
      <c r="D179" s="538"/>
      <c r="E179" s="538">
        <f>CHOOSE(xxYear+1,7,7,8,7)</f>
        <v>7</v>
      </c>
      <c r="F179" s="538">
        <v>0</v>
      </c>
      <c r="G179" s="538">
        <v>0</v>
      </c>
      <c r="H179" s="538">
        <v>0</v>
      </c>
      <c r="I179" s="538">
        <v>0</v>
      </c>
      <c r="J179" s="230" t="s">
        <v>489</v>
      </c>
      <c r="K179" s="130" t="s">
        <v>115</v>
      </c>
      <c r="S179" s="123"/>
      <c r="T179" s="123"/>
    </row>
    <row r="180" spans="1:20">
      <c r="B180" s="129" t="s">
        <v>1331</v>
      </c>
      <c r="C180" s="538" t="s">
        <v>1273</v>
      </c>
      <c r="D180" s="538"/>
      <c r="E180" s="538">
        <v>2</v>
      </c>
      <c r="F180" s="538">
        <v>0</v>
      </c>
      <c r="G180" s="538">
        <v>0</v>
      </c>
      <c r="H180" s="538">
        <v>0</v>
      </c>
      <c r="I180" s="538">
        <v>0</v>
      </c>
      <c r="J180" s="230" t="s">
        <v>490</v>
      </c>
      <c r="K180" s="130" t="s">
        <v>116</v>
      </c>
      <c r="S180" s="123"/>
      <c r="T180" s="123"/>
    </row>
    <row r="181" spans="1:20">
      <c r="B181" s="129" t="s">
        <v>256</v>
      </c>
      <c r="C181" s="538">
        <v>0</v>
      </c>
      <c r="D181" s="538"/>
      <c r="E181" s="538">
        <v>0</v>
      </c>
      <c r="F181" s="538">
        <v>0</v>
      </c>
      <c r="G181" s="538">
        <v>0</v>
      </c>
      <c r="H181" s="538">
        <v>0</v>
      </c>
      <c r="I181" s="538">
        <v>0</v>
      </c>
      <c r="J181" s="230" t="s">
        <v>491</v>
      </c>
      <c r="K181" s="130" t="s">
        <v>117</v>
      </c>
      <c r="S181" s="123"/>
      <c r="T181" s="123"/>
    </row>
    <row r="182" spans="1:20" ht="12" thickBot="1">
      <c r="B182" s="131"/>
      <c r="C182" s="132"/>
      <c r="D182" s="132"/>
      <c r="E182" s="132">
        <f>SUM(E172:E181)</f>
        <v>74</v>
      </c>
      <c r="F182" s="132"/>
      <c r="G182" s="132"/>
      <c r="H182" s="132"/>
      <c r="I182" s="132"/>
      <c r="J182" s="132"/>
      <c r="K182" s="133"/>
      <c r="S182" s="123"/>
      <c r="T182" s="123"/>
    </row>
    <row r="183" spans="1:20">
      <c r="B183" s="21"/>
      <c r="C183" s="21"/>
      <c r="D183" s="21"/>
      <c r="E183" s="21"/>
      <c r="F183" s="21"/>
      <c r="G183" s="21"/>
      <c r="H183" s="21"/>
      <c r="I183" s="21"/>
      <c r="J183" s="21"/>
      <c r="K183" s="21"/>
      <c r="S183" s="123"/>
      <c r="T183" s="123"/>
    </row>
    <row r="184" spans="1:20">
      <c r="B184" s="3" t="s">
        <v>900</v>
      </c>
      <c r="S184" s="123"/>
      <c r="T184" s="123"/>
    </row>
    <row r="185" spans="1:20">
      <c r="B185" s="3" t="s">
        <v>901</v>
      </c>
      <c r="C185" s="3">
        <f>C$84</f>
        <v>-2</v>
      </c>
      <c r="D185" s="3">
        <f t="shared" ref="D185:J185" si="23">D$84</f>
        <v>-1</v>
      </c>
      <c r="E185" s="3">
        <f t="shared" si="23"/>
        <v>0</v>
      </c>
      <c r="F185" s="3">
        <f t="shared" si="23"/>
        <v>1</v>
      </c>
      <c r="G185" s="3">
        <f t="shared" si="23"/>
        <v>2</v>
      </c>
      <c r="H185" s="3">
        <f t="shared" si="23"/>
        <v>3</v>
      </c>
      <c r="I185" s="3">
        <f t="shared" si="23"/>
        <v>4</v>
      </c>
      <c r="J185" s="3">
        <f t="shared" si="23"/>
        <v>5</v>
      </c>
      <c r="S185" s="123"/>
      <c r="T185" s="123"/>
    </row>
    <row r="186" spans="1:20">
      <c r="B186" s="4" t="str">
        <f>DataNameProd1 &amp; " Growth"</f>
        <v>Growth Growth</v>
      </c>
      <c r="C186" s="11">
        <v>90</v>
      </c>
      <c r="D186" s="11">
        <v>95</v>
      </c>
      <c r="E186" s="11">
        <v>100</v>
      </c>
      <c r="F186" s="11">
        <v>95</v>
      </c>
      <c r="G186" s="135">
        <v>139</v>
      </c>
      <c r="H186" s="135">
        <v>310</v>
      </c>
      <c r="I186" s="135">
        <v>141</v>
      </c>
      <c r="J186" s="414">
        <v>100</v>
      </c>
      <c r="K186" t="s">
        <v>598</v>
      </c>
      <c r="S186" s="123"/>
      <c r="T186" s="123"/>
    </row>
    <row r="187" spans="1:20">
      <c r="B187" s="4"/>
      <c r="C187" s="11"/>
      <c r="D187" s="11"/>
      <c r="E187" s="11"/>
      <c r="F187" s="135"/>
      <c r="G187" s="135"/>
      <c r="H187" s="135"/>
      <c r="I187" s="135"/>
      <c r="J187" s="135"/>
      <c r="K187" s="34"/>
      <c r="S187" s="123"/>
      <c r="T187" s="123"/>
    </row>
    <row r="188" spans="1:20">
      <c r="A188" s="3" t="str">
        <f>DataNameProd4 &amp; " Data"</f>
        <v>Consumer Consumables Data</v>
      </c>
      <c r="B188" s="21"/>
      <c r="C188" s="21"/>
      <c r="D188" s="21"/>
      <c r="E188" s="21"/>
      <c r="F188" s="21"/>
      <c r="G188" s="21"/>
      <c r="H188" s="21"/>
      <c r="I188" s="21"/>
      <c r="J188" s="21"/>
      <c r="K188" s="21"/>
      <c r="S188" s="123"/>
      <c r="T188" s="123"/>
    </row>
    <row r="189" spans="1:20">
      <c r="A189" s="3"/>
      <c r="C189" s="3">
        <v>-2</v>
      </c>
      <c r="D189" s="3">
        <v>-1</v>
      </c>
      <c r="E189" s="3">
        <v>0</v>
      </c>
      <c r="F189" s="3">
        <v>1</v>
      </c>
      <c r="G189" s="3">
        <v>2</v>
      </c>
      <c r="H189" s="3">
        <v>3</v>
      </c>
      <c r="I189" s="3">
        <v>4</v>
      </c>
      <c r="J189" s="3">
        <v>5</v>
      </c>
      <c r="S189" s="123"/>
      <c r="T189" s="123"/>
    </row>
    <row r="190" spans="1:20">
      <c r="B190" t="str">
        <f>DataNameProd4</f>
        <v>Consumer Consumables</v>
      </c>
      <c r="C190" s="231">
        <f>xxProd4BaseUnits*C186/100</f>
        <v>0</v>
      </c>
      <c r="D190" s="231">
        <f>xxProd4BaseUnits*D186/100</f>
        <v>0</v>
      </c>
      <c r="E190" s="231">
        <f>xxProd4BaseUnits*E186/100</f>
        <v>0</v>
      </c>
      <c r="F190" s="231">
        <f>E190*F186/100</f>
        <v>0</v>
      </c>
      <c r="G190" s="231">
        <f>F190*G186/100</f>
        <v>0</v>
      </c>
      <c r="H190" s="231">
        <f>G190*H186/100</f>
        <v>0</v>
      </c>
      <c r="I190" s="231">
        <f>H190*I186/100</f>
        <v>0</v>
      </c>
      <c r="J190" s="231">
        <f>I190*J186/100</f>
        <v>0</v>
      </c>
      <c r="K190" t="s">
        <v>1209</v>
      </c>
      <c r="S190" s="123"/>
      <c r="T190" s="123"/>
    </row>
    <row r="191" spans="1:20">
      <c r="B191" t="str">
        <f>DataNameProd4 &amp; " " &amp; DataNameProd4Seg1 &amp; " Units"</f>
        <v>Consumer Consumables Bid Co 1 Units</v>
      </c>
      <c r="C191" s="228">
        <f>C190</f>
        <v>0</v>
      </c>
      <c r="D191" s="228">
        <f t="shared" ref="D191:J191" si="24">D190</f>
        <v>0</v>
      </c>
      <c r="E191" s="228">
        <f t="shared" si="24"/>
        <v>0</v>
      </c>
      <c r="F191" s="228">
        <f t="shared" si="24"/>
        <v>0</v>
      </c>
      <c r="G191" s="228">
        <f t="shared" si="24"/>
        <v>0</v>
      </c>
      <c r="H191" s="228">
        <f t="shared" si="24"/>
        <v>0</v>
      </c>
      <c r="I191" s="228">
        <f t="shared" si="24"/>
        <v>0</v>
      </c>
      <c r="J191" s="228">
        <f t="shared" si="24"/>
        <v>0</v>
      </c>
      <c r="K191" t="s">
        <v>550</v>
      </c>
      <c r="S191" s="123"/>
      <c r="T191" s="123"/>
    </row>
    <row r="192" spans="1:20">
      <c r="B192" t="str">
        <f>DataNameProd4 &amp; " " &amp; DataNameProd4Seg2 &amp; " Units"</f>
        <v>Consumer Consumables Bid Co 2 Units</v>
      </c>
      <c r="C192" s="228"/>
      <c r="D192" s="228"/>
      <c r="E192" s="228"/>
      <c r="F192" s="228"/>
      <c r="G192" s="228"/>
      <c r="H192" s="228"/>
      <c r="I192" s="228"/>
      <c r="J192" s="228"/>
      <c r="K192" t="s">
        <v>551</v>
      </c>
      <c r="S192" s="123"/>
      <c r="T192" s="123"/>
    </row>
    <row r="193" spans="2:20">
      <c r="B193" t="str">
        <f>DataNameProd4 &amp; " " &amp; DataNameProd4Seg3 &amp; " Units"</f>
        <v>Consumer Consumables Bid Co 3 Units</v>
      </c>
      <c r="C193" s="228"/>
      <c r="D193" s="228"/>
      <c r="E193" s="228"/>
      <c r="F193" s="228"/>
      <c r="G193" s="228"/>
      <c r="H193" s="228"/>
      <c r="I193" s="228"/>
      <c r="J193" s="228"/>
      <c r="K193" t="s">
        <v>552</v>
      </c>
      <c r="S193" s="123"/>
      <c r="T193" s="123"/>
    </row>
    <row r="194" spans="2:20">
      <c r="B194" t="str">
        <f>DataNameProd4 &amp; " " &amp; DataNameProd4Seg4 &amp; " Units"</f>
        <v>Consumer Consumables Bid Co 4 Units</v>
      </c>
      <c r="C194" s="228"/>
      <c r="D194" s="228"/>
      <c r="E194" s="228"/>
      <c r="F194" s="228"/>
      <c r="G194" s="228"/>
      <c r="H194" s="228"/>
      <c r="I194" s="228"/>
      <c r="J194" s="228"/>
      <c r="K194" t="s">
        <v>553</v>
      </c>
      <c r="S194" s="123"/>
      <c r="T194" s="123"/>
    </row>
    <row r="195" spans="2:20">
      <c r="B195" t="str">
        <f>DataNameProd4 &amp; " " &amp; DataNameProd4Seg5 &amp; " Units"</f>
        <v>Consumer Consumables Bid Co 5 Units</v>
      </c>
      <c r="C195" s="228"/>
      <c r="D195" s="228"/>
      <c r="E195" s="228"/>
      <c r="F195" s="228"/>
      <c r="G195" s="228"/>
      <c r="H195" s="228"/>
      <c r="I195" s="228"/>
      <c r="J195" s="228"/>
      <c r="K195" t="s">
        <v>554</v>
      </c>
      <c r="S195" s="123"/>
      <c r="T195" s="123"/>
    </row>
    <row r="196" spans="2:20">
      <c r="C196" s="14"/>
      <c r="D196" s="14"/>
      <c r="E196" s="14"/>
      <c r="F196" s="14"/>
      <c r="G196" s="14"/>
      <c r="H196" s="14"/>
      <c r="I196" s="14"/>
      <c r="J196" s="14"/>
      <c r="S196" s="123"/>
      <c r="T196" s="123"/>
    </row>
    <row r="197" spans="2:20">
      <c r="B197" t="s">
        <v>359</v>
      </c>
      <c r="C197" s="11">
        <f>C190/xxNumOfTeams</f>
        <v>0</v>
      </c>
      <c r="D197" s="11">
        <f t="shared" ref="D197:J197" si="25">D190/xxNumOfTeams</f>
        <v>0</v>
      </c>
      <c r="E197" s="11">
        <f t="shared" si="25"/>
        <v>0</v>
      </c>
      <c r="F197" s="11">
        <f t="shared" si="25"/>
        <v>0</v>
      </c>
      <c r="G197" s="11">
        <f t="shared" si="25"/>
        <v>0</v>
      </c>
      <c r="H197" s="11">
        <f t="shared" si="25"/>
        <v>0</v>
      </c>
      <c r="I197" s="11">
        <f t="shared" si="25"/>
        <v>0</v>
      </c>
      <c r="J197" s="11">
        <f t="shared" si="25"/>
        <v>0</v>
      </c>
      <c r="S197" s="123"/>
      <c r="T197" s="123"/>
    </row>
    <row r="198" spans="2:20" ht="12" thickBot="1">
      <c r="C198" s="10"/>
      <c r="D198" s="10"/>
      <c r="E198" s="10"/>
      <c r="F198" s="10"/>
      <c r="G198" s="10"/>
      <c r="H198" s="10"/>
      <c r="I198" s="10"/>
      <c r="J198" s="10"/>
      <c r="S198" s="123"/>
      <c r="T198" s="123"/>
    </row>
    <row r="199" spans="2:20">
      <c r="B199" s="224" t="s">
        <v>555</v>
      </c>
      <c r="C199" s="176"/>
      <c r="D199" s="176"/>
      <c r="E199" s="176"/>
      <c r="F199" s="176"/>
      <c r="G199" s="176"/>
      <c r="H199" s="176"/>
      <c r="I199" s="176"/>
      <c r="J199" s="176"/>
      <c r="K199" s="177"/>
      <c r="S199" s="123"/>
      <c r="T199" s="123"/>
    </row>
    <row r="200" spans="2:20">
      <c r="B200" s="129"/>
      <c r="C200" s="59" t="str">
        <f>DataNameProd4</f>
        <v>Consumer Consumables</v>
      </c>
      <c r="D200" s="59"/>
      <c r="E200" s="59" t="s">
        <v>914</v>
      </c>
      <c r="F200" s="59" t="s">
        <v>701</v>
      </c>
      <c r="G200" s="59" t="s">
        <v>702</v>
      </c>
      <c r="H200" s="59" t="s">
        <v>704</v>
      </c>
      <c r="I200" s="59" t="s">
        <v>705</v>
      </c>
      <c r="J200" s="21"/>
      <c r="K200" s="130"/>
      <c r="S200" s="123"/>
      <c r="T200" s="123"/>
    </row>
    <row r="201" spans="2:20">
      <c r="B201" s="129" t="s">
        <v>36</v>
      </c>
      <c r="C201" s="229">
        <v>0</v>
      </c>
      <c r="D201" s="230"/>
      <c r="E201" s="230">
        <v>20</v>
      </c>
      <c r="F201" s="230">
        <v>1</v>
      </c>
      <c r="G201" s="230">
        <v>1</v>
      </c>
      <c r="H201" s="230">
        <v>1</v>
      </c>
      <c r="I201" s="230">
        <v>1</v>
      </c>
      <c r="J201" s="230" t="s">
        <v>556</v>
      </c>
      <c r="K201" s="130"/>
      <c r="S201" s="123"/>
      <c r="T201" s="123"/>
    </row>
    <row r="202" spans="2:20">
      <c r="B202" s="129" t="s">
        <v>988</v>
      </c>
      <c r="C202" s="229">
        <v>0</v>
      </c>
      <c r="D202" s="230"/>
      <c r="E202" s="472">
        <v>6</v>
      </c>
      <c r="F202" s="230">
        <v>1</v>
      </c>
      <c r="G202" s="230">
        <v>1</v>
      </c>
      <c r="H202" s="230">
        <v>1</v>
      </c>
      <c r="I202" s="230">
        <v>1</v>
      </c>
      <c r="J202" s="230" t="s">
        <v>557</v>
      </c>
      <c r="K202" s="130"/>
      <c r="N202">
        <v>-2</v>
      </c>
      <c r="P202">
        <v>0.4</v>
      </c>
      <c r="Q202" t="s">
        <v>532</v>
      </c>
      <c r="S202" s="123"/>
      <c r="T202" s="123"/>
    </row>
    <row r="203" spans="2:20">
      <c r="B203" s="129" t="s">
        <v>989</v>
      </c>
      <c r="C203" s="229">
        <v>0</v>
      </c>
      <c r="D203" s="230"/>
      <c r="E203" s="472">
        <v>7</v>
      </c>
      <c r="F203" s="230">
        <v>1</v>
      </c>
      <c r="G203" s="230">
        <v>1</v>
      </c>
      <c r="H203" s="230">
        <v>1</v>
      </c>
      <c r="I203" s="230">
        <v>1</v>
      </c>
      <c r="J203" s="230" t="s">
        <v>558</v>
      </c>
      <c r="K203" s="130"/>
      <c r="P203">
        <v>0.1</v>
      </c>
      <c r="Q203" s="143" t="s">
        <v>19</v>
      </c>
      <c r="S203" s="123"/>
      <c r="T203" s="123"/>
    </row>
    <row r="204" spans="2:20">
      <c r="B204" s="129" t="s">
        <v>990</v>
      </c>
      <c r="C204" s="229">
        <v>0</v>
      </c>
      <c r="D204" s="230"/>
      <c r="E204" s="472">
        <v>5</v>
      </c>
      <c r="F204" s="230">
        <v>1</v>
      </c>
      <c r="G204" s="230">
        <v>1</v>
      </c>
      <c r="H204" s="230">
        <v>1</v>
      </c>
      <c r="I204" s="230">
        <v>1</v>
      </c>
      <c r="J204" s="230" t="s">
        <v>559</v>
      </c>
      <c r="K204" s="130"/>
      <c r="P204">
        <v>0.3</v>
      </c>
      <c r="Q204" s="143" t="s">
        <v>1226</v>
      </c>
      <c r="S204" s="123"/>
      <c r="T204" s="123"/>
    </row>
    <row r="205" spans="2:20">
      <c r="B205" s="129" t="s">
        <v>731</v>
      </c>
      <c r="C205" s="229">
        <v>0</v>
      </c>
      <c r="D205" s="230"/>
      <c r="E205" s="472">
        <v>2</v>
      </c>
      <c r="F205" s="230">
        <v>1</v>
      </c>
      <c r="G205" s="230">
        <v>1</v>
      </c>
      <c r="H205" s="230">
        <v>1</v>
      </c>
      <c r="I205" s="230">
        <v>1</v>
      </c>
      <c r="J205" s="230" t="s">
        <v>560</v>
      </c>
      <c r="K205" s="130"/>
      <c r="P205">
        <v>0.2</v>
      </c>
      <c r="Q205" t="s">
        <v>533</v>
      </c>
      <c r="S205" s="123"/>
      <c r="T205" s="123"/>
    </row>
    <row r="206" spans="2:20">
      <c r="B206" s="129" t="s">
        <v>732</v>
      </c>
      <c r="C206" s="229">
        <v>0</v>
      </c>
      <c r="D206" s="230"/>
      <c r="E206" s="472">
        <v>3</v>
      </c>
      <c r="F206" s="230">
        <v>1</v>
      </c>
      <c r="G206" s="230">
        <v>1</v>
      </c>
      <c r="H206" s="230">
        <v>1</v>
      </c>
      <c r="I206" s="230">
        <v>1</v>
      </c>
      <c r="J206" s="230" t="s">
        <v>561</v>
      </c>
      <c r="K206" s="130"/>
      <c r="S206" s="123"/>
      <c r="T206" s="123"/>
    </row>
    <row r="207" spans="2:20">
      <c r="B207" s="129" t="s">
        <v>733</v>
      </c>
      <c r="C207" s="229">
        <v>0</v>
      </c>
      <c r="D207" s="230"/>
      <c r="E207" s="472">
        <v>1</v>
      </c>
      <c r="F207" s="230">
        <v>1</v>
      </c>
      <c r="G207" s="230">
        <v>1</v>
      </c>
      <c r="H207" s="230">
        <v>1</v>
      </c>
      <c r="I207" s="230">
        <v>1</v>
      </c>
      <c r="J207" s="230" t="s">
        <v>562</v>
      </c>
      <c r="K207" s="130"/>
      <c r="S207" s="123"/>
      <c r="T207" s="123"/>
    </row>
    <row r="208" spans="2:20">
      <c r="B208" s="129" t="s">
        <v>734</v>
      </c>
      <c r="C208" s="229">
        <v>0</v>
      </c>
      <c r="D208" s="230"/>
      <c r="E208" s="472">
        <v>4</v>
      </c>
      <c r="F208" s="230">
        <v>1</v>
      </c>
      <c r="G208" s="230">
        <v>1</v>
      </c>
      <c r="H208" s="230">
        <v>1</v>
      </c>
      <c r="I208" s="230">
        <v>1</v>
      </c>
      <c r="J208" s="230" t="s">
        <v>563</v>
      </c>
      <c r="K208" s="130"/>
      <c r="S208" s="123"/>
      <c r="T208" s="123"/>
    </row>
    <row r="209" spans="1:20">
      <c r="B209" s="129" t="s">
        <v>735</v>
      </c>
      <c r="C209" s="229">
        <v>0</v>
      </c>
      <c r="D209" s="230"/>
      <c r="E209" s="230">
        <v>1</v>
      </c>
      <c r="F209" s="230">
        <v>1</v>
      </c>
      <c r="G209" s="230">
        <v>1</v>
      </c>
      <c r="H209" s="230">
        <v>1</v>
      </c>
      <c r="I209" s="230">
        <v>1</v>
      </c>
      <c r="J209" s="230" t="s">
        <v>564</v>
      </c>
      <c r="K209" s="130"/>
      <c r="S209" s="123"/>
      <c r="T209" s="123"/>
    </row>
    <row r="210" spans="1:20">
      <c r="B210" s="129" t="s">
        <v>736</v>
      </c>
      <c r="C210" s="229">
        <v>0</v>
      </c>
      <c r="D210" s="230"/>
      <c r="E210" s="230">
        <v>2</v>
      </c>
      <c r="F210" s="230">
        <v>1</v>
      </c>
      <c r="G210" s="230">
        <v>1</v>
      </c>
      <c r="H210" s="230">
        <v>1</v>
      </c>
      <c r="I210" s="230">
        <v>1</v>
      </c>
      <c r="J210" s="230" t="s">
        <v>565</v>
      </c>
      <c r="K210" s="130"/>
      <c r="S210" s="123"/>
      <c r="T210" s="123"/>
    </row>
    <row r="211" spans="1:20" ht="12" thickBot="1">
      <c r="B211" s="131"/>
      <c r="C211" s="132"/>
      <c r="D211" s="132"/>
      <c r="E211" s="132"/>
      <c r="F211" s="132"/>
      <c r="G211" s="132"/>
      <c r="H211" s="132"/>
      <c r="I211" s="132"/>
      <c r="J211" s="132"/>
      <c r="K211" s="133"/>
      <c r="S211" s="123"/>
      <c r="T211" s="123"/>
    </row>
    <row r="212" spans="1:20">
      <c r="B212" s="21"/>
      <c r="C212" s="21"/>
      <c r="D212" s="21"/>
      <c r="E212" s="21"/>
      <c r="F212" s="21"/>
      <c r="G212" s="21"/>
      <c r="H212" s="21"/>
      <c r="I212" s="21"/>
      <c r="J212" s="21"/>
      <c r="K212" s="21"/>
      <c r="S212" s="123"/>
      <c r="T212" s="123"/>
    </row>
    <row r="213" spans="1:20">
      <c r="B213" s="3" t="s">
        <v>900</v>
      </c>
      <c r="S213" s="123"/>
      <c r="T213" s="123"/>
    </row>
    <row r="214" spans="1:20">
      <c r="B214" s="3" t="s">
        <v>901</v>
      </c>
      <c r="C214" s="3">
        <f>C$84</f>
        <v>-2</v>
      </c>
      <c r="D214" s="3">
        <f t="shared" ref="D214:J214" si="26">D$84</f>
        <v>-1</v>
      </c>
      <c r="E214" s="3">
        <f t="shared" si="26"/>
        <v>0</v>
      </c>
      <c r="F214" s="3">
        <f t="shared" si="26"/>
        <v>1</v>
      </c>
      <c r="G214" s="3">
        <f t="shared" si="26"/>
        <v>2</v>
      </c>
      <c r="H214" s="3">
        <f t="shared" si="26"/>
        <v>3</v>
      </c>
      <c r="I214" s="3">
        <f t="shared" si="26"/>
        <v>4</v>
      </c>
      <c r="J214" s="3">
        <f t="shared" si="26"/>
        <v>5</v>
      </c>
      <c r="S214" s="123"/>
      <c r="T214" s="123"/>
    </row>
    <row r="215" spans="1:20">
      <c r="B215" s="4" t="str">
        <f>DataNameProd5 &amp; " Growth"</f>
        <v>Services Growth</v>
      </c>
      <c r="C215" s="11">
        <v>90</v>
      </c>
      <c r="D215" s="11">
        <v>95</v>
      </c>
      <c r="E215" s="11">
        <v>100</v>
      </c>
      <c r="F215" s="11">
        <v>109</v>
      </c>
      <c r="G215" s="135">
        <v>112</v>
      </c>
      <c r="H215" s="135">
        <v>120</v>
      </c>
      <c r="I215" s="135">
        <v>138</v>
      </c>
      <c r="J215" s="414">
        <v>100</v>
      </c>
      <c r="K215" t="s">
        <v>599</v>
      </c>
      <c r="S215" s="123"/>
      <c r="T215" s="123"/>
    </row>
    <row r="216" spans="1:20">
      <c r="B216" s="4"/>
      <c r="C216" s="11"/>
      <c r="D216" s="11"/>
      <c r="E216" s="11"/>
      <c r="F216" s="135"/>
      <c r="G216" s="135"/>
      <c r="H216" s="135"/>
      <c r="I216" s="135"/>
      <c r="J216" s="135"/>
      <c r="K216" s="34"/>
      <c r="S216" s="123"/>
      <c r="T216" s="123"/>
    </row>
    <row r="217" spans="1:20">
      <c r="A217" s="3" t="str">
        <f>DataNameProd5 &amp; " Data"</f>
        <v>Services Data</v>
      </c>
      <c r="B217" s="21"/>
      <c r="C217" s="21"/>
      <c r="D217" s="21"/>
      <c r="E217" s="21"/>
      <c r="F217" s="15">
        <f>F219/$E219-1</f>
        <v>9.000000000000008E-2</v>
      </c>
      <c r="G217" s="15">
        <f>G219/$E219-1</f>
        <v>0.12000000000000011</v>
      </c>
      <c r="H217" s="15">
        <f>H219/$E219-1</f>
        <v>0.19999999999999996</v>
      </c>
      <c r="I217" s="21"/>
      <c r="J217" s="21"/>
      <c r="K217" s="21"/>
      <c r="S217" s="123"/>
      <c r="T217" s="123"/>
    </row>
    <row r="218" spans="1:20">
      <c r="A218" s="3"/>
      <c r="C218" s="3">
        <v>-2</v>
      </c>
      <c r="D218" s="3">
        <v>-1</v>
      </c>
      <c r="E218" s="3">
        <v>0</v>
      </c>
      <c r="F218" s="3">
        <v>1</v>
      </c>
      <c r="G218" s="3">
        <v>2</v>
      </c>
      <c r="H218" s="3">
        <v>3</v>
      </c>
      <c r="I218" s="3">
        <v>4</v>
      </c>
      <c r="J218" s="3">
        <v>5</v>
      </c>
      <c r="S218" s="123"/>
      <c r="T218" s="123"/>
    </row>
    <row r="219" spans="1:20">
      <c r="B219" t="str">
        <f>DataNameProd5</f>
        <v>Services</v>
      </c>
      <c r="C219" s="231">
        <f t="shared" ref="C219:J219" si="27">xxProd5BaseUnits*C215/100</f>
        <v>1350000</v>
      </c>
      <c r="D219" s="231">
        <f t="shared" si="27"/>
        <v>1425000</v>
      </c>
      <c r="E219" s="231">
        <f t="shared" si="27"/>
        <v>1500000</v>
      </c>
      <c r="F219" s="231">
        <f t="shared" si="27"/>
        <v>1635000</v>
      </c>
      <c r="G219" s="231">
        <f t="shared" si="27"/>
        <v>1680000</v>
      </c>
      <c r="H219" s="231">
        <f t="shared" si="27"/>
        <v>1800000</v>
      </c>
      <c r="I219" s="231">
        <f t="shared" si="27"/>
        <v>2070000</v>
      </c>
      <c r="J219" s="231">
        <f t="shared" si="27"/>
        <v>1500000</v>
      </c>
      <c r="K219" t="s">
        <v>566</v>
      </c>
      <c r="S219" s="123"/>
      <c r="T219" s="123"/>
    </row>
    <row r="220" spans="1:20">
      <c r="B220" t="str">
        <f>DataNameProd5 &amp; " " &amp; DataNameProd5Seg1 &amp; " Units"</f>
        <v>Services Product 5 Segment 1 Units</v>
      </c>
      <c r="C220" s="228">
        <f>C219</f>
        <v>1350000</v>
      </c>
      <c r="D220" s="228">
        <f t="shared" ref="D220:J220" si="28">D219</f>
        <v>1425000</v>
      </c>
      <c r="E220" s="228">
        <f t="shared" si="28"/>
        <v>1500000</v>
      </c>
      <c r="F220" s="228">
        <f t="shared" si="28"/>
        <v>1635000</v>
      </c>
      <c r="G220" s="228">
        <f t="shared" si="28"/>
        <v>1680000</v>
      </c>
      <c r="H220" s="228">
        <f t="shared" si="28"/>
        <v>1800000</v>
      </c>
      <c r="I220" s="228">
        <f t="shared" si="28"/>
        <v>2070000</v>
      </c>
      <c r="J220" s="228">
        <f t="shared" si="28"/>
        <v>1500000</v>
      </c>
      <c r="K220" t="s">
        <v>567</v>
      </c>
      <c r="S220" s="123"/>
      <c r="T220" s="123"/>
    </row>
    <row r="221" spans="1:20">
      <c r="B221" t="str">
        <f>DataNameProd5 &amp; " " &amp; DataNameProd5Seg2 &amp; " Units"</f>
        <v>Services Product 5 Segment 2 Units</v>
      </c>
      <c r="C221" s="228"/>
      <c r="D221" s="228"/>
      <c r="E221" s="228"/>
      <c r="F221" s="228"/>
      <c r="G221" s="228"/>
      <c r="H221" s="228"/>
      <c r="I221" s="228"/>
      <c r="J221" s="228"/>
      <c r="K221" t="s">
        <v>568</v>
      </c>
      <c r="S221" s="123"/>
      <c r="T221" s="123"/>
    </row>
    <row r="222" spans="1:20">
      <c r="B222" t="str">
        <f>DataNameProd5 &amp; " " &amp; DataNameProd5Seg3 &amp; " Units"</f>
        <v>Services Product 5 Segment 3 Units</v>
      </c>
      <c r="C222" s="228"/>
      <c r="D222" s="228"/>
      <c r="E222" s="228"/>
      <c r="F222" s="228"/>
      <c r="G222" s="228"/>
      <c r="H222" s="228"/>
      <c r="I222" s="228"/>
      <c r="J222" s="228"/>
      <c r="K222" t="s">
        <v>1162</v>
      </c>
      <c r="S222" s="123"/>
      <c r="T222" s="123"/>
    </row>
    <row r="223" spans="1:20">
      <c r="B223" t="str">
        <f>DataNameProd5 &amp; " " &amp; DataNameProd5Seg4 &amp; " Units"</f>
        <v>Services Product 5 Segment 4 Units</v>
      </c>
      <c r="C223" s="228"/>
      <c r="D223" s="228"/>
      <c r="E223" s="228"/>
      <c r="F223" s="228"/>
      <c r="G223" s="228"/>
      <c r="H223" s="228"/>
      <c r="I223" s="228"/>
      <c r="J223" s="228"/>
      <c r="K223" t="s">
        <v>1163</v>
      </c>
      <c r="S223" s="123"/>
      <c r="T223" s="123"/>
    </row>
    <row r="224" spans="1:20">
      <c r="B224" t="str">
        <f>DataNameProd5 &amp; " " &amp; DataNameProd5Seg5 &amp; " Units"</f>
        <v>Services Product 5 Segment 5 Units</v>
      </c>
      <c r="C224" s="228"/>
      <c r="D224" s="228"/>
      <c r="E224" s="228"/>
      <c r="F224" s="228"/>
      <c r="G224" s="228"/>
      <c r="H224" s="228"/>
      <c r="I224" s="228"/>
      <c r="J224" s="228"/>
      <c r="K224" t="s">
        <v>1164</v>
      </c>
      <c r="S224" s="123"/>
      <c r="T224" s="123"/>
    </row>
    <row r="225" spans="2:20">
      <c r="C225" s="14"/>
      <c r="D225" s="14"/>
      <c r="E225" s="14"/>
      <c r="F225" s="14"/>
      <c r="G225" s="14"/>
      <c r="H225" s="14"/>
      <c r="I225" s="14"/>
      <c r="J225" s="14"/>
      <c r="S225" s="123"/>
      <c r="T225" s="123"/>
    </row>
    <row r="226" spans="2:20">
      <c r="B226" t="s">
        <v>359</v>
      </c>
      <c r="C226" s="11">
        <f>C219/xxNumOfTeams</f>
        <v>1350000</v>
      </c>
      <c r="D226" s="11">
        <f t="shared" ref="D226:J226" si="29">D219/xxNumOfTeams</f>
        <v>1425000</v>
      </c>
      <c r="E226" s="11">
        <f t="shared" si="29"/>
        <v>1500000</v>
      </c>
      <c r="F226" s="11">
        <f t="shared" si="29"/>
        <v>1635000</v>
      </c>
      <c r="G226" s="11">
        <f t="shared" si="29"/>
        <v>1680000</v>
      </c>
      <c r="H226" s="11">
        <f t="shared" si="29"/>
        <v>1800000</v>
      </c>
      <c r="I226" s="11">
        <f t="shared" si="29"/>
        <v>2070000</v>
      </c>
      <c r="J226" s="11">
        <f t="shared" si="29"/>
        <v>1500000</v>
      </c>
      <c r="S226" s="123"/>
      <c r="T226" s="123"/>
    </row>
    <row r="227" spans="2:20" ht="12" thickBot="1">
      <c r="C227" s="10"/>
      <c r="D227" s="10"/>
      <c r="E227" s="10"/>
      <c r="F227" s="10"/>
      <c r="G227" s="10"/>
      <c r="H227" s="10"/>
      <c r="I227" s="10"/>
      <c r="J227" s="10"/>
      <c r="S227" s="123"/>
      <c r="T227" s="123"/>
    </row>
    <row r="228" spans="2:20">
      <c r="B228" s="224" t="s">
        <v>1165</v>
      </c>
      <c r="C228" s="176"/>
      <c r="D228" s="176"/>
      <c r="E228" s="176"/>
      <c r="F228" s="176"/>
      <c r="G228" s="176"/>
      <c r="H228" s="176"/>
      <c r="I228" s="176"/>
      <c r="J228" s="176"/>
      <c r="K228" s="177"/>
      <c r="S228" s="123"/>
      <c r="T228" s="123"/>
    </row>
    <row r="229" spans="2:20">
      <c r="B229" s="129"/>
      <c r="C229" s="59" t="str">
        <f>DataNameProd5</f>
        <v>Services</v>
      </c>
      <c r="D229" s="59"/>
      <c r="E229" s="59" t="s">
        <v>914</v>
      </c>
      <c r="F229" s="59" t="s">
        <v>701</v>
      </c>
      <c r="G229" s="59" t="s">
        <v>702</v>
      </c>
      <c r="H229" s="59" t="s">
        <v>704</v>
      </c>
      <c r="I229" s="59" t="s">
        <v>705</v>
      </c>
      <c r="J229" s="21"/>
      <c r="K229" s="130"/>
      <c r="S229" s="123"/>
      <c r="T229" s="123"/>
    </row>
    <row r="230" spans="2:20">
      <c r="B230" s="129" t="s">
        <v>37</v>
      </c>
      <c r="C230" s="538" t="s">
        <v>288</v>
      </c>
      <c r="D230" s="538"/>
      <c r="E230" s="538">
        <v>12</v>
      </c>
      <c r="F230" s="538">
        <v>0</v>
      </c>
      <c r="G230" s="538">
        <v>0</v>
      </c>
      <c r="H230" s="538">
        <v>0</v>
      </c>
      <c r="I230" s="538">
        <v>0</v>
      </c>
      <c r="J230" s="230" t="s">
        <v>1166</v>
      </c>
      <c r="K230" s="130" t="s">
        <v>118</v>
      </c>
      <c r="P230">
        <v>0.4</v>
      </c>
      <c r="Q230" t="s">
        <v>532</v>
      </c>
      <c r="S230" s="123"/>
      <c r="T230" s="123"/>
    </row>
    <row r="231" spans="2:20">
      <c r="B231" s="129" t="s">
        <v>737</v>
      </c>
      <c r="C231" s="538" t="s">
        <v>839</v>
      </c>
      <c r="D231" s="538"/>
      <c r="E231" s="538">
        <v>13</v>
      </c>
      <c r="F231" s="538">
        <v>0</v>
      </c>
      <c r="G231" s="538">
        <v>0</v>
      </c>
      <c r="H231" s="538">
        <v>0</v>
      </c>
      <c r="I231" s="538">
        <v>0</v>
      </c>
      <c r="J231" s="230" t="s">
        <v>1167</v>
      </c>
      <c r="K231" s="130" t="s">
        <v>119</v>
      </c>
      <c r="P231">
        <v>0.05</v>
      </c>
      <c r="Q231" s="143" t="s">
        <v>19</v>
      </c>
      <c r="S231" s="123"/>
      <c r="T231" s="123"/>
    </row>
    <row r="232" spans="2:20">
      <c r="B232" s="129" t="s">
        <v>738</v>
      </c>
      <c r="C232" s="538" t="s">
        <v>953</v>
      </c>
      <c r="D232" s="538"/>
      <c r="E232" s="538">
        <v>9</v>
      </c>
      <c r="F232" s="538">
        <v>0</v>
      </c>
      <c r="G232" s="538">
        <v>0</v>
      </c>
      <c r="H232" s="538">
        <v>0</v>
      </c>
      <c r="I232" s="538">
        <v>0</v>
      </c>
      <c r="J232" s="230" t="s">
        <v>1168</v>
      </c>
      <c r="K232" s="130" t="s">
        <v>1056</v>
      </c>
      <c r="P232">
        <v>0.05</v>
      </c>
      <c r="Q232" s="143" t="s">
        <v>1226</v>
      </c>
      <c r="S232" s="123"/>
      <c r="T232" s="123"/>
    </row>
    <row r="233" spans="2:20">
      <c r="B233" s="129" t="s">
        <v>739</v>
      </c>
      <c r="C233" s="538" t="s">
        <v>1132</v>
      </c>
      <c r="D233" s="538"/>
      <c r="E233" s="538">
        <v>6</v>
      </c>
      <c r="F233" s="538">
        <v>0</v>
      </c>
      <c r="G233" s="538">
        <v>0</v>
      </c>
      <c r="H233" s="538">
        <v>0</v>
      </c>
      <c r="I233" s="538">
        <v>0</v>
      </c>
      <c r="J233" s="230" t="s">
        <v>1061</v>
      </c>
      <c r="K233" s="130" t="s">
        <v>106</v>
      </c>
      <c r="P233">
        <v>0.4</v>
      </c>
      <c r="Q233" s="143" t="s">
        <v>1052</v>
      </c>
      <c r="S233" s="123"/>
      <c r="T233" s="123"/>
    </row>
    <row r="234" spans="2:20">
      <c r="B234" s="129" t="s">
        <v>740</v>
      </c>
      <c r="C234" s="538" t="s">
        <v>450</v>
      </c>
      <c r="D234" s="538"/>
      <c r="E234" s="538">
        <v>4</v>
      </c>
      <c r="F234" s="538">
        <v>0</v>
      </c>
      <c r="G234" s="538">
        <v>0</v>
      </c>
      <c r="H234" s="538">
        <v>0</v>
      </c>
      <c r="I234" s="538">
        <v>0</v>
      </c>
      <c r="J234" s="230" t="s">
        <v>1062</v>
      </c>
      <c r="K234" s="130" t="s">
        <v>107</v>
      </c>
      <c r="P234">
        <v>0.1</v>
      </c>
      <c r="Q234" s="143" t="s">
        <v>458</v>
      </c>
      <c r="S234" s="123"/>
      <c r="T234" s="123"/>
    </row>
    <row r="235" spans="2:20">
      <c r="B235" s="129" t="s">
        <v>741</v>
      </c>
      <c r="C235" s="538" t="s">
        <v>956</v>
      </c>
      <c r="D235" s="538"/>
      <c r="E235" s="538">
        <f>CHOOSE(xxYear+1,8,8,10,12)</f>
        <v>8</v>
      </c>
      <c r="F235" s="538">
        <v>0</v>
      </c>
      <c r="G235" s="538">
        <v>0</v>
      </c>
      <c r="H235" s="538">
        <v>0</v>
      </c>
      <c r="I235" s="538">
        <v>0</v>
      </c>
      <c r="J235" s="230" t="s">
        <v>1063</v>
      </c>
      <c r="K235" s="130" t="s">
        <v>249</v>
      </c>
      <c r="Q235" t="s">
        <v>531</v>
      </c>
      <c r="S235" s="123"/>
      <c r="T235" s="123"/>
    </row>
    <row r="236" spans="2:20">
      <c r="B236" s="129" t="s">
        <v>742</v>
      </c>
      <c r="C236" s="538" t="s">
        <v>1273</v>
      </c>
      <c r="D236" s="538"/>
      <c r="E236" s="538">
        <v>5</v>
      </c>
      <c r="F236" s="538">
        <v>0</v>
      </c>
      <c r="G236" s="538">
        <v>0</v>
      </c>
      <c r="H236" s="538">
        <v>0</v>
      </c>
      <c r="I236" s="538">
        <v>0</v>
      </c>
      <c r="J236" s="230" t="s">
        <v>1064</v>
      </c>
      <c r="K236" s="130" t="s">
        <v>250</v>
      </c>
      <c r="S236" s="123"/>
      <c r="T236" s="123"/>
    </row>
    <row r="237" spans="2:20">
      <c r="B237" s="129" t="s">
        <v>743</v>
      </c>
      <c r="C237" s="538" t="s">
        <v>1133</v>
      </c>
      <c r="D237" s="538"/>
      <c r="E237" s="538">
        <v>7</v>
      </c>
      <c r="F237" s="538">
        <v>0</v>
      </c>
      <c r="G237" s="538">
        <v>0</v>
      </c>
      <c r="H237" s="538">
        <v>0</v>
      </c>
      <c r="I237" s="538">
        <v>0</v>
      </c>
      <c r="J237" s="230" t="s">
        <v>1065</v>
      </c>
      <c r="K237" s="130" t="s">
        <v>1053</v>
      </c>
      <c r="S237" s="123"/>
      <c r="T237" s="123"/>
    </row>
    <row r="238" spans="2:20">
      <c r="B238" s="129" t="s">
        <v>744</v>
      </c>
      <c r="C238" s="538" t="s">
        <v>1279</v>
      </c>
      <c r="D238" s="538"/>
      <c r="E238" s="538">
        <v>2</v>
      </c>
      <c r="F238" s="538">
        <v>0</v>
      </c>
      <c r="G238" s="538">
        <v>0</v>
      </c>
      <c r="H238" s="538">
        <v>0</v>
      </c>
      <c r="I238" s="538">
        <v>0</v>
      </c>
      <c r="J238" s="230" t="s">
        <v>1066</v>
      </c>
      <c r="K238" s="130" t="s">
        <v>1054</v>
      </c>
      <c r="S238" s="123"/>
      <c r="T238" s="123"/>
    </row>
    <row r="239" spans="2:20">
      <c r="B239" s="129" t="s">
        <v>745</v>
      </c>
      <c r="C239" s="538" t="s">
        <v>696</v>
      </c>
      <c r="D239" s="538"/>
      <c r="E239" s="538">
        <v>4</v>
      </c>
      <c r="F239" s="538">
        <v>0</v>
      </c>
      <c r="G239" s="538">
        <v>0</v>
      </c>
      <c r="H239" s="538">
        <v>0</v>
      </c>
      <c r="I239" s="538">
        <v>0</v>
      </c>
      <c r="J239" s="230" t="s">
        <v>1067</v>
      </c>
      <c r="K239" s="130" t="s">
        <v>1055</v>
      </c>
      <c r="S239" s="123"/>
      <c r="T239" s="123"/>
    </row>
    <row r="240" spans="2:20" ht="12" thickBot="1">
      <c r="B240" s="131"/>
      <c r="C240" s="132"/>
      <c r="D240" s="132"/>
      <c r="E240" s="132">
        <f>SUM(E230:E239)</f>
        <v>70</v>
      </c>
      <c r="F240" s="132"/>
      <c r="G240" s="132"/>
      <c r="H240" s="132"/>
      <c r="I240" s="132"/>
      <c r="J240" s="132"/>
      <c r="K240" s="133"/>
      <c r="S240" s="123"/>
      <c r="T240" s="123"/>
    </row>
    <row r="241" spans="1:20">
      <c r="B241" s="21"/>
      <c r="C241" s="21"/>
      <c r="D241" s="21"/>
      <c r="E241" s="21"/>
      <c r="F241" s="21"/>
      <c r="G241" s="21"/>
      <c r="H241" s="21"/>
      <c r="I241" s="21"/>
      <c r="J241" s="21"/>
      <c r="K241" s="21"/>
      <c r="S241" s="123"/>
      <c r="T241" s="123"/>
    </row>
    <row r="242" spans="1:20">
      <c r="B242" s="3" t="s">
        <v>900</v>
      </c>
      <c r="S242" s="123"/>
      <c r="T242" s="123"/>
    </row>
    <row r="243" spans="1:20">
      <c r="B243" s="3" t="s">
        <v>901</v>
      </c>
      <c r="C243" s="3">
        <f>C$84</f>
        <v>-2</v>
      </c>
      <c r="D243" s="3">
        <f t="shared" ref="D243:J243" si="30">D$84</f>
        <v>-1</v>
      </c>
      <c r="E243" s="3">
        <f t="shared" si="30"/>
        <v>0</v>
      </c>
      <c r="F243" s="3">
        <f t="shared" si="30"/>
        <v>1</v>
      </c>
      <c r="G243" s="3">
        <f t="shared" si="30"/>
        <v>2</v>
      </c>
      <c r="H243" s="3">
        <f t="shared" si="30"/>
        <v>3</v>
      </c>
      <c r="I243" s="3">
        <f t="shared" si="30"/>
        <v>4</v>
      </c>
      <c r="J243" s="3">
        <f t="shared" si="30"/>
        <v>5</v>
      </c>
      <c r="S243" s="123"/>
      <c r="T243" s="123"/>
    </row>
    <row r="244" spans="1:20">
      <c r="B244" s="4" t="str">
        <f>DataNameProd1 &amp; " Growth"</f>
        <v>Growth Growth</v>
      </c>
      <c r="C244" s="11">
        <v>90</v>
      </c>
      <c r="D244" s="11">
        <v>95</v>
      </c>
      <c r="E244" s="11">
        <v>100</v>
      </c>
      <c r="F244" s="11">
        <v>124</v>
      </c>
      <c r="G244" s="135">
        <v>115</v>
      </c>
      <c r="H244" s="135">
        <v>102</v>
      </c>
      <c r="I244" s="135">
        <v>99</v>
      </c>
      <c r="J244" s="414">
        <v>100</v>
      </c>
      <c r="K244" t="s">
        <v>600</v>
      </c>
      <c r="S244" s="123"/>
      <c r="T244" s="123"/>
    </row>
    <row r="245" spans="1:20">
      <c r="B245" s="4"/>
      <c r="C245" s="11"/>
      <c r="D245" s="11"/>
      <c r="E245" s="11"/>
      <c r="F245" s="135"/>
      <c r="G245" s="135"/>
      <c r="H245" s="135"/>
      <c r="I245" s="135"/>
      <c r="J245" s="135"/>
      <c r="K245" s="34"/>
      <c r="S245" s="123"/>
      <c r="T245" s="123"/>
    </row>
    <row r="246" spans="1:20">
      <c r="A246" s="3" t="str">
        <f>DataNameProd6 &amp; " Data"</f>
        <v>Services Data</v>
      </c>
      <c r="B246" s="21"/>
      <c r="C246" s="21"/>
      <c r="D246" s="21"/>
      <c r="E246" s="21"/>
      <c r="F246" s="21"/>
      <c r="G246" s="21"/>
      <c r="H246" s="21"/>
      <c r="I246" s="21"/>
      <c r="J246" s="21"/>
      <c r="K246" s="21"/>
      <c r="S246" s="123"/>
      <c r="T246" s="123"/>
    </row>
    <row r="247" spans="1:20">
      <c r="A247" s="3"/>
      <c r="C247" s="3">
        <v>-2</v>
      </c>
      <c r="D247" s="3">
        <v>-1</v>
      </c>
      <c r="E247" s="3">
        <v>0</v>
      </c>
      <c r="F247" s="3">
        <v>1</v>
      </c>
      <c r="G247" s="3">
        <v>2</v>
      </c>
      <c r="H247" s="3">
        <v>3</v>
      </c>
      <c r="I247" s="3">
        <v>4</v>
      </c>
      <c r="J247" s="3">
        <v>5</v>
      </c>
      <c r="S247" s="123"/>
      <c r="T247" s="123"/>
    </row>
    <row r="248" spans="1:20">
      <c r="B248" t="str">
        <f>DataNameProd6</f>
        <v>Services</v>
      </c>
      <c r="C248" s="231">
        <f>xxProd6BaseUnits*C244/100</f>
        <v>0</v>
      </c>
      <c r="D248" s="231">
        <f>xxProd6BaseUnits*D244/100</f>
        <v>0</v>
      </c>
      <c r="E248" s="231">
        <f>xxProd6BaseUnits*E244/100</f>
        <v>0</v>
      </c>
      <c r="F248" s="231">
        <f>E248*F244/100</f>
        <v>0</v>
      </c>
      <c r="G248" s="231">
        <f>F248*G244/100</f>
        <v>0</v>
      </c>
      <c r="H248" s="231">
        <f>G248*H244/100</f>
        <v>0</v>
      </c>
      <c r="I248" s="231">
        <f>H248*I244/100</f>
        <v>0</v>
      </c>
      <c r="J248" s="231">
        <f>I248*J244/100</f>
        <v>0</v>
      </c>
      <c r="K248" t="s">
        <v>1068</v>
      </c>
      <c r="S248" s="123"/>
      <c r="T248" s="123"/>
    </row>
    <row r="249" spans="1:20">
      <c r="B249" t="str">
        <f>DataNameProd6 &amp; " " &amp; DataNameProd6Seg1 &amp; " Units"</f>
        <v>Services Product 6 Segment 1 Units</v>
      </c>
      <c r="C249" s="228"/>
      <c r="D249" s="228"/>
      <c r="E249" s="228"/>
      <c r="F249" s="228"/>
      <c r="G249" s="228"/>
      <c r="H249" s="228"/>
      <c r="I249" s="228"/>
      <c r="J249" s="228"/>
      <c r="K249" t="s">
        <v>120</v>
      </c>
      <c r="S249" s="123"/>
      <c r="T249" s="123"/>
    </row>
    <row r="250" spans="1:20">
      <c r="B250" t="str">
        <f>DataNameProd6 &amp; " " &amp; DataNameProd6Seg2 &amp; " Units"</f>
        <v>Services Product 6 Segment 2 Units</v>
      </c>
      <c r="C250" s="228"/>
      <c r="D250" s="228"/>
      <c r="E250" s="228"/>
      <c r="F250" s="228"/>
      <c r="G250" s="228"/>
      <c r="H250" s="228"/>
      <c r="I250" s="228"/>
      <c r="J250" s="228"/>
      <c r="K250" t="s">
        <v>121</v>
      </c>
      <c r="S250" s="123"/>
      <c r="T250" s="123"/>
    </row>
    <row r="251" spans="1:20">
      <c r="B251" t="str">
        <f>DataNameProd6 &amp; " " &amp; DataNameProd6Seg3 &amp; " Units"</f>
        <v>Services Product 6 Segment 3 Units</v>
      </c>
      <c r="C251" s="228"/>
      <c r="D251" s="228"/>
      <c r="E251" s="228"/>
      <c r="F251" s="228"/>
      <c r="G251" s="228"/>
      <c r="H251" s="228"/>
      <c r="I251" s="228"/>
      <c r="J251" s="228"/>
      <c r="K251" t="s">
        <v>122</v>
      </c>
      <c r="S251" s="123"/>
      <c r="T251" s="123"/>
    </row>
    <row r="252" spans="1:20">
      <c r="B252" t="str">
        <f>DataNameProd6 &amp; " " &amp; DataNameProd6Seg4 &amp; " Units"</f>
        <v>Services Product 6 Segment 4 Units</v>
      </c>
      <c r="C252" s="228"/>
      <c r="D252" s="228"/>
      <c r="E252" s="228"/>
      <c r="F252" s="228"/>
      <c r="G252" s="228"/>
      <c r="H252" s="228"/>
      <c r="I252" s="228"/>
      <c r="J252" s="228"/>
      <c r="K252" t="s">
        <v>123</v>
      </c>
      <c r="S252" s="123"/>
      <c r="T252" s="123"/>
    </row>
    <row r="253" spans="1:20">
      <c r="B253" t="str">
        <f>DataNameProd6 &amp; " " &amp; DataNameProd6Seg5 &amp; " Units"</f>
        <v>Services Product 6 Segment 5 Units</v>
      </c>
      <c r="C253" s="228"/>
      <c r="D253" s="228"/>
      <c r="E253" s="228"/>
      <c r="F253" s="228"/>
      <c r="G253" s="228"/>
      <c r="H253" s="228"/>
      <c r="I253" s="228"/>
      <c r="J253" s="228"/>
      <c r="K253" t="s">
        <v>124</v>
      </c>
      <c r="S253" s="123"/>
      <c r="T253" s="123"/>
    </row>
    <row r="254" spans="1:20">
      <c r="C254" s="14"/>
      <c r="D254" s="14"/>
      <c r="E254" s="14"/>
      <c r="F254" s="14"/>
      <c r="G254" s="14"/>
      <c r="H254" s="14"/>
      <c r="I254" s="14"/>
      <c r="J254" s="14"/>
      <c r="S254" s="123"/>
      <c r="T254" s="123"/>
    </row>
    <row r="255" spans="1:20">
      <c r="B255" t="s">
        <v>359</v>
      </c>
      <c r="C255" s="11">
        <f>C248/xxNumOfTeams</f>
        <v>0</v>
      </c>
      <c r="D255" s="11">
        <f t="shared" ref="D255:J255" si="31">D248/xxNumOfTeams</f>
        <v>0</v>
      </c>
      <c r="E255" s="11">
        <f t="shared" si="31"/>
        <v>0</v>
      </c>
      <c r="F255" s="11">
        <f t="shared" si="31"/>
        <v>0</v>
      </c>
      <c r="G255" s="11">
        <f t="shared" si="31"/>
        <v>0</v>
      </c>
      <c r="H255" s="11">
        <f t="shared" si="31"/>
        <v>0</v>
      </c>
      <c r="I255" s="11">
        <f t="shared" si="31"/>
        <v>0</v>
      </c>
      <c r="J255" s="11">
        <f t="shared" si="31"/>
        <v>0</v>
      </c>
      <c r="S255" s="123"/>
      <c r="T255" s="123"/>
    </row>
    <row r="256" spans="1:20" ht="12" thickBot="1">
      <c r="C256" s="10"/>
      <c r="D256" s="10"/>
      <c r="E256" s="10"/>
      <c r="F256" s="10"/>
      <c r="G256" s="10"/>
      <c r="H256" s="10"/>
      <c r="I256" s="10"/>
      <c r="J256" s="10"/>
      <c r="S256" s="123"/>
      <c r="T256" s="123"/>
    </row>
    <row r="257" spans="1:20">
      <c r="B257" s="224" t="s">
        <v>125</v>
      </c>
      <c r="C257" s="176"/>
      <c r="D257" s="176"/>
      <c r="E257" s="176"/>
      <c r="F257" s="176"/>
      <c r="G257" s="176"/>
      <c r="H257" s="176"/>
      <c r="I257" s="176"/>
      <c r="J257" s="176"/>
      <c r="K257" s="177"/>
      <c r="P257" t="s">
        <v>531</v>
      </c>
      <c r="S257" s="123"/>
      <c r="T257" s="123"/>
    </row>
    <row r="258" spans="1:20">
      <c r="B258" s="129"/>
      <c r="C258" s="59" t="str">
        <f>DataNameProd6</f>
        <v>Services</v>
      </c>
      <c r="D258" s="59"/>
      <c r="E258" s="59" t="s">
        <v>914</v>
      </c>
      <c r="F258" s="59" t="s">
        <v>701</v>
      </c>
      <c r="G258" s="59" t="s">
        <v>702</v>
      </c>
      <c r="H258" s="59" t="s">
        <v>704</v>
      </c>
      <c r="I258" s="59" t="s">
        <v>705</v>
      </c>
      <c r="J258" s="21"/>
      <c r="K258" s="130"/>
      <c r="S258" s="123"/>
      <c r="T258" s="123"/>
    </row>
    <row r="259" spans="1:20">
      <c r="B259" s="129" t="s">
        <v>746</v>
      </c>
      <c r="C259" s="229" t="s">
        <v>288</v>
      </c>
      <c r="D259" s="230"/>
      <c r="E259" s="230">
        <v>7</v>
      </c>
      <c r="F259" s="230">
        <v>1</v>
      </c>
      <c r="G259" s="230">
        <v>1</v>
      </c>
      <c r="H259" s="230">
        <v>1</v>
      </c>
      <c r="I259" s="230">
        <v>1</v>
      </c>
      <c r="J259" s="230" t="s">
        <v>1074</v>
      </c>
      <c r="K259" s="130"/>
      <c r="S259" s="123"/>
      <c r="T259" s="123"/>
    </row>
    <row r="260" spans="1:20">
      <c r="B260" s="129" t="s">
        <v>747</v>
      </c>
      <c r="C260" s="229" t="s">
        <v>1226</v>
      </c>
      <c r="D260" s="230"/>
      <c r="E260" s="230">
        <v>5</v>
      </c>
      <c r="F260" s="230">
        <v>1</v>
      </c>
      <c r="G260" s="230">
        <v>1</v>
      </c>
      <c r="H260" s="230">
        <v>1</v>
      </c>
      <c r="I260" s="230">
        <v>1</v>
      </c>
      <c r="J260" s="230" t="s">
        <v>1075</v>
      </c>
      <c r="K260" s="130"/>
      <c r="P260">
        <v>0.2</v>
      </c>
      <c r="Q260" t="s">
        <v>532</v>
      </c>
      <c r="S260" s="123"/>
      <c r="T260" s="123"/>
    </row>
    <row r="261" spans="1:20">
      <c r="B261" s="129" t="s">
        <v>40</v>
      </c>
      <c r="C261" s="229" t="s">
        <v>532</v>
      </c>
      <c r="D261" s="230"/>
      <c r="E261" s="230">
        <v>6</v>
      </c>
      <c r="F261" s="230">
        <v>1</v>
      </c>
      <c r="G261" s="230">
        <v>1</v>
      </c>
      <c r="H261" s="230">
        <v>1</v>
      </c>
      <c r="I261" s="230">
        <v>1</v>
      </c>
      <c r="J261" s="230" t="s">
        <v>659</v>
      </c>
      <c r="K261" s="130"/>
      <c r="P261">
        <v>0.05</v>
      </c>
      <c r="Q261" s="143" t="s">
        <v>19</v>
      </c>
      <c r="S261" s="123"/>
      <c r="T261" s="123"/>
    </row>
    <row r="262" spans="1:20">
      <c r="B262" s="129" t="s">
        <v>187</v>
      </c>
      <c r="C262" s="229" t="s">
        <v>534</v>
      </c>
      <c r="D262" s="230"/>
      <c r="E262" s="230">
        <v>8</v>
      </c>
      <c r="F262" s="230">
        <v>1</v>
      </c>
      <c r="G262" s="230">
        <v>1</v>
      </c>
      <c r="H262" s="230">
        <v>1</v>
      </c>
      <c r="I262" s="230">
        <v>1</v>
      </c>
      <c r="J262" s="230" t="s">
        <v>660</v>
      </c>
      <c r="K262" s="130"/>
      <c r="P262">
        <v>0.15</v>
      </c>
      <c r="Q262" s="143" t="s">
        <v>1226</v>
      </c>
      <c r="S262" s="123"/>
      <c r="T262" s="123"/>
    </row>
    <row r="263" spans="1:20">
      <c r="B263" s="129" t="s">
        <v>188</v>
      </c>
      <c r="C263" s="229" t="s">
        <v>19</v>
      </c>
      <c r="D263" s="230"/>
      <c r="E263" s="230">
        <v>4</v>
      </c>
      <c r="F263" s="230">
        <v>1</v>
      </c>
      <c r="G263" s="230">
        <v>1</v>
      </c>
      <c r="H263" s="230">
        <v>1</v>
      </c>
      <c r="I263" s="230">
        <v>1</v>
      </c>
      <c r="J263" s="230" t="s">
        <v>661</v>
      </c>
      <c r="K263" s="130"/>
      <c r="P263">
        <v>0.6</v>
      </c>
      <c r="Q263" s="143" t="s">
        <v>1052</v>
      </c>
      <c r="S263" s="123"/>
      <c r="T263" s="123"/>
    </row>
    <row r="264" spans="1:20">
      <c r="B264" s="129" t="s">
        <v>189</v>
      </c>
      <c r="C264" s="229" t="s">
        <v>1052</v>
      </c>
      <c r="D264" s="230"/>
      <c r="E264" s="230">
        <v>9</v>
      </c>
      <c r="F264" s="230">
        <v>1</v>
      </c>
      <c r="G264" s="230">
        <v>1</v>
      </c>
      <c r="H264" s="230">
        <v>1</v>
      </c>
      <c r="I264" s="230">
        <v>1</v>
      </c>
      <c r="J264" s="230" t="s">
        <v>662</v>
      </c>
      <c r="K264" s="130"/>
      <c r="S264" s="123"/>
      <c r="T264" s="123"/>
    </row>
    <row r="265" spans="1:20">
      <c r="B265" s="129" t="s">
        <v>190</v>
      </c>
      <c r="C265" s="229" t="s">
        <v>20</v>
      </c>
      <c r="D265" s="230"/>
      <c r="E265" s="230">
        <v>10</v>
      </c>
      <c r="F265" s="230">
        <v>1</v>
      </c>
      <c r="G265" s="230">
        <v>1</v>
      </c>
      <c r="H265" s="230">
        <v>1</v>
      </c>
      <c r="I265" s="230">
        <v>1</v>
      </c>
      <c r="J265" s="230" t="s">
        <v>663</v>
      </c>
      <c r="K265" s="130"/>
      <c r="S265" s="123"/>
      <c r="T265" s="123"/>
    </row>
    <row r="266" spans="1:20">
      <c r="B266" s="129" t="s">
        <v>191</v>
      </c>
      <c r="C266" s="229">
        <v>0</v>
      </c>
      <c r="D266" s="230"/>
      <c r="E266" s="230">
        <v>3</v>
      </c>
      <c r="F266" s="230">
        <v>1</v>
      </c>
      <c r="G266" s="230">
        <v>1</v>
      </c>
      <c r="H266" s="230">
        <v>1</v>
      </c>
      <c r="I266" s="230">
        <v>1</v>
      </c>
      <c r="J266" s="230" t="s">
        <v>1239</v>
      </c>
      <c r="K266" s="130"/>
      <c r="S266" s="123"/>
      <c r="T266" s="123"/>
    </row>
    <row r="267" spans="1:20">
      <c r="B267" s="129" t="s">
        <v>192</v>
      </c>
      <c r="C267" s="229">
        <v>0</v>
      </c>
      <c r="D267" s="230"/>
      <c r="E267" s="230">
        <v>2</v>
      </c>
      <c r="F267" s="230">
        <v>1</v>
      </c>
      <c r="G267" s="230">
        <v>1</v>
      </c>
      <c r="H267" s="230">
        <v>1</v>
      </c>
      <c r="I267" s="230">
        <v>1</v>
      </c>
      <c r="J267" s="230" t="s">
        <v>1240</v>
      </c>
      <c r="K267" s="130"/>
      <c r="S267" s="123"/>
      <c r="T267" s="123"/>
    </row>
    <row r="268" spans="1:20">
      <c r="B268" s="129" t="s">
        <v>193</v>
      </c>
      <c r="C268" s="229">
        <v>0</v>
      </c>
      <c r="D268" s="230"/>
      <c r="E268" s="230">
        <v>1</v>
      </c>
      <c r="F268" s="230">
        <v>1</v>
      </c>
      <c r="G268" s="230">
        <v>1</v>
      </c>
      <c r="H268" s="230">
        <v>1</v>
      </c>
      <c r="I268" s="230">
        <v>1</v>
      </c>
      <c r="J268" s="230" t="s">
        <v>362</v>
      </c>
      <c r="K268" s="130"/>
      <c r="S268" s="123"/>
      <c r="T268" s="123"/>
    </row>
    <row r="269" spans="1:20" ht="12" thickBot="1">
      <c r="B269" s="131"/>
      <c r="C269" s="132"/>
      <c r="D269" s="132"/>
      <c r="E269" s="132">
        <f>SUM(E259:E268)</f>
        <v>55</v>
      </c>
      <c r="F269" s="132"/>
      <c r="G269" s="132"/>
      <c r="H269" s="132"/>
      <c r="I269" s="132"/>
      <c r="J269" s="132"/>
      <c r="K269" s="133"/>
      <c r="S269" s="123"/>
      <c r="T269" s="123"/>
    </row>
    <row r="270" spans="1:20">
      <c r="B270" s="21"/>
      <c r="C270" s="21"/>
      <c r="D270" s="21"/>
      <c r="E270" s="21"/>
      <c r="F270" s="21"/>
      <c r="G270" s="21"/>
      <c r="H270" s="21"/>
      <c r="I270" s="21"/>
      <c r="J270" s="21"/>
      <c r="K270" s="21"/>
      <c r="S270" s="123"/>
      <c r="T270" s="123"/>
    </row>
    <row r="271" spans="1:20">
      <c r="A271" s="3" t="s">
        <v>907</v>
      </c>
      <c r="C271" s="3">
        <f>C92</f>
        <v>-2</v>
      </c>
      <c r="D271" s="3">
        <f t="shared" ref="D271:J271" si="32">D92</f>
        <v>-1</v>
      </c>
      <c r="E271" s="3">
        <f t="shared" si="32"/>
        <v>0</v>
      </c>
      <c r="F271" s="3">
        <f t="shared" si="32"/>
        <v>1</v>
      </c>
      <c r="G271" s="3">
        <f t="shared" si="32"/>
        <v>2</v>
      </c>
      <c r="H271" s="3">
        <f t="shared" si="32"/>
        <v>3</v>
      </c>
      <c r="I271" s="3">
        <f t="shared" si="32"/>
        <v>4</v>
      </c>
      <c r="J271" s="3">
        <f t="shared" si="32"/>
        <v>5</v>
      </c>
      <c r="S271" s="123"/>
      <c r="T271" s="123"/>
    </row>
    <row r="272" spans="1:20">
      <c r="B272" t="s">
        <v>908</v>
      </c>
      <c r="C272" s="11">
        <f t="shared" ref="C272:J272" si="33">IF(xxYear&gt;=C$271,C$80,HLOOKUP(C$271,$E$71:$J$76,xxYear+2,TRUE))</f>
        <v>90</v>
      </c>
      <c r="D272" s="11">
        <f t="shared" si="33"/>
        <v>95</v>
      </c>
      <c r="E272" s="11">
        <f t="shared" si="33"/>
        <v>100</v>
      </c>
      <c r="F272" s="11">
        <f t="shared" si="33"/>
        <v>101</v>
      </c>
      <c r="G272" s="11">
        <f t="shared" si="33"/>
        <v>101</v>
      </c>
      <c r="H272" s="11">
        <f t="shared" si="33"/>
        <v>101</v>
      </c>
      <c r="I272" s="11">
        <f t="shared" si="33"/>
        <v>101</v>
      </c>
      <c r="J272" s="11">
        <f t="shared" si="33"/>
        <v>101</v>
      </c>
      <c r="S272" s="123"/>
      <c r="T272" s="123"/>
    </row>
    <row r="273" spans="2:20">
      <c r="B273" t="s">
        <v>446</v>
      </c>
      <c r="C273" s="11">
        <f t="shared" ref="C273:J273" si="34">IF(xxYear&gt;=C$271,C$93,HLOOKUP(C$271,$E$84:$J$89,xxYear+2,TRUE))</f>
        <v>95.5</v>
      </c>
      <c r="D273" s="11">
        <f t="shared" si="34"/>
        <v>97.5</v>
      </c>
      <c r="E273" s="11">
        <f t="shared" si="34"/>
        <v>100</v>
      </c>
      <c r="F273" s="11">
        <f t="shared" si="34"/>
        <v>201</v>
      </c>
      <c r="G273" s="11">
        <f t="shared" si="34"/>
        <v>202</v>
      </c>
      <c r="H273" s="11">
        <f t="shared" si="34"/>
        <v>203</v>
      </c>
      <c r="I273" s="11">
        <f t="shared" si="34"/>
        <v>204</v>
      </c>
      <c r="J273" s="11">
        <f t="shared" si="34"/>
        <v>205</v>
      </c>
      <c r="S273" s="123"/>
      <c r="T273" s="123"/>
    </row>
    <row r="274" spans="2:20">
      <c r="S274" s="123"/>
      <c r="T274" s="123"/>
    </row>
    <row r="275" spans="2:20">
      <c r="B275" s="565" t="s">
        <v>1207</v>
      </c>
      <c r="C275" s="1129">
        <f>C93</f>
        <v>95.5</v>
      </c>
      <c r="D275" s="1129">
        <f t="shared" ref="D275:I275" si="35">D93</f>
        <v>97.5</v>
      </c>
      <c r="E275" s="1129">
        <f t="shared" si="35"/>
        <v>100</v>
      </c>
      <c r="F275" s="1129">
        <f t="shared" si="35"/>
        <v>108</v>
      </c>
      <c r="G275" s="1129">
        <f t="shared" si="35"/>
        <v>112</v>
      </c>
      <c r="H275" s="1129">
        <f t="shared" si="35"/>
        <v>118</v>
      </c>
      <c r="I275" s="1129">
        <f t="shared" si="35"/>
        <v>120</v>
      </c>
      <c r="J275" s="1129">
        <f>J93</f>
        <v>100</v>
      </c>
      <c r="S275" s="123"/>
      <c r="T275" s="123"/>
    </row>
    <row r="276" spans="2:20">
      <c r="B276" s="565" t="s">
        <v>1341</v>
      </c>
      <c r="C276" s="18">
        <f>C128</f>
        <v>100</v>
      </c>
      <c r="D276" s="18">
        <f t="shared" ref="D276:I276" si="36">D128</f>
        <v>100</v>
      </c>
      <c r="E276" s="18">
        <f t="shared" si="36"/>
        <v>100</v>
      </c>
      <c r="F276" s="18">
        <f t="shared" si="36"/>
        <v>100</v>
      </c>
      <c r="G276" s="18">
        <f t="shared" si="36"/>
        <v>100</v>
      </c>
      <c r="H276" s="18">
        <f t="shared" si="36"/>
        <v>100</v>
      </c>
      <c r="I276" s="18">
        <f t="shared" si="36"/>
        <v>100</v>
      </c>
      <c r="J276" s="18">
        <f>J128</f>
        <v>100</v>
      </c>
      <c r="S276" s="123"/>
      <c r="T276" s="123"/>
    </row>
    <row r="277" spans="2:20">
      <c r="S277" s="123"/>
      <c r="T277" s="123"/>
    </row>
    <row r="278" spans="2:20">
      <c r="S278" s="123"/>
      <c r="T278" s="123"/>
    </row>
    <row r="279" spans="2:20" ht="12.75">
      <c r="B279" s="22" t="s">
        <v>425</v>
      </c>
      <c r="S279" s="123"/>
      <c r="T279" s="123"/>
    </row>
    <row r="280" spans="2:20" ht="12" thickBot="1">
      <c r="B280" t="s">
        <v>960</v>
      </c>
      <c r="C280" t="s">
        <v>962</v>
      </c>
      <c r="D280" t="s">
        <v>426</v>
      </c>
      <c r="E280" t="s">
        <v>427</v>
      </c>
      <c r="S280" s="123"/>
      <c r="T280" s="123"/>
    </row>
    <row r="281" spans="2:20">
      <c r="B281" s="358">
        <v>0</v>
      </c>
      <c r="C281" s="359">
        <v>0</v>
      </c>
      <c r="D281" s="360">
        <f t="shared" ref="D281:E285" si="37">B282-B281</f>
        <v>1</v>
      </c>
      <c r="E281" s="361">
        <f t="shared" si="37"/>
        <v>-1.4999999999999999E-2</v>
      </c>
      <c r="S281" s="123"/>
      <c r="T281" s="123"/>
    </row>
    <row r="282" spans="2:20">
      <c r="B282" s="369">
        <v>1</v>
      </c>
      <c r="C282" s="362">
        <v>-1.4999999999999999E-2</v>
      </c>
      <c r="D282" s="363">
        <f t="shared" si="37"/>
        <v>1</v>
      </c>
      <c r="E282" s="364">
        <f t="shared" si="37"/>
        <v>-1.4999999999999999E-2</v>
      </c>
      <c r="S282" s="123"/>
      <c r="T282" s="123"/>
    </row>
    <row r="283" spans="2:20">
      <c r="B283" s="369">
        <v>2</v>
      </c>
      <c r="C283" s="362">
        <f>C282*2</f>
        <v>-0.03</v>
      </c>
      <c r="D283" s="363">
        <f t="shared" si="37"/>
        <v>1</v>
      </c>
      <c r="E283" s="364">
        <f t="shared" si="37"/>
        <v>-0.03</v>
      </c>
      <c r="S283" s="123"/>
      <c r="T283" s="123"/>
    </row>
    <row r="284" spans="2:20">
      <c r="B284" s="369">
        <v>3</v>
      </c>
      <c r="C284" s="362">
        <f t="shared" ref="C284:C301" si="38">C283*2</f>
        <v>-0.06</v>
      </c>
      <c r="D284" s="363">
        <f t="shared" si="37"/>
        <v>1</v>
      </c>
      <c r="E284" s="364">
        <f t="shared" si="37"/>
        <v>-0.06</v>
      </c>
      <c r="S284" s="123"/>
      <c r="T284" s="123"/>
    </row>
    <row r="285" spans="2:20">
      <c r="B285" s="369">
        <v>4</v>
      </c>
      <c r="C285" s="362">
        <f t="shared" si="38"/>
        <v>-0.12</v>
      </c>
      <c r="D285" s="363">
        <f t="shared" si="37"/>
        <v>1</v>
      </c>
      <c r="E285" s="364">
        <f t="shared" si="37"/>
        <v>-0.12</v>
      </c>
      <c r="S285" s="123"/>
      <c r="T285" s="123"/>
    </row>
    <row r="286" spans="2:20">
      <c r="B286" s="369">
        <v>5</v>
      </c>
      <c r="C286" s="362">
        <f t="shared" si="38"/>
        <v>-0.24</v>
      </c>
      <c r="D286" s="363">
        <f t="shared" ref="D286:D300" si="39">B287-B286</f>
        <v>1</v>
      </c>
      <c r="E286" s="364">
        <f t="shared" ref="E286:E300" si="40">C287-C286</f>
        <v>-0.24</v>
      </c>
      <c r="S286" s="123"/>
      <c r="T286" s="123"/>
    </row>
    <row r="287" spans="2:20">
      <c r="B287" s="369">
        <v>6</v>
      </c>
      <c r="C287" s="362">
        <f t="shared" si="38"/>
        <v>-0.48</v>
      </c>
      <c r="D287" s="363">
        <f t="shared" si="39"/>
        <v>1</v>
      </c>
      <c r="E287" s="364">
        <f t="shared" si="40"/>
        <v>-0.48</v>
      </c>
      <c r="S287" s="123"/>
      <c r="T287" s="123"/>
    </row>
    <row r="288" spans="2:20">
      <c r="B288" s="369">
        <v>7</v>
      </c>
      <c r="C288" s="362">
        <f t="shared" si="38"/>
        <v>-0.96</v>
      </c>
      <c r="D288" s="363">
        <f t="shared" si="39"/>
        <v>1</v>
      </c>
      <c r="E288" s="364">
        <f t="shared" si="40"/>
        <v>-0.96</v>
      </c>
      <c r="S288" s="123"/>
      <c r="T288" s="123"/>
    </row>
    <row r="289" spans="2:20">
      <c r="B289" s="369">
        <v>8</v>
      </c>
      <c r="C289" s="362">
        <f t="shared" si="38"/>
        <v>-1.92</v>
      </c>
      <c r="D289" s="363">
        <f t="shared" si="39"/>
        <v>1</v>
      </c>
      <c r="E289" s="364">
        <f t="shared" si="40"/>
        <v>-1.92</v>
      </c>
      <c r="S289" s="123"/>
      <c r="T289" s="123"/>
    </row>
    <row r="290" spans="2:20">
      <c r="B290" s="369">
        <v>9</v>
      </c>
      <c r="C290" s="362">
        <f t="shared" si="38"/>
        <v>-3.84</v>
      </c>
      <c r="D290" s="363">
        <f t="shared" si="39"/>
        <v>1</v>
      </c>
      <c r="E290" s="364">
        <f t="shared" si="40"/>
        <v>-3.84</v>
      </c>
      <c r="S290" s="123"/>
      <c r="T290" s="123"/>
    </row>
    <row r="291" spans="2:20">
      <c r="B291" s="369">
        <v>10</v>
      </c>
      <c r="C291" s="362">
        <f t="shared" si="38"/>
        <v>-7.68</v>
      </c>
      <c r="D291" s="363">
        <f t="shared" si="39"/>
        <v>1</v>
      </c>
      <c r="E291" s="364">
        <f t="shared" si="40"/>
        <v>-7.68</v>
      </c>
      <c r="S291" s="123"/>
      <c r="T291" s="123"/>
    </row>
    <row r="292" spans="2:20">
      <c r="B292" s="369">
        <v>11</v>
      </c>
      <c r="C292" s="362">
        <f t="shared" si="38"/>
        <v>-15.36</v>
      </c>
      <c r="D292" s="363">
        <f t="shared" si="39"/>
        <v>1</v>
      </c>
      <c r="E292" s="364">
        <f t="shared" si="40"/>
        <v>-15.36</v>
      </c>
      <c r="S292" s="123"/>
      <c r="T292" s="123"/>
    </row>
    <row r="293" spans="2:20">
      <c r="B293" s="369">
        <v>12</v>
      </c>
      <c r="C293" s="362">
        <f t="shared" si="38"/>
        <v>-30.72</v>
      </c>
      <c r="D293" s="363">
        <f t="shared" si="39"/>
        <v>1</v>
      </c>
      <c r="E293" s="364">
        <f t="shared" si="40"/>
        <v>-30.72</v>
      </c>
      <c r="S293" s="123"/>
      <c r="T293" s="123"/>
    </row>
    <row r="294" spans="2:20">
      <c r="B294" s="369">
        <v>13</v>
      </c>
      <c r="C294" s="362">
        <f t="shared" si="38"/>
        <v>-61.44</v>
      </c>
      <c r="D294" s="363">
        <f t="shared" si="39"/>
        <v>1</v>
      </c>
      <c r="E294" s="364">
        <f t="shared" si="40"/>
        <v>-61.44</v>
      </c>
      <c r="S294" s="123"/>
      <c r="T294" s="123"/>
    </row>
    <row r="295" spans="2:20">
      <c r="B295" s="369">
        <v>14</v>
      </c>
      <c r="C295" s="362">
        <f t="shared" si="38"/>
        <v>-122.88</v>
      </c>
      <c r="D295" s="363">
        <f t="shared" si="39"/>
        <v>1</v>
      </c>
      <c r="E295" s="364">
        <f t="shared" si="40"/>
        <v>-122.88</v>
      </c>
      <c r="S295" s="123"/>
      <c r="T295" s="123"/>
    </row>
    <row r="296" spans="2:20">
      <c r="B296" s="369">
        <v>15</v>
      </c>
      <c r="C296" s="362">
        <f t="shared" si="38"/>
        <v>-245.76</v>
      </c>
      <c r="D296" s="363">
        <f t="shared" si="39"/>
        <v>1</v>
      </c>
      <c r="E296" s="364">
        <f t="shared" si="40"/>
        <v>-245.76</v>
      </c>
      <c r="S296" s="123"/>
      <c r="T296" s="123"/>
    </row>
    <row r="297" spans="2:20">
      <c r="B297" s="369">
        <v>16</v>
      </c>
      <c r="C297" s="362">
        <f t="shared" si="38"/>
        <v>-491.52</v>
      </c>
      <c r="D297" s="363">
        <f t="shared" si="39"/>
        <v>1</v>
      </c>
      <c r="E297" s="364">
        <f t="shared" si="40"/>
        <v>-491.52</v>
      </c>
      <c r="S297" s="123"/>
      <c r="T297" s="123"/>
    </row>
    <row r="298" spans="2:20">
      <c r="B298" s="369">
        <v>17</v>
      </c>
      <c r="C298" s="362">
        <f t="shared" si="38"/>
        <v>-983.04</v>
      </c>
      <c r="D298" s="363">
        <f t="shared" si="39"/>
        <v>1</v>
      </c>
      <c r="E298" s="364">
        <f t="shared" si="40"/>
        <v>-983.04</v>
      </c>
      <c r="S298" s="123"/>
      <c r="T298" s="123"/>
    </row>
    <row r="299" spans="2:20">
      <c r="B299" s="369">
        <v>18</v>
      </c>
      <c r="C299" s="362">
        <f t="shared" si="38"/>
        <v>-1966.08</v>
      </c>
      <c r="D299" s="363">
        <f t="shared" si="39"/>
        <v>1</v>
      </c>
      <c r="E299" s="364">
        <f t="shared" si="40"/>
        <v>-1966.08</v>
      </c>
      <c r="S299" s="123"/>
      <c r="T299" s="123"/>
    </row>
    <row r="300" spans="2:20">
      <c r="B300" s="369">
        <v>19</v>
      </c>
      <c r="C300" s="362">
        <f t="shared" si="38"/>
        <v>-3932.16</v>
      </c>
      <c r="D300" s="363">
        <f t="shared" si="39"/>
        <v>1</v>
      </c>
      <c r="E300" s="364">
        <f t="shared" si="40"/>
        <v>-3932.16</v>
      </c>
      <c r="S300" s="123"/>
      <c r="T300" s="123"/>
    </row>
    <row r="301" spans="2:20">
      <c r="B301" s="369">
        <v>20</v>
      </c>
      <c r="C301" s="362">
        <f t="shared" si="38"/>
        <v>-7864.32</v>
      </c>
      <c r="D301" s="363">
        <v>0</v>
      </c>
      <c r="E301" s="364">
        <v>0</v>
      </c>
      <c r="S301" s="123"/>
      <c r="T301" s="123"/>
    </row>
    <row r="302" spans="2:20" ht="12" thickBot="1">
      <c r="B302" s="365"/>
      <c r="C302" s="366"/>
      <c r="D302" s="367">
        <v>0</v>
      </c>
      <c r="E302" s="368">
        <v>0</v>
      </c>
      <c r="S302" s="123"/>
      <c r="T302" s="123"/>
    </row>
    <row r="303" spans="2:20">
      <c r="S303" s="123"/>
      <c r="T303" s="123"/>
    </row>
    <row r="304" spans="2:20">
      <c r="S304" s="123"/>
      <c r="T304" s="123"/>
    </row>
    <row r="305" spans="1:22">
      <c r="S305" s="123"/>
      <c r="T305" s="123"/>
    </row>
    <row r="306" spans="1:22" s="23" customFormat="1" ht="11.25" customHeight="1">
      <c r="A306" s="22" t="s">
        <v>431</v>
      </c>
      <c r="S306" s="372"/>
      <c r="T306" s="372"/>
    </row>
    <row r="307" spans="1:22" ht="11.25" customHeight="1" thickBot="1">
      <c r="A307" s="3"/>
      <c r="I307" s="23"/>
      <c r="J307" s="23"/>
      <c r="K307" s="23"/>
      <c r="L307" s="23"/>
      <c r="M307" s="23"/>
      <c r="N307" s="23"/>
      <c r="S307" s="123"/>
      <c r="T307" s="123"/>
    </row>
    <row r="308" spans="1:22" ht="11.25" customHeight="1" thickBot="1">
      <c r="B308" s="224" t="s">
        <v>727</v>
      </c>
      <c r="C308" s="1069" t="s">
        <v>679</v>
      </c>
      <c r="D308" s="1069" t="s">
        <v>429</v>
      </c>
      <c r="E308" s="1069" t="s">
        <v>2792</v>
      </c>
      <c r="F308" s="1070" t="s">
        <v>949</v>
      </c>
      <c r="G308" s="224" t="s">
        <v>3175</v>
      </c>
      <c r="H308" s="1069" t="s">
        <v>3176</v>
      </c>
      <c r="I308" s="1069" t="s">
        <v>3177</v>
      </c>
      <c r="J308" s="1070" t="s">
        <v>3178</v>
      </c>
      <c r="L308" s="224" t="s">
        <v>727</v>
      </c>
      <c r="M308" s="1069" t="s">
        <v>679</v>
      </c>
      <c r="N308" s="1069" t="s">
        <v>2792</v>
      </c>
      <c r="O308" s="1069" t="s">
        <v>949</v>
      </c>
      <c r="P308" s="1069" t="s">
        <v>3134</v>
      </c>
      <c r="Q308" s="150" t="s">
        <v>3175</v>
      </c>
      <c r="R308" s="152" t="s">
        <v>3176</v>
      </c>
      <c r="S308" s="152" t="s">
        <v>3177</v>
      </c>
      <c r="T308" s="152" t="s">
        <v>3178</v>
      </c>
      <c r="U308" s="152" t="s">
        <v>3184</v>
      </c>
      <c r="V308" s="370" t="s">
        <v>3185</v>
      </c>
    </row>
    <row r="309" spans="1:22" ht="11.25" customHeight="1">
      <c r="B309" s="175">
        <v>1</v>
      </c>
      <c r="C309" s="729" t="s">
        <v>2557</v>
      </c>
      <c r="D309" s="176" t="s">
        <v>3427</v>
      </c>
      <c r="E309" s="1071">
        <v>8</v>
      </c>
      <c r="F309" s="1071">
        <v>2500000</v>
      </c>
      <c r="G309" s="1077" t="s">
        <v>3428</v>
      </c>
      <c r="H309" s="1078">
        <v>0</v>
      </c>
      <c r="I309" s="1078" t="s">
        <v>3429</v>
      </c>
      <c r="J309" s="1079">
        <v>0</v>
      </c>
      <c r="L309" s="175">
        <v>101</v>
      </c>
      <c r="M309" s="176" t="s">
        <v>2259</v>
      </c>
      <c r="N309" s="1071">
        <v>16</v>
      </c>
      <c r="O309" s="1071">
        <v>0</v>
      </c>
      <c r="P309" s="1072">
        <v>45000000</v>
      </c>
      <c r="Q309" s="1077" t="s">
        <v>3430</v>
      </c>
      <c r="R309" s="1078">
        <v>0</v>
      </c>
      <c r="S309" s="1078">
        <v>0</v>
      </c>
      <c r="T309" s="1078">
        <v>0</v>
      </c>
      <c r="U309" s="1071" t="s">
        <v>3431</v>
      </c>
      <c r="V309" s="1072">
        <v>0</v>
      </c>
    </row>
    <row r="310" spans="1:22" ht="11.25" customHeight="1">
      <c r="B310" s="129">
        <v>2</v>
      </c>
      <c r="C310" s="563" t="s">
        <v>2558</v>
      </c>
      <c r="D310" s="21" t="s">
        <v>3432</v>
      </c>
      <c r="E310" s="513">
        <v>8</v>
      </c>
      <c r="F310" s="513">
        <v>2500000</v>
      </c>
      <c r="G310" s="731" t="s">
        <v>3433</v>
      </c>
      <c r="H310" s="737">
        <v>0</v>
      </c>
      <c r="I310" s="737" t="s">
        <v>3434</v>
      </c>
      <c r="J310" s="1076">
        <v>0</v>
      </c>
      <c r="L310" s="129">
        <v>102</v>
      </c>
      <c r="M310" s="21" t="s">
        <v>2260</v>
      </c>
      <c r="N310" s="513">
        <v>24</v>
      </c>
      <c r="O310" s="513">
        <v>20000000</v>
      </c>
      <c r="P310" s="1073">
        <v>0</v>
      </c>
      <c r="Q310" s="731" t="s">
        <v>3435</v>
      </c>
      <c r="R310" s="737">
        <v>0</v>
      </c>
      <c r="S310" s="737" t="s">
        <v>3436</v>
      </c>
      <c r="T310" s="737">
        <v>0</v>
      </c>
      <c r="U310" s="513">
        <v>0</v>
      </c>
      <c r="V310" s="1073">
        <v>0</v>
      </c>
    </row>
    <row r="311" spans="1:22" ht="11.25" customHeight="1">
      <c r="B311" s="129">
        <v>3</v>
      </c>
      <c r="C311" s="563" t="s">
        <v>2298</v>
      </c>
      <c r="D311" s="21" t="s">
        <v>3437</v>
      </c>
      <c r="E311" s="513">
        <v>24</v>
      </c>
      <c r="F311" s="513">
        <v>10000000</v>
      </c>
      <c r="G311" s="731" t="s">
        <v>3438</v>
      </c>
      <c r="H311" s="737">
        <v>0</v>
      </c>
      <c r="I311" s="737" t="s">
        <v>3439</v>
      </c>
      <c r="J311" s="1076">
        <v>0</v>
      </c>
      <c r="L311" s="129">
        <v>103</v>
      </c>
      <c r="M311" s="21" t="s">
        <v>2261</v>
      </c>
      <c r="N311" s="513">
        <v>10</v>
      </c>
      <c r="O311" s="513">
        <v>7500000</v>
      </c>
      <c r="P311" s="1073">
        <v>0</v>
      </c>
      <c r="Q311" s="731" t="s">
        <v>3440</v>
      </c>
      <c r="R311" s="737">
        <v>0</v>
      </c>
      <c r="S311" s="737" t="s">
        <v>3441</v>
      </c>
      <c r="T311" s="737">
        <v>0</v>
      </c>
      <c r="U311" s="513">
        <v>0</v>
      </c>
      <c r="V311" s="1073">
        <v>0</v>
      </c>
    </row>
    <row r="312" spans="1:22" ht="11.25" customHeight="1">
      <c r="B312" s="129">
        <v>4</v>
      </c>
      <c r="C312" s="563" t="s">
        <v>2559</v>
      </c>
      <c r="D312" s="21" t="s">
        <v>3442</v>
      </c>
      <c r="E312" s="513">
        <v>10</v>
      </c>
      <c r="F312" s="513">
        <v>10000000</v>
      </c>
      <c r="G312" s="731" t="s">
        <v>3443</v>
      </c>
      <c r="H312" s="737">
        <v>0</v>
      </c>
      <c r="I312" s="737" t="s">
        <v>3444</v>
      </c>
      <c r="J312" s="1076">
        <v>0</v>
      </c>
      <c r="L312" s="129">
        <v>201</v>
      </c>
      <c r="M312" s="21" t="s">
        <v>3098</v>
      </c>
      <c r="N312" s="513">
        <v>20</v>
      </c>
      <c r="O312" s="513">
        <v>0</v>
      </c>
      <c r="P312" s="1073">
        <v>0</v>
      </c>
      <c r="Q312" s="731" t="s">
        <v>3445</v>
      </c>
      <c r="R312" s="737">
        <v>0</v>
      </c>
      <c r="S312" s="737">
        <v>0</v>
      </c>
      <c r="T312" s="737">
        <v>0</v>
      </c>
      <c r="U312" s="513">
        <v>0</v>
      </c>
      <c r="V312" s="1073">
        <v>0</v>
      </c>
    </row>
    <row r="313" spans="1:22" ht="11.25" customHeight="1">
      <c r="B313" s="129">
        <v>5</v>
      </c>
      <c r="C313" s="563" t="s">
        <v>2560</v>
      </c>
      <c r="D313" s="21" t="s">
        <v>3446</v>
      </c>
      <c r="E313" s="513">
        <v>10</v>
      </c>
      <c r="F313" s="513">
        <v>20000000</v>
      </c>
      <c r="G313" s="731" t="s">
        <v>3447</v>
      </c>
      <c r="H313" s="737">
        <v>0</v>
      </c>
      <c r="I313" s="737" t="s">
        <v>3448</v>
      </c>
      <c r="J313" s="1076">
        <v>0</v>
      </c>
      <c r="L313" s="129">
        <v>202</v>
      </c>
      <c r="M313" s="21" t="s">
        <v>3099</v>
      </c>
      <c r="N313" s="513">
        <v>20</v>
      </c>
      <c r="O313" s="513">
        <v>0</v>
      </c>
      <c r="P313" s="1073">
        <v>0</v>
      </c>
      <c r="Q313" s="731" t="s">
        <v>3449</v>
      </c>
      <c r="R313" s="737">
        <v>0</v>
      </c>
      <c r="S313" s="737">
        <v>0</v>
      </c>
      <c r="T313" s="737">
        <v>0</v>
      </c>
      <c r="U313" s="513">
        <v>0</v>
      </c>
      <c r="V313" s="1073">
        <v>0</v>
      </c>
    </row>
    <row r="314" spans="1:22" ht="11.25" customHeight="1">
      <c r="B314" s="129">
        <v>6</v>
      </c>
      <c r="C314" s="563" t="s">
        <v>2561</v>
      </c>
      <c r="D314" s="21" t="s">
        <v>3450</v>
      </c>
      <c r="E314" s="513">
        <v>16</v>
      </c>
      <c r="F314" s="513">
        <v>0</v>
      </c>
      <c r="G314" s="731" t="s">
        <v>3451</v>
      </c>
      <c r="H314" s="737" t="s">
        <v>3452</v>
      </c>
      <c r="I314" s="737">
        <v>0</v>
      </c>
      <c r="J314" s="1076">
        <v>0</v>
      </c>
      <c r="L314" s="129">
        <v>203</v>
      </c>
      <c r="M314" s="21" t="s">
        <v>3100</v>
      </c>
      <c r="N314" s="513">
        <v>32</v>
      </c>
      <c r="O314" s="513">
        <v>5000000</v>
      </c>
      <c r="P314" s="1073">
        <v>0</v>
      </c>
      <c r="Q314" s="731" t="s">
        <v>3453</v>
      </c>
      <c r="R314" s="737">
        <v>0</v>
      </c>
      <c r="S314" s="737" t="s">
        <v>3454</v>
      </c>
      <c r="T314" s="737">
        <v>0</v>
      </c>
      <c r="U314" s="513">
        <v>0</v>
      </c>
      <c r="V314" s="1073">
        <v>0</v>
      </c>
    </row>
    <row r="315" spans="1:22" ht="11.25" customHeight="1">
      <c r="B315" s="129">
        <v>7</v>
      </c>
      <c r="C315" s="563" t="s">
        <v>2562</v>
      </c>
      <c r="D315" s="21" t="s">
        <v>3455</v>
      </c>
      <c r="E315" s="513">
        <v>24</v>
      </c>
      <c r="F315" s="513">
        <v>10000000</v>
      </c>
      <c r="G315" s="731" t="s">
        <v>3456</v>
      </c>
      <c r="H315" s="737">
        <v>0</v>
      </c>
      <c r="I315" s="737" t="s">
        <v>3457</v>
      </c>
      <c r="J315" s="1076">
        <v>0</v>
      </c>
      <c r="L315" s="129">
        <v>301</v>
      </c>
      <c r="M315" s="21" t="s">
        <v>2274</v>
      </c>
      <c r="N315" s="513">
        <v>10</v>
      </c>
      <c r="O315" s="513">
        <v>0</v>
      </c>
      <c r="P315" s="1073">
        <v>5000000</v>
      </c>
      <c r="Q315" s="731" t="s">
        <v>3458</v>
      </c>
      <c r="R315" s="737">
        <v>0</v>
      </c>
      <c r="S315" s="737">
        <v>0</v>
      </c>
      <c r="T315" s="737">
        <v>0</v>
      </c>
      <c r="U315" s="513" t="s">
        <v>3459</v>
      </c>
      <c r="V315" s="1073">
        <v>0</v>
      </c>
    </row>
    <row r="316" spans="1:22" ht="11.25" customHeight="1">
      <c r="B316" s="129">
        <v>8</v>
      </c>
      <c r="C316" s="563" t="s">
        <v>3101</v>
      </c>
      <c r="D316" s="21" t="s">
        <v>3460</v>
      </c>
      <c r="E316" s="513">
        <v>16</v>
      </c>
      <c r="F316" s="513">
        <v>0</v>
      </c>
      <c r="G316" s="731" t="s">
        <v>3461</v>
      </c>
      <c r="H316" s="737" t="s">
        <v>3462</v>
      </c>
      <c r="I316" s="737">
        <v>0</v>
      </c>
      <c r="J316" s="1076">
        <v>0</v>
      </c>
      <c r="L316" s="129">
        <v>302</v>
      </c>
      <c r="M316" s="21" t="s">
        <v>1425</v>
      </c>
      <c r="N316" s="513">
        <v>24</v>
      </c>
      <c r="O316" s="513">
        <v>15000000</v>
      </c>
      <c r="P316" s="1073">
        <v>0</v>
      </c>
      <c r="Q316" s="731" t="s">
        <v>3463</v>
      </c>
      <c r="R316" s="737">
        <v>0</v>
      </c>
      <c r="S316" s="737" t="s">
        <v>3464</v>
      </c>
      <c r="T316" s="737">
        <v>0</v>
      </c>
      <c r="U316" s="513">
        <v>0</v>
      </c>
      <c r="V316" s="1073">
        <v>0</v>
      </c>
    </row>
    <row r="317" spans="1:22" ht="11.25" customHeight="1">
      <c r="B317" s="129">
        <v>9</v>
      </c>
      <c r="C317" s="563" t="s">
        <v>2563</v>
      </c>
      <c r="D317" s="21" t="s">
        <v>3465</v>
      </c>
      <c r="E317" s="513">
        <v>13</v>
      </c>
      <c r="F317" s="513">
        <v>5000000</v>
      </c>
      <c r="G317" s="731" t="s">
        <v>3466</v>
      </c>
      <c r="H317" s="737" t="s">
        <v>3467</v>
      </c>
      <c r="I317" s="737" t="s">
        <v>3809</v>
      </c>
      <c r="J317" s="1076" t="s">
        <v>3810</v>
      </c>
      <c r="L317" s="129">
        <v>303</v>
      </c>
      <c r="M317" s="21"/>
      <c r="N317" s="513">
        <v>0</v>
      </c>
      <c r="O317" s="513">
        <v>0</v>
      </c>
      <c r="P317" s="1073">
        <v>0</v>
      </c>
      <c r="Q317" s="731">
        <v>0</v>
      </c>
      <c r="R317" s="737">
        <v>0</v>
      </c>
      <c r="S317" s="737">
        <v>0</v>
      </c>
      <c r="T317" s="737">
        <v>0</v>
      </c>
      <c r="U317" s="513">
        <v>0</v>
      </c>
      <c r="V317" s="1073">
        <v>0</v>
      </c>
    </row>
    <row r="318" spans="1:22" ht="11.25" customHeight="1">
      <c r="B318" s="129">
        <v>10</v>
      </c>
      <c r="C318" s="563" t="s">
        <v>4454</v>
      </c>
      <c r="D318" s="563" t="s">
        <v>4455</v>
      </c>
      <c r="E318" s="513">
        <v>24</v>
      </c>
      <c r="F318" s="513">
        <v>10000000</v>
      </c>
      <c r="G318" s="731" t="s">
        <v>3468</v>
      </c>
      <c r="H318" s="737">
        <v>0</v>
      </c>
      <c r="I318" s="737" t="s">
        <v>3469</v>
      </c>
      <c r="J318" s="1076">
        <v>0</v>
      </c>
      <c r="L318" s="129">
        <v>401</v>
      </c>
      <c r="M318" s="21" t="s">
        <v>2275</v>
      </c>
      <c r="N318" s="513">
        <v>16</v>
      </c>
      <c r="O318" s="513">
        <v>6000000</v>
      </c>
      <c r="P318" s="1073">
        <v>14000000</v>
      </c>
      <c r="Q318" s="731" t="s">
        <v>3470</v>
      </c>
      <c r="R318" s="737">
        <v>0</v>
      </c>
      <c r="S318" s="737" t="s">
        <v>3471</v>
      </c>
      <c r="T318" s="737">
        <v>0</v>
      </c>
      <c r="U318" s="513">
        <v>0</v>
      </c>
      <c r="V318" s="1073">
        <v>0</v>
      </c>
    </row>
    <row r="319" spans="1:22" ht="11.25" customHeight="1">
      <c r="B319" s="129">
        <v>11</v>
      </c>
      <c r="C319" s="563" t="s">
        <v>4456</v>
      </c>
      <c r="D319" s="563" t="s">
        <v>4457</v>
      </c>
      <c r="E319" s="513">
        <v>8</v>
      </c>
      <c r="F319" s="513">
        <v>5000000</v>
      </c>
      <c r="G319" s="731" t="s">
        <v>3472</v>
      </c>
      <c r="H319" s="737">
        <v>0</v>
      </c>
      <c r="I319" s="737" t="s">
        <v>3473</v>
      </c>
      <c r="J319" s="1076">
        <v>0</v>
      </c>
      <c r="L319" s="129">
        <v>402</v>
      </c>
      <c r="M319" s="21" t="s">
        <v>2276</v>
      </c>
      <c r="N319" s="513">
        <v>24</v>
      </c>
      <c r="O319" s="513">
        <v>3000000</v>
      </c>
      <c r="P319" s="1073">
        <v>7000000</v>
      </c>
      <c r="Q319" s="731" t="s">
        <v>3474</v>
      </c>
      <c r="R319" s="737">
        <v>0</v>
      </c>
      <c r="S319" s="737" t="s">
        <v>3475</v>
      </c>
      <c r="T319" s="737">
        <v>0</v>
      </c>
      <c r="U319" s="513">
        <v>0</v>
      </c>
      <c r="V319" s="1073">
        <v>0</v>
      </c>
    </row>
    <row r="320" spans="1:22" ht="11.25" customHeight="1">
      <c r="B320" s="129">
        <v>12</v>
      </c>
      <c r="C320" s="563" t="s">
        <v>2564</v>
      </c>
      <c r="D320" s="21" t="s">
        <v>3476</v>
      </c>
      <c r="E320" s="513">
        <v>124</v>
      </c>
      <c r="F320" s="513">
        <v>0</v>
      </c>
      <c r="G320" s="731" t="s">
        <v>3477</v>
      </c>
      <c r="H320" s="737">
        <v>0</v>
      </c>
      <c r="I320" s="737">
        <v>0</v>
      </c>
      <c r="J320" s="1076">
        <v>0</v>
      </c>
      <c r="L320" s="129">
        <v>403</v>
      </c>
      <c r="M320" s="21" t="s">
        <v>2277</v>
      </c>
      <c r="N320" s="513">
        <v>10</v>
      </c>
      <c r="O320" s="513">
        <v>5000000</v>
      </c>
      <c r="P320" s="1073">
        <v>0</v>
      </c>
      <c r="Q320" s="731" t="s">
        <v>3478</v>
      </c>
      <c r="R320" s="737">
        <v>0</v>
      </c>
      <c r="S320" s="737" t="s">
        <v>3479</v>
      </c>
      <c r="T320" s="737">
        <v>0</v>
      </c>
      <c r="U320" s="513">
        <v>0</v>
      </c>
      <c r="V320" s="1073">
        <v>0</v>
      </c>
    </row>
    <row r="321" spans="1:22" ht="11.25" customHeight="1">
      <c r="B321" s="129">
        <v>13</v>
      </c>
      <c r="C321" s="563" t="s">
        <v>2565</v>
      </c>
      <c r="D321" s="21" t="s">
        <v>3480</v>
      </c>
      <c r="E321" s="513">
        <v>10</v>
      </c>
      <c r="F321" s="513">
        <v>0</v>
      </c>
      <c r="G321" s="731" t="s">
        <v>3481</v>
      </c>
      <c r="H321" s="737" t="s">
        <v>3482</v>
      </c>
      <c r="I321" s="737">
        <v>0</v>
      </c>
      <c r="J321" s="1076">
        <v>0</v>
      </c>
      <c r="L321" s="129">
        <v>501</v>
      </c>
      <c r="M321" s="21" t="s">
        <v>2278</v>
      </c>
      <c r="N321" s="513">
        <v>0</v>
      </c>
      <c r="O321" s="513">
        <v>0</v>
      </c>
      <c r="P321" s="1073">
        <v>0</v>
      </c>
      <c r="Q321" s="731">
        <v>0</v>
      </c>
      <c r="R321" s="737">
        <v>0</v>
      </c>
      <c r="S321" s="737">
        <v>0</v>
      </c>
      <c r="T321" s="737">
        <v>0</v>
      </c>
      <c r="U321" s="513">
        <v>0</v>
      </c>
      <c r="V321" s="1073">
        <v>0</v>
      </c>
    </row>
    <row r="322" spans="1:22" ht="11.25" customHeight="1">
      <c r="B322" s="129">
        <v>14</v>
      </c>
      <c r="C322" s="563" t="s">
        <v>2566</v>
      </c>
      <c r="D322" s="21" t="s">
        <v>3483</v>
      </c>
      <c r="E322" s="513">
        <v>8</v>
      </c>
      <c r="F322" s="513">
        <v>2500000</v>
      </c>
      <c r="G322" s="731" t="s">
        <v>3484</v>
      </c>
      <c r="H322" s="737">
        <v>0</v>
      </c>
      <c r="I322" s="737" t="s">
        <v>3485</v>
      </c>
      <c r="J322" s="1076">
        <v>0</v>
      </c>
      <c r="L322" s="129">
        <v>502</v>
      </c>
      <c r="M322" s="21" t="s">
        <v>2279</v>
      </c>
      <c r="N322" s="513">
        <v>16</v>
      </c>
      <c r="O322" s="513">
        <v>10000000</v>
      </c>
      <c r="P322" s="1073">
        <v>0</v>
      </c>
      <c r="Q322" s="731" t="s">
        <v>3486</v>
      </c>
      <c r="R322" s="737">
        <v>0</v>
      </c>
      <c r="S322" s="737" t="s">
        <v>3487</v>
      </c>
      <c r="T322" s="737">
        <v>0</v>
      </c>
      <c r="U322" s="513">
        <v>0</v>
      </c>
      <c r="V322" s="1073">
        <v>0</v>
      </c>
    </row>
    <row r="323" spans="1:22" ht="11.25" customHeight="1">
      <c r="B323" s="129">
        <v>15</v>
      </c>
      <c r="C323" s="563" t="s">
        <v>4458</v>
      </c>
      <c r="D323" s="563" t="s">
        <v>4459</v>
      </c>
      <c r="E323" s="513">
        <v>24</v>
      </c>
      <c r="F323" s="513">
        <v>20000000</v>
      </c>
      <c r="G323" s="731" t="s">
        <v>3488</v>
      </c>
      <c r="H323" s="737">
        <v>0</v>
      </c>
      <c r="I323" s="737" t="s">
        <v>3489</v>
      </c>
      <c r="J323" s="1076">
        <v>0</v>
      </c>
      <c r="L323" s="129">
        <v>503</v>
      </c>
      <c r="M323" s="21" t="s">
        <v>3179</v>
      </c>
      <c r="N323" s="513">
        <v>16</v>
      </c>
      <c r="O323" s="513">
        <v>10000000</v>
      </c>
      <c r="P323" s="1073">
        <v>0</v>
      </c>
      <c r="Q323" s="731" t="s">
        <v>3490</v>
      </c>
      <c r="R323" s="737">
        <v>0</v>
      </c>
      <c r="S323" s="737" t="s">
        <v>3491</v>
      </c>
      <c r="T323" s="737">
        <v>0</v>
      </c>
      <c r="U323" s="513">
        <v>0</v>
      </c>
      <c r="V323" s="1073">
        <v>0</v>
      </c>
    </row>
    <row r="324" spans="1:22" ht="11.25" customHeight="1">
      <c r="B324" s="129">
        <v>16</v>
      </c>
      <c r="C324" s="563" t="s">
        <v>2567</v>
      </c>
      <c r="D324" s="21" t="s">
        <v>3492</v>
      </c>
      <c r="E324" s="513">
        <v>16</v>
      </c>
      <c r="F324" s="513">
        <v>5000000</v>
      </c>
      <c r="G324" s="731" t="s">
        <v>3493</v>
      </c>
      <c r="H324" s="737">
        <v>0</v>
      </c>
      <c r="I324" s="737" t="s">
        <v>3494</v>
      </c>
      <c r="J324" s="1076">
        <v>0</v>
      </c>
      <c r="L324" s="129">
        <v>601</v>
      </c>
      <c r="M324" s="21" t="s">
        <v>2281</v>
      </c>
      <c r="N324" s="513">
        <v>24</v>
      </c>
      <c r="O324" s="513">
        <v>0</v>
      </c>
      <c r="P324" s="1073">
        <v>20000000</v>
      </c>
      <c r="Q324" s="731" t="s">
        <v>3495</v>
      </c>
      <c r="R324" s="737">
        <v>0</v>
      </c>
      <c r="S324" s="737">
        <v>0</v>
      </c>
      <c r="T324" s="737">
        <v>0</v>
      </c>
      <c r="U324" s="513" t="s">
        <v>3496</v>
      </c>
      <c r="V324" s="1073">
        <v>0</v>
      </c>
    </row>
    <row r="325" spans="1:22" ht="11.25" customHeight="1">
      <c r="B325" s="129">
        <v>17</v>
      </c>
      <c r="C325" s="563" t="s">
        <v>4460</v>
      </c>
      <c r="D325" s="563" t="s">
        <v>4461</v>
      </c>
      <c r="E325" s="513">
        <v>10</v>
      </c>
      <c r="F325" s="513">
        <v>5000000</v>
      </c>
      <c r="G325" s="731" t="s">
        <v>3497</v>
      </c>
      <c r="H325" s="737">
        <v>0</v>
      </c>
      <c r="I325" s="737" t="s">
        <v>3498</v>
      </c>
      <c r="J325" s="1076">
        <v>0</v>
      </c>
      <c r="L325" s="129">
        <v>602</v>
      </c>
      <c r="M325" s="21" t="s">
        <v>2282</v>
      </c>
      <c r="N325" s="513">
        <v>24</v>
      </c>
      <c r="O325" s="513">
        <v>0</v>
      </c>
      <c r="P325" s="1073">
        <v>15000000</v>
      </c>
      <c r="Q325" s="731" t="s">
        <v>3499</v>
      </c>
      <c r="R325" s="737">
        <v>0</v>
      </c>
      <c r="S325" s="737" t="s">
        <v>3500</v>
      </c>
      <c r="T325" s="737">
        <v>0</v>
      </c>
      <c r="U325" s="513">
        <v>0</v>
      </c>
      <c r="V325" s="1073">
        <v>0</v>
      </c>
    </row>
    <row r="326" spans="1:22" ht="11.25" customHeight="1">
      <c r="B326" s="129">
        <v>18</v>
      </c>
      <c r="C326" s="563" t="s">
        <v>4462</v>
      </c>
      <c r="D326" s="563" t="s">
        <v>4463</v>
      </c>
      <c r="E326" s="513">
        <v>16</v>
      </c>
      <c r="F326" s="513">
        <v>20000000</v>
      </c>
      <c r="G326" s="731" t="s">
        <v>3501</v>
      </c>
      <c r="H326" s="737">
        <v>0</v>
      </c>
      <c r="I326" s="737" t="s">
        <v>3502</v>
      </c>
      <c r="J326" s="1076">
        <v>0</v>
      </c>
      <c r="L326" s="129">
        <v>603</v>
      </c>
      <c r="M326" s="21" t="s">
        <v>2283</v>
      </c>
      <c r="N326" s="513">
        <v>10</v>
      </c>
      <c r="O326" s="513">
        <v>0</v>
      </c>
      <c r="P326" s="1073">
        <v>0</v>
      </c>
      <c r="Q326" s="731" t="s">
        <v>3503</v>
      </c>
      <c r="R326" s="737">
        <v>0</v>
      </c>
      <c r="S326" s="737">
        <v>0</v>
      </c>
      <c r="T326" s="737">
        <v>0</v>
      </c>
      <c r="U326" s="513">
        <v>0</v>
      </c>
      <c r="V326" s="1073">
        <v>0</v>
      </c>
    </row>
    <row r="327" spans="1:22" ht="11.25" customHeight="1">
      <c r="B327" s="129">
        <v>19</v>
      </c>
      <c r="C327" s="563" t="s">
        <v>4464</v>
      </c>
      <c r="D327" s="563" t="s">
        <v>4465</v>
      </c>
      <c r="E327" s="513">
        <v>16</v>
      </c>
      <c r="F327" s="513">
        <v>10000000</v>
      </c>
      <c r="G327" s="731" t="s">
        <v>3504</v>
      </c>
      <c r="H327" s="737">
        <v>0</v>
      </c>
      <c r="I327" s="737" t="s">
        <v>3505</v>
      </c>
      <c r="J327" s="1076">
        <v>0</v>
      </c>
      <c r="L327" s="129">
        <v>701</v>
      </c>
      <c r="M327" s="21" t="s">
        <v>2284</v>
      </c>
      <c r="N327" s="513">
        <v>10</v>
      </c>
      <c r="O327" s="513">
        <v>10000000</v>
      </c>
      <c r="P327" s="1073">
        <v>0</v>
      </c>
      <c r="Q327" s="731" t="s">
        <v>3506</v>
      </c>
      <c r="R327" s="737">
        <v>0</v>
      </c>
      <c r="S327" s="737" t="s">
        <v>3507</v>
      </c>
      <c r="T327" s="737">
        <v>0</v>
      </c>
      <c r="U327" s="513">
        <v>0</v>
      </c>
      <c r="V327" s="1073">
        <v>0</v>
      </c>
    </row>
    <row r="328" spans="1:22" ht="11.25" customHeight="1">
      <c r="B328" s="129">
        <v>20</v>
      </c>
      <c r="C328" s="563" t="s">
        <v>4466</v>
      </c>
      <c r="D328" s="563" t="s">
        <v>4467</v>
      </c>
      <c r="E328" s="513">
        <v>16</v>
      </c>
      <c r="F328" s="513">
        <v>10000000</v>
      </c>
      <c r="G328" s="731" t="s">
        <v>3508</v>
      </c>
      <c r="H328" s="737" t="s">
        <v>3509</v>
      </c>
      <c r="I328" s="737" t="s">
        <v>3510</v>
      </c>
      <c r="J328" s="1076" t="s">
        <v>3511</v>
      </c>
      <c r="L328" s="129">
        <v>702</v>
      </c>
      <c r="M328" s="21" t="s">
        <v>3180</v>
      </c>
      <c r="N328" s="513">
        <v>16</v>
      </c>
      <c r="O328" s="513">
        <v>5000000</v>
      </c>
      <c r="P328" s="1073">
        <v>0</v>
      </c>
      <c r="Q328" s="731" t="s">
        <v>3512</v>
      </c>
      <c r="R328" s="737">
        <v>0</v>
      </c>
      <c r="S328" s="737" t="s">
        <v>3513</v>
      </c>
      <c r="T328" s="737">
        <v>0</v>
      </c>
      <c r="U328" s="513">
        <v>0</v>
      </c>
      <c r="V328" s="1073">
        <v>0</v>
      </c>
    </row>
    <row r="329" spans="1:22" ht="11.25" customHeight="1">
      <c r="B329" s="129">
        <v>21</v>
      </c>
      <c r="C329" s="563" t="s">
        <v>4468</v>
      </c>
      <c r="D329" s="563" t="s">
        <v>4469</v>
      </c>
      <c r="E329" s="513">
        <v>10</v>
      </c>
      <c r="F329" s="513">
        <v>10000000</v>
      </c>
      <c r="G329" s="731" t="s">
        <v>3514</v>
      </c>
      <c r="H329" s="737">
        <v>0</v>
      </c>
      <c r="I329" s="737" t="s">
        <v>3515</v>
      </c>
      <c r="J329" s="1076">
        <v>0</v>
      </c>
      <c r="L329" s="129">
        <v>703</v>
      </c>
      <c r="M329" s="21" t="s">
        <v>2286</v>
      </c>
      <c r="N329" s="513">
        <v>0</v>
      </c>
      <c r="O329" s="513">
        <v>0</v>
      </c>
      <c r="P329" s="1073">
        <v>0</v>
      </c>
      <c r="Q329" s="731">
        <v>0</v>
      </c>
      <c r="R329" s="737">
        <v>0</v>
      </c>
      <c r="S329" s="737">
        <v>0</v>
      </c>
      <c r="T329" s="737">
        <v>0</v>
      </c>
      <c r="U329" s="513">
        <v>0</v>
      </c>
      <c r="V329" s="1073">
        <v>0</v>
      </c>
    </row>
    <row r="330" spans="1:22" ht="11.25" customHeight="1">
      <c r="B330" s="129">
        <v>22</v>
      </c>
      <c r="C330" s="563" t="s">
        <v>4470</v>
      </c>
      <c r="D330" s="563" t="s">
        <v>4471</v>
      </c>
      <c r="E330" s="513">
        <v>16</v>
      </c>
      <c r="F330" s="513">
        <v>5000000</v>
      </c>
      <c r="G330" s="731" t="s">
        <v>3516</v>
      </c>
      <c r="H330" s="737">
        <v>0</v>
      </c>
      <c r="I330" s="737" t="s">
        <v>3517</v>
      </c>
      <c r="J330" s="1076">
        <v>0</v>
      </c>
      <c r="L330" s="129">
        <v>801</v>
      </c>
      <c r="M330" s="21" t="s">
        <v>3181</v>
      </c>
      <c r="N330" s="513">
        <v>24</v>
      </c>
      <c r="O330" s="513">
        <v>0</v>
      </c>
      <c r="P330" s="1073">
        <v>0</v>
      </c>
      <c r="Q330" s="731" t="s">
        <v>3518</v>
      </c>
      <c r="R330" s="737">
        <v>0</v>
      </c>
      <c r="S330" s="737">
        <v>0</v>
      </c>
      <c r="T330" s="737">
        <v>0</v>
      </c>
      <c r="U330" s="513">
        <v>0</v>
      </c>
      <c r="V330" s="1073">
        <v>0</v>
      </c>
    </row>
    <row r="331" spans="1:22" ht="11.25" customHeight="1">
      <c r="B331" s="129"/>
      <c r="C331" s="21" t="e">
        <v>#REF!</v>
      </c>
      <c r="D331" s="21" t="e">
        <v>#REF!</v>
      </c>
      <c r="E331" s="513">
        <v>0</v>
      </c>
      <c r="F331" s="513">
        <v>0</v>
      </c>
      <c r="G331" s="731">
        <v>0</v>
      </c>
      <c r="H331" s="737">
        <v>0</v>
      </c>
      <c r="I331" s="737">
        <v>0</v>
      </c>
      <c r="J331" s="1076">
        <v>0</v>
      </c>
      <c r="L331" s="129">
        <v>802</v>
      </c>
      <c r="M331" s="21" t="s">
        <v>2286</v>
      </c>
      <c r="N331" s="513">
        <v>0</v>
      </c>
      <c r="O331" s="513">
        <v>0</v>
      </c>
      <c r="P331" s="1073">
        <v>0</v>
      </c>
      <c r="Q331" s="731">
        <v>0</v>
      </c>
      <c r="R331" s="737">
        <v>0</v>
      </c>
      <c r="S331" s="737">
        <v>0</v>
      </c>
      <c r="T331" s="737">
        <v>0</v>
      </c>
      <c r="U331" s="513">
        <v>0</v>
      </c>
      <c r="V331" s="1073">
        <v>0</v>
      </c>
    </row>
    <row r="332" spans="1:22" ht="11.25" customHeight="1">
      <c r="B332" s="129"/>
      <c r="C332" s="21" t="e">
        <v>#REF!</v>
      </c>
      <c r="D332" s="21" t="e">
        <v>#REF!</v>
      </c>
      <c r="E332" s="513">
        <v>0</v>
      </c>
      <c r="F332" s="513">
        <v>0</v>
      </c>
      <c r="G332" s="731">
        <v>0</v>
      </c>
      <c r="H332" s="737">
        <v>0</v>
      </c>
      <c r="I332" s="737">
        <v>0</v>
      </c>
      <c r="J332" s="1076">
        <v>0</v>
      </c>
      <c r="L332" s="129">
        <v>803</v>
      </c>
      <c r="M332" s="21" t="s">
        <v>3182</v>
      </c>
      <c r="N332" s="513">
        <v>16</v>
      </c>
      <c r="O332" s="513">
        <v>0</v>
      </c>
      <c r="P332" s="1073">
        <v>0</v>
      </c>
      <c r="Q332" s="731" t="s">
        <v>3519</v>
      </c>
      <c r="R332" s="737">
        <v>0</v>
      </c>
      <c r="S332" s="737">
        <v>0</v>
      </c>
      <c r="T332" s="737">
        <v>0</v>
      </c>
      <c r="U332" s="513">
        <v>0</v>
      </c>
      <c r="V332" s="1073">
        <v>0</v>
      </c>
    </row>
    <row r="333" spans="1:22" ht="11.25" customHeight="1">
      <c r="B333" s="129"/>
      <c r="C333" s="21" t="e">
        <v>#REF!</v>
      </c>
      <c r="D333" s="21" t="e">
        <v>#REF!</v>
      </c>
      <c r="E333" s="513">
        <v>0</v>
      </c>
      <c r="F333" s="513">
        <v>0</v>
      </c>
      <c r="G333" s="731">
        <v>0</v>
      </c>
      <c r="H333" s="737">
        <v>0</v>
      </c>
      <c r="I333" s="737">
        <v>0</v>
      </c>
      <c r="J333" s="1076">
        <v>0</v>
      </c>
      <c r="L333" s="129">
        <v>901</v>
      </c>
      <c r="M333" s="21" t="s">
        <v>3183</v>
      </c>
      <c r="N333" s="513">
        <v>24</v>
      </c>
      <c r="O333" s="513">
        <v>4500000</v>
      </c>
      <c r="P333" s="1073">
        <v>10500000</v>
      </c>
      <c r="Q333" s="731" t="s">
        <v>3520</v>
      </c>
      <c r="R333" s="737">
        <v>0</v>
      </c>
      <c r="S333" s="737">
        <v>0</v>
      </c>
      <c r="T333" s="737">
        <v>0</v>
      </c>
      <c r="U333" s="513" t="s">
        <v>3521</v>
      </c>
      <c r="V333" s="1073">
        <v>0</v>
      </c>
    </row>
    <row r="334" spans="1:22" ht="11.25" customHeight="1">
      <c r="A334" s="565" t="s">
        <v>531</v>
      </c>
      <c r="B334" s="129"/>
      <c r="C334" s="21" t="e">
        <v>#REF!</v>
      </c>
      <c r="D334" s="21" t="e">
        <v>#REF!</v>
      </c>
      <c r="E334" s="513">
        <v>0</v>
      </c>
      <c r="F334" s="513">
        <v>0</v>
      </c>
      <c r="G334" s="731">
        <v>0</v>
      </c>
      <c r="H334" s="737">
        <v>0</v>
      </c>
      <c r="I334" s="737">
        <v>0</v>
      </c>
      <c r="J334" s="1076">
        <v>0</v>
      </c>
      <c r="L334" s="129">
        <v>902</v>
      </c>
      <c r="M334" s="21" t="s">
        <v>2290</v>
      </c>
      <c r="N334" s="513">
        <v>0</v>
      </c>
      <c r="O334" s="513">
        <v>0</v>
      </c>
      <c r="P334" s="1073">
        <v>0</v>
      </c>
      <c r="Q334" s="731">
        <v>0</v>
      </c>
      <c r="R334" s="737">
        <v>0</v>
      </c>
      <c r="S334" s="737">
        <v>0</v>
      </c>
      <c r="T334" s="737">
        <v>0</v>
      </c>
      <c r="U334" s="513">
        <v>0</v>
      </c>
      <c r="V334" s="1073">
        <v>0</v>
      </c>
    </row>
    <row r="335" spans="1:22" ht="11.25" customHeight="1" thickBot="1">
      <c r="B335" s="131"/>
      <c r="C335" s="132" t="e">
        <v>#REF!</v>
      </c>
      <c r="D335" s="132" t="e">
        <v>#REF!</v>
      </c>
      <c r="E335" s="1074">
        <v>0</v>
      </c>
      <c r="F335" s="1074">
        <v>0</v>
      </c>
      <c r="G335" s="1080">
        <v>0</v>
      </c>
      <c r="H335" s="1081">
        <v>0</v>
      </c>
      <c r="I335" s="1081">
        <v>0</v>
      </c>
      <c r="J335" s="1082">
        <v>0</v>
      </c>
      <c r="L335" s="131">
        <v>903</v>
      </c>
      <c r="M335" s="132"/>
      <c r="N335" s="1074">
        <v>0</v>
      </c>
      <c r="O335" s="1074">
        <v>0</v>
      </c>
      <c r="P335" s="1075">
        <v>0</v>
      </c>
      <c r="Q335" s="1080">
        <v>0</v>
      </c>
      <c r="R335" s="1081">
        <v>0</v>
      </c>
      <c r="S335" s="1081">
        <v>0</v>
      </c>
      <c r="T335" s="1081">
        <v>0</v>
      </c>
      <c r="U335" s="1074">
        <v>0</v>
      </c>
      <c r="V335" s="1075">
        <v>0</v>
      </c>
    </row>
    <row r="336" spans="1:22" ht="11.25" customHeight="1">
      <c r="B336" s="21"/>
      <c r="C336" s="21"/>
      <c r="D336" s="21"/>
      <c r="E336" s="21"/>
      <c r="F336" s="21"/>
      <c r="I336" s="23"/>
      <c r="J336" s="563"/>
      <c r="K336" s="563"/>
      <c r="L336" s="563"/>
      <c r="M336" s="563"/>
      <c r="N336" s="23"/>
      <c r="S336" s="123"/>
      <c r="T336" s="123"/>
    </row>
    <row r="337" spans="2:20" ht="11.25" customHeight="1">
      <c r="H337" s="21"/>
      <c r="I337" s="23"/>
      <c r="J337" s="23"/>
      <c r="K337" s="23"/>
      <c r="L337" s="23"/>
      <c r="M337" s="23"/>
      <c r="N337" s="23"/>
      <c r="S337" s="123"/>
      <c r="T337" s="123"/>
    </row>
    <row r="338" spans="2:20" ht="11.25" customHeight="1" thickBot="1">
      <c r="S338" s="123"/>
      <c r="T338" s="123"/>
    </row>
    <row r="339" spans="2:20" ht="12.75">
      <c r="B339" s="371"/>
      <c r="C339" s="176"/>
      <c r="D339" s="176"/>
      <c r="E339" s="176"/>
      <c r="F339" s="176"/>
      <c r="G339" s="177"/>
      <c r="S339" s="123"/>
      <c r="T339" s="123"/>
    </row>
    <row r="340" spans="2:20">
      <c r="B340" s="129"/>
      <c r="C340" s="21" t="s">
        <v>432</v>
      </c>
      <c r="D340" s="21" t="s">
        <v>433</v>
      </c>
      <c r="E340" s="21"/>
      <c r="F340" s="21" t="s">
        <v>899</v>
      </c>
      <c r="G340" s="130"/>
      <c r="S340" s="123"/>
      <c r="T340" s="123"/>
    </row>
    <row r="341" spans="2:20">
      <c r="B341" s="129">
        <v>1</v>
      </c>
      <c r="C341" s="21">
        <v>0</v>
      </c>
      <c r="D341" s="21" t="b">
        <v>0</v>
      </c>
      <c r="E341" s="37">
        <v>1</v>
      </c>
      <c r="F341" s="669" t="s">
        <v>2161</v>
      </c>
      <c r="G341" s="130"/>
      <c r="S341" s="123"/>
      <c r="T341" s="123"/>
    </row>
    <row r="342" spans="2:20">
      <c r="B342" s="129">
        <v>2</v>
      </c>
      <c r="C342" s="21">
        <v>1</v>
      </c>
      <c r="D342" s="21" t="b">
        <v>0</v>
      </c>
      <c r="E342" s="37">
        <v>2</v>
      </c>
      <c r="F342" s="21" t="s">
        <v>3427</v>
      </c>
      <c r="G342" s="130"/>
      <c r="S342" s="123"/>
      <c r="T342" s="123"/>
    </row>
    <row r="343" spans="2:20">
      <c r="B343" s="129">
        <v>3</v>
      </c>
      <c r="C343" s="21">
        <v>2</v>
      </c>
      <c r="D343" s="21" t="b">
        <v>0</v>
      </c>
      <c r="E343" s="37">
        <v>3</v>
      </c>
      <c r="F343" s="21" t="s">
        <v>3432</v>
      </c>
      <c r="G343" s="130"/>
      <c r="S343" s="123"/>
      <c r="T343" s="123"/>
    </row>
    <row r="344" spans="2:20">
      <c r="B344" s="129">
        <v>4</v>
      </c>
      <c r="C344" s="21">
        <v>3</v>
      </c>
      <c r="D344" s="21" t="b">
        <v>0</v>
      </c>
      <c r="E344" s="37">
        <v>4</v>
      </c>
      <c r="F344" s="21" t="s">
        <v>3437</v>
      </c>
      <c r="G344" s="130"/>
      <c r="S344" s="123"/>
      <c r="T344" s="123"/>
    </row>
    <row r="345" spans="2:20">
      <c r="B345" s="129">
        <v>5</v>
      </c>
      <c r="C345" s="21">
        <v>4</v>
      </c>
      <c r="D345" s="21" t="b">
        <v>0</v>
      </c>
      <c r="E345" s="37">
        <v>5</v>
      </c>
      <c r="F345" s="21" t="s">
        <v>3442</v>
      </c>
      <c r="G345" s="130"/>
      <c r="S345" s="123"/>
      <c r="T345" s="123"/>
    </row>
    <row r="346" spans="2:20">
      <c r="B346" s="129">
        <v>6</v>
      </c>
      <c r="C346" s="21">
        <v>5</v>
      </c>
      <c r="D346" s="21" t="b">
        <v>0</v>
      </c>
      <c r="E346" s="37">
        <v>6</v>
      </c>
      <c r="F346" s="21" t="s">
        <v>3446</v>
      </c>
      <c r="G346" s="130"/>
      <c r="S346" s="123"/>
      <c r="T346" s="123"/>
    </row>
    <row r="347" spans="2:20">
      <c r="B347" s="129">
        <v>7</v>
      </c>
      <c r="C347" s="21">
        <v>6</v>
      </c>
      <c r="D347" s="21" t="b">
        <v>0</v>
      </c>
      <c r="E347" s="37">
        <v>7</v>
      </c>
      <c r="F347" s="21" t="s">
        <v>3450</v>
      </c>
      <c r="G347" s="130"/>
      <c r="S347" s="123"/>
      <c r="T347" s="123"/>
    </row>
    <row r="348" spans="2:20">
      <c r="B348" s="129">
        <v>8</v>
      </c>
      <c r="C348" s="21">
        <v>7</v>
      </c>
      <c r="D348" s="21" t="b">
        <v>0</v>
      </c>
      <c r="E348" s="37">
        <v>8</v>
      </c>
      <c r="F348" s="21" t="s">
        <v>3455</v>
      </c>
      <c r="G348" s="130"/>
      <c r="S348" s="123"/>
      <c r="T348" s="123"/>
    </row>
    <row r="349" spans="2:20">
      <c r="B349" s="129">
        <v>9</v>
      </c>
      <c r="C349" s="21">
        <v>8</v>
      </c>
      <c r="D349" s="21" t="b">
        <v>0</v>
      </c>
      <c r="E349" s="37">
        <v>9</v>
      </c>
      <c r="F349" s="21" t="s">
        <v>3460</v>
      </c>
      <c r="G349" s="130"/>
      <c r="S349" s="123"/>
      <c r="T349" s="123"/>
    </row>
    <row r="350" spans="2:20">
      <c r="B350" s="129">
        <v>10</v>
      </c>
      <c r="C350" s="21">
        <v>9</v>
      </c>
      <c r="D350" s="21" t="b">
        <v>0</v>
      </c>
      <c r="E350" s="37">
        <v>10</v>
      </c>
      <c r="F350" s="21" t="s">
        <v>3465</v>
      </c>
      <c r="G350" s="130"/>
      <c r="S350" s="123"/>
      <c r="T350" s="123"/>
    </row>
    <row r="351" spans="2:20">
      <c r="B351" s="129">
        <v>11</v>
      </c>
      <c r="C351" s="21">
        <v>10</v>
      </c>
      <c r="D351" s="21" t="b">
        <v>0</v>
      </c>
      <c r="E351" s="37">
        <v>11</v>
      </c>
      <c r="F351" s="563" t="s">
        <v>4455</v>
      </c>
      <c r="G351" s="130"/>
      <c r="S351" s="123"/>
      <c r="T351" s="123"/>
    </row>
    <row r="352" spans="2:20">
      <c r="B352" s="129">
        <v>12</v>
      </c>
      <c r="C352" s="21">
        <v>11</v>
      </c>
      <c r="D352" s="21" t="b">
        <v>0</v>
      </c>
      <c r="E352" s="37">
        <v>12</v>
      </c>
      <c r="F352" s="563" t="s">
        <v>4457</v>
      </c>
      <c r="G352" s="130"/>
      <c r="S352" s="123"/>
      <c r="T352" s="123"/>
    </row>
    <row r="353" spans="2:20">
      <c r="B353" s="129">
        <v>13</v>
      </c>
      <c r="C353" s="21">
        <v>12</v>
      </c>
      <c r="D353" s="21" t="b">
        <v>0</v>
      </c>
      <c r="E353" s="37">
        <v>13</v>
      </c>
      <c r="F353" s="21" t="s">
        <v>3476</v>
      </c>
      <c r="G353" s="130"/>
      <c r="S353" s="123"/>
      <c r="T353" s="123"/>
    </row>
    <row r="354" spans="2:20">
      <c r="B354" s="129">
        <v>14</v>
      </c>
      <c r="C354" s="21">
        <v>13</v>
      </c>
      <c r="D354" s="21" t="b">
        <v>0</v>
      </c>
      <c r="E354" s="37">
        <v>14</v>
      </c>
      <c r="F354" s="21" t="s">
        <v>3480</v>
      </c>
      <c r="G354" s="130"/>
      <c r="S354" s="123"/>
      <c r="T354" s="123"/>
    </row>
    <row r="355" spans="2:20">
      <c r="B355" s="129">
        <v>15</v>
      </c>
      <c r="C355" s="21">
        <v>14</v>
      </c>
      <c r="D355" s="21" t="b">
        <v>0</v>
      </c>
      <c r="E355" s="37">
        <v>15</v>
      </c>
      <c r="F355" s="21" t="s">
        <v>3483</v>
      </c>
      <c r="G355" s="130"/>
      <c r="S355" s="123"/>
      <c r="T355" s="123"/>
    </row>
    <row r="356" spans="2:20">
      <c r="B356" s="129">
        <v>16</v>
      </c>
      <c r="C356" s="21">
        <v>15</v>
      </c>
      <c r="D356" s="21" t="b">
        <v>0</v>
      </c>
      <c r="E356" s="37">
        <v>16</v>
      </c>
      <c r="F356" s="563" t="s">
        <v>4459</v>
      </c>
      <c r="G356" s="130"/>
      <c r="S356" s="123"/>
      <c r="T356" s="123"/>
    </row>
    <row r="357" spans="2:20">
      <c r="B357" s="129">
        <v>17</v>
      </c>
      <c r="C357" s="21">
        <v>16</v>
      </c>
      <c r="D357" s="21" t="b">
        <v>0</v>
      </c>
      <c r="E357" s="37">
        <v>17</v>
      </c>
      <c r="F357" s="21" t="s">
        <v>3492</v>
      </c>
      <c r="G357" s="130"/>
      <c r="S357" s="123"/>
      <c r="T357" s="123"/>
    </row>
    <row r="358" spans="2:20">
      <c r="B358" s="129">
        <v>18</v>
      </c>
      <c r="C358" s="21">
        <v>17</v>
      </c>
      <c r="D358" s="21" t="b">
        <v>0</v>
      </c>
      <c r="E358" s="37">
        <v>18</v>
      </c>
      <c r="F358" s="563" t="s">
        <v>4461</v>
      </c>
      <c r="G358" s="130"/>
      <c r="S358" s="123"/>
      <c r="T358" s="123"/>
    </row>
    <row r="359" spans="2:20">
      <c r="B359" s="129">
        <v>19</v>
      </c>
      <c r="C359" s="21">
        <v>18</v>
      </c>
      <c r="D359" s="21" t="b">
        <v>0</v>
      </c>
      <c r="E359" s="37">
        <v>19</v>
      </c>
      <c r="F359" s="563" t="s">
        <v>4463</v>
      </c>
      <c r="G359" s="130"/>
      <c r="S359" s="123"/>
      <c r="T359" s="123"/>
    </row>
    <row r="360" spans="2:20">
      <c r="B360" s="129">
        <v>20</v>
      </c>
      <c r="C360" s="21">
        <v>19</v>
      </c>
      <c r="D360" s="21" t="b">
        <v>0</v>
      </c>
      <c r="E360" s="37">
        <v>20</v>
      </c>
      <c r="F360" s="563" t="s">
        <v>4465</v>
      </c>
      <c r="G360" s="130"/>
      <c r="S360" s="123"/>
      <c r="T360" s="123"/>
    </row>
    <row r="361" spans="2:20">
      <c r="B361" s="129">
        <v>21</v>
      </c>
      <c r="C361" s="21">
        <v>20</v>
      </c>
      <c r="D361" s="21" t="b">
        <v>0</v>
      </c>
      <c r="E361" s="37">
        <v>21</v>
      </c>
      <c r="F361" s="563" t="s">
        <v>4467</v>
      </c>
      <c r="G361" s="130"/>
      <c r="S361" s="123"/>
      <c r="T361" s="123"/>
    </row>
    <row r="362" spans="2:20">
      <c r="B362" s="129">
        <v>22</v>
      </c>
      <c r="C362" s="21">
        <v>21</v>
      </c>
      <c r="D362" s="21" t="b">
        <v>0</v>
      </c>
      <c r="E362" s="37">
        <v>22</v>
      </c>
      <c r="F362" s="563" t="s">
        <v>4469</v>
      </c>
      <c r="G362" s="130"/>
      <c r="S362" s="123"/>
      <c r="T362" s="123"/>
    </row>
    <row r="363" spans="2:20">
      <c r="B363" s="129">
        <v>23</v>
      </c>
      <c r="C363" s="21">
        <v>22</v>
      </c>
      <c r="D363" s="21" t="b">
        <v>0</v>
      </c>
      <c r="E363" s="37">
        <v>23</v>
      </c>
      <c r="F363" s="563" t="s">
        <v>4471</v>
      </c>
      <c r="G363" s="130"/>
    </row>
    <row r="364" spans="2:20">
      <c r="B364" s="129">
        <v>24</v>
      </c>
      <c r="C364" s="21">
        <v>23</v>
      </c>
      <c r="D364" s="21" t="b">
        <v>0</v>
      </c>
      <c r="E364" s="37">
        <v>24</v>
      </c>
      <c r="F364" s="21" t="e">
        <v>#REF!</v>
      </c>
      <c r="G364" s="130"/>
    </row>
    <row r="365" spans="2:20">
      <c r="B365" s="129">
        <v>25</v>
      </c>
      <c r="C365" s="21">
        <v>24</v>
      </c>
      <c r="D365" s="21" t="b">
        <v>0</v>
      </c>
      <c r="E365" s="37">
        <v>25</v>
      </c>
      <c r="F365" s="21" t="e">
        <v>#REF!</v>
      </c>
      <c r="G365" s="130"/>
    </row>
    <row r="366" spans="2:20">
      <c r="B366" s="129">
        <v>26</v>
      </c>
      <c r="C366" s="21">
        <v>25</v>
      </c>
      <c r="D366" s="21" t="b">
        <v>0</v>
      </c>
      <c r="E366" s="37">
        <v>26</v>
      </c>
      <c r="F366" s="21" t="e">
        <v>#REF!</v>
      </c>
      <c r="G366" s="130"/>
    </row>
    <row r="367" spans="2:20">
      <c r="B367" s="129"/>
      <c r="C367" s="21"/>
      <c r="D367" s="21"/>
      <c r="E367" s="37"/>
      <c r="F367" s="21"/>
      <c r="G367" s="130"/>
    </row>
    <row r="368" spans="2:20">
      <c r="B368" s="129"/>
      <c r="C368" s="299" t="s">
        <v>435</v>
      </c>
      <c r="D368" s="299">
        <v>23</v>
      </c>
      <c r="E368" s="21"/>
      <c r="F368" s="21"/>
      <c r="G368" s="130"/>
    </row>
    <row r="369" spans="2:7">
      <c r="B369" s="129"/>
      <c r="C369" s="299" t="s">
        <v>898</v>
      </c>
      <c r="D369" s="299"/>
      <c r="E369" s="21"/>
      <c r="F369" s="21"/>
      <c r="G369" s="130"/>
    </row>
    <row r="370" spans="2:7">
      <c r="B370" s="129"/>
      <c r="C370" s="21" t="s">
        <v>430</v>
      </c>
      <c r="D370" s="21"/>
      <c r="E370" s="21"/>
      <c r="F370" s="21"/>
      <c r="G370" s="130"/>
    </row>
    <row r="371" spans="2:7">
      <c r="B371" s="129"/>
      <c r="C371" s="21"/>
      <c r="D371" s="299" t="s">
        <v>434</v>
      </c>
      <c r="E371" s="21"/>
      <c r="F371" s="21"/>
      <c r="G371" s="130"/>
    </row>
    <row r="372" spans="2:7">
      <c r="B372" s="129"/>
      <c r="C372" s="21">
        <v>1</v>
      </c>
      <c r="D372" s="299" t="s">
        <v>2161</v>
      </c>
      <c r="E372" s="21"/>
      <c r="F372" s="21"/>
      <c r="G372" s="130"/>
    </row>
    <row r="373" spans="2:7">
      <c r="B373" s="129"/>
      <c r="C373" s="21">
        <v>2</v>
      </c>
      <c r="D373" s="21" t="s">
        <v>3427</v>
      </c>
      <c r="E373" s="21"/>
      <c r="F373" s="21"/>
      <c r="G373" s="130"/>
    </row>
    <row r="374" spans="2:7">
      <c r="B374" s="129"/>
      <c r="C374" s="21">
        <v>3</v>
      </c>
      <c r="D374" s="21" t="s">
        <v>3432</v>
      </c>
      <c r="E374" s="21"/>
      <c r="F374" s="21"/>
      <c r="G374" s="130"/>
    </row>
    <row r="375" spans="2:7">
      <c r="B375" s="129"/>
      <c r="C375" s="21">
        <v>4</v>
      </c>
      <c r="D375" s="21" t="s">
        <v>3437</v>
      </c>
      <c r="E375" s="21"/>
      <c r="F375" s="21"/>
      <c r="G375" s="130"/>
    </row>
    <row r="376" spans="2:7">
      <c r="B376" s="129"/>
      <c r="C376" s="21">
        <v>5</v>
      </c>
      <c r="D376" s="21" t="s">
        <v>3442</v>
      </c>
      <c r="E376" s="21"/>
      <c r="F376" s="21"/>
      <c r="G376" s="130"/>
    </row>
    <row r="377" spans="2:7">
      <c r="B377" s="129"/>
      <c r="C377" s="21">
        <v>6</v>
      </c>
      <c r="D377" s="21" t="s">
        <v>3446</v>
      </c>
      <c r="E377" s="21"/>
      <c r="F377" s="21"/>
      <c r="G377" s="130"/>
    </row>
    <row r="378" spans="2:7">
      <c r="B378" s="129"/>
      <c r="C378" s="21">
        <v>7</v>
      </c>
      <c r="D378" s="21" t="s">
        <v>3450</v>
      </c>
      <c r="E378" s="21"/>
      <c r="F378" s="21"/>
      <c r="G378" s="130"/>
    </row>
    <row r="379" spans="2:7">
      <c r="B379" s="129"/>
      <c r="C379" s="21">
        <v>8</v>
      </c>
      <c r="D379" s="21" t="s">
        <v>3455</v>
      </c>
      <c r="E379" s="21"/>
      <c r="F379" s="21"/>
      <c r="G379" s="130"/>
    </row>
    <row r="380" spans="2:7">
      <c r="B380" s="129"/>
      <c r="C380" s="21">
        <v>9</v>
      </c>
      <c r="D380" s="21" t="s">
        <v>3460</v>
      </c>
      <c r="E380" s="21"/>
      <c r="F380" s="21"/>
      <c r="G380" s="130"/>
    </row>
    <row r="381" spans="2:7">
      <c r="B381" s="129"/>
      <c r="C381" s="21">
        <v>10</v>
      </c>
      <c r="D381" s="21" t="s">
        <v>3465</v>
      </c>
      <c r="E381" s="21"/>
      <c r="F381" s="21"/>
      <c r="G381" s="130"/>
    </row>
    <row r="382" spans="2:7">
      <c r="B382" s="129"/>
      <c r="C382" s="21">
        <v>11</v>
      </c>
      <c r="D382" s="563" t="s">
        <v>4455</v>
      </c>
      <c r="E382" s="21"/>
      <c r="F382" s="21"/>
      <c r="G382" s="130"/>
    </row>
    <row r="383" spans="2:7">
      <c r="B383" s="129"/>
      <c r="C383" s="21">
        <v>12</v>
      </c>
      <c r="D383" s="563" t="s">
        <v>4457</v>
      </c>
      <c r="E383" s="21"/>
      <c r="F383" s="21"/>
      <c r="G383" s="130"/>
    </row>
    <row r="384" spans="2:7">
      <c r="B384" s="129"/>
      <c r="C384" s="21">
        <v>13</v>
      </c>
      <c r="D384" s="21" t="s">
        <v>3476</v>
      </c>
      <c r="E384" s="21"/>
      <c r="F384" s="21"/>
      <c r="G384" s="130"/>
    </row>
    <row r="385" spans="2:7">
      <c r="B385" s="129"/>
      <c r="C385" s="21">
        <v>14</v>
      </c>
      <c r="D385" s="21" t="s">
        <v>3480</v>
      </c>
      <c r="E385" s="21"/>
      <c r="F385" s="21"/>
      <c r="G385" s="130"/>
    </row>
    <row r="386" spans="2:7">
      <c r="B386" s="129"/>
      <c r="C386" s="21">
        <v>15</v>
      </c>
      <c r="D386" s="21" t="s">
        <v>3483</v>
      </c>
      <c r="E386" s="21"/>
      <c r="F386" s="21"/>
      <c r="G386" s="130"/>
    </row>
    <row r="387" spans="2:7">
      <c r="B387" s="129"/>
      <c r="C387" s="21">
        <v>16</v>
      </c>
      <c r="D387" s="563" t="s">
        <v>4459</v>
      </c>
      <c r="E387" s="21"/>
      <c r="F387" s="21"/>
      <c r="G387" s="130"/>
    </row>
    <row r="388" spans="2:7">
      <c r="B388" s="129"/>
      <c r="C388" s="21">
        <v>17</v>
      </c>
      <c r="D388" s="21" t="s">
        <v>3492</v>
      </c>
      <c r="E388" s="21"/>
      <c r="F388" s="21"/>
      <c r="G388" s="130"/>
    </row>
    <row r="389" spans="2:7">
      <c r="B389" s="129"/>
      <c r="C389" s="21">
        <v>18</v>
      </c>
      <c r="D389" s="563" t="s">
        <v>4461</v>
      </c>
      <c r="E389" s="21"/>
      <c r="F389" s="21"/>
      <c r="G389" s="130"/>
    </row>
    <row r="390" spans="2:7">
      <c r="B390" s="129"/>
      <c r="C390" s="21">
        <v>19</v>
      </c>
      <c r="D390" s="563" t="s">
        <v>4463</v>
      </c>
      <c r="E390" s="21"/>
      <c r="F390" s="21"/>
      <c r="G390" s="130"/>
    </row>
    <row r="391" spans="2:7">
      <c r="B391" s="129"/>
      <c r="C391" s="21">
        <v>20</v>
      </c>
      <c r="D391" s="563" t="s">
        <v>4465</v>
      </c>
      <c r="E391" s="21"/>
      <c r="F391" s="21"/>
      <c r="G391" s="130"/>
    </row>
    <row r="392" spans="2:7">
      <c r="B392" s="129"/>
      <c r="C392" s="21">
        <v>21</v>
      </c>
      <c r="D392" s="563" t="s">
        <v>4467</v>
      </c>
      <c r="E392" s="21"/>
      <c r="F392" s="21"/>
      <c r="G392" s="130"/>
    </row>
    <row r="393" spans="2:7">
      <c r="B393" s="129"/>
      <c r="C393" s="21">
        <v>22</v>
      </c>
      <c r="D393" s="563" t="s">
        <v>4469</v>
      </c>
      <c r="E393" s="21"/>
      <c r="F393" s="21"/>
      <c r="G393" s="130"/>
    </row>
    <row r="394" spans="2:7">
      <c r="B394" s="129"/>
      <c r="C394" s="21">
        <v>23</v>
      </c>
      <c r="D394" s="563" t="s">
        <v>4471</v>
      </c>
      <c r="E394" s="21"/>
      <c r="F394" s="21"/>
      <c r="G394" s="130"/>
    </row>
    <row r="395" spans="2:7">
      <c r="B395" s="129"/>
      <c r="C395" s="21">
        <v>24</v>
      </c>
      <c r="D395" s="21" t="e">
        <v>#REF!</v>
      </c>
      <c r="E395" s="21"/>
      <c r="F395" s="21"/>
      <c r="G395" s="130"/>
    </row>
    <row r="396" spans="2:7">
      <c r="B396" s="129"/>
      <c r="C396" s="21">
        <v>25</v>
      </c>
      <c r="D396" s="21" t="e">
        <v>#REF!</v>
      </c>
      <c r="E396" s="21"/>
      <c r="F396" s="21"/>
      <c r="G396" s="130"/>
    </row>
    <row r="397" spans="2:7">
      <c r="B397" s="129"/>
      <c r="C397" s="21">
        <v>26</v>
      </c>
      <c r="D397" s="21" t="e">
        <v>#REF!</v>
      </c>
      <c r="E397" s="21"/>
      <c r="F397" s="21"/>
      <c r="G397" s="130"/>
    </row>
    <row r="398" spans="2:7">
      <c r="B398" s="129"/>
      <c r="C398" s="21">
        <v>27</v>
      </c>
      <c r="D398" s="21" t="e">
        <v>#N/A</v>
      </c>
      <c r="E398" s="21"/>
      <c r="F398" s="21"/>
      <c r="G398" s="130"/>
    </row>
    <row r="399" spans="2:7">
      <c r="B399" s="129"/>
      <c r="C399" s="21">
        <v>28</v>
      </c>
      <c r="D399" s="21" t="e">
        <v>#N/A</v>
      </c>
      <c r="E399" s="21"/>
      <c r="F399" s="21"/>
      <c r="G399" s="130"/>
    </row>
    <row r="400" spans="2:7">
      <c r="B400" s="129"/>
      <c r="C400" s="21">
        <v>29</v>
      </c>
      <c r="D400" s="21" t="e">
        <v>#N/A</v>
      </c>
      <c r="E400" s="21"/>
      <c r="F400" s="21"/>
      <c r="G400" s="130"/>
    </row>
    <row r="401" spans="1:20">
      <c r="B401" s="129"/>
      <c r="C401" s="21">
        <v>30</v>
      </c>
      <c r="D401" s="21" t="e">
        <v>#N/A</v>
      </c>
      <c r="E401" s="21"/>
      <c r="F401" s="21"/>
      <c r="G401" s="130"/>
    </row>
    <row r="402" spans="1:20" ht="12" thickBot="1">
      <c r="B402" s="131"/>
      <c r="C402" s="132"/>
      <c r="D402" s="132"/>
      <c r="E402" s="132"/>
      <c r="F402" s="132"/>
      <c r="G402" s="133"/>
    </row>
    <row r="404" spans="1:20" ht="12.75">
      <c r="A404" s="22" t="s">
        <v>309</v>
      </c>
    </row>
    <row r="405" spans="1:20">
      <c r="A405" t="s">
        <v>277</v>
      </c>
    </row>
    <row r="406" spans="1:20">
      <c r="B406" t="s">
        <v>302</v>
      </c>
      <c r="C406" t="s">
        <v>303</v>
      </c>
      <c r="D406" t="s">
        <v>304</v>
      </c>
      <c r="E406" t="s">
        <v>305</v>
      </c>
      <c r="F406" s="565" t="s">
        <v>306</v>
      </c>
      <c r="G406" t="s">
        <v>307</v>
      </c>
      <c r="H406" t="s">
        <v>308</v>
      </c>
      <c r="I406" t="s">
        <v>530</v>
      </c>
      <c r="J406" t="s">
        <v>1161</v>
      </c>
      <c r="K406" t="s">
        <v>825</v>
      </c>
      <c r="L406" t="s">
        <v>826</v>
      </c>
      <c r="M406" t="s">
        <v>177</v>
      </c>
      <c r="N406" t="s">
        <v>178</v>
      </c>
      <c r="O406" t="s">
        <v>179</v>
      </c>
      <c r="P406" t="s">
        <v>840</v>
      </c>
      <c r="Q406" t="s">
        <v>472</v>
      </c>
      <c r="S406" s="123"/>
      <c r="T406" s="123"/>
    </row>
    <row r="407" spans="1:20">
      <c r="B407" t="b">
        <v>1</v>
      </c>
      <c r="C407">
        <v>1</v>
      </c>
      <c r="D407">
        <v>0</v>
      </c>
      <c r="E407">
        <v>1</v>
      </c>
      <c r="F407">
        <v>0</v>
      </c>
      <c r="G407">
        <v>1</v>
      </c>
      <c r="H407">
        <v>0</v>
      </c>
      <c r="I407">
        <v>0</v>
      </c>
      <c r="J407">
        <v>1</v>
      </c>
      <c r="K407" s="12">
        <v>0.05</v>
      </c>
      <c r="L407" s="12">
        <v>0.2</v>
      </c>
      <c r="M407" s="12">
        <v>0.02</v>
      </c>
      <c r="N407" s="12">
        <v>0.06</v>
      </c>
      <c r="O407" t="s">
        <v>180</v>
      </c>
      <c r="P407" s="12">
        <v>0.5</v>
      </c>
      <c r="Q407" s="12">
        <v>0.1</v>
      </c>
    </row>
    <row r="408" spans="1:20">
      <c r="B408" t="b">
        <v>0</v>
      </c>
      <c r="C408">
        <v>2</v>
      </c>
      <c r="D408">
        <v>1</v>
      </c>
      <c r="E408">
        <v>2</v>
      </c>
      <c r="F408">
        <v>1</v>
      </c>
      <c r="G408">
        <v>2</v>
      </c>
      <c r="H408">
        <v>1</v>
      </c>
      <c r="I408">
        <v>1</v>
      </c>
      <c r="J408">
        <v>2</v>
      </c>
      <c r="K408" s="12">
        <v>0.1</v>
      </c>
      <c r="L408" s="12">
        <v>0.3</v>
      </c>
      <c r="M408" s="12">
        <v>0.04</v>
      </c>
      <c r="N408" s="12">
        <v>0.12</v>
      </c>
      <c r="O408" t="s">
        <v>181</v>
      </c>
      <c r="P408" s="12">
        <v>0.6</v>
      </c>
      <c r="Q408" s="12">
        <v>0.2</v>
      </c>
    </row>
    <row r="409" spans="1:20">
      <c r="C409">
        <v>3</v>
      </c>
      <c r="D409">
        <v>2</v>
      </c>
      <c r="E409">
        <v>3</v>
      </c>
      <c r="F409">
        <v>2</v>
      </c>
      <c r="G409">
        <v>3</v>
      </c>
      <c r="H409">
        <v>2</v>
      </c>
      <c r="I409">
        <v>2</v>
      </c>
      <c r="J409">
        <v>3</v>
      </c>
      <c r="K409" s="12">
        <v>0.15</v>
      </c>
      <c r="L409" s="12">
        <v>0.4</v>
      </c>
      <c r="M409" s="12">
        <v>0.06</v>
      </c>
      <c r="N409" s="12">
        <v>0.18</v>
      </c>
      <c r="O409" t="s">
        <v>182</v>
      </c>
      <c r="P409" s="12">
        <v>0.7</v>
      </c>
      <c r="Q409" s="12">
        <v>0.3</v>
      </c>
    </row>
    <row r="410" spans="1:20">
      <c r="C410">
        <v>4</v>
      </c>
      <c r="D410">
        <v>3</v>
      </c>
      <c r="E410">
        <v>4</v>
      </c>
      <c r="F410">
        <v>3</v>
      </c>
      <c r="H410">
        <v>3</v>
      </c>
      <c r="I410">
        <v>3</v>
      </c>
      <c r="J410">
        <v>4</v>
      </c>
      <c r="K410" s="12">
        <v>0.2</v>
      </c>
      <c r="L410" s="12">
        <v>0.5</v>
      </c>
      <c r="M410" s="12">
        <v>0.08</v>
      </c>
      <c r="N410" s="12">
        <v>0.24</v>
      </c>
      <c r="P410" s="12">
        <v>0.8</v>
      </c>
      <c r="Q410" s="12">
        <v>0.4</v>
      </c>
    </row>
    <row r="411" spans="1:20">
      <c r="C411">
        <v>5</v>
      </c>
      <c r="D411">
        <v>4</v>
      </c>
      <c r="E411">
        <v>5</v>
      </c>
      <c r="F411">
        <v>4</v>
      </c>
      <c r="I411">
        <v>4</v>
      </c>
      <c r="J411">
        <v>5</v>
      </c>
      <c r="K411" s="12">
        <v>0.25</v>
      </c>
      <c r="L411" s="12">
        <v>0.6</v>
      </c>
      <c r="M411" s="12">
        <v>0.1</v>
      </c>
      <c r="N411" s="12">
        <v>0.3</v>
      </c>
      <c r="P411" s="12">
        <v>0.9</v>
      </c>
      <c r="Q411" s="12">
        <v>0.5</v>
      </c>
    </row>
    <row r="412" spans="1:20">
      <c r="C412">
        <v>6</v>
      </c>
      <c r="D412">
        <v>5</v>
      </c>
      <c r="F412">
        <v>5</v>
      </c>
      <c r="I412">
        <v>5</v>
      </c>
      <c r="J412">
        <v>6</v>
      </c>
    </row>
    <row r="413" spans="1:20">
      <c r="C413">
        <v>7</v>
      </c>
      <c r="D413">
        <v>6</v>
      </c>
      <c r="I413">
        <v>6</v>
      </c>
    </row>
    <row r="414" spans="1:20">
      <c r="C414">
        <v>8</v>
      </c>
      <c r="D414">
        <v>7</v>
      </c>
    </row>
    <row r="415" spans="1:20">
      <c r="C415">
        <v>9</v>
      </c>
      <c r="D415">
        <v>8</v>
      </c>
    </row>
    <row r="416" spans="1:20">
      <c r="C416">
        <v>10</v>
      </c>
      <c r="D416">
        <v>9</v>
      </c>
    </row>
    <row r="417" spans="1:16">
      <c r="D417">
        <v>10</v>
      </c>
    </row>
    <row r="419" spans="1:16" ht="12" customHeight="1" thickBot="1"/>
    <row r="420" spans="1:16" s="622" customFormat="1" ht="12.75">
      <c r="A420" s="621" t="s">
        <v>548</v>
      </c>
      <c r="I420" s="650" t="s">
        <v>2163</v>
      </c>
      <c r="J420" s="656"/>
      <c r="K420" s="656"/>
      <c r="L420" s="657"/>
      <c r="M420" s="650" t="s">
        <v>1340</v>
      </c>
      <c r="N420" s="651"/>
      <c r="O420" s="651"/>
      <c r="P420" s="652"/>
    </row>
    <row r="421" spans="1:16" ht="12" customHeight="1" thickBot="1">
      <c r="I421" s="653" t="s">
        <v>2036</v>
      </c>
      <c r="J421" s="654" t="s">
        <v>2035</v>
      </c>
      <c r="K421" s="654" t="s">
        <v>102</v>
      </c>
      <c r="L421" s="655" t="s">
        <v>103</v>
      </c>
      <c r="M421" s="653" t="s">
        <v>2036</v>
      </c>
      <c r="N421" s="654" t="s">
        <v>2035</v>
      </c>
      <c r="O421" s="654" t="s">
        <v>102</v>
      </c>
      <c r="P421" s="655" t="s">
        <v>103</v>
      </c>
    </row>
    <row r="422" spans="1:16" ht="12" customHeight="1">
      <c r="C422" t="s">
        <v>286</v>
      </c>
      <c r="E422" s="5">
        <v>1</v>
      </c>
      <c r="F422" s="5">
        <f>INDEX(I422:L422,xxYear+1)</f>
        <v>2</v>
      </c>
      <c r="G422" s="5">
        <f>INDEX(M422:P422,xxYear+1)</f>
        <v>3</v>
      </c>
      <c r="H422" s="123" t="s">
        <v>2061</v>
      </c>
      <c r="I422" s="626">
        <v>2</v>
      </c>
      <c r="J422" s="627">
        <v>2</v>
      </c>
      <c r="K422" s="627">
        <v>2</v>
      </c>
      <c r="L422" s="628">
        <v>2</v>
      </c>
      <c r="M422" s="638">
        <v>3</v>
      </c>
      <c r="N422" s="639">
        <v>3</v>
      </c>
      <c r="O422" s="639">
        <v>3</v>
      </c>
      <c r="P422" s="640">
        <v>3</v>
      </c>
    </row>
    <row r="423" spans="1:16" ht="12" customHeight="1">
      <c r="C423" t="s">
        <v>287</v>
      </c>
      <c r="E423" s="5" t="s">
        <v>1339</v>
      </c>
      <c r="F423" s="5" t="str">
        <f>INDEX(I423:L423,xxYear+1)</f>
        <v>Bloomfield</v>
      </c>
      <c r="G423" s="5" t="str">
        <f>INDEX(M423:P423,xxYear+1)</f>
        <v>Nextus</v>
      </c>
      <c r="H423" s="123" t="s">
        <v>2062</v>
      </c>
      <c r="I423" s="675" t="s">
        <v>2163</v>
      </c>
      <c r="J423" s="1005" t="s">
        <v>2163</v>
      </c>
      <c r="K423" s="1005" t="s">
        <v>2163</v>
      </c>
      <c r="L423" s="630" t="s">
        <v>2163</v>
      </c>
      <c r="M423" s="641" t="s">
        <v>1340</v>
      </c>
      <c r="N423" s="1006" t="s">
        <v>1340</v>
      </c>
      <c r="O423" s="1006" t="s">
        <v>1340</v>
      </c>
      <c r="P423" s="642" t="s">
        <v>1340</v>
      </c>
    </row>
    <row r="424" spans="1:16" ht="12" customHeight="1">
      <c r="C424" t="s">
        <v>901</v>
      </c>
      <c r="E424" s="5">
        <v>0</v>
      </c>
      <c r="F424" s="5">
        <f>INDEX(I424:L424,xxYear+1)</f>
        <v>0</v>
      </c>
      <c r="G424" s="5">
        <f>INDEX(M424:P424,xxYear+1)</f>
        <v>0</v>
      </c>
      <c r="H424" s="123" t="s">
        <v>2063</v>
      </c>
      <c r="I424" s="629">
        <v>0</v>
      </c>
      <c r="J424" s="1005">
        <v>1</v>
      </c>
      <c r="K424" s="1005">
        <v>2</v>
      </c>
      <c r="L424" s="630">
        <v>3</v>
      </c>
      <c r="M424" s="641">
        <v>0</v>
      </c>
      <c r="N424" s="1006">
        <v>1</v>
      </c>
      <c r="O424" s="1006">
        <v>2</v>
      </c>
      <c r="P424" s="642">
        <v>3</v>
      </c>
    </row>
    <row r="425" spans="1:16" ht="12" customHeight="1">
      <c r="C425" t="s">
        <v>1296</v>
      </c>
      <c r="E425" s="5"/>
      <c r="F425" s="5"/>
      <c r="G425" s="5"/>
      <c r="I425" s="629"/>
      <c r="J425" s="1005"/>
      <c r="K425" s="1005"/>
      <c r="L425" s="630"/>
      <c r="M425" s="641"/>
      <c r="N425" s="1006"/>
      <c r="O425" s="1006"/>
      <c r="P425" s="642"/>
    </row>
    <row r="426" spans="1:16" ht="12" customHeight="1">
      <c r="C426" t="s">
        <v>697</v>
      </c>
      <c r="E426" s="5"/>
      <c r="F426" s="5"/>
      <c r="G426" s="5"/>
      <c r="I426" s="629"/>
      <c r="J426" s="1005"/>
      <c r="K426" s="1005"/>
      <c r="L426" s="630"/>
      <c r="M426" s="641"/>
      <c r="N426" s="1006"/>
      <c r="O426" s="1006"/>
      <c r="P426" s="642"/>
    </row>
    <row r="427" spans="1:16" ht="12" customHeight="1">
      <c r="C427" s="3" t="s">
        <v>1376</v>
      </c>
      <c r="E427" s="5"/>
      <c r="F427" s="5"/>
      <c r="G427" s="5"/>
      <c r="I427" s="629"/>
      <c r="J427" s="1005"/>
      <c r="K427" s="1005"/>
      <c r="L427" s="630"/>
      <c r="M427" s="641"/>
      <c r="N427" s="1006"/>
      <c r="O427" s="1006"/>
      <c r="P427" s="642"/>
    </row>
    <row r="428" spans="1:16" ht="12" customHeight="1">
      <c r="C428" t="str">
        <f>DataNameProd1&amp;" Forecast"</f>
        <v>Growth Forecast</v>
      </c>
      <c r="E428" s="623">
        <f>INDEX(decProd1Price,1)</f>
        <v>10800</v>
      </c>
      <c r="F428" s="623">
        <f>INDEX(I428:L428,xxYear+1)</f>
        <v>10210.625</v>
      </c>
      <c r="G428" s="623">
        <f>INDEX(M428:P428,xxYear+1)</f>
        <v>7808.125</v>
      </c>
      <c r="H428" s="123" t="s">
        <v>2041</v>
      </c>
      <c r="I428" s="1090">
        <f>obal!F62</f>
        <v>10210.625</v>
      </c>
      <c r="J428" s="1007">
        <f>I428*1.03</f>
        <v>10516.94375</v>
      </c>
      <c r="K428" s="1007">
        <f t="shared" ref="K428:L428" si="41">J428*1.03</f>
        <v>10832.4520625</v>
      </c>
      <c r="L428" s="1007">
        <f t="shared" si="41"/>
        <v>11157.425624375001</v>
      </c>
      <c r="M428" s="1090">
        <f>obal!G62</f>
        <v>7808.125</v>
      </c>
      <c r="N428" s="1091">
        <f>M428*1.03</f>
        <v>8042.3687500000005</v>
      </c>
      <c r="O428" s="1091">
        <f t="shared" ref="O428:P428" si="42">N428*1.03</f>
        <v>8283.6398125000014</v>
      </c>
      <c r="P428" s="1091">
        <f t="shared" si="42"/>
        <v>8532.1490068750009</v>
      </c>
    </row>
    <row r="429" spans="1:16" ht="12" customHeight="1">
      <c r="C429" t="str">
        <f>DataNameProd1&amp;" Price"</f>
        <v>Growth Price</v>
      </c>
      <c r="E429" s="623">
        <f>INDEX(decProd1Price,1)</f>
        <v>10800</v>
      </c>
      <c r="F429" s="623">
        <f>INDEX(I429:L429,xxYear+1)</f>
        <v>11880.000000000002</v>
      </c>
      <c r="G429" s="623">
        <f>INDEX(M429:P429,xxYear+1)</f>
        <v>10476</v>
      </c>
      <c r="H429" s="123" t="s">
        <v>2042</v>
      </c>
      <c r="I429" s="631">
        <f>INDEX(obalProd1Price,1)*1.1</f>
        <v>11880.000000000002</v>
      </c>
      <c r="J429" s="1007">
        <f>I429*1.025</f>
        <v>12177</v>
      </c>
      <c r="K429" s="1007">
        <f>J429*1.025</f>
        <v>12481.424999999999</v>
      </c>
      <c r="L429" s="1007">
        <f t="shared" ref="L429" si="43">K429*1.025</f>
        <v>12793.460624999998</v>
      </c>
      <c r="M429" s="643">
        <f>INDEX(obalProd1Price,1)*0.97</f>
        <v>10476</v>
      </c>
      <c r="N429" s="1091">
        <f>M429*1.04</f>
        <v>10895.04</v>
      </c>
      <c r="O429" s="1091">
        <f>N429*1.04</f>
        <v>11330.841600000002</v>
      </c>
      <c r="P429" s="1092">
        <f t="shared" ref="P429" si="44">O429*0.99</f>
        <v>11217.533184000002</v>
      </c>
    </row>
    <row r="430" spans="1:16" ht="12" customHeight="1">
      <c r="C430" t="str">
        <f>DataNameProd2&amp;" Forecast"</f>
        <v>Transform Forecast</v>
      </c>
      <c r="E430" s="623">
        <f>INDEX(decProd1Price,1)</f>
        <v>10800</v>
      </c>
      <c r="F430" s="623">
        <f>INDEX(I430:L430,xxYear+1)</f>
        <v>4810</v>
      </c>
      <c r="G430" s="623">
        <f>INDEX(M430:P430,xxYear+1)</f>
        <v>3678</v>
      </c>
      <c r="H430" s="123" t="s">
        <v>2043</v>
      </c>
      <c r="I430" s="1090">
        <v>4810</v>
      </c>
      <c r="J430" s="1007">
        <f>I430*1.01</f>
        <v>4858.1000000000004</v>
      </c>
      <c r="K430" s="1007">
        <f t="shared" ref="K430:L430" si="45">J430*1.01</f>
        <v>4906.6810000000005</v>
      </c>
      <c r="L430" s="1007">
        <f t="shared" si="45"/>
        <v>4955.7478100000008</v>
      </c>
      <c r="M430" s="1090">
        <v>3678</v>
      </c>
      <c r="N430" s="1091">
        <f>M430*1.01</f>
        <v>3714.78</v>
      </c>
      <c r="O430" s="1091">
        <f t="shared" ref="O430:P430" si="46">N430*1.01</f>
        <v>3751.9278000000004</v>
      </c>
      <c r="P430" s="1091">
        <f t="shared" si="46"/>
        <v>3789.4470780000006</v>
      </c>
    </row>
    <row r="431" spans="1:16" ht="12" customHeight="1">
      <c r="C431" t="str">
        <f>DataNameProd2&amp;" Price"</f>
        <v>Transform Price</v>
      </c>
      <c r="E431" s="623">
        <f>INDEX(decProd2Price,1)</f>
        <v>12000</v>
      </c>
      <c r="F431" s="623">
        <f>INDEX(I431:L431,xxYear+1)</f>
        <v>12600</v>
      </c>
      <c r="G431" s="623">
        <f>INDEX(M431:P431,xxYear+1)</f>
        <v>11640</v>
      </c>
      <c r="H431" s="123" t="s">
        <v>2044</v>
      </c>
      <c r="I431" s="631">
        <f>INDEX(obalProd2Price,1)*1.05</f>
        <v>12600</v>
      </c>
      <c r="J431" s="1007">
        <f>I431*1.025</f>
        <v>12914.999999999998</v>
      </c>
      <c r="K431" s="1007">
        <f t="shared" ref="K431:L431" si="47">J431*1.025</f>
        <v>13237.874999999996</v>
      </c>
      <c r="L431" s="1007">
        <f t="shared" si="47"/>
        <v>13568.821874999996</v>
      </c>
      <c r="M431" s="643">
        <f>INDEX(obalProd2Price,1)*0.97</f>
        <v>11640</v>
      </c>
      <c r="N431" s="1008">
        <f>M431*1.03</f>
        <v>11989.2</v>
      </c>
      <c r="O431" s="1008">
        <f>N431*1.03</f>
        <v>12348.876</v>
      </c>
      <c r="P431" s="644">
        <f t="shared" ref="P431" si="48">O431*0.97</f>
        <v>11978.40972</v>
      </c>
    </row>
    <row r="432" spans="1:16" ht="12" customHeight="1">
      <c r="C432" s="3" t="s">
        <v>1348</v>
      </c>
      <c r="E432" s="623"/>
      <c r="F432" s="623"/>
      <c r="G432" s="623"/>
      <c r="I432" s="631"/>
      <c r="J432" s="1007"/>
      <c r="K432" s="1007"/>
      <c r="L432" s="632"/>
      <c r="M432" s="643"/>
      <c r="N432" s="1008"/>
      <c r="O432" s="1008"/>
      <c r="P432" s="644"/>
    </row>
    <row r="433" spans="3:16" ht="12" customHeight="1">
      <c r="C433" t="str">
        <f>DataNameProd1&amp;" Product Technology"</f>
        <v>Growth Product Technology</v>
      </c>
      <c r="E433" s="624">
        <f>INDEX(decProd1ProdTechLvl,1)</f>
        <v>2</v>
      </c>
      <c r="F433" s="623">
        <f t="shared" ref="F433:F440" si="49">INDEX(I433:L433,xxYear+1)</f>
        <v>1</v>
      </c>
      <c r="G433" s="623">
        <f t="shared" ref="G433:G440" si="50">INDEX(M433:P433,xxYear+1)</f>
        <v>3</v>
      </c>
      <c r="H433" s="579" t="s">
        <v>2045</v>
      </c>
      <c r="I433" s="631">
        <v>1</v>
      </c>
      <c r="J433" s="1007">
        <v>2</v>
      </c>
      <c r="K433" s="1007">
        <v>2</v>
      </c>
      <c r="L433" s="632">
        <v>2</v>
      </c>
      <c r="M433" s="643">
        <v>3</v>
      </c>
      <c r="N433" s="1008">
        <v>3</v>
      </c>
      <c r="O433" s="1008">
        <v>3</v>
      </c>
      <c r="P433" s="644">
        <v>3</v>
      </c>
    </row>
    <row r="434" spans="3:16" ht="12" customHeight="1">
      <c r="C434" t="str">
        <f>DataNameProd1&amp;" TTM Internal FTEs"</f>
        <v>Growth TTM Internal FTEs</v>
      </c>
      <c r="E434" s="623">
        <f>INDEX(decProd1TTMIntFTEs,1)</f>
        <v>130</v>
      </c>
      <c r="F434" s="623">
        <f t="shared" si="49"/>
        <v>100</v>
      </c>
      <c r="G434" s="623">
        <f t="shared" si="50"/>
        <v>200</v>
      </c>
      <c r="H434" s="123" t="s">
        <v>2046</v>
      </c>
      <c r="I434" s="631">
        <v>100</v>
      </c>
      <c r="J434" s="1007">
        <v>200</v>
      </c>
      <c r="K434" s="1007">
        <v>200</v>
      </c>
      <c r="L434" s="632">
        <v>200</v>
      </c>
      <c r="M434" s="643">
        <v>200</v>
      </c>
      <c r="N434" s="1008">
        <v>50</v>
      </c>
      <c r="O434" s="1008">
        <v>250</v>
      </c>
      <c r="P434" s="644">
        <v>300</v>
      </c>
    </row>
    <row r="435" spans="3:16" ht="12" customHeight="1">
      <c r="C435" t="str">
        <f>DataNameProd1&amp;" TTM Contractor FTEs"</f>
        <v>Growth TTM Contractor FTEs</v>
      </c>
      <c r="E435" s="623">
        <f>INDEX(decProd1TTMConFTEs,1)</f>
        <v>100</v>
      </c>
      <c r="F435" s="623">
        <f t="shared" si="49"/>
        <v>0</v>
      </c>
      <c r="G435" s="623">
        <f t="shared" si="50"/>
        <v>0</v>
      </c>
      <c r="H435" s="123" t="s">
        <v>2047</v>
      </c>
      <c r="I435" s="631">
        <v>0</v>
      </c>
      <c r="J435" s="1007">
        <v>0</v>
      </c>
      <c r="K435" s="1007">
        <v>0</v>
      </c>
      <c r="L435" s="632">
        <v>0</v>
      </c>
      <c r="M435" s="643">
        <v>0</v>
      </c>
      <c r="N435" s="1008">
        <v>250</v>
      </c>
      <c r="O435" s="1008">
        <v>50</v>
      </c>
      <c r="P435" s="644">
        <v>0</v>
      </c>
    </row>
    <row r="436" spans="3:16" ht="12" customHeight="1">
      <c r="C436" t="str">
        <f>DataNameProd2&amp;" Product Technology"</f>
        <v>Transform Product Technology</v>
      </c>
      <c r="E436" s="624">
        <f>INDEX(decProd2ProdTechLvl,1)</f>
        <v>2</v>
      </c>
      <c r="F436" s="623">
        <f t="shared" si="49"/>
        <v>2</v>
      </c>
      <c r="G436" s="623">
        <f t="shared" si="50"/>
        <v>2</v>
      </c>
      <c r="H436" s="579" t="s">
        <v>2048</v>
      </c>
      <c r="I436" s="631">
        <v>2</v>
      </c>
      <c r="J436" s="1007">
        <v>3</v>
      </c>
      <c r="K436" s="1007">
        <v>3</v>
      </c>
      <c r="L436" s="632">
        <v>3</v>
      </c>
      <c r="M436" s="643">
        <v>2</v>
      </c>
      <c r="N436" s="1008">
        <v>2</v>
      </c>
      <c r="O436" s="1008">
        <v>2</v>
      </c>
      <c r="P436" s="644">
        <v>2</v>
      </c>
    </row>
    <row r="437" spans="3:16" ht="12" customHeight="1">
      <c r="C437" t="str">
        <f>DataNameProd2&amp;" TTM Internal FTEs"</f>
        <v>Transform TTM Internal FTEs</v>
      </c>
      <c r="E437" s="623">
        <f>INDEX(decProd2TTMIntFTEs,1)</f>
        <v>125</v>
      </c>
      <c r="F437" s="623">
        <f t="shared" si="49"/>
        <v>200</v>
      </c>
      <c r="G437" s="623">
        <f t="shared" si="50"/>
        <v>155</v>
      </c>
      <c r="H437" s="123" t="s">
        <v>2049</v>
      </c>
      <c r="I437" s="631">
        <v>200</v>
      </c>
      <c r="J437" s="1007">
        <v>300</v>
      </c>
      <c r="K437" s="1007">
        <v>300</v>
      </c>
      <c r="L437" s="632">
        <v>300</v>
      </c>
      <c r="M437" s="643">
        <v>155</v>
      </c>
      <c r="N437" s="1008">
        <v>50</v>
      </c>
      <c r="O437" s="1008">
        <v>150</v>
      </c>
      <c r="P437" s="644">
        <v>200</v>
      </c>
    </row>
    <row r="438" spans="3:16" ht="12" customHeight="1">
      <c r="C438" t="str">
        <f>DataNameProd2&amp;" TTM Contractor FTEs"</f>
        <v>Transform TTM Contractor FTEs</v>
      </c>
      <c r="E438" s="623">
        <f>INDEX(decProd2TTMConFTEs,1)</f>
        <v>100</v>
      </c>
      <c r="F438" s="623">
        <f t="shared" si="49"/>
        <v>0</v>
      </c>
      <c r="G438" s="623">
        <f t="shared" si="50"/>
        <v>0</v>
      </c>
      <c r="H438" s="123" t="s">
        <v>2050</v>
      </c>
      <c r="I438" s="631">
        <v>0</v>
      </c>
      <c r="J438" s="1007">
        <v>0</v>
      </c>
      <c r="K438" s="1007">
        <v>0</v>
      </c>
      <c r="L438" s="632">
        <v>0</v>
      </c>
      <c r="M438" s="643">
        <v>0</v>
      </c>
      <c r="N438" s="1008">
        <v>150</v>
      </c>
      <c r="O438" s="1008">
        <v>50</v>
      </c>
      <c r="P438" s="644">
        <v>0</v>
      </c>
    </row>
    <row r="439" spans="3:16" ht="12" customHeight="1">
      <c r="C439" s="565" t="s">
        <v>1351</v>
      </c>
      <c r="E439" s="623">
        <f>INDEX(decContentLvl,1)</f>
        <v>1</v>
      </c>
      <c r="F439" s="623">
        <f t="shared" si="49"/>
        <v>1</v>
      </c>
      <c r="G439" s="623">
        <f t="shared" si="50"/>
        <v>2</v>
      </c>
      <c r="H439" s="123" t="s">
        <v>2051</v>
      </c>
      <c r="I439" s="631">
        <v>1</v>
      </c>
      <c r="J439" s="1007">
        <v>2</v>
      </c>
      <c r="K439" s="1007">
        <v>2</v>
      </c>
      <c r="L439" s="632">
        <v>2</v>
      </c>
      <c r="M439" s="643">
        <v>2</v>
      </c>
      <c r="N439" s="1008">
        <v>3</v>
      </c>
      <c r="O439" s="1008">
        <v>3</v>
      </c>
      <c r="P439" s="644">
        <v>3</v>
      </c>
    </row>
    <row r="440" spans="3:16" ht="12" customHeight="1">
      <c r="C440" s="565" t="s">
        <v>1377</v>
      </c>
      <c r="E440" s="623">
        <f>INDEX(decContentMethod,1)</f>
        <v>0</v>
      </c>
      <c r="F440" s="623">
        <f t="shared" si="49"/>
        <v>0</v>
      </c>
      <c r="G440" s="623">
        <f t="shared" si="50"/>
        <v>0</v>
      </c>
      <c r="H440" s="123" t="s">
        <v>2052</v>
      </c>
      <c r="I440" s="631">
        <v>0</v>
      </c>
      <c r="J440" s="1007">
        <v>0</v>
      </c>
      <c r="K440" s="1007">
        <v>0</v>
      </c>
      <c r="L440" s="632">
        <v>0</v>
      </c>
      <c r="M440" s="643">
        <v>0</v>
      </c>
      <c r="N440" s="1008">
        <v>0</v>
      </c>
      <c r="O440" s="1008">
        <v>0</v>
      </c>
      <c r="P440" s="644">
        <v>0</v>
      </c>
    </row>
    <row r="441" spans="3:16" ht="12" customHeight="1">
      <c r="C441" s="3" t="s">
        <v>295</v>
      </c>
      <c r="E441" s="623"/>
      <c r="F441" s="623"/>
      <c r="G441" s="623"/>
      <c r="I441" s="629"/>
      <c r="J441" s="1005"/>
      <c r="K441" s="1005"/>
      <c r="L441" s="630"/>
      <c r="M441" s="641"/>
      <c r="N441" s="1006"/>
      <c r="O441" s="1006"/>
      <c r="P441" s="642"/>
    </row>
    <row r="442" spans="3:16" ht="12" customHeight="1">
      <c r="C442" s="565" t="s">
        <v>1353</v>
      </c>
      <c r="E442" s="623">
        <f>INDEX(decEmp1Change,1)</f>
        <v>100</v>
      </c>
      <c r="F442" s="623">
        <f>INDEX(I442:L442,xxYear+1)</f>
        <v>500</v>
      </c>
      <c r="G442" s="623">
        <f>INDEX(M442:P442,xxYear+1)</f>
        <v>500</v>
      </c>
      <c r="H442" s="123" t="s">
        <v>2053</v>
      </c>
      <c r="I442" s="631">
        <v>500</v>
      </c>
      <c r="J442" s="1007">
        <v>500</v>
      </c>
      <c r="K442" s="1007">
        <v>500</v>
      </c>
      <c r="L442" s="632">
        <v>500</v>
      </c>
      <c r="M442" s="643">
        <v>500</v>
      </c>
      <c r="N442" s="1008">
        <v>50</v>
      </c>
      <c r="O442" s="1008">
        <v>500</v>
      </c>
      <c r="P442" s="644">
        <v>500</v>
      </c>
    </row>
    <row r="443" spans="3:16" ht="12" customHeight="1">
      <c r="C443" s="565" t="s">
        <v>1354</v>
      </c>
      <c r="E443" s="623">
        <f>INDEX(decEmp1TrainingLvl,1)</f>
        <v>3</v>
      </c>
      <c r="F443" s="623">
        <f>INDEX(I443:L443,xxYear+1)</f>
        <v>3</v>
      </c>
      <c r="G443" s="623">
        <f>INDEX(M443:P443,xxYear+1)</f>
        <v>1</v>
      </c>
      <c r="H443" s="123" t="s">
        <v>2054</v>
      </c>
      <c r="I443" s="631">
        <v>3</v>
      </c>
      <c r="J443" s="1007">
        <v>3</v>
      </c>
      <c r="K443" s="1007">
        <v>3</v>
      </c>
      <c r="L443" s="632">
        <v>3</v>
      </c>
      <c r="M443" s="643">
        <v>1</v>
      </c>
      <c r="N443" s="1008">
        <v>1</v>
      </c>
      <c r="O443" s="1008">
        <v>1</v>
      </c>
      <c r="P443" s="644">
        <v>1</v>
      </c>
    </row>
    <row r="444" spans="3:16" ht="12" customHeight="1">
      <c r="C444" s="572" t="s">
        <v>1378</v>
      </c>
      <c r="E444" s="625">
        <f>INDEX(decSalesNewPerc,1)</f>
        <v>0.5</v>
      </c>
      <c r="F444" s="625">
        <f>INDEX(I444:L444,xxYear+1)</f>
        <v>0.35</v>
      </c>
      <c r="G444" s="625">
        <f>INDEX(M444:P444,xxYear+1)</f>
        <v>0.55000000000000004</v>
      </c>
      <c r="H444" s="123" t="s">
        <v>2055</v>
      </c>
      <c r="I444" s="633">
        <v>0.35</v>
      </c>
      <c r="J444" s="1009">
        <v>0.35</v>
      </c>
      <c r="K444" s="1009">
        <v>0.35</v>
      </c>
      <c r="L444" s="634">
        <v>0.35</v>
      </c>
      <c r="M444" s="645">
        <v>0.55000000000000004</v>
      </c>
      <c r="N444" s="1010">
        <v>0.55000000000000004</v>
      </c>
      <c r="O444" s="1010">
        <v>0.55000000000000004</v>
      </c>
      <c r="P444" s="646">
        <v>0.55000000000000004</v>
      </c>
    </row>
    <row r="445" spans="3:16" ht="12" customHeight="1">
      <c r="C445" s="572" t="s">
        <v>1379</v>
      </c>
      <c r="E445" s="625" t="e">
        <f>INDEX(decSalesExistingPerc,1)</f>
        <v>#NAME?</v>
      </c>
      <c r="F445" s="625">
        <f>INDEX(I445:L445,xxYear+1)</f>
        <v>0.55000000000000004</v>
      </c>
      <c r="G445" s="625">
        <f>INDEX(M445:P445,xxYear+1)</f>
        <v>0.35</v>
      </c>
      <c r="H445" s="123" t="s">
        <v>2056</v>
      </c>
      <c r="I445" s="633">
        <v>0.55000000000000004</v>
      </c>
      <c r="J445" s="1009">
        <v>0.55000000000000004</v>
      </c>
      <c r="K445" s="1009">
        <v>0.55000000000000004</v>
      </c>
      <c r="L445" s="634">
        <v>0.55000000000000004</v>
      </c>
      <c r="M445" s="645">
        <v>0.35</v>
      </c>
      <c r="N445" s="1010">
        <v>0.35</v>
      </c>
      <c r="O445" s="1010">
        <v>0.35</v>
      </c>
      <c r="P445" s="646">
        <v>0.35</v>
      </c>
    </row>
    <row r="446" spans="3:16" ht="12" customHeight="1">
      <c r="C446" s="3" t="s">
        <v>1358</v>
      </c>
      <c r="E446" s="623"/>
      <c r="F446" s="623"/>
      <c r="G446" s="623"/>
      <c r="I446" s="629"/>
      <c r="J446" s="1005"/>
      <c r="K446" s="1005"/>
      <c r="L446" s="630"/>
      <c r="M446" s="641"/>
      <c r="N446" s="1006"/>
      <c r="O446" s="1006"/>
      <c r="P446" s="642"/>
    </row>
    <row r="447" spans="3:16" ht="12" customHeight="1">
      <c r="C447" s="574" t="s">
        <v>1360</v>
      </c>
      <c r="E447" s="624">
        <f>INDEX(decGlobalExpansion,1)</f>
        <v>1</v>
      </c>
      <c r="F447" s="623">
        <f>INDEX(I447:L447,xxYear+1)</f>
        <v>2</v>
      </c>
      <c r="G447" s="623">
        <f>INDEX(M447:P447,xxYear+1)</f>
        <v>1</v>
      </c>
      <c r="H447" s="579" t="s">
        <v>2057</v>
      </c>
      <c r="I447" s="631">
        <v>2</v>
      </c>
      <c r="J447" s="1007">
        <v>3</v>
      </c>
      <c r="K447" s="1007">
        <v>3</v>
      </c>
      <c r="L447" s="632">
        <v>3</v>
      </c>
      <c r="M447" s="643">
        <v>1</v>
      </c>
      <c r="N447" s="1008">
        <v>1</v>
      </c>
      <c r="O447" s="1008">
        <v>1</v>
      </c>
      <c r="P447" s="644">
        <v>1</v>
      </c>
    </row>
    <row r="448" spans="3:16" ht="12" customHeight="1">
      <c r="C448" s="574" t="s">
        <v>423</v>
      </c>
      <c r="E448" s="623">
        <f>INDEX(decSFCoverage,1)</f>
        <v>1</v>
      </c>
      <c r="F448" s="623">
        <f>INDEX(I448:L448,xxYear+1)</f>
        <v>2</v>
      </c>
      <c r="G448" s="623">
        <f>INDEX(M448:P448,xxYear+1)</f>
        <v>1</v>
      </c>
      <c r="H448" s="123" t="s">
        <v>2058</v>
      </c>
      <c r="I448" s="631">
        <v>2</v>
      </c>
      <c r="J448" s="1007">
        <v>3</v>
      </c>
      <c r="K448" s="1007">
        <v>3</v>
      </c>
      <c r="L448" s="632">
        <v>3</v>
      </c>
      <c r="M448" s="643">
        <v>1</v>
      </c>
      <c r="N448" s="1008">
        <v>1</v>
      </c>
      <c r="O448" s="1008">
        <v>1</v>
      </c>
      <c r="P448" s="644">
        <v>1</v>
      </c>
    </row>
    <row r="449" spans="2:16" ht="12" customHeight="1">
      <c r="C449" s="577" t="s">
        <v>1380</v>
      </c>
      <c r="E449" s="623">
        <f>INDEX(decDCConsolidation,1)</f>
        <v>0</v>
      </c>
      <c r="F449" s="623">
        <f>INDEX(I449:L449,xxYear+1)</f>
        <v>0</v>
      </c>
      <c r="G449" s="623">
        <f>INDEX(M449:P449,xxYear+1)</f>
        <v>0</v>
      </c>
      <c r="H449" s="123" t="s">
        <v>2059</v>
      </c>
      <c r="I449" s="631">
        <v>0</v>
      </c>
      <c r="J449" s="1007">
        <v>0</v>
      </c>
      <c r="K449" s="1007">
        <v>0</v>
      </c>
      <c r="L449" s="632">
        <v>0</v>
      </c>
      <c r="M449" s="643">
        <v>0</v>
      </c>
      <c r="N449" s="1008">
        <v>5</v>
      </c>
      <c r="O449" s="1008">
        <v>5</v>
      </c>
      <c r="P449" s="644">
        <v>5</v>
      </c>
    </row>
    <row r="450" spans="2:16" ht="12" customHeight="1">
      <c r="C450" s="577" t="s">
        <v>1226</v>
      </c>
      <c r="E450" s="623">
        <f>INDEX(decMarketing,1)</f>
        <v>195000</v>
      </c>
      <c r="F450" s="623">
        <f>INDEX(I450:L450,xxYear+1)</f>
        <v>200000</v>
      </c>
      <c r="G450" s="623">
        <f>INDEX(M450:P450,xxYear+1)</f>
        <v>150000</v>
      </c>
      <c r="H450" s="588" t="s">
        <v>2060</v>
      </c>
      <c r="I450" s="631">
        <v>200000</v>
      </c>
      <c r="J450" s="1007">
        <f>I450*1.05</f>
        <v>210000</v>
      </c>
      <c r="K450" s="1007">
        <f t="shared" ref="K450:L450" si="51">J450*1.05</f>
        <v>220500</v>
      </c>
      <c r="L450" s="632">
        <f t="shared" si="51"/>
        <v>231525</v>
      </c>
      <c r="M450" s="643">
        <v>150000</v>
      </c>
      <c r="N450" s="1008">
        <f>M450*0.95</f>
        <v>142500</v>
      </c>
      <c r="O450" s="1008">
        <f t="shared" ref="O450:P450" si="52">N450*1.01</f>
        <v>143925</v>
      </c>
      <c r="P450" s="644">
        <f t="shared" si="52"/>
        <v>145364.25</v>
      </c>
    </row>
    <row r="451" spans="2:16" ht="12" customHeight="1">
      <c r="C451" s="3" t="s">
        <v>313</v>
      </c>
      <c r="E451" s="623"/>
      <c r="F451" s="623"/>
      <c r="G451" s="623"/>
      <c r="I451" s="1056"/>
      <c r="J451" s="1057"/>
      <c r="K451" s="1057"/>
      <c r="L451" s="1058"/>
      <c r="M451" s="1059"/>
      <c r="N451" s="1060"/>
      <c r="O451" s="1060"/>
      <c r="P451" s="1061"/>
    </row>
    <row r="452" spans="2:16" ht="12" customHeight="1">
      <c r="B452">
        <v>1</v>
      </c>
      <c r="C452" t="str">
        <f>"Program " &amp;B452</f>
        <v>Program 1</v>
      </c>
      <c r="E452" s="624" t="b">
        <f>INDEX(decSpecProg1Chosen,1)</f>
        <v>0</v>
      </c>
      <c r="F452" s="623">
        <f t="shared" ref="F452:F459" si="53">INDEX(I452:L452,xxYear+1)</f>
        <v>0</v>
      </c>
      <c r="G452" s="623">
        <f t="shared" ref="G452:G459" si="54">INDEX(M452:P452,xxYear+1)</f>
        <v>0</v>
      </c>
      <c r="H452" s="123" t="s">
        <v>3162</v>
      </c>
      <c r="I452" s="631">
        <v>0</v>
      </c>
      <c r="J452" s="1007">
        <v>0</v>
      </c>
      <c r="K452" s="1007">
        <v>0</v>
      </c>
      <c r="L452" s="632">
        <v>0</v>
      </c>
      <c r="M452" s="643">
        <v>0</v>
      </c>
      <c r="N452" s="1008">
        <v>0</v>
      </c>
      <c r="O452" s="1008">
        <v>0</v>
      </c>
      <c r="P452" s="644">
        <v>0</v>
      </c>
    </row>
    <row r="453" spans="2:16" ht="12" customHeight="1">
      <c r="B453">
        <v>2</v>
      </c>
      <c r="C453" t="str">
        <f t="shared" ref="C453:C475" si="55">"Program " &amp;B453</f>
        <v>Program 2</v>
      </c>
      <c r="E453" s="624" t="b">
        <f>INDEX(decSpecProg2Chosen,1)</f>
        <v>0</v>
      </c>
      <c r="F453" s="623">
        <f t="shared" si="53"/>
        <v>0</v>
      </c>
      <c r="G453" s="623">
        <f t="shared" si="54"/>
        <v>0</v>
      </c>
      <c r="H453" s="123" t="s">
        <v>3163</v>
      </c>
      <c r="I453" s="631">
        <v>0</v>
      </c>
      <c r="J453" s="1007">
        <v>0</v>
      </c>
      <c r="K453" s="1007">
        <v>0</v>
      </c>
      <c r="L453" s="632">
        <v>0</v>
      </c>
      <c r="M453" s="643">
        <v>0</v>
      </c>
      <c r="N453" s="1008">
        <v>0</v>
      </c>
      <c r="O453" s="1008">
        <v>0</v>
      </c>
      <c r="P453" s="644">
        <v>0</v>
      </c>
    </row>
    <row r="454" spans="2:16" ht="12" customHeight="1">
      <c r="B454">
        <v>3</v>
      </c>
      <c r="C454" t="str">
        <f t="shared" si="55"/>
        <v>Program 3</v>
      </c>
      <c r="E454" s="624" t="b">
        <f>INDEX(decSpecProg3Chosen,1)</f>
        <v>0</v>
      </c>
      <c r="F454" s="623">
        <f t="shared" si="53"/>
        <v>0</v>
      </c>
      <c r="G454" s="623">
        <f t="shared" si="54"/>
        <v>0</v>
      </c>
      <c r="H454" s="123" t="s">
        <v>3164</v>
      </c>
      <c r="I454" s="631">
        <v>0</v>
      </c>
      <c r="J454" s="1007">
        <v>0</v>
      </c>
      <c r="K454" s="1007">
        <v>0</v>
      </c>
      <c r="L454" s="632">
        <v>0</v>
      </c>
      <c r="M454" s="643">
        <v>0</v>
      </c>
      <c r="N454" s="1008">
        <v>0</v>
      </c>
      <c r="O454" s="1008">
        <v>0</v>
      </c>
      <c r="P454" s="644">
        <v>0</v>
      </c>
    </row>
    <row r="455" spans="2:16" ht="12" customHeight="1">
      <c r="B455">
        <v>4</v>
      </c>
      <c r="C455" t="str">
        <f t="shared" si="55"/>
        <v>Program 4</v>
      </c>
      <c r="E455" s="624" t="b">
        <f>INDEX(decSpecProg4Chosen,1)</f>
        <v>0</v>
      </c>
      <c r="F455" s="623">
        <f t="shared" si="53"/>
        <v>0</v>
      </c>
      <c r="G455" s="623">
        <f t="shared" si="54"/>
        <v>0</v>
      </c>
      <c r="H455" s="123" t="s">
        <v>3165</v>
      </c>
      <c r="I455" s="631">
        <v>0</v>
      </c>
      <c r="J455" s="1007">
        <v>0</v>
      </c>
      <c r="K455" s="1007">
        <v>0</v>
      </c>
      <c r="L455" s="632">
        <v>0</v>
      </c>
      <c r="M455" s="643">
        <v>0</v>
      </c>
      <c r="N455" s="1008">
        <v>0</v>
      </c>
      <c r="O455" s="1008">
        <v>0</v>
      </c>
      <c r="P455" s="644">
        <f t="shared" ref="P455" si="56">O455*1.01</f>
        <v>0</v>
      </c>
    </row>
    <row r="456" spans="2:16" ht="12" customHeight="1">
      <c r="B456">
        <v>5</v>
      </c>
      <c r="C456" t="str">
        <f t="shared" si="55"/>
        <v>Program 5</v>
      </c>
      <c r="E456" s="624" t="b">
        <f>INDEX(decSpecProg5Chosen,1)</f>
        <v>0</v>
      </c>
      <c r="F456" s="623">
        <f t="shared" si="53"/>
        <v>0</v>
      </c>
      <c r="G456" s="623">
        <f t="shared" si="54"/>
        <v>0</v>
      </c>
      <c r="H456" s="123" t="s">
        <v>3166</v>
      </c>
      <c r="I456" s="1062">
        <v>0</v>
      </c>
      <c r="J456" s="1063">
        <v>0</v>
      </c>
      <c r="K456" s="1063">
        <v>0</v>
      </c>
      <c r="L456" s="1064">
        <v>0</v>
      </c>
      <c r="M456" s="1065">
        <v>0</v>
      </c>
      <c r="N456" s="1066">
        <v>0</v>
      </c>
      <c r="O456" s="1066">
        <v>0</v>
      </c>
      <c r="P456" s="1067">
        <v>0</v>
      </c>
    </row>
    <row r="457" spans="2:16" ht="12" customHeight="1">
      <c r="B457">
        <v>6</v>
      </c>
      <c r="C457" t="str">
        <f t="shared" si="55"/>
        <v>Program 6</v>
      </c>
      <c r="E457" s="624" t="b">
        <f>INDEX(decSpecProg6Chosen,1)</f>
        <v>0</v>
      </c>
      <c r="F457" s="623">
        <f t="shared" si="53"/>
        <v>0</v>
      </c>
      <c r="G457" s="623">
        <f t="shared" si="54"/>
        <v>0</v>
      </c>
      <c r="H457" s="123" t="s">
        <v>3167</v>
      </c>
      <c r="I457" s="631">
        <v>0</v>
      </c>
      <c r="J457" s="1007">
        <v>0</v>
      </c>
      <c r="K457" s="1007">
        <v>0</v>
      </c>
      <c r="L457" s="632">
        <v>0</v>
      </c>
      <c r="M457" s="643">
        <v>0</v>
      </c>
      <c r="N457" s="1008">
        <v>0</v>
      </c>
      <c r="O457" s="1008">
        <v>0</v>
      </c>
      <c r="P457" s="644">
        <v>0</v>
      </c>
    </row>
    <row r="458" spans="2:16" ht="12" customHeight="1">
      <c r="B458">
        <v>7</v>
      </c>
      <c r="C458" t="str">
        <f t="shared" si="55"/>
        <v>Program 7</v>
      </c>
      <c r="E458" s="624" t="b">
        <f>INDEX(decSpecProg7Chosen,1)</f>
        <v>0</v>
      </c>
      <c r="F458" s="623">
        <f t="shared" si="53"/>
        <v>0</v>
      </c>
      <c r="G458" s="623">
        <f t="shared" si="54"/>
        <v>0</v>
      </c>
      <c r="H458" s="123" t="s">
        <v>3168</v>
      </c>
      <c r="I458" s="631">
        <v>0</v>
      </c>
      <c r="J458" s="1007">
        <v>0</v>
      </c>
      <c r="K458" s="1007">
        <v>0</v>
      </c>
      <c r="L458" s="632">
        <v>0</v>
      </c>
      <c r="M458" s="643">
        <v>0</v>
      </c>
      <c r="N458" s="1008">
        <v>0</v>
      </c>
      <c r="O458" s="1008">
        <v>0</v>
      </c>
      <c r="P458" s="644">
        <v>0</v>
      </c>
    </row>
    <row r="459" spans="2:16" ht="12" customHeight="1">
      <c r="B459">
        <v>8</v>
      </c>
      <c r="C459" t="str">
        <f t="shared" si="55"/>
        <v>Program 8</v>
      </c>
      <c r="E459" s="624" t="b">
        <f>INDEX(decSpecProg8Chosen,1)</f>
        <v>0</v>
      </c>
      <c r="F459" s="623">
        <f t="shared" si="53"/>
        <v>0</v>
      </c>
      <c r="G459" s="623">
        <f t="shared" si="54"/>
        <v>0</v>
      </c>
      <c r="H459" s="123" t="s">
        <v>3169</v>
      </c>
      <c r="I459" s="631">
        <v>0</v>
      </c>
      <c r="J459" s="1007">
        <v>0</v>
      </c>
      <c r="K459" s="1007">
        <v>0</v>
      </c>
      <c r="L459" s="632">
        <v>0</v>
      </c>
      <c r="M459" s="643">
        <v>0</v>
      </c>
      <c r="N459" s="1008">
        <v>0</v>
      </c>
      <c r="O459" s="1008">
        <v>0</v>
      </c>
      <c r="P459" s="644">
        <v>0</v>
      </c>
    </row>
    <row r="460" spans="2:16" ht="12" customHeight="1">
      <c r="B460">
        <v>9</v>
      </c>
      <c r="C460" t="str">
        <f t="shared" si="55"/>
        <v>Program 9</v>
      </c>
      <c r="E460" s="624" t="b">
        <f>INDEX(decSpecProg9Chosen,1)</f>
        <v>0</v>
      </c>
      <c r="F460" s="623">
        <f t="shared" ref="F460:F467" si="57">INDEX(I460:L460,xxYear+1)</f>
        <v>0</v>
      </c>
      <c r="G460" s="623">
        <f t="shared" ref="G460:G467" si="58">INDEX(M460:P460,xxYear+1)</f>
        <v>0</v>
      </c>
      <c r="H460" s="123" t="s">
        <v>3288</v>
      </c>
      <c r="I460" s="631">
        <v>0</v>
      </c>
      <c r="J460" s="1007">
        <v>0</v>
      </c>
      <c r="K460" s="1007">
        <v>0</v>
      </c>
      <c r="L460" s="632">
        <v>0</v>
      </c>
      <c r="M460" s="643">
        <v>0</v>
      </c>
      <c r="N460" s="1008">
        <v>0</v>
      </c>
      <c r="O460" s="1008">
        <v>0</v>
      </c>
      <c r="P460" s="644">
        <v>0</v>
      </c>
    </row>
    <row r="461" spans="2:16" ht="12" customHeight="1">
      <c r="B461">
        <v>10</v>
      </c>
      <c r="C461" t="str">
        <f t="shared" si="55"/>
        <v>Program 10</v>
      </c>
      <c r="E461" s="624" t="b">
        <f>INDEX(decSpecProg10Chosen,1)</f>
        <v>0</v>
      </c>
      <c r="F461" s="623">
        <f t="shared" si="57"/>
        <v>0</v>
      </c>
      <c r="G461" s="623">
        <f t="shared" si="58"/>
        <v>0</v>
      </c>
      <c r="H461" s="123" t="s">
        <v>3289</v>
      </c>
      <c r="I461" s="631">
        <v>0</v>
      </c>
      <c r="J461" s="1007">
        <v>0</v>
      </c>
      <c r="K461" s="1007">
        <v>0</v>
      </c>
      <c r="L461" s="632">
        <v>0</v>
      </c>
      <c r="M461" s="643">
        <v>0</v>
      </c>
      <c r="N461" s="1008">
        <v>0</v>
      </c>
      <c r="O461" s="1008">
        <v>0</v>
      </c>
      <c r="P461" s="644">
        <v>0</v>
      </c>
    </row>
    <row r="462" spans="2:16" ht="12" customHeight="1">
      <c r="B462">
        <v>11</v>
      </c>
      <c r="C462" t="str">
        <f t="shared" si="55"/>
        <v>Program 11</v>
      </c>
      <c r="E462" s="624" t="b">
        <f>INDEX(decSpecProg11Chosen,1)</f>
        <v>0</v>
      </c>
      <c r="F462" s="623">
        <f t="shared" si="57"/>
        <v>0</v>
      </c>
      <c r="G462" s="623">
        <f t="shared" si="58"/>
        <v>0</v>
      </c>
      <c r="H462" s="123" t="s">
        <v>3290</v>
      </c>
      <c r="I462" s="631">
        <v>0</v>
      </c>
      <c r="J462" s="1007">
        <v>0</v>
      </c>
      <c r="K462" s="1007">
        <v>0</v>
      </c>
      <c r="L462" s="632">
        <v>0</v>
      </c>
      <c r="M462" s="643">
        <v>0</v>
      </c>
      <c r="N462" s="1008">
        <v>0</v>
      </c>
      <c r="O462" s="1008">
        <v>0</v>
      </c>
      <c r="P462" s="644">
        <v>0</v>
      </c>
    </row>
    <row r="463" spans="2:16" ht="12" customHeight="1">
      <c r="B463">
        <v>12</v>
      </c>
      <c r="C463" t="str">
        <f t="shared" si="55"/>
        <v>Program 12</v>
      </c>
      <c r="E463" s="624" t="b">
        <f>INDEX(decSpecProg12Chosen,1)</f>
        <v>0</v>
      </c>
      <c r="F463" s="623">
        <f t="shared" si="57"/>
        <v>0</v>
      </c>
      <c r="G463" s="623">
        <f t="shared" si="58"/>
        <v>0</v>
      </c>
      <c r="H463" s="123" t="s">
        <v>3291</v>
      </c>
      <c r="I463" s="631">
        <v>0</v>
      </c>
      <c r="J463" s="1007">
        <v>0</v>
      </c>
      <c r="K463" s="1007">
        <v>0</v>
      </c>
      <c r="L463" s="632">
        <v>0</v>
      </c>
      <c r="M463" s="643">
        <v>0</v>
      </c>
      <c r="N463" s="1008">
        <v>0</v>
      </c>
      <c r="O463" s="1008">
        <v>0</v>
      </c>
      <c r="P463" s="644">
        <f t="shared" ref="P463" si="59">O463*1.01</f>
        <v>0</v>
      </c>
    </row>
    <row r="464" spans="2:16" ht="12" customHeight="1">
      <c r="B464">
        <v>13</v>
      </c>
      <c r="C464" t="str">
        <f t="shared" si="55"/>
        <v>Program 13</v>
      </c>
      <c r="E464" s="624" t="b">
        <f>INDEX(decSpecProg13Chosen,1)</f>
        <v>0</v>
      </c>
      <c r="F464" s="623">
        <f t="shared" si="57"/>
        <v>0</v>
      </c>
      <c r="G464" s="623">
        <f t="shared" si="58"/>
        <v>0</v>
      </c>
      <c r="H464" s="123" t="s">
        <v>3292</v>
      </c>
      <c r="I464" s="1062">
        <v>0</v>
      </c>
      <c r="J464" s="1063">
        <v>0</v>
      </c>
      <c r="K464" s="1063">
        <v>0</v>
      </c>
      <c r="L464" s="1064">
        <v>0</v>
      </c>
      <c r="M464" s="1065">
        <v>0</v>
      </c>
      <c r="N464" s="1066">
        <v>0</v>
      </c>
      <c r="O464" s="1066">
        <v>0</v>
      </c>
      <c r="P464" s="1067">
        <v>0</v>
      </c>
    </row>
    <row r="465" spans="2:16" ht="12" customHeight="1">
      <c r="B465">
        <v>14</v>
      </c>
      <c r="C465" t="str">
        <f t="shared" si="55"/>
        <v>Program 14</v>
      </c>
      <c r="E465" s="624" t="b">
        <f>INDEX(decSpecProg14Chosen,1)</f>
        <v>0</v>
      </c>
      <c r="F465" s="623">
        <f t="shared" si="57"/>
        <v>0</v>
      </c>
      <c r="G465" s="623">
        <f t="shared" si="58"/>
        <v>0</v>
      </c>
      <c r="H465" s="123" t="s">
        <v>3293</v>
      </c>
      <c r="I465" s="631">
        <v>0</v>
      </c>
      <c r="J465" s="1007">
        <v>0</v>
      </c>
      <c r="K465" s="1007">
        <v>0</v>
      </c>
      <c r="L465" s="632">
        <v>0</v>
      </c>
      <c r="M465" s="643">
        <v>0</v>
      </c>
      <c r="N465" s="1008">
        <v>0</v>
      </c>
      <c r="O465" s="1008">
        <v>0</v>
      </c>
      <c r="P465" s="644">
        <v>0</v>
      </c>
    </row>
    <row r="466" spans="2:16" ht="12" customHeight="1">
      <c r="B466">
        <v>15</v>
      </c>
      <c r="C466" t="str">
        <f t="shared" si="55"/>
        <v>Program 15</v>
      </c>
      <c r="E466" s="624" t="b">
        <f>INDEX(decSpecProg15Chosen,1)</f>
        <v>0</v>
      </c>
      <c r="F466" s="623">
        <f t="shared" si="57"/>
        <v>0</v>
      </c>
      <c r="G466" s="623">
        <f t="shared" si="58"/>
        <v>0</v>
      </c>
      <c r="H466" s="123" t="s">
        <v>3294</v>
      </c>
      <c r="I466" s="631">
        <v>0</v>
      </c>
      <c r="J466" s="1007">
        <v>0</v>
      </c>
      <c r="K466" s="1007">
        <v>0</v>
      </c>
      <c r="L466" s="632">
        <v>0</v>
      </c>
      <c r="M466" s="643">
        <v>0</v>
      </c>
      <c r="N466" s="1008">
        <v>0</v>
      </c>
      <c r="O466" s="1008">
        <v>0</v>
      </c>
      <c r="P466" s="644">
        <v>0</v>
      </c>
    </row>
    <row r="467" spans="2:16" ht="12" customHeight="1">
      <c r="B467">
        <v>16</v>
      </c>
      <c r="C467" t="str">
        <f t="shared" si="55"/>
        <v>Program 16</v>
      </c>
      <c r="E467" s="624" t="b">
        <f>INDEX(decSpecProg16Chosen,1)</f>
        <v>0</v>
      </c>
      <c r="F467" s="623">
        <f t="shared" si="57"/>
        <v>0</v>
      </c>
      <c r="G467" s="623">
        <f t="shared" si="58"/>
        <v>0</v>
      </c>
      <c r="H467" s="123" t="s">
        <v>3295</v>
      </c>
      <c r="I467" s="631">
        <v>0</v>
      </c>
      <c r="J467" s="1007">
        <v>0</v>
      </c>
      <c r="K467" s="1007">
        <v>0</v>
      </c>
      <c r="L467" s="632">
        <v>0</v>
      </c>
      <c r="M467" s="643">
        <v>0</v>
      </c>
      <c r="N467" s="1008">
        <v>0</v>
      </c>
      <c r="O467" s="1008">
        <v>0</v>
      </c>
      <c r="P467" s="644">
        <v>0</v>
      </c>
    </row>
    <row r="468" spans="2:16" ht="12" customHeight="1">
      <c r="B468">
        <v>17</v>
      </c>
      <c r="C468" t="str">
        <f t="shared" si="55"/>
        <v>Program 17</v>
      </c>
      <c r="E468" s="624" t="b">
        <f>INDEX(decSpecProg17Chosen,1)</f>
        <v>0</v>
      </c>
      <c r="F468" s="623">
        <f t="shared" ref="F468:F475" si="60">INDEX(I468:L468,xxYear+1)</f>
        <v>0</v>
      </c>
      <c r="G468" s="623">
        <f t="shared" ref="G468:G475" si="61">INDEX(M468:P468,xxYear+1)</f>
        <v>0</v>
      </c>
      <c r="H468" s="123" t="s">
        <v>3296</v>
      </c>
      <c r="I468" s="631">
        <v>0</v>
      </c>
      <c r="J468" s="1007">
        <v>0</v>
      </c>
      <c r="K468" s="1007">
        <v>0</v>
      </c>
      <c r="L468" s="632">
        <v>0</v>
      </c>
      <c r="M468" s="643">
        <v>0</v>
      </c>
      <c r="N468" s="1008">
        <v>0</v>
      </c>
      <c r="O468" s="1008">
        <v>0</v>
      </c>
      <c r="P468" s="644">
        <v>0</v>
      </c>
    </row>
    <row r="469" spans="2:16" ht="12" customHeight="1">
      <c r="B469">
        <v>18</v>
      </c>
      <c r="C469" t="str">
        <f t="shared" si="55"/>
        <v>Program 18</v>
      </c>
      <c r="E469" s="624" t="b">
        <f>INDEX(decSpecProg18Chosen,1)</f>
        <v>0</v>
      </c>
      <c r="F469" s="623">
        <f t="shared" si="60"/>
        <v>0</v>
      </c>
      <c r="G469" s="623">
        <f t="shared" si="61"/>
        <v>0</v>
      </c>
      <c r="H469" s="123" t="s">
        <v>3297</v>
      </c>
      <c r="I469" s="631">
        <v>0</v>
      </c>
      <c r="J469" s="1007">
        <v>0</v>
      </c>
      <c r="K469" s="1007">
        <v>0</v>
      </c>
      <c r="L469" s="632">
        <v>0</v>
      </c>
      <c r="M469" s="643">
        <v>0</v>
      </c>
      <c r="N469" s="1008">
        <v>0</v>
      </c>
      <c r="O469" s="1008">
        <v>0</v>
      </c>
      <c r="P469" s="644">
        <v>0</v>
      </c>
    </row>
    <row r="470" spans="2:16" ht="12" customHeight="1">
      <c r="B470">
        <v>19</v>
      </c>
      <c r="C470" t="str">
        <f t="shared" si="55"/>
        <v>Program 19</v>
      </c>
      <c r="E470" s="624" t="b">
        <f>INDEX(decSpecProg19Chosen,1)</f>
        <v>0</v>
      </c>
      <c r="F470" s="623">
        <f t="shared" si="60"/>
        <v>0</v>
      </c>
      <c r="G470" s="623">
        <f t="shared" si="61"/>
        <v>0</v>
      </c>
      <c r="H470" s="123" t="s">
        <v>3298</v>
      </c>
      <c r="I470" s="631">
        <v>0</v>
      </c>
      <c r="J470" s="1007">
        <v>0</v>
      </c>
      <c r="K470" s="1007">
        <v>0</v>
      </c>
      <c r="L470" s="632">
        <v>0</v>
      </c>
      <c r="M470" s="643">
        <v>0</v>
      </c>
      <c r="N470" s="1008">
        <v>0</v>
      </c>
      <c r="O470" s="1008">
        <v>0</v>
      </c>
      <c r="P470" s="644">
        <v>0</v>
      </c>
    </row>
    <row r="471" spans="2:16" ht="12" customHeight="1">
      <c r="B471">
        <v>20</v>
      </c>
      <c r="C471" t="str">
        <f t="shared" si="55"/>
        <v>Program 20</v>
      </c>
      <c r="E471" s="624" t="b">
        <f>INDEX(decSpecProg20Chosen,1)</f>
        <v>0</v>
      </c>
      <c r="F471" s="623">
        <f t="shared" si="60"/>
        <v>0</v>
      </c>
      <c r="G471" s="623">
        <f t="shared" si="61"/>
        <v>0</v>
      </c>
      <c r="H471" s="123" t="s">
        <v>3299</v>
      </c>
      <c r="I471" s="631">
        <v>0</v>
      </c>
      <c r="J471" s="1007">
        <v>0</v>
      </c>
      <c r="K471" s="1007">
        <v>0</v>
      </c>
      <c r="L471" s="632">
        <v>0</v>
      </c>
      <c r="M471" s="643">
        <v>0</v>
      </c>
      <c r="N471" s="1008">
        <v>0</v>
      </c>
      <c r="O471" s="1008">
        <v>0</v>
      </c>
      <c r="P471" s="644">
        <f t="shared" ref="P471" si="62">O471*1.01</f>
        <v>0</v>
      </c>
    </row>
    <row r="472" spans="2:16" ht="12" customHeight="1">
      <c r="B472">
        <v>21</v>
      </c>
      <c r="C472" t="str">
        <f t="shared" si="55"/>
        <v>Program 21</v>
      </c>
      <c r="E472" s="624" t="b">
        <f>INDEX(decSpecProg21Chosen,1)</f>
        <v>0</v>
      </c>
      <c r="F472" s="623">
        <f t="shared" si="60"/>
        <v>0</v>
      </c>
      <c r="G472" s="623">
        <f t="shared" si="61"/>
        <v>0</v>
      </c>
      <c r="H472" s="123" t="s">
        <v>3300</v>
      </c>
      <c r="I472" s="1062">
        <v>0</v>
      </c>
      <c r="J472" s="1063">
        <v>0</v>
      </c>
      <c r="K472" s="1063">
        <v>0</v>
      </c>
      <c r="L472" s="1064">
        <v>0</v>
      </c>
      <c r="M472" s="1065">
        <v>0</v>
      </c>
      <c r="N472" s="1066">
        <v>0</v>
      </c>
      <c r="O472" s="1066">
        <v>0</v>
      </c>
      <c r="P472" s="1067">
        <v>0</v>
      </c>
    </row>
    <row r="473" spans="2:16" ht="12" customHeight="1">
      <c r="B473">
        <v>22</v>
      </c>
      <c r="C473" t="str">
        <f t="shared" si="55"/>
        <v>Program 22</v>
      </c>
      <c r="E473" s="624" t="b">
        <f>INDEX(decSpecProg22Chosen,1)</f>
        <v>0</v>
      </c>
      <c r="F473" s="623">
        <f t="shared" si="60"/>
        <v>0</v>
      </c>
      <c r="G473" s="623">
        <f t="shared" si="61"/>
        <v>0</v>
      </c>
      <c r="H473" s="123" t="s">
        <v>3301</v>
      </c>
      <c r="I473" s="631">
        <v>0</v>
      </c>
      <c r="J473" s="1007">
        <v>0</v>
      </c>
      <c r="K473" s="1007">
        <v>0</v>
      </c>
      <c r="L473" s="632">
        <v>0</v>
      </c>
      <c r="M473" s="643">
        <v>0</v>
      </c>
      <c r="N473" s="1008">
        <v>0</v>
      </c>
      <c r="O473" s="1008">
        <v>0</v>
      </c>
      <c r="P473" s="644">
        <v>0</v>
      </c>
    </row>
    <row r="474" spans="2:16" ht="12" customHeight="1">
      <c r="B474">
        <v>23</v>
      </c>
      <c r="C474" t="str">
        <f t="shared" si="55"/>
        <v>Program 23</v>
      </c>
      <c r="E474" s="624" t="b">
        <f>INDEX(decSpecProg23Chosen,1)</f>
        <v>0</v>
      </c>
      <c r="F474" s="623">
        <f t="shared" si="60"/>
        <v>0</v>
      </c>
      <c r="G474" s="623">
        <f t="shared" si="61"/>
        <v>0</v>
      </c>
      <c r="H474" s="123" t="s">
        <v>3302</v>
      </c>
      <c r="I474" s="631">
        <v>0</v>
      </c>
      <c r="J474" s="1007">
        <v>0</v>
      </c>
      <c r="K474" s="1007">
        <v>0</v>
      </c>
      <c r="L474" s="632">
        <v>0</v>
      </c>
      <c r="M474" s="643">
        <v>0</v>
      </c>
      <c r="N474" s="1008">
        <v>0</v>
      </c>
      <c r="O474" s="1008">
        <v>0</v>
      </c>
      <c r="P474" s="644">
        <v>0</v>
      </c>
    </row>
    <row r="475" spans="2:16" ht="12" customHeight="1">
      <c r="B475">
        <v>24</v>
      </c>
      <c r="C475" t="str">
        <f t="shared" si="55"/>
        <v>Program 24</v>
      </c>
      <c r="E475" s="624" t="b">
        <f>INDEX(decSpecProg24Chosen,1)</f>
        <v>0</v>
      </c>
      <c r="F475" s="623">
        <f t="shared" si="60"/>
        <v>0</v>
      </c>
      <c r="G475" s="623">
        <f t="shared" si="61"/>
        <v>0</v>
      </c>
      <c r="H475" s="123" t="s">
        <v>3303</v>
      </c>
      <c r="I475" s="631">
        <v>0</v>
      </c>
      <c r="J475" s="1007">
        <v>0</v>
      </c>
      <c r="K475" s="1007">
        <v>0</v>
      </c>
      <c r="L475" s="632">
        <v>0</v>
      </c>
      <c r="M475" s="643">
        <v>0</v>
      </c>
      <c r="N475" s="1008">
        <v>0</v>
      </c>
      <c r="O475" s="1008">
        <v>0</v>
      </c>
      <c r="P475" s="644">
        <v>0</v>
      </c>
    </row>
    <row r="476" spans="2:16" ht="12" customHeight="1">
      <c r="C476" s="3" t="s">
        <v>3170</v>
      </c>
      <c r="E476" s="623"/>
      <c r="F476" s="623"/>
      <c r="G476" s="623"/>
      <c r="I476" s="1056"/>
      <c r="J476" s="1057"/>
      <c r="K476" s="1057"/>
      <c r="L476" s="1058"/>
      <c r="M476" s="1059"/>
      <c r="N476" s="1060"/>
      <c r="O476" s="1060"/>
      <c r="P476" s="1061"/>
    </row>
    <row r="477" spans="2:16" ht="12" customHeight="1">
      <c r="B477">
        <v>101</v>
      </c>
      <c r="C477" t="str">
        <f>"Event " &amp;B477</f>
        <v>Event 101</v>
      </c>
      <c r="E477" s="624" t="b">
        <f>INDEX(decEvent101Chosen,1)</f>
        <v>0</v>
      </c>
      <c r="F477" s="623">
        <f t="shared" ref="F477:F500" si="63">INDEX(I477:L477,xxYear+1)</f>
        <v>0</v>
      </c>
      <c r="G477" s="623">
        <f t="shared" ref="G477:G500" si="64">INDEX(M477:P477,xxYear+1)</f>
        <v>0</v>
      </c>
      <c r="H477" s="123" t="s">
        <v>3304</v>
      </c>
      <c r="I477" s="631">
        <v>0</v>
      </c>
      <c r="J477" s="1007">
        <v>0</v>
      </c>
      <c r="K477" s="1007">
        <v>0</v>
      </c>
      <c r="L477" s="632">
        <v>0</v>
      </c>
      <c r="M477" s="643">
        <v>0</v>
      </c>
      <c r="N477" s="1008">
        <v>0</v>
      </c>
      <c r="O477" s="1008">
        <v>0</v>
      </c>
      <c r="P477" s="644">
        <v>0</v>
      </c>
    </row>
    <row r="478" spans="2:16" ht="12" customHeight="1">
      <c r="B478">
        <v>102</v>
      </c>
      <c r="C478" t="str">
        <f t="shared" ref="C478:C501" si="65">"Event " &amp;B478</f>
        <v>Event 102</v>
      </c>
      <c r="E478" s="624" t="b">
        <f>INDEX(decEvent102Chosen,1)</f>
        <v>0</v>
      </c>
      <c r="F478" s="623">
        <f t="shared" si="63"/>
        <v>0</v>
      </c>
      <c r="G478" s="623">
        <f t="shared" si="64"/>
        <v>0</v>
      </c>
      <c r="H478" s="123" t="s">
        <v>3305</v>
      </c>
      <c r="I478" s="631">
        <v>0</v>
      </c>
      <c r="J478" s="1007">
        <v>0</v>
      </c>
      <c r="K478" s="1007">
        <v>0</v>
      </c>
      <c r="L478" s="632">
        <v>0</v>
      </c>
      <c r="M478" s="643">
        <v>0</v>
      </c>
      <c r="N478" s="1008">
        <v>0</v>
      </c>
      <c r="O478" s="1008">
        <v>0</v>
      </c>
      <c r="P478" s="644">
        <v>0</v>
      </c>
    </row>
    <row r="479" spans="2:16" ht="12" customHeight="1">
      <c r="B479">
        <v>103</v>
      </c>
      <c r="C479" t="str">
        <f t="shared" si="65"/>
        <v>Event 103</v>
      </c>
      <c r="E479" s="624" t="b">
        <f>INDEX(decEvent103Chosen,1)</f>
        <v>0</v>
      </c>
      <c r="F479" s="623">
        <f t="shared" si="63"/>
        <v>0</v>
      </c>
      <c r="G479" s="623">
        <f t="shared" si="64"/>
        <v>0</v>
      </c>
      <c r="H479" s="123" t="s">
        <v>3306</v>
      </c>
      <c r="I479" s="631">
        <v>0</v>
      </c>
      <c r="J479" s="1007">
        <v>0</v>
      </c>
      <c r="K479" s="1007">
        <v>0</v>
      </c>
      <c r="L479" s="632">
        <v>0</v>
      </c>
      <c r="M479" s="643">
        <v>0</v>
      </c>
      <c r="N479" s="1008">
        <v>0</v>
      </c>
      <c r="O479" s="1008">
        <v>0</v>
      </c>
      <c r="P479" s="644">
        <v>0</v>
      </c>
    </row>
    <row r="480" spans="2:16" ht="12" customHeight="1">
      <c r="B480">
        <v>201</v>
      </c>
      <c r="C480" t="str">
        <f t="shared" si="65"/>
        <v>Event 201</v>
      </c>
      <c r="E480" s="624" t="b">
        <f>INDEX(decEvent201Chosen,1)</f>
        <v>0</v>
      </c>
      <c r="F480" s="623">
        <f t="shared" si="63"/>
        <v>0</v>
      </c>
      <c r="G480" s="623">
        <f t="shared" si="64"/>
        <v>0</v>
      </c>
      <c r="H480" s="123" t="s">
        <v>3307</v>
      </c>
      <c r="I480" s="631">
        <v>0</v>
      </c>
      <c r="J480" s="1007">
        <v>0</v>
      </c>
      <c r="K480" s="1007">
        <v>0</v>
      </c>
      <c r="L480" s="632">
        <v>0</v>
      </c>
      <c r="M480" s="643">
        <v>0</v>
      </c>
      <c r="N480" s="1008">
        <v>0</v>
      </c>
      <c r="O480" s="1008">
        <v>0</v>
      </c>
      <c r="P480" s="644">
        <f t="shared" ref="P480" si="66">O480*1.01</f>
        <v>0</v>
      </c>
    </row>
    <row r="481" spans="2:16" ht="12" customHeight="1">
      <c r="B481">
        <v>202</v>
      </c>
      <c r="C481" t="str">
        <f t="shared" si="65"/>
        <v>Event 202</v>
      </c>
      <c r="E481" s="624" t="b">
        <f>INDEX(decEvent202Chosen,1)</f>
        <v>0</v>
      </c>
      <c r="F481" s="623">
        <f t="shared" si="63"/>
        <v>0</v>
      </c>
      <c r="G481" s="623">
        <f t="shared" si="64"/>
        <v>0</v>
      </c>
      <c r="H481" s="123" t="s">
        <v>3308</v>
      </c>
      <c r="I481" s="1062">
        <v>0</v>
      </c>
      <c r="J481" s="1063">
        <v>0</v>
      </c>
      <c r="K481" s="1063">
        <v>0</v>
      </c>
      <c r="L481" s="1064">
        <v>0</v>
      </c>
      <c r="M481" s="1065">
        <v>0</v>
      </c>
      <c r="N481" s="1066">
        <v>0</v>
      </c>
      <c r="O481" s="1066">
        <v>0</v>
      </c>
      <c r="P481" s="1067">
        <v>0</v>
      </c>
    </row>
    <row r="482" spans="2:16" ht="12" customHeight="1">
      <c r="B482">
        <v>203</v>
      </c>
      <c r="C482" t="str">
        <f t="shared" si="65"/>
        <v>Event 203</v>
      </c>
      <c r="E482" s="624" t="b">
        <f>INDEX(decEvent203Chosen,1)</f>
        <v>0</v>
      </c>
      <c r="F482" s="623">
        <f t="shared" si="63"/>
        <v>0</v>
      </c>
      <c r="G482" s="623">
        <f t="shared" si="64"/>
        <v>0</v>
      </c>
      <c r="H482" s="123" t="s">
        <v>3309</v>
      </c>
      <c r="I482" s="631">
        <v>0</v>
      </c>
      <c r="J482" s="1007">
        <v>0</v>
      </c>
      <c r="K482" s="1007">
        <v>0</v>
      </c>
      <c r="L482" s="632">
        <v>0</v>
      </c>
      <c r="M482" s="643">
        <v>0</v>
      </c>
      <c r="N482" s="1008">
        <v>0</v>
      </c>
      <c r="O482" s="1008">
        <v>0</v>
      </c>
      <c r="P482" s="644">
        <v>0</v>
      </c>
    </row>
    <row r="483" spans="2:16" ht="12" customHeight="1">
      <c r="B483">
        <v>301</v>
      </c>
      <c r="C483" t="str">
        <f t="shared" si="65"/>
        <v>Event 301</v>
      </c>
      <c r="E483" s="624" t="b">
        <f>INDEX(decEvent301Chosen,1)</f>
        <v>0</v>
      </c>
      <c r="F483" s="623">
        <f t="shared" si="63"/>
        <v>0</v>
      </c>
      <c r="G483" s="623">
        <f t="shared" si="64"/>
        <v>0</v>
      </c>
      <c r="H483" s="123" t="s">
        <v>3310</v>
      </c>
      <c r="I483" s="631">
        <v>0</v>
      </c>
      <c r="J483" s="1007">
        <v>0</v>
      </c>
      <c r="K483" s="1007">
        <v>0</v>
      </c>
      <c r="L483" s="632">
        <v>0</v>
      </c>
      <c r="M483" s="643">
        <v>0</v>
      </c>
      <c r="N483" s="1008">
        <v>0</v>
      </c>
      <c r="O483" s="1008">
        <v>0</v>
      </c>
      <c r="P483" s="644">
        <v>0</v>
      </c>
    </row>
    <row r="484" spans="2:16" ht="12" customHeight="1">
      <c r="B484">
        <v>302</v>
      </c>
      <c r="C484" t="str">
        <f t="shared" si="65"/>
        <v>Event 302</v>
      </c>
      <c r="E484" s="624" t="b">
        <f>INDEX(decEvent302Chosen,1)</f>
        <v>0</v>
      </c>
      <c r="F484" s="623">
        <f t="shared" si="63"/>
        <v>0</v>
      </c>
      <c r="G484" s="623">
        <f t="shared" si="64"/>
        <v>0</v>
      </c>
      <c r="H484" s="123" t="s">
        <v>3311</v>
      </c>
      <c r="I484" s="631">
        <v>0</v>
      </c>
      <c r="J484" s="1007">
        <v>0</v>
      </c>
      <c r="K484" s="1007">
        <v>0</v>
      </c>
      <c r="L484" s="632">
        <v>0</v>
      </c>
      <c r="M484" s="643">
        <v>0</v>
      </c>
      <c r="N484" s="1008">
        <v>0</v>
      </c>
      <c r="O484" s="1008">
        <v>0</v>
      </c>
      <c r="P484" s="644">
        <v>0</v>
      </c>
    </row>
    <row r="485" spans="2:16" ht="12" customHeight="1">
      <c r="B485">
        <v>401</v>
      </c>
      <c r="C485" t="str">
        <f t="shared" si="65"/>
        <v>Event 401</v>
      </c>
      <c r="E485" s="624" t="b">
        <f>INDEX(decEvent401Chosen,1)</f>
        <v>0</v>
      </c>
      <c r="F485" s="623">
        <f t="shared" si="63"/>
        <v>0</v>
      </c>
      <c r="G485" s="623">
        <f t="shared" si="64"/>
        <v>0</v>
      </c>
      <c r="H485" s="123" t="s">
        <v>3312</v>
      </c>
      <c r="I485" s="631">
        <v>0</v>
      </c>
      <c r="J485" s="1007">
        <v>0</v>
      </c>
      <c r="K485" s="1007">
        <v>0</v>
      </c>
      <c r="L485" s="632">
        <v>0</v>
      </c>
      <c r="M485" s="643">
        <v>0</v>
      </c>
      <c r="N485" s="1008">
        <v>0</v>
      </c>
      <c r="O485" s="1008">
        <v>0</v>
      </c>
      <c r="P485" s="644">
        <v>0</v>
      </c>
    </row>
    <row r="486" spans="2:16" ht="12" customHeight="1">
      <c r="B486">
        <v>402</v>
      </c>
      <c r="C486" t="str">
        <f t="shared" si="65"/>
        <v>Event 402</v>
      </c>
      <c r="E486" s="624" t="b">
        <f>INDEX(decEvent402Chosen,1)</f>
        <v>0</v>
      </c>
      <c r="F486" s="623">
        <f t="shared" si="63"/>
        <v>0</v>
      </c>
      <c r="G486" s="623">
        <f t="shared" si="64"/>
        <v>0</v>
      </c>
      <c r="H486" s="123" t="s">
        <v>3313</v>
      </c>
      <c r="I486" s="631">
        <v>0</v>
      </c>
      <c r="J486" s="1007">
        <v>0</v>
      </c>
      <c r="K486" s="1007">
        <v>0</v>
      </c>
      <c r="L486" s="632">
        <v>0</v>
      </c>
      <c r="M486" s="643">
        <v>0</v>
      </c>
      <c r="N486" s="1008">
        <v>0</v>
      </c>
      <c r="O486" s="1008">
        <v>0</v>
      </c>
      <c r="P486" s="644">
        <v>0</v>
      </c>
    </row>
    <row r="487" spans="2:16" ht="12" customHeight="1">
      <c r="B487">
        <v>403</v>
      </c>
      <c r="C487" t="str">
        <f t="shared" si="65"/>
        <v>Event 403</v>
      </c>
      <c r="E487" s="624" t="b">
        <f>INDEX(decEvent403Chosen,1)</f>
        <v>0</v>
      </c>
      <c r="F487" s="623">
        <f t="shared" si="63"/>
        <v>0</v>
      </c>
      <c r="G487" s="623">
        <f t="shared" si="64"/>
        <v>0</v>
      </c>
      <c r="H487" s="123" t="s">
        <v>3314</v>
      </c>
      <c r="I487" s="631">
        <v>0</v>
      </c>
      <c r="J487" s="1007">
        <v>0</v>
      </c>
      <c r="K487" s="1007">
        <v>0</v>
      </c>
      <c r="L487" s="632">
        <v>0</v>
      </c>
      <c r="M487" s="643">
        <v>0</v>
      </c>
      <c r="N487" s="1008">
        <v>0</v>
      </c>
      <c r="O487" s="1008">
        <v>0</v>
      </c>
      <c r="P487" s="644">
        <v>0</v>
      </c>
    </row>
    <row r="488" spans="2:16" ht="12" customHeight="1">
      <c r="B488">
        <v>501</v>
      </c>
      <c r="C488" t="str">
        <f t="shared" si="65"/>
        <v>Event 501</v>
      </c>
      <c r="E488" s="624" t="b">
        <f>INDEX(decEvent501Chosen,1)</f>
        <v>0</v>
      </c>
      <c r="F488" s="623">
        <f t="shared" si="63"/>
        <v>0</v>
      </c>
      <c r="G488" s="623">
        <f t="shared" si="64"/>
        <v>0</v>
      </c>
      <c r="H488" s="123" t="s">
        <v>3315</v>
      </c>
      <c r="I488" s="631">
        <v>0</v>
      </c>
      <c r="J488" s="1007">
        <v>0</v>
      </c>
      <c r="K488" s="1007">
        <v>0</v>
      </c>
      <c r="L488" s="632">
        <v>0</v>
      </c>
      <c r="M488" s="643">
        <v>0</v>
      </c>
      <c r="N488" s="1008">
        <v>0</v>
      </c>
      <c r="O488" s="1008">
        <v>0</v>
      </c>
      <c r="P488" s="644">
        <f t="shared" ref="P488" si="67">O488*1.01</f>
        <v>0</v>
      </c>
    </row>
    <row r="489" spans="2:16" ht="12" customHeight="1">
      <c r="B489">
        <v>502</v>
      </c>
      <c r="C489" t="str">
        <f t="shared" si="65"/>
        <v>Event 502</v>
      </c>
      <c r="E489" s="624" t="b">
        <f>INDEX(decEvent502Chosen,1)</f>
        <v>0</v>
      </c>
      <c r="F489" s="623">
        <f t="shared" si="63"/>
        <v>0</v>
      </c>
      <c r="G489" s="623">
        <f t="shared" si="64"/>
        <v>0</v>
      </c>
      <c r="H489" s="123" t="s">
        <v>3316</v>
      </c>
      <c r="I489" s="1062">
        <v>0</v>
      </c>
      <c r="J489" s="1063">
        <v>0</v>
      </c>
      <c r="K489" s="1063">
        <v>0</v>
      </c>
      <c r="L489" s="1064">
        <v>0</v>
      </c>
      <c r="M489" s="1065">
        <v>0</v>
      </c>
      <c r="N489" s="1066">
        <v>0</v>
      </c>
      <c r="O489" s="1066">
        <v>0</v>
      </c>
      <c r="P489" s="1067">
        <v>0</v>
      </c>
    </row>
    <row r="490" spans="2:16" ht="12" customHeight="1">
      <c r="B490">
        <v>503</v>
      </c>
      <c r="C490" t="str">
        <f t="shared" si="65"/>
        <v>Event 503</v>
      </c>
      <c r="E490" s="624" t="b">
        <f>INDEX(decEvent503Chosen,1)</f>
        <v>0</v>
      </c>
      <c r="F490" s="623">
        <f t="shared" si="63"/>
        <v>0</v>
      </c>
      <c r="G490" s="623">
        <f t="shared" si="64"/>
        <v>0</v>
      </c>
      <c r="H490" s="123" t="s">
        <v>3317</v>
      </c>
      <c r="I490" s="631">
        <v>0</v>
      </c>
      <c r="J490" s="1007">
        <v>0</v>
      </c>
      <c r="K490" s="1007">
        <v>0</v>
      </c>
      <c r="L490" s="632">
        <v>0</v>
      </c>
      <c r="M490" s="643">
        <v>0</v>
      </c>
      <c r="N490" s="1008">
        <v>0</v>
      </c>
      <c r="O490" s="1008">
        <v>0</v>
      </c>
      <c r="P490" s="644">
        <v>0</v>
      </c>
    </row>
    <row r="491" spans="2:16" ht="12" customHeight="1">
      <c r="B491">
        <v>601</v>
      </c>
      <c r="C491" t="str">
        <f t="shared" si="65"/>
        <v>Event 601</v>
      </c>
      <c r="E491" s="624" t="b">
        <f>INDEX(decEvent601Chosen,1)</f>
        <v>0</v>
      </c>
      <c r="F491" s="623">
        <f t="shared" si="63"/>
        <v>0</v>
      </c>
      <c r="G491" s="623">
        <f t="shared" si="64"/>
        <v>0</v>
      </c>
      <c r="H491" s="123" t="s">
        <v>3318</v>
      </c>
      <c r="I491" s="631">
        <v>0</v>
      </c>
      <c r="J491" s="1007">
        <v>0</v>
      </c>
      <c r="K491" s="1007">
        <v>0</v>
      </c>
      <c r="L491" s="632">
        <v>0</v>
      </c>
      <c r="M491" s="643">
        <v>0</v>
      </c>
      <c r="N491" s="1008">
        <v>0</v>
      </c>
      <c r="O491" s="1008">
        <v>0</v>
      </c>
      <c r="P491" s="644">
        <v>0</v>
      </c>
    </row>
    <row r="492" spans="2:16" ht="12" customHeight="1">
      <c r="B492">
        <v>602</v>
      </c>
      <c r="C492" t="str">
        <f t="shared" si="65"/>
        <v>Event 602</v>
      </c>
      <c r="E492" s="624" t="b">
        <f>INDEX(decEvent602Chosen,1)</f>
        <v>0</v>
      </c>
      <c r="F492" s="623">
        <f t="shared" si="63"/>
        <v>0</v>
      </c>
      <c r="G492" s="623">
        <f t="shared" si="64"/>
        <v>0</v>
      </c>
      <c r="H492" s="123" t="s">
        <v>3319</v>
      </c>
      <c r="I492" s="631">
        <v>0</v>
      </c>
      <c r="J492" s="1007">
        <v>0</v>
      </c>
      <c r="K492" s="1007">
        <v>0</v>
      </c>
      <c r="L492" s="632">
        <v>0</v>
      </c>
      <c r="M492" s="643">
        <v>0</v>
      </c>
      <c r="N492" s="1008">
        <v>0</v>
      </c>
      <c r="O492" s="1008">
        <v>0</v>
      </c>
      <c r="P492" s="644">
        <v>0</v>
      </c>
    </row>
    <row r="493" spans="2:16" ht="12" customHeight="1">
      <c r="B493">
        <v>603</v>
      </c>
      <c r="C493" t="str">
        <f t="shared" si="65"/>
        <v>Event 603</v>
      </c>
      <c r="E493" s="624" t="b">
        <f>INDEX(decEvent603Chosen,1)</f>
        <v>0</v>
      </c>
      <c r="F493" s="623">
        <f t="shared" si="63"/>
        <v>0</v>
      </c>
      <c r="G493" s="623">
        <f t="shared" si="64"/>
        <v>0</v>
      </c>
      <c r="H493" s="123" t="s">
        <v>3320</v>
      </c>
      <c r="I493" s="631">
        <v>0</v>
      </c>
      <c r="J493" s="1007">
        <v>0</v>
      </c>
      <c r="K493" s="1007">
        <v>0</v>
      </c>
      <c r="L493" s="632">
        <v>0</v>
      </c>
      <c r="M493" s="643">
        <v>0</v>
      </c>
      <c r="N493" s="1008">
        <v>0</v>
      </c>
      <c r="O493" s="1008">
        <v>0</v>
      </c>
      <c r="P493" s="644">
        <v>0</v>
      </c>
    </row>
    <row r="494" spans="2:16" ht="12" customHeight="1">
      <c r="B494">
        <v>701</v>
      </c>
      <c r="C494" t="str">
        <f t="shared" si="65"/>
        <v>Event 701</v>
      </c>
      <c r="E494" s="624" t="b">
        <f>INDEX(decEvent701Chosen,1)</f>
        <v>0</v>
      </c>
      <c r="F494" s="623">
        <f t="shared" si="63"/>
        <v>0</v>
      </c>
      <c r="G494" s="623">
        <f t="shared" si="64"/>
        <v>0</v>
      </c>
      <c r="H494" s="123" t="s">
        <v>3321</v>
      </c>
      <c r="I494" s="631">
        <v>0</v>
      </c>
      <c r="J494" s="1007">
        <v>0</v>
      </c>
      <c r="K494" s="1007">
        <v>0</v>
      </c>
      <c r="L494" s="632">
        <v>0</v>
      </c>
      <c r="M494" s="643">
        <v>0</v>
      </c>
      <c r="N494" s="1008">
        <v>0</v>
      </c>
      <c r="O494" s="1008">
        <v>0</v>
      </c>
      <c r="P494" s="644">
        <v>0</v>
      </c>
    </row>
    <row r="495" spans="2:16" ht="12" customHeight="1">
      <c r="B495">
        <v>702</v>
      </c>
      <c r="C495" t="str">
        <f t="shared" si="65"/>
        <v>Event 702</v>
      </c>
      <c r="E495" s="624" t="b">
        <f>INDEX(decEvent702Chosen,1)</f>
        <v>0</v>
      </c>
      <c r="F495" s="623">
        <f t="shared" si="63"/>
        <v>0</v>
      </c>
      <c r="G495" s="623">
        <f t="shared" si="64"/>
        <v>0</v>
      </c>
      <c r="H495" s="123" t="s">
        <v>3322</v>
      </c>
      <c r="I495" s="631">
        <v>0</v>
      </c>
      <c r="J495" s="1007">
        <v>0</v>
      </c>
      <c r="K495" s="1007">
        <v>0</v>
      </c>
      <c r="L495" s="632">
        <v>0</v>
      </c>
      <c r="M495" s="643">
        <v>0</v>
      </c>
      <c r="N495" s="1008">
        <v>0</v>
      </c>
      <c r="O495" s="1008">
        <v>0</v>
      </c>
      <c r="P495" s="644">
        <v>0</v>
      </c>
    </row>
    <row r="496" spans="2:16" ht="12" customHeight="1">
      <c r="B496">
        <v>703</v>
      </c>
      <c r="C496" t="str">
        <f t="shared" si="65"/>
        <v>Event 703</v>
      </c>
      <c r="E496" s="624" t="b">
        <f>INDEX(decEvent703Chosen,1)</f>
        <v>0</v>
      </c>
      <c r="F496" s="623">
        <f t="shared" si="63"/>
        <v>0</v>
      </c>
      <c r="G496" s="623">
        <f t="shared" si="64"/>
        <v>0</v>
      </c>
      <c r="H496" s="123" t="s">
        <v>3323</v>
      </c>
      <c r="I496" s="631">
        <v>0</v>
      </c>
      <c r="J496" s="1007">
        <v>0</v>
      </c>
      <c r="K496" s="1007">
        <v>0</v>
      </c>
      <c r="L496" s="632">
        <v>0</v>
      </c>
      <c r="M496" s="643">
        <v>0</v>
      </c>
      <c r="N496" s="1008">
        <v>0</v>
      </c>
      <c r="O496" s="1008">
        <v>0</v>
      </c>
      <c r="P496" s="644">
        <f t="shared" ref="P496" si="68">O496*1.01</f>
        <v>0</v>
      </c>
    </row>
    <row r="497" spans="2:16" ht="12" customHeight="1">
      <c r="B497">
        <v>801</v>
      </c>
      <c r="C497" t="str">
        <f t="shared" si="65"/>
        <v>Event 801</v>
      </c>
      <c r="E497" s="624" t="b">
        <f>INDEX(decEvent801Chosen,1)</f>
        <v>0</v>
      </c>
      <c r="F497" s="623">
        <f t="shared" si="63"/>
        <v>0</v>
      </c>
      <c r="G497" s="623">
        <f t="shared" si="64"/>
        <v>0</v>
      </c>
      <c r="H497" s="123" t="s">
        <v>3324</v>
      </c>
      <c r="I497" s="1062">
        <v>0</v>
      </c>
      <c r="J497" s="1063">
        <v>0</v>
      </c>
      <c r="K497" s="1063">
        <v>0</v>
      </c>
      <c r="L497" s="1064">
        <v>0</v>
      </c>
      <c r="M497" s="1065">
        <v>0</v>
      </c>
      <c r="N497" s="1066">
        <v>0</v>
      </c>
      <c r="O497" s="1066">
        <v>0</v>
      </c>
      <c r="P497" s="1067">
        <v>0</v>
      </c>
    </row>
    <row r="498" spans="2:16" ht="12" customHeight="1">
      <c r="B498">
        <v>802</v>
      </c>
      <c r="C498" t="str">
        <f t="shared" si="65"/>
        <v>Event 802</v>
      </c>
      <c r="E498" s="624" t="b">
        <f>INDEX(decEvent802Chosen,1)</f>
        <v>0</v>
      </c>
      <c r="F498" s="623">
        <f t="shared" si="63"/>
        <v>0</v>
      </c>
      <c r="G498" s="623">
        <f t="shared" si="64"/>
        <v>0</v>
      </c>
      <c r="H498" s="123" t="s">
        <v>3325</v>
      </c>
      <c r="I498" s="631">
        <v>0</v>
      </c>
      <c r="J498" s="1007">
        <v>0</v>
      </c>
      <c r="K498" s="1007">
        <v>0</v>
      </c>
      <c r="L498" s="632">
        <v>0</v>
      </c>
      <c r="M498" s="643">
        <v>0</v>
      </c>
      <c r="N498" s="1008">
        <v>0</v>
      </c>
      <c r="O498" s="1008">
        <v>0</v>
      </c>
      <c r="P498" s="644">
        <v>0</v>
      </c>
    </row>
    <row r="499" spans="2:16" ht="12" customHeight="1">
      <c r="B499">
        <v>803</v>
      </c>
      <c r="C499" t="str">
        <f t="shared" si="65"/>
        <v>Event 803</v>
      </c>
      <c r="E499" s="624" t="b">
        <f>INDEX(decEvent803Chosen,1)</f>
        <v>0</v>
      </c>
      <c r="F499" s="623">
        <f t="shared" si="63"/>
        <v>0</v>
      </c>
      <c r="G499" s="623">
        <f t="shared" si="64"/>
        <v>0</v>
      </c>
      <c r="H499" s="123" t="s">
        <v>3326</v>
      </c>
      <c r="I499" s="631">
        <v>0</v>
      </c>
      <c r="J499" s="1007">
        <v>0</v>
      </c>
      <c r="K499" s="1007">
        <v>0</v>
      </c>
      <c r="L499" s="632">
        <v>0</v>
      </c>
      <c r="M499" s="643">
        <v>0</v>
      </c>
      <c r="N499" s="1008">
        <v>0</v>
      </c>
      <c r="O499" s="1008">
        <v>0</v>
      </c>
      <c r="P499" s="644">
        <v>0</v>
      </c>
    </row>
    <row r="500" spans="2:16" ht="12" customHeight="1">
      <c r="B500">
        <v>901</v>
      </c>
      <c r="C500" t="str">
        <f t="shared" si="65"/>
        <v>Event 901</v>
      </c>
      <c r="E500" s="624" t="b">
        <f>INDEX(decEvent901Chosen,1)</f>
        <v>0</v>
      </c>
      <c r="F500" s="623">
        <f t="shared" si="63"/>
        <v>0</v>
      </c>
      <c r="G500" s="623">
        <f t="shared" si="64"/>
        <v>0</v>
      </c>
      <c r="H500" s="123" t="s">
        <v>3327</v>
      </c>
      <c r="I500" s="631">
        <v>0</v>
      </c>
      <c r="J500" s="1007">
        <v>0</v>
      </c>
      <c r="K500" s="1007">
        <v>0</v>
      </c>
      <c r="L500" s="632">
        <v>0</v>
      </c>
      <c r="M500" s="643">
        <v>0</v>
      </c>
      <c r="N500" s="1008">
        <v>0</v>
      </c>
      <c r="O500" s="1008">
        <v>0</v>
      </c>
      <c r="P500" s="644">
        <v>0</v>
      </c>
    </row>
    <row r="501" spans="2:16" ht="12" customHeight="1">
      <c r="B501">
        <v>902</v>
      </c>
      <c r="C501" t="str">
        <f t="shared" si="65"/>
        <v>Event 902</v>
      </c>
      <c r="E501" s="624" t="b">
        <f>INDEX(decEvent902Chosen,1)</f>
        <v>0</v>
      </c>
      <c r="F501" s="623">
        <f t="shared" ref="F501" si="69">INDEX(I501:L501,xxYear+1)</f>
        <v>0</v>
      </c>
      <c r="G501" s="623">
        <f t="shared" ref="G501" si="70">INDEX(M501:P501,xxYear+1)</f>
        <v>0</v>
      </c>
      <c r="H501" s="123" t="s">
        <v>3328</v>
      </c>
      <c r="I501" s="631">
        <v>0</v>
      </c>
      <c r="J501" s="1007">
        <v>0</v>
      </c>
      <c r="K501" s="1007">
        <v>0</v>
      </c>
      <c r="L501" s="632">
        <v>0</v>
      </c>
      <c r="M501" s="643">
        <v>0</v>
      </c>
      <c r="N501" s="1008">
        <v>0</v>
      </c>
      <c r="O501" s="1008">
        <v>0</v>
      </c>
      <c r="P501" s="644">
        <v>0</v>
      </c>
    </row>
    <row r="502" spans="2:16" ht="12" customHeight="1">
      <c r="C502" s="565" t="s">
        <v>2243</v>
      </c>
      <c r="E502" s="624" t="e">
        <f>INDEX(decWobbler1,1)</f>
        <v>#NAME?</v>
      </c>
      <c r="F502" s="623">
        <f>INDEX(I502:L502,xxYear+1)</f>
        <v>0</v>
      </c>
      <c r="G502" s="623">
        <f>INDEX(M502:P502,xxYear+1)</f>
        <v>0</v>
      </c>
      <c r="H502" s="579" t="s">
        <v>3171</v>
      </c>
      <c r="I502" s="631">
        <v>0</v>
      </c>
      <c r="J502" s="1007">
        <v>0</v>
      </c>
      <c r="K502" s="1007">
        <v>0</v>
      </c>
      <c r="L502" s="632">
        <v>0</v>
      </c>
      <c r="M502" s="643">
        <v>0</v>
      </c>
      <c r="N502" s="1008">
        <v>0</v>
      </c>
      <c r="O502" s="1008">
        <v>0</v>
      </c>
      <c r="P502" s="644">
        <v>0</v>
      </c>
    </row>
    <row r="503" spans="2:16" ht="12" customHeight="1">
      <c r="C503" s="565" t="s">
        <v>2244</v>
      </c>
      <c r="E503" s="624" t="e">
        <f>INDEX(decWobbler2,1)</f>
        <v>#NAME?</v>
      </c>
      <c r="F503" s="623">
        <f>INDEX(I503:L503,xxYear+1)</f>
        <v>0</v>
      </c>
      <c r="G503" s="623">
        <f>INDEX(M503:P503,xxYear+1)</f>
        <v>0</v>
      </c>
      <c r="H503" s="579" t="s">
        <v>3172</v>
      </c>
      <c r="I503" s="631">
        <v>0</v>
      </c>
      <c r="J503" s="1007">
        <v>0</v>
      </c>
      <c r="K503" s="1007">
        <v>0</v>
      </c>
      <c r="L503" s="632">
        <v>0</v>
      </c>
      <c r="M503" s="643">
        <v>0</v>
      </c>
      <c r="N503" s="1008">
        <v>0</v>
      </c>
      <c r="O503" s="1008">
        <v>0</v>
      </c>
      <c r="P503" s="644">
        <v>0</v>
      </c>
    </row>
    <row r="504" spans="2:16" ht="12" customHeight="1">
      <c r="C504" s="565" t="s">
        <v>2245</v>
      </c>
      <c r="E504" s="624" t="e">
        <f>INDEX(decWobbler3,1)</f>
        <v>#NAME?</v>
      </c>
      <c r="F504" s="623">
        <f>INDEX(I504:L504,xxYear+1)</f>
        <v>0</v>
      </c>
      <c r="G504" s="623">
        <f>INDEX(M504:P504,xxYear+1)</f>
        <v>0</v>
      </c>
      <c r="H504" s="579" t="s">
        <v>3173</v>
      </c>
      <c r="I504" s="631">
        <v>0</v>
      </c>
      <c r="J504" s="1007">
        <v>0</v>
      </c>
      <c r="K504" s="1007">
        <v>0</v>
      </c>
      <c r="L504" s="632">
        <v>0</v>
      </c>
      <c r="M504" s="643">
        <v>0</v>
      </c>
      <c r="N504" s="1008">
        <v>0</v>
      </c>
      <c r="O504" s="1008">
        <v>0</v>
      </c>
      <c r="P504" s="644">
        <v>0</v>
      </c>
    </row>
    <row r="505" spans="2:16" ht="12" customHeight="1" thickBot="1">
      <c r="C505" s="565" t="s">
        <v>2246</v>
      </c>
      <c r="E505" s="624" t="e">
        <f>INDEX(decWobbler4,1)</f>
        <v>#NAME?</v>
      </c>
      <c r="F505" s="623">
        <f>INDEX(I505:L505,xxYear+1)</f>
        <v>0</v>
      </c>
      <c r="G505" s="623">
        <f>INDEX(M505:P505,xxYear+1)</f>
        <v>0</v>
      </c>
      <c r="H505" s="579" t="s">
        <v>3174</v>
      </c>
      <c r="I505" s="635">
        <v>0</v>
      </c>
      <c r="J505" s="636">
        <v>0</v>
      </c>
      <c r="K505" s="636">
        <v>0</v>
      </c>
      <c r="L505" s="637">
        <v>0</v>
      </c>
      <c r="M505" s="647">
        <v>0</v>
      </c>
      <c r="N505" s="648">
        <v>0</v>
      </c>
      <c r="O505" s="648">
        <v>0</v>
      </c>
      <c r="P505" s="649">
        <f t="shared" ref="P505" si="71">O505*1.01</f>
        <v>0</v>
      </c>
    </row>
    <row r="506" spans="2:16" ht="12" customHeight="1"/>
    <row r="507" spans="2:16">
      <c r="B507" s="3" t="s">
        <v>643</v>
      </c>
      <c r="E507" s="5" t="s">
        <v>1339</v>
      </c>
      <c r="F507" s="5">
        <f>INDEX(I507:L507,xxYear+1)</f>
        <v>0</v>
      </c>
      <c r="G507" s="5">
        <f>INDEX(M507:P507,xxYear+1)</f>
        <v>0</v>
      </c>
    </row>
    <row r="508" spans="2:16">
      <c r="B508" s="4" t="str">
        <f>DataNameProd1</f>
        <v>Growth</v>
      </c>
      <c r="E508" s="12">
        <v>0.4</v>
      </c>
      <c r="F508" s="12">
        <v>0.34</v>
      </c>
      <c r="G508" s="12">
        <v>0.26</v>
      </c>
      <c r="I508" t="s">
        <v>644</v>
      </c>
    </row>
    <row r="509" spans="2:16">
      <c r="B509" t="str">
        <f>DataNameProd2</f>
        <v>Transform</v>
      </c>
      <c r="E509" s="12">
        <v>0.4</v>
      </c>
      <c r="F509" s="12">
        <v>0.34</v>
      </c>
      <c r="G509" s="12">
        <v>0.26</v>
      </c>
      <c r="I509" t="s">
        <v>645</v>
      </c>
    </row>
    <row r="511" spans="2:16">
      <c r="B511" s="3" t="s">
        <v>158</v>
      </c>
      <c r="E511" t="s">
        <v>101</v>
      </c>
      <c r="F511" t="s">
        <v>102</v>
      </c>
      <c r="G511" t="s">
        <v>103</v>
      </c>
    </row>
    <row r="512" spans="2:16">
      <c r="B512" s="4" t="str">
        <f>DataNameProd1</f>
        <v>Growth</v>
      </c>
      <c r="E512" s="15">
        <v>0</v>
      </c>
      <c r="F512" s="15">
        <v>0</v>
      </c>
      <c r="G512" s="15">
        <v>0</v>
      </c>
      <c r="I512" t="s">
        <v>159</v>
      </c>
    </row>
    <row r="513" spans="1:12">
      <c r="B513" t="str">
        <f>DataNameProd2</f>
        <v>Transform</v>
      </c>
      <c r="E513" s="15">
        <v>0</v>
      </c>
      <c r="F513" s="15">
        <v>0</v>
      </c>
      <c r="G513" s="15">
        <v>0</v>
      </c>
      <c r="I513" t="s">
        <v>160</v>
      </c>
    </row>
    <row r="514" spans="1:12">
      <c r="E514" s="15"/>
      <c r="F514" s="15"/>
      <c r="G514" s="15"/>
    </row>
    <row r="515" spans="1:12" s="566" customFormat="1" ht="15.75">
      <c r="A515" s="619" t="s">
        <v>2034</v>
      </c>
      <c r="H515" s="620"/>
    </row>
    <row r="517" spans="1:12">
      <c r="B517" s="565" t="s">
        <v>1882</v>
      </c>
    </row>
    <row r="518" spans="1:12">
      <c r="B518" t="str">
        <f>INDEX(decTeamName,2)</f>
        <v>Bloomfield</v>
      </c>
      <c r="C518" s="565" t="s">
        <v>894</v>
      </c>
      <c r="D518" s="565" t="s">
        <v>895</v>
      </c>
      <c r="G518" s="565" t="s">
        <v>903</v>
      </c>
      <c r="J518" s="565" t="s">
        <v>2613</v>
      </c>
      <c r="K518" s="565" t="s">
        <v>2638</v>
      </c>
      <c r="L518" s="565" t="s">
        <v>2639</v>
      </c>
    </row>
    <row r="519" spans="1:12">
      <c r="B519" s="565" t="s">
        <v>723</v>
      </c>
      <c r="C519" s="326">
        <f>INDEX(finPNLOperatingExp,2)</f>
        <v>2736875069.4704409</v>
      </c>
      <c r="D519" s="326">
        <f>INDEX(obalPNLOperatingExp,2)</f>
        <v>3261152846.704453</v>
      </c>
      <c r="E519" s="578"/>
      <c r="G519" t="str">
        <f>DataNameProd1</f>
        <v>Growth</v>
      </c>
      <c r="H519" s="385">
        <f>(INDEX(xxProd1Growth,4)-100)/100</f>
        <v>0.08</v>
      </c>
      <c r="I519" s="565"/>
      <c r="J519" s="719" t="s">
        <v>2568</v>
      </c>
      <c r="K519" s="578" t="s">
        <v>2614</v>
      </c>
      <c r="L519" s="565" t="s">
        <v>2640</v>
      </c>
    </row>
    <row r="520" spans="1:12">
      <c r="B520" s="565" t="s">
        <v>1883</v>
      </c>
      <c r="C520" s="326">
        <f>INDEX(finPNLDeprAmortExp,2)</f>
        <v>255954891.58086011</v>
      </c>
      <c r="D520" s="326">
        <f>INDEX(obalPNLDeprAmortExp,2)</f>
        <v>312079846.15384614</v>
      </c>
      <c r="E520" s="578"/>
      <c r="G520" t="str">
        <f>DataNameProd2</f>
        <v>Transform</v>
      </c>
      <c r="H520" s="385">
        <f>(INDEX(xxProd2Growth,4)-100)/100-0.001</f>
        <v>-1E-3</v>
      </c>
      <c r="I520" s="565"/>
      <c r="J520" s="719" t="s">
        <v>2569</v>
      </c>
      <c r="K520" s="578" t="s">
        <v>2615</v>
      </c>
      <c r="L520" s="565" t="s">
        <v>2641</v>
      </c>
    </row>
    <row r="521" spans="1:12">
      <c r="B521" s="565" t="s">
        <v>1884</v>
      </c>
      <c r="C521" s="326">
        <f>INDEX(finPNLOperatingIncome,2)</f>
        <v>919798017.25623417</v>
      </c>
      <c r="D521" s="326">
        <f>INDEX(obalPNLOperatingIncome,2)</f>
        <v>838178281.64409935</v>
      </c>
      <c r="E521" s="578"/>
      <c r="J521" s="719" t="s">
        <v>2570</v>
      </c>
      <c r="K521" s="578" t="s">
        <v>2616</v>
      </c>
    </row>
    <row r="522" spans="1:12">
      <c r="B522" s="565"/>
      <c r="C522" s="326"/>
      <c r="D522" s="326"/>
      <c r="E522" s="578"/>
      <c r="F522" s="27" t="s">
        <v>3370</v>
      </c>
      <c r="H522" t="str">
        <f>G519</f>
        <v>Growth</v>
      </c>
      <c r="I522" t="str">
        <f>G520</f>
        <v>Transform</v>
      </c>
      <c r="J522" s="719"/>
      <c r="K522" s="578"/>
    </row>
    <row r="523" spans="1:12">
      <c r="A523" s="27" t="s">
        <v>3370</v>
      </c>
      <c r="C523" s="326" t="str">
        <f>B519</f>
        <v>Expenses</v>
      </c>
      <c r="D523" s="326" t="str">
        <f>B520</f>
        <v>Depreciation &amp; Amortization</v>
      </c>
      <c r="E523" s="578" t="str">
        <f>B521</f>
        <v>Operating Profit</v>
      </c>
      <c r="G523" t="str">
        <f>G518</f>
        <v>Market Growth Year 1</v>
      </c>
      <c r="H523" s="385">
        <f>tlOutputGraphMktRepProd1Yr1</f>
        <v>0.08</v>
      </c>
      <c r="I523" s="385">
        <f>tlOutputGraphMktRepProd2Yr1</f>
        <v>-1E-3</v>
      </c>
      <c r="J523" s="719"/>
      <c r="K523" s="578"/>
    </row>
    <row r="524" spans="1:12">
      <c r="B524" s="565" t="str">
        <f>C518</f>
        <v>This Year</v>
      </c>
      <c r="C524" s="326">
        <f>tlOutputGraphComp1finPNLOperatingExp</f>
        <v>2736875069.4704409</v>
      </c>
      <c r="D524" s="326">
        <f>tlOutputGraphComp1finPNLDeprAmortExp</f>
        <v>255954891.58086011</v>
      </c>
      <c r="E524" s="578">
        <f>tlOutputGraphComp1finPNLOperatingIncome</f>
        <v>919798017.25623417</v>
      </c>
      <c r="J524" s="719"/>
      <c r="K524" s="578"/>
    </row>
    <row r="525" spans="1:12">
      <c r="B525" s="565" t="str">
        <f>D518</f>
        <v>Last Year</v>
      </c>
      <c r="C525" s="326">
        <f>tlOutputGraphComp1obalPNLOperatingExp</f>
        <v>3261152846.704453</v>
      </c>
      <c r="D525" s="326">
        <f>tlOutputGraphComp1obalPNLDeprAmortExp</f>
        <v>312079846.15384614</v>
      </c>
      <c r="E525" s="578">
        <f>tlOutputGraphComp1obalPNLOperatingIncome</f>
        <v>838178281.64409935</v>
      </c>
      <c r="J525" s="719"/>
      <c r="K525" s="578"/>
    </row>
    <row r="526" spans="1:12">
      <c r="G526" s="565" t="s">
        <v>904</v>
      </c>
      <c r="J526" s="720"/>
    </row>
    <row r="527" spans="1:12">
      <c r="B527" t="str">
        <f>INDEX(decTeamName,2) &amp; " Source of Revenue"</f>
        <v>Bloomfield Source of Revenue</v>
      </c>
      <c r="G527" t="str">
        <f>DataNameProd1</f>
        <v>Growth</v>
      </c>
      <c r="H527" s="385">
        <f>(INDEX(xxProd1Growth,5)-100)/100</f>
        <v>0.12</v>
      </c>
      <c r="I527" s="565"/>
      <c r="J527" s="720"/>
      <c r="L527" s="565" t="s">
        <v>2642</v>
      </c>
    </row>
    <row r="528" spans="1:12">
      <c r="B528" s="565" t="s">
        <v>1357</v>
      </c>
      <c r="C528" s="326">
        <f>INDEX(finPNLExistSubRev,2)</f>
        <v>3308736195.9805317</v>
      </c>
      <c r="D528" s="385">
        <f>C528/SUM($C$528:$C$529)</f>
        <v>0.92338178413471561</v>
      </c>
      <c r="G528" t="str">
        <f>DataNameProd2</f>
        <v>Transform</v>
      </c>
      <c r="H528" s="385">
        <f>(INDEX(xxProd2Growth,5)-100)/100+0.001</f>
        <v>1E-3</v>
      </c>
      <c r="I528" s="565"/>
      <c r="J528" s="719" t="s">
        <v>2571</v>
      </c>
      <c r="L528" s="565" t="s">
        <v>2643</v>
      </c>
    </row>
    <row r="529" spans="1:12">
      <c r="B529" s="565" t="s">
        <v>1356</v>
      </c>
      <c r="C529" s="326">
        <f>INDEX(finPNLNewSubRev,2)+INDEX(finPNLServiceRev,2)</f>
        <v>274544580</v>
      </c>
      <c r="D529" s="385">
        <f>C529/SUM($C$528:$C$529)</f>
        <v>7.6618215865284348E-2</v>
      </c>
      <c r="J529" s="719" t="s">
        <v>2572</v>
      </c>
    </row>
    <row r="530" spans="1:12">
      <c r="B530" s="565"/>
      <c r="C530" s="326"/>
      <c r="F530" s="27" t="s">
        <v>3370</v>
      </c>
      <c r="H530" t="str">
        <f>G527</f>
        <v>Growth</v>
      </c>
      <c r="I530" t="str">
        <f>G528</f>
        <v>Transform</v>
      </c>
      <c r="J530" s="719"/>
    </row>
    <row r="531" spans="1:12">
      <c r="A531" s="27" t="s">
        <v>3370</v>
      </c>
      <c r="B531" s="565"/>
      <c r="C531" s="326" t="str">
        <f>B528</f>
        <v>Existing Accounts</v>
      </c>
      <c r="D531" t="str">
        <f>B529</f>
        <v>New Accounts</v>
      </c>
      <c r="G531" t="str">
        <f>G526</f>
        <v>Market Growth Year 2</v>
      </c>
      <c r="J531" s="719"/>
    </row>
    <row r="532" spans="1:12">
      <c r="B532" s="565" t="str">
        <f>B527</f>
        <v>Bloomfield Source of Revenue</v>
      </c>
      <c r="C532" s="326">
        <f>tlOutputGraphComp1finPNLExistSubRev</f>
        <v>3308736195.9805317</v>
      </c>
      <c r="D532">
        <f>tlOutputGraphComp1finPNLNewSubRev_finPNLServiceRev</f>
        <v>274544580</v>
      </c>
      <c r="H532" s="385">
        <f>tlOutputGraphMktRepProd1Yr2</f>
        <v>0.12</v>
      </c>
      <c r="I532" s="385">
        <f>tlOutputGraphMktRepProd2Yr2</f>
        <v>1E-3</v>
      </c>
      <c r="J532" s="719"/>
    </row>
    <row r="533" spans="1:12">
      <c r="J533" s="720"/>
    </row>
    <row r="534" spans="1:12">
      <c r="B534" t="str">
        <f>INDEX(decTeamName,3)</f>
        <v>Nextus</v>
      </c>
      <c r="C534" s="565" t="s">
        <v>894</v>
      </c>
      <c r="D534" s="565" t="s">
        <v>895</v>
      </c>
      <c r="E534" s="565"/>
      <c r="G534" s="565" t="s">
        <v>905</v>
      </c>
      <c r="I534" s="565"/>
      <c r="J534" s="719"/>
      <c r="K534" s="565"/>
      <c r="L534" s="565" t="s">
        <v>2644</v>
      </c>
    </row>
    <row r="535" spans="1:12">
      <c r="B535" s="565" t="s">
        <v>723</v>
      </c>
      <c r="C535" s="326">
        <f>INDEX(finPNLOperatingExp,3)</f>
        <v>2339538712.5846305</v>
      </c>
      <c r="D535" s="326">
        <f>INDEX(obalPNLOperatingExp,3)</f>
        <v>3261152846.704453</v>
      </c>
      <c r="E535" s="578"/>
      <c r="G535" t="str">
        <f>DataNameProd1</f>
        <v>Growth</v>
      </c>
      <c r="H535" s="385">
        <f>(INDEX(xxProd1Growth,6)-100)/100</f>
        <v>0.18</v>
      </c>
      <c r="I535" s="565"/>
      <c r="J535" s="719" t="s">
        <v>2573</v>
      </c>
      <c r="K535" s="578" t="s">
        <v>2617</v>
      </c>
      <c r="L535" s="565" t="s">
        <v>2645</v>
      </c>
    </row>
    <row r="536" spans="1:12">
      <c r="B536" s="565" t="s">
        <v>1883</v>
      </c>
      <c r="C536" s="326">
        <f>INDEX(finPNLDeprAmortExp,3)</f>
        <v>258403934.02249923</v>
      </c>
      <c r="D536" s="326">
        <f>INDEX(obalPNLDeprAmortExp,3)</f>
        <v>312079846.15384614</v>
      </c>
      <c r="E536" s="578"/>
      <c r="G536" t="str">
        <f>DataNameProd2</f>
        <v>Transform</v>
      </c>
      <c r="H536" s="385">
        <f>(INDEX(xxProd2Growth,6)-100)/100+0.002</f>
        <v>2E-3</v>
      </c>
      <c r="J536" s="719" t="s">
        <v>2574</v>
      </c>
      <c r="K536" s="578" t="s">
        <v>2618</v>
      </c>
    </row>
    <row r="537" spans="1:12">
      <c r="B537" s="565" t="s">
        <v>1884</v>
      </c>
      <c r="C537" s="326">
        <f>INDEX(finPNLOperatingIncome,3)</f>
        <v>341661922.99683321</v>
      </c>
      <c r="D537" s="326">
        <f>INDEX(obalPNLOperatingIncome,3)</f>
        <v>838178281.64409935</v>
      </c>
      <c r="E537" s="578"/>
      <c r="J537" s="719" t="s">
        <v>2575</v>
      </c>
      <c r="K537" s="578" t="s">
        <v>2619</v>
      </c>
    </row>
    <row r="538" spans="1:12">
      <c r="B538" s="565"/>
      <c r="C538" s="326"/>
      <c r="D538" s="326"/>
      <c r="E538" s="578"/>
      <c r="F538" s="27" t="s">
        <v>3370</v>
      </c>
      <c r="H538" t="str">
        <f>G535</f>
        <v>Growth</v>
      </c>
      <c r="I538" t="str">
        <f>G536</f>
        <v>Transform</v>
      </c>
      <c r="J538" s="719"/>
      <c r="K538" s="578"/>
    </row>
    <row r="539" spans="1:12">
      <c r="A539" s="27" t="s">
        <v>3370</v>
      </c>
      <c r="B539" s="565"/>
      <c r="C539" s="326" t="str">
        <f>B535</f>
        <v>Expenses</v>
      </c>
      <c r="D539" s="326" t="str">
        <f>B536</f>
        <v>Depreciation &amp; Amortization</v>
      </c>
      <c r="E539" s="578" t="str">
        <f>B537</f>
        <v>Operating Profit</v>
      </c>
      <c r="G539" t="str">
        <f>G534</f>
        <v>Market Growth Year 3</v>
      </c>
      <c r="J539" s="719"/>
      <c r="K539" s="578"/>
    </row>
    <row r="540" spans="1:12">
      <c r="B540" s="565" t="str">
        <f>C534</f>
        <v>This Year</v>
      </c>
      <c r="C540" s="326">
        <f>tlOutputGraphComp2finPNLOperatingExp</f>
        <v>2339538712.5846305</v>
      </c>
      <c r="D540" s="326">
        <f>tlOutputGraphComp2finPNLDeprAmortExp</f>
        <v>258403934.02249923</v>
      </c>
      <c r="E540" s="578">
        <f>tlOutputGraphComp2finPNLOperatingIncome</f>
        <v>341661922.99683321</v>
      </c>
      <c r="H540" s="385">
        <f>tlOutputGraphMktRepProd1Yr3</f>
        <v>0.18</v>
      </c>
      <c r="I540" s="385">
        <f>tlOutputGraphMktRepProd2Yr3</f>
        <v>2E-3</v>
      </c>
      <c r="J540" s="719"/>
      <c r="K540" s="578"/>
    </row>
    <row r="541" spans="1:12">
      <c r="B541" s="565" t="str">
        <f>D534</f>
        <v>Last Year</v>
      </c>
      <c r="C541" s="326">
        <f>tlOutputGraphComp2obalPNLOperatingExp</f>
        <v>3261152846.704453</v>
      </c>
      <c r="D541" s="326">
        <f>tlOutputGraphComp2obalPNLDeprAmortExp</f>
        <v>312079846.15384614</v>
      </c>
      <c r="E541" s="578">
        <f>tlOutputGraphComp2obalPNLOperatingIncome</f>
        <v>838178281.64409935</v>
      </c>
      <c r="J541" s="719"/>
      <c r="K541" s="578"/>
    </row>
    <row r="542" spans="1:12">
      <c r="J542" s="720"/>
    </row>
    <row r="543" spans="1:12">
      <c r="B543" t="str">
        <f>INDEX(decTeamName,3) &amp; " Source of Revenue"</f>
        <v>Nextus Source of Revenue</v>
      </c>
      <c r="J543" s="720"/>
    </row>
    <row r="544" spans="1:12">
      <c r="B544" s="565" t="s">
        <v>1357</v>
      </c>
      <c r="C544" s="326">
        <f>INDEX(finPNLExistSubRev,3)</f>
        <v>2410030422.8640656</v>
      </c>
      <c r="D544" s="385">
        <f>C544/SUM($C$544:$C$545)</f>
        <v>0.92222900419785736</v>
      </c>
      <c r="J544" s="719" t="s">
        <v>2576</v>
      </c>
    </row>
    <row r="545" spans="1:11">
      <c r="B545" s="565" t="s">
        <v>1356</v>
      </c>
      <c r="C545" s="326">
        <f>INDEX(finPNLNewSubRev,3)+INDEX(finPNLServiceRev,3)</f>
        <v>203236360</v>
      </c>
      <c r="D545" s="385">
        <f>C545/SUM($C$544:$C$545)</f>
        <v>7.7770995802142626E-2</v>
      </c>
      <c r="J545" s="719" t="s">
        <v>2577</v>
      </c>
    </row>
    <row r="546" spans="1:11">
      <c r="B546" s="565"/>
      <c r="C546" s="326"/>
      <c r="J546" s="719"/>
    </row>
    <row r="547" spans="1:11">
      <c r="A547" s="27" t="s">
        <v>3370</v>
      </c>
      <c r="B547" s="565"/>
      <c r="C547" s="326" t="str">
        <f>B544</f>
        <v>Existing Accounts</v>
      </c>
      <c r="D547" t="str">
        <f>B545</f>
        <v>New Accounts</v>
      </c>
      <c r="J547" s="719"/>
    </row>
    <row r="548" spans="1:11">
      <c r="B548" s="565" t="str">
        <f>B543</f>
        <v>Nextus Source of Revenue</v>
      </c>
      <c r="C548" s="326">
        <f>tlOutputGraphComp2finPNLExistSubRev</f>
        <v>2410030422.8640656</v>
      </c>
      <c r="D548">
        <f>tlOutputGraphComp2finPNLNewSubRev_finPNLServiceRev</f>
        <v>203236360</v>
      </c>
      <c r="J548" s="719"/>
    </row>
    <row r="549" spans="1:11">
      <c r="J549" s="720"/>
    </row>
    <row r="550" spans="1:11">
      <c r="B550" s="565" t="str">
        <f>DataNameProd1</f>
        <v>Growth</v>
      </c>
      <c r="C550" s="565" t="s">
        <v>894</v>
      </c>
      <c r="D550" s="565" t="s">
        <v>895</v>
      </c>
      <c r="E550" s="565"/>
      <c r="J550" s="719"/>
      <c r="K550" s="565"/>
    </row>
    <row r="551" spans="1:11">
      <c r="B551" s="565" t="s">
        <v>723</v>
      </c>
      <c r="C551" s="326">
        <f>INDEX(finPNLProd1OperatingExp,xxIndexTeam)</f>
        <v>1589373891.0925393</v>
      </c>
      <c r="D551" s="326">
        <f>INDEX(obalPNLProd1OperatingExp,xxIndexTeam)</f>
        <v>1589373891.0925393</v>
      </c>
      <c r="E551" s="578"/>
      <c r="J551" s="719" t="s">
        <v>2578</v>
      </c>
      <c r="K551" s="578" t="s">
        <v>2620</v>
      </c>
    </row>
    <row r="552" spans="1:11">
      <c r="B552" s="565" t="s">
        <v>1883</v>
      </c>
      <c r="C552" s="326">
        <f>INDEX(finPNLProd1DeprAmortExp,xxIndexTeam)</f>
        <v>140091400.05580094</v>
      </c>
      <c r="D552" s="326">
        <f>INDEX(obalPNLProd1DeprAmortExp,xxIndexTeam)</f>
        <v>140091400.05580094</v>
      </c>
      <c r="E552" s="578"/>
      <c r="J552" s="719" t="s">
        <v>2579</v>
      </c>
      <c r="K552" s="578" t="s">
        <v>2621</v>
      </c>
    </row>
    <row r="553" spans="1:11">
      <c r="B553" s="565" t="s">
        <v>1884</v>
      </c>
      <c r="C553" s="326">
        <f>INDEX(finPNLProd1OperatingIncome,xxIndexTeam)</f>
        <v>279316997.94893551</v>
      </c>
      <c r="D553" s="326">
        <f>INDEX(obalPNLProd1OperatingIncome,xxIndexTeam)</f>
        <v>279316997.94893551</v>
      </c>
      <c r="E553" s="578"/>
      <c r="J553" s="719" t="s">
        <v>2580</v>
      </c>
      <c r="K553" s="578" t="s">
        <v>2622</v>
      </c>
    </row>
    <row r="554" spans="1:11">
      <c r="B554" s="565"/>
      <c r="C554" s="326"/>
      <c r="D554" s="326"/>
      <c r="E554" s="578"/>
      <c r="J554" s="719"/>
      <c r="K554" s="578"/>
    </row>
    <row r="555" spans="1:11">
      <c r="A555" s="27" t="s">
        <v>3370</v>
      </c>
      <c r="B555" s="565"/>
      <c r="C555" s="326" t="str">
        <f>B551</f>
        <v>Expenses</v>
      </c>
      <c r="D555" s="326" t="str">
        <f>B552</f>
        <v>Depreciation &amp; Amortization</v>
      </c>
      <c r="E555" s="578" t="str">
        <f>B553</f>
        <v>Operating Profit</v>
      </c>
      <c r="J555" s="719"/>
      <c r="K555" s="578"/>
    </row>
    <row r="556" spans="1:11">
      <c r="B556" s="565" t="str">
        <f>C550</f>
        <v>This Year</v>
      </c>
      <c r="C556" s="326">
        <f>tlOutputGraphFPfinPNLProd1OperatingExp</f>
        <v>1589373891.0925393</v>
      </c>
      <c r="D556" s="326">
        <f>tlOutputGraphFPfinPNLProd1DeprAmortExp</f>
        <v>140091400.05580094</v>
      </c>
      <c r="E556" s="578">
        <f>tlOutputGraphFPfinPNLProd1OperatingIncome</f>
        <v>279316997.94893551</v>
      </c>
      <c r="J556" s="719"/>
      <c r="K556" s="578"/>
    </row>
    <row r="557" spans="1:11">
      <c r="B557" s="565" t="str">
        <f>D550</f>
        <v>Last Year</v>
      </c>
      <c r="C557" s="326">
        <f>tlOutputGraphFPobalPNLProd1OperatingExp</f>
        <v>1589373891.0925393</v>
      </c>
      <c r="D557" s="326">
        <f>tlOutputGraphFPobalPNLProd1DeprAmortExp</f>
        <v>140091400.05580094</v>
      </c>
      <c r="E557" s="578">
        <f>tlOutputGraphFPobalPNLProd1OperatingIncome</f>
        <v>279316997.94893551</v>
      </c>
      <c r="J557" s="719"/>
      <c r="K557" s="578"/>
    </row>
    <row r="558" spans="1:11">
      <c r="C558" s="326"/>
      <c r="D558" s="326"/>
      <c r="E558" s="326"/>
      <c r="J558" s="720"/>
      <c r="K558" s="326"/>
    </row>
    <row r="559" spans="1:11">
      <c r="B559" s="565" t="str">
        <f>DataNameProd2</f>
        <v>Transform</v>
      </c>
      <c r="C559" s="578" t="s">
        <v>894</v>
      </c>
      <c r="D559" s="578" t="s">
        <v>895</v>
      </c>
      <c r="E559" s="578"/>
      <c r="J559" s="719"/>
      <c r="K559" s="578"/>
    </row>
    <row r="560" spans="1:11">
      <c r="B560" s="565" t="s">
        <v>723</v>
      </c>
      <c r="C560" s="326">
        <f>INDEX(finPNLProd2OperatingExp,xxIndexTeam)</f>
        <v>1671778955.6119137</v>
      </c>
      <c r="D560" s="326">
        <f>INDEX(obalPNLProd2OperatingExp,xxIndexTeam)</f>
        <v>1671778955.6119137</v>
      </c>
      <c r="E560" s="578"/>
      <c r="J560" s="719" t="s">
        <v>2581</v>
      </c>
      <c r="K560" s="578" t="s">
        <v>2623</v>
      </c>
    </row>
    <row r="561" spans="1:11">
      <c r="B561" s="565" t="s">
        <v>1883</v>
      </c>
      <c r="C561" s="326">
        <f>INDEX(finPNLProd2DeprAmortExp,xxIndexTeam)</f>
        <v>171988446.09804523</v>
      </c>
      <c r="D561" s="326">
        <f>INDEX(obalPNLProd2DeprAmortExp,xxIndexTeam)</f>
        <v>171988446.09804523</v>
      </c>
      <c r="E561" s="578"/>
      <c r="J561" s="719" t="s">
        <v>2582</v>
      </c>
      <c r="K561" s="578" t="s">
        <v>2624</v>
      </c>
    </row>
    <row r="562" spans="1:11">
      <c r="B562" s="565" t="s">
        <v>1884</v>
      </c>
      <c r="C562" s="326">
        <f>INDEX(finPNLProd2OperatingIncome,xxIndexTeam)</f>
        <v>558861283.69516289</v>
      </c>
      <c r="D562" s="326">
        <f>INDEX(obalPNLProd2OperatingIncome,xxIndexTeam)</f>
        <v>558861283.69516289</v>
      </c>
      <c r="E562" s="578"/>
      <c r="J562" s="719" t="s">
        <v>2583</v>
      </c>
      <c r="K562" s="578" t="s">
        <v>2625</v>
      </c>
    </row>
    <row r="563" spans="1:11">
      <c r="B563" s="565"/>
      <c r="C563" s="326"/>
      <c r="D563" s="326"/>
      <c r="E563" s="578"/>
      <c r="J563" s="719"/>
      <c r="K563" s="578"/>
    </row>
    <row r="564" spans="1:11">
      <c r="A564" s="27" t="s">
        <v>3370</v>
      </c>
      <c r="B564" s="565"/>
      <c r="C564" s="326" t="str">
        <f>B560</f>
        <v>Expenses</v>
      </c>
      <c r="D564" s="326" t="str">
        <f>B561</f>
        <v>Depreciation &amp; Amortization</v>
      </c>
      <c r="E564" s="578" t="str">
        <f>B562</f>
        <v>Operating Profit</v>
      </c>
      <c r="J564" s="719"/>
      <c r="K564" s="578"/>
    </row>
    <row r="565" spans="1:11">
      <c r="B565" s="761" t="str">
        <f>C559</f>
        <v>This Year</v>
      </c>
      <c r="C565" s="326">
        <f>tlOutputGraphFPfinPNLProd2OperatingExp</f>
        <v>1671778955.6119137</v>
      </c>
      <c r="D565" s="326">
        <f>tlOutputGraphFPfinPNLProd2DeprAmortExp</f>
        <v>171988446.09804523</v>
      </c>
      <c r="E565" s="578">
        <f>tlOutputGraphFPfinPNLProd2OperatingIncome</f>
        <v>558861283.69516289</v>
      </c>
      <c r="J565" s="719"/>
      <c r="K565" s="578"/>
    </row>
    <row r="566" spans="1:11">
      <c r="B566" s="761" t="str">
        <f>D559</f>
        <v>Last Year</v>
      </c>
      <c r="C566" s="326">
        <f>tlOutputGraphFPobalPNLProd2OperatingExp</f>
        <v>1671778955.6119137</v>
      </c>
      <c r="D566" s="326">
        <f>tlOutputGraphFPobalPNLProd2DeprAmortExp</f>
        <v>171988446.09804523</v>
      </c>
      <c r="E566" s="578">
        <f>tlOutputGraphFPobalPNLProd2OperatingIncome</f>
        <v>558861283.69516289</v>
      </c>
      <c r="J566" s="719"/>
      <c r="K566" s="578"/>
    </row>
    <row r="567" spans="1:11">
      <c r="J567" s="720"/>
    </row>
    <row r="568" spans="1:11">
      <c r="B568" s="565" t="s">
        <v>1956</v>
      </c>
      <c r="J568" s="720"/>
    </row>
    <row r="569" spans="1:11">
      <c r="B569" s="565" t="str">
        <f>DataNameProd2</f>
        <v>Transform</v>
      </c>
      <c r="C569" s="606">
        <f>INDEX(capProd2TTM,xxIndexTeam)</f>
        <v>51.576599609964973</v>
      </c>
      <c r="D569" s="571"/>
      <c r="E569" s="571"/>
      <c r="J569" s="721" t="s">
        <v>2584</v>
      </c>
      <c r="K569" s="571"/>
    </row>
    <row r="570" spans="1:11">
      <c r="B570" s="565" t="str">
        <f>DataNameProd1</f>
        <v>Growth</v>
      </c>
      <c r="C570" s="606">
        <f>INDEX(capProd1TTM,xxIndexTeam)</f>
        <v>50.821085663092326</v>
      </c>
      <c r="J570" s="721" t="s">
        <v>2585</v>
      </c>
    </row>
    <row r="571" spans="1:11">
      <c r="B571" s="565"/>
      <c r="C571" s="606"/>
      <c r="J571" s="721"/>
    </row>
    <row r="572" spans="1:11">
      <c r="A572" s="27" t="s">
        <v>3370</v>
      </c>
      <c r="B572" s="565"/>
      <c r="C572" s="606" t="str">
        <f>B569</f>
        <v>Transform</v>
      </c>
      <c r="D572" t="str">
        <f>B570</f>
        <v>Growth</v>
      </c>
      <c r="J572" s="721"/>
    </row>
    <row r="573" spans="1:11">
      <c r="B573" s="565" t="str">
        <f>B568</f>
        <v>Product Technology TTM</v>
      </c>
      <c r="C573" s="606">
        <f>tlOutputGraphRDcapProd2TTM</f>
        <v>51.576599609964973</v>
      </c>
      <c r="D573" s="606">
        <f>tlOutputGraphRDcapProd1TTM</f>
        <v>50.821085663092326</v>
      </c>
      <c r="J573" s="721"/>
    </row>
    <row r="574" spans="1:11">
      <c r="J574" s="720"/>
    </row>
    <row r="575" spans="1:11">
      <c r="B575" s="565" t="s">
        <v>1957</v>
      </c>
      <c r="C575" s="578" t="s">
        <v>894</v>
      </c>
      <c r="D575" s="578" t="s">
        <v>895</v>
      </c>
      <c r="E575" s="578"/>
      <c r="J575" s="719"/>
      <c r="K575" s="578"/>
    </row>
    <row r="576" spans="1:11">
      <c r="B576" t="str">
        <f>DataNameProd1 &amp; " - Internal"</f>
        <v>Growth - Internal</v>
      </c>
      <c r="C576">
        <f>INDEX(capProd1Ftr1Emp1Req,xxIndexTeam)+INDEX(capProd1Ftr1TTMEmp1Req,xxIndexTeam)</f>
        <v>270</v>
      </c>
      <c r="D576">
        <f>INDEX(obalProd1Ftr1Emp1Req,xxIndexTeam)+INDEX(obalProd1Ftr1TTMEmp1Req,xxIndexTeam)</f>
        <v>243</v>
      </c>
      <c r="E576" s="565"/>
      <c r="J576" s="719" t="s">
        <v>2586</v>
      </c>
      <c r="K576" s="565" t="s">
        <v>2626</v>
      </c>
    </row>
    <row r="577" spans="1:11">
      <c r="B577" t="str">
        <f>DataNameProd1 &amp; " - External"</f>
        <v>Growth - External</v>
      </c>
      <c r="C577">
        <f>INDEX(decProd1TTMConFTEs,xxIndexTeam)</f>
        <v>100</v>
      </c>
      <c r="D577">
        <f>INDEX(obalProd1TTMConFTEs,xxIndexTeam)</f>
        <v>90</v>
      </c>
      <c r="E577" s="565"/>
      <c r="J577" s="719" t="s">
        <v>2587</v>
      </c>
      <c r="K577" s="565" t="s">
        <v>2627</v>
      </c>
    </row>
    <row r="578" spans="1:11">
      <c r="B578" t="str">
        <f>DataNameProd2 &amp; " - Internal"</f>
        <v>Transform - Internal</v>
      </c>
      <c r="C578">
        <f>INDEX(capProd2Ftr1Emp1Req,xxIndexTeam)+INDEX(capProd2Ftr1TTMEmp1Req,xxIndexTeam)</f>
        <v>265</v>
      </c>
      <c r="D578">
        <f>INDEX(obalProd2Ftr1Emp1Req,xxIndexTeam)+INDEX(obalProd2Ftr1TTMEmp1Req,xxIndexTeam)</f>
        <v>239</v>
      </c>
      <c r="E578" s="565"/>
      <c r="J578" s="719" t="s">
        <v>2588</v>
      </c>
      <c r="K578" s="565" t="s">
        <v>2628</v>
      </c>
    </row>
    <row r="579" spans="1:11">
      <c r="B579" t="str">
        <f>DataNameProd2 &amp; " - External"</f>
        <v>Transform - External</v>
      </c>
      <c r="C579">
        <f>INDEX(decProd2TTMConFTEs,xxIndexTeam)</f>
        <v>100</v>
      </c>
      <c r="D579">
        <f>INDEX(obalProd2TTMConFTEs,xxIndexTeam)</f>
        <v>90</v>
      </c>
      <c r="E579" s="565"/>
      <c r="J579" s="719" t="s">
        <v>2589</v>
      </c>
      <c r="K579" s="565" t="s">
        <v>2629</v>
      </c>
    </row>
    <row r="580" spans="1:11">
      <c r="E580" s="565"/>
      <c r="J580" s="719"/>
      <c r="K580" s="565"/>
    </row>
    <row r="581" spans="1:11">
      <c r="A581" s="27" t="s">
        <v>3370</v>
      </c>
      <c r="C581" t="str">
        <f>B576</f>
        <v>Growth - Internal</v>
      </c>
      <c r="D581" t="str">
        <f>B577</f>
        <v>Growth - External</v>
      </c>
      <c r="E581" s="565" t="str">
        <f>B578</f>
        <v>Transform - Internal</v>
      </c>
      <c r="F581" t="str">
        <f>B579</f>
        <v>Transform - External</v>
      </c>
      <c r="J581" s="719"/>
      <c r="K581" s="565"/>
    </row>
    <row r="582" spans="1:11">
      <c r="B582" s="327" t="str">
        <f>C575</f>
        <v>This Year</v>
      </c>
      <c r="C582">
        <f>tlOutputGraphRDcapProd1Emp1Req</f>
        <v>270</v>
      </c>
      <c r="D582">
        <f>tlOutputGraphRDdecProd1TTMConFTEs</f>
        <v>100</v>
      </c>
      <c r="E582" s="565">
        <f>tlOutputGraphRDcapProd2Emp1Req</f>
        <v>265</v>
      </c>
      <c r="F582">
        <f>tlOutputGraphRDdecProd2TTMConFTEs</f>
        <v>100</v>
      </c>
      <c r="J582" s="719"/>
      <c r="K582" s="565"/>
    </row>
    <row r="583" spans="1:11">
      <c r="B583" s="327" t="str">
        <f>D575</f>
        <v>Last Year</v>
      </c>
      <c r="C583">
        <f>tlOutputGraphFPobalProd1Emp1Req</f>
        <v>243</v>
      </c>
      <c r="D583">
        <f>tlOutputGraphFPobalProd1TTMConFTEs</f>
        <v>90</v>
      </c>
      <c r="E583" s="565">
        <f>tlOutputGraphFPobalProd2Emp1Req</f>
        <v>239</v>
      </c>
      <c r="F583">
        <f>tlOutputGraphFPobalProd2TTMConFTEs</f>
        <v>90</v>
      </c>
      <c r="J583" s="719"/>
      <c r="K583" s="565"/>
    </row>
    <row r="584" spans="1:11">
      <c r="J584" s="720"/>
    </row>
    <row r="585" spans="1:11">
      <c r="B585" s="565" t="s">
        <v>1962</v>
      </c>
      <c r="J585" s="720"/>
    </row>
    <row r="586" spans="1:11">
      <c r="B586" s="565" t="s">
        <v>1963</v>
      </c>
      <c r="C586">
        <f>INDEX(obalContentLvlIndAvg,xxIndexTeam)</f>
        <v>1</v>
      </c>
      <c r="J586" s="719" t="s">
        <v>2590</v>
      </c>
    </row>
    <row r="587" spans="1:11">
      <c r="B587" s="565" t="s">
        <v>894</v>
      </c>
      <c r="C587">
        <f>INDEX(cbalContentLvl,xxIndexTeam)</f>
        <v>2</v>
      </c>
      <c r="J587" s="719" t="s">
        <v>2591</v>
      </c>
    </row>
    <row r="588" spans="1:11">
      <c r="B588" s="565"/>
      <c r="J588" s="719"/>
    </row>
    <row r="589" spans="1:11">
      <c r="A589" s="27" t="s">
        <v>3370</v>
      </c>
      <c r="B589" s="565"/>
      <c r="C589" t="str">
        <f>B586</f>
        <v>Ind Avg Last Year</v>
      </c>
      <c r="D589" t="str">
        <f>B587</f>
        <v>This Year</v>
      </c>
      <c r="J589" s="719"/>
    </row>
    <row r="590" spans="1:11">
      <c r="B590" s="565" t="str">
        <f>B585</f>
        <v>Content Development Position</v>
      </c>
      <c r="C590">
        <f>tlOutputGraphRDobalContentLvlIndAvg</f>
        <v>1</v>
      </c>
      <c r="D590">
        <f>tlOutputGraphRDcbalContentLvl</f>
        <v>2</v>
      </c>
      <c r="J590" s="719"/>
    </row>
    <row r="591" spans="1:11">
      <c r="J591" s="720"/>
    </row>
    <row r="592" spans="1:11">
      <c r="B592" s="565" t="s">
        <v>1966</v>
      </c>
      <c r="J592" s="720"/>
    </row>
    <row r="593" spans="1:10">
      <c r="B593" s="572" t="s">
        <v>894</v>
      </c>
      <c r="C593" s="611">
        <f>INDEX(capContentEmp1Req,xxIndexTeam)</f>
        <v>100</v>
      </c>
      <c r="J593" s="721" t="s">
        <v>2598</v>
      </c>
    </row>
    <row r="594" spans="1:10">
      <c r="B594" s="572" t="s">
        <v>895</v>
      </c>
      <c r="C594" s="611">
        <f>INDEX(obalContentEmp1Req,xxIndexTeam)</f>
        <v>80</v>
      </c>
      <c r="J594" s="721" t="s">
        <v>2592</v>
      </c>
    </row>
    <row r="595" spans="1:10">
      <c r="B595" s="572"/>
      <c r="C595" s="611"/>
      <c r="J595" s="721"/>
    </row>
    <row r="596" spans="1:10">
      <c r="A596" s="27" t="s">
        <v>3370</v>
      </c>
      <c r="B596" s="572"/>
      <c r="C596" s="611" t="str">
        <f>B593</f>
        <v>This Year</v>
      </c>
      <c r="D596" t="str">
        <f>B594</f>
        <v>Last Year</v>
      </c>
      <c r="J596" s="721"/>
    </row>
    <row r="597" spans="1:10">
      <c r="B597" s="572" t="str">
        <f>B592</f>
        <v>Content Resources</v>
      </c>
      <c r="C597" s="611">
        <f>tlOutputGraphRDcapContentEmp1Req</f>
        <v>100</v>
      </c>
      <c r="D597">
        <f>tlOutputGraphRDobalProd5Ftr1Emp1Req</f>
        <v>80</v>
      </c>
      <c r="J597" s="721"/>
    </row>
    <row r="598" spans="1:10">
      <c r="J598" s="720"/>
    </row>
    <row r="599" spans="1:10">
      <c r="B599" s="565" t="s">
        <v>1962</v>
      </c>
      <c r="J599" s="720"/>
    </row>
    <row r="600" spans="1:10">
      <c r="B600" s="565" t="s">
        <v>895</v>
      </c>
      <c r="C600" s="385">
        <f>INDEX(obalPNLRoyalityExp,xxIndexTeam)/INDEX(obalPNLRev,xxIndexTeam)</f>
        <v>4.242934829354409E-2</v>
      </c>
      <c r="J600" s="719" t="s">
        <v>2593</v>
      </c>
    </row>
    <row r="601" spans="1:10">
      <c r="B601" s="565" t="s">
        <v>894</v>
      </c>
      <c r="C601" s="385">
        <f>INDEX(finPNLRoyalityExp,xxIndexTeam)/INDEX(finPNLRev,xxIndexTeam)</f>
        <v>4.242934829354409E-2</v>
      </c>
      <c r="J601" s="719" t="s">
        <v>2594</v>
      </c>
    </row>
    <row r="602" spans="1:10">
      <c r="B602" s="565"/>
      <c r="C602" s="385"/>
      <c r="J602" s="719"/>
    </row>
    <row r="603" spans="1:10">
      <c r="A603" s="27" t="s">
        <v>3370</v>
      </c>
      <c r="B603" s="565"/>
      <c r="C603" s="385" t="str">
        <f>B600</f>
        <v>Last Year</v>
      </c>
      <c r="D603" t="str">
        <f>B601</f>
        <v>This Year</v>
      </c>
      <c r="J603" s="719"/>
    </row>
    <row r="604" spans="1:10">
      <c r="B604" s="565" t="str">
        <f>B599</f>
        <v>Content Development Position</v>
      </c>
      <c r="C604" s="385">
        <f>tlOutputGraphRDobalPNLRoyality</f>
        <v>4.242934829354409E-2</v>
      </c>
      <c r="D604" s="385">
        <f>tlOutputGraphRDfinPNLRoyalityExp</f>
        <v>4.242934829354409E-2</v>
      </c>
      <c r="J604" s="719"/>
    </row>
    <row r="605" spans="1:10">
      <c r="J605" s="720"/>
    </row>
    <row r="606" spans="1:10">
      <c r="B606" s="565" t="s">
        <v>142</v>
      </c>
      <c r="J606" s="720"/>
    </row>
    <row r="607" spans="1:10">
      <c r="B607" s="571" t="str">
        <f>DataNameProd1&amp;" Technology"</f>
        <v>Growth Technology</v>
      </c>
      <c r="C607" s="571">
        <f>INDEX(capProd1Ftr1Emp1Req,xxIndexTeam)+INDEX(capProd1Ftr1TTMEmp1Req,xxIndexTeam)</f>
        <v>270</v>
      </c>
      <c r="J607" s="721" t="s">
        <v>2595</v>
      </c>
    </row>
    <row r="608" spans="1:10">
      <c r="B608" s="571" t="str">
        <f>DataNameProd2&amp;" Technology"</f>
        <v>Transform Technology</v>
      </c>
      <c r="C608" s="571">
        <f>INDEX(capProd2Ftr1Emp1Req,xxIndexTeam)+INDEX(capProd2Ftr1TTMEmp1Req,xxIndexTeam)</f>
        <v>265</v>
      </c>
      <c r="J608" s="721" t="s">
        <v>2596</v>
      </c>
    </row>
    <row r="609" spans="1:11">
      <c r="B609" s="572" t="s">
        <v>1759</v>
      </c>
      <c r="C609" s="571">
        <f>INDEX(capContentEmp1Req,xxIndexTeam)</f>
        <v>100</v>
      </c>
      <c r="J609" s="721" t="s">
        <v>2599</v>
      </c>
    </row>
    <row r="610" spans="1:11">
      <c r="B610" s="612" t="s">
        <v>1358</v>
      </c>
      <c r="C610" s="571">
        <f>INDEX(capTrainingEmp1Req,xxIndexTeam)+INDEX(capGlobalExpansionEmp1Req,xxIndexTeam)+INDEX(capSalesCoverageEmp1Req,xxIndexTeam)+INDEX(capPlant1ConsolidationEmp1Req,xxIndexTeam)</f>
        <v>25</v>
      </c>
      <c r="J610" s="721" t="s">
        <v>2600</v>
      </c>
    </row>
    <row r="611" spans="1:11">
      <c r="B611" s="572" t="s">
        <v>1998</v>
      </c>
      <c r="C611" s="123">
        <f>INDEX(capInitsEmp1Req,xxIndexTeam)+INDEX(capInitsProd1Emp1Req,xxIndexTeam)+INDEX(capInitsProd2Emp1Req,xxIndexTeam)+INDEX(capEventsEmp1Req,xxIndexTeam)</f>
        <v>0</v>
      </c>
      <c r="J611" s="719" t="s">
        <v>2601</v>
      </c>
    </row>
    <row r="612" spans="1:11" ht="11.45" customHeight="1">
      <c r="B612" s="572" t="s">
        <v>1999</v>
      </c>
      <c r="C612" s="571">
        <f>IF(INDEX(capEmp1FTERemaining,xxIndexTeam)&gt;=0,INDEX(capEmp1FTERemaining,xxIndexTeam),0)+IF(INDEX(capEmp1FTERemaining,xxIndexTeam)&lt;0,-INDEX(capEmp1FTERemaining,xxIndexTeam),0)</f>
        <v>0</v>
      </c>
      <c r="J612" s="719" t="s">
        <v>2607</v>
      </c>
    </row>
    <row r="613" spans="1:11" ht="11.45" customHeight="1">
      <c r="B613" s="572"/>
      <c r="C613" s="571"/>
      <c r="J613" s="719"/>
    </row>
    <row r="614" spans="1:11" ht="11.45" customHeight="1">
      <c r="A614" s="27" t="s">
        <v>3370</v>
      </c>
      <c r="B614" s="572"/>
      <c r="C614" s="571" t="str">
        <f>B607</f>
        <v>Growth Technology</v>
      </c>
      <c r="D614" t="str">
        <f>B608</f>
        <v>Transform Technology</v>
      </c>
      <c r="E614" t="str">
        <f>B609</f>
        <v>Content</v>
      </c>
      <c r="F614" t="str">
        <f>B610</f>
        <v>Operations</v>
      </c>
      <c r="G614" t="str">
        <f>B611</f>
        <v>Initiatives and Events</v>
      </c>
      <c r="H614" t="str">
        <f>B612</f>
        <v>Over/Under Allocated</v>
      </c>
      <c r="J614" s="719"/>
    </row>
    <row r="615" spans="1:11" ht="11.45" customHeight="1">
      <c r="B615" s="572" t="str">
        <f>B606</f>
        <v>Resource Allocation</v>
      </c>
      <c r="C615" s="571">
        <f>tlOutputGraphPeoplecapProd1Emp1Req</f>
        <v>270</v>
      </c>
      <c r="D615">
        <f>tlOutputGraphPeoplecapProd2Emp1Req</f>
        <v>265</v>
      </c>
      <c r="E615">
        <f>tlOutputGraphPeoplecapContentEmp1Req</f>
        <v>100</v>
      </c>
      <c r="F615">
        <f>tlOutputGraphPeopleOperationsEmp1Req</f>
        <v>25</v>
      </c>
      <c r="G615">
        <f>tlOutputGraphPeoplecapInitsEmp1Req</f>
        <v>0</v>
      </c>
      <c r="H615">
        <f>tlOutputGraphPeoplecapUnderAllocateEmp1Req</f>
        <v>0</v>
      </c>
      <c r="J615" s="719"/>
    </row>
    <row r="616" spans="1:11">
      <c r="J616" s="720"/>
    </row>
    <row r="617" spans="1:11">
      <c r="C617" s="578" t="s">
        <v>894</v>
      </c>
      <c r="D617" s="578" t="s">
        <v>895</v>
      </c>
      <c r="E617" s="578"/>
      <c r="J617" s="719"/>
      <c r="K617" s="578"/>
    </row>
    <row r="618" spans="1:11">
      <c r="B618" s="617" t="s">
        <v>1356</v>
      </c>
      <c r="C618" s="618">
        <f>INDEX(decSalesNewPerc,xxIndexTeam)</f>
        <v>0.5</v>
      </c>
      <c r="D618" s="618">
        <f>INDEX(obalSalesNewPerc,xxIndexTeam)</f>
        <v>0.5</v>
      </c>
      <c r="E618" s="713"/>
      <c r="J618" s="719" t="s">
        <v>2602</v>
      </c>
      <c r="K618" s="713" t="s">
        <v>2630</v>
      </c>
    </row>
    <row r="619" spans="1:11">
      <c r="B619" s="617" t="s">
        <v>1357</v>
      </c>
      <c r="C619" s="618">
        <f>1-INDEX(decSalesNewPerc,xxIndexTeam)</f>
        <v>0.5</v>
      </c>
      <c r="D619" s="618">
        <f>INDEX(obalSalesExistingPerc,xxIndexTeam)</f>
        <v>0.5</v>
      </c>
      <c r="E619" s="713"/>
      <c r="J619" s="719" t="s">
        <v>2603</v>
      </c>
      <c r="K619" s="713" t="s">
        <v>2631</v>
      </c>
    </row>
    <row r="620" spans="1:11">
      <c r="B620" s="617" t="s">
        <v>291</v>
      </c>
      <c r="C620" s="385">
        <v>0</v>
      </c>
      <c r="D620" s="385">
        <f>1-(INDEX(obalSalesNewPerc,xxIndexTeam)+INDEX(obalSalesExistingPerc,xxIndexTeam))</f>
        <v>0</v>
      </c>
      <c r="E620" s="713"/>
      <c r="J620" s="719" t="s">
        <v>2604</v>
      </c>
      <c r="K620" s="713" t="s">
        <v>2632</v>
      </c>
    </row>
    <row r="621" spans="1:11">
      <c r="B621" s="617"/>
      <c r="C621" s="385"/>
      <c r="D621" s="385"/>
      <c r="E621" s="713"/>
      <c r="J621" s="719"/>
      <c r="K621" s="713"/>
    </row>
    <row r="622" spans="1:11">
      <c r="A622" s="27" t="s">
        <v>3370</v>
      </c>
      <c r="B622" s="617"/>
      <c r="C622" s="385" t="str">
        <f>B618</f>
        <v>New Accounts</v>
      </c>
      <c r="D622" s="385" t="str">
        <f>B619</f>
        <v>Existing Accounts</v>
      </c>
      <c r="E622" s="713" t="str">
        <f>B620</f>
        <v>Administrative</v>
      </c>
      <c r="J622" s="719"/>
      <c r="K622" s="713"/>
    </row>
    <row r="623" spans="1:11">
      <c r="B623" s="1108" t="str">
        <f>C617</f>
        <v>This Year</v>
      </c>
      <c r="C623" s="385">
        <f>tlOutputGraphPeopledecSalesNewPerc</f>
        <v>0.5</v>
      </c>
      <c r="D623" s="385">
        <f>tlOutputGraphPeopledecSalesExistingPerc</f>
        <v>0.5</v>
      </c>
      <c r="E623" s="713">
        <f>tlOutputGraphPeopledecSalesAdminPerc</f>
        <v>0</v>
      </c>
      <c r="J623" s="719"/>
      <c r="K623" s="713"/>
    </row>
    <row r="624" spans="1:11">
      <c r="B624" s="1108" t="str">
        <f>D617</f>
        <v>Last Year</v>
      </c>
      <c r="C624" s="385">
        <f>tlOutputGraphFPobalSalesNewPerc</f>
        <v>0.5</v>
      </c>
      <c r="D624" s="385">
        <f>tlOutputGraphFPobalSalesExistingPerc</f>
        <v>0.5</v>
      </c>
      <c r="E624" s="713">
        <f>tlOutputGraphFPSalesAdminPerc</f>
        <v>0</v>
      </c>
      <c r="J624" s="719"/>
      <c r="K624" s="713"/>
    </row>
    <row r="625" spans="1:11">
      <c r="J625" s="720"/>
    </row>
    <row r="626" spans="1:11">
      <c r="B626" s="617" t="s">
        <v>2027</v>
      </c>
      <c r="J626" s="720"/>
    </row>
    <row r="627" spans="1:11">
      <c r="B627" s="572" t="s">
        <v>2026</v>
      </c>
      <c r="C627" s="385">
        <f>INDEX(capPlant1Utiliz,xxIndexTeam)</f>
        <v>0.56300511050462976</v>
      </c>
      <c r="D627" s="613"/>
      <c r="E627" s="613"/>
      <c r="J627" s="721" t="s">
        <v>2605</v>
      </c>
      <c r="K627" s="613"/>
    </row>
    <row r="628" spans="1:11">
      <c r="B628" s="572" t="s">
        <v>2025</v>
      </c>
      <c r="C628" s="385">
        <f>1-INDEX(capPlant1Utiliz,xxIndexTeam)</f>
        <v>0.43699488949537024</v>
      </c>
      <c r="D628" s="613"/>
      <c r="E628" s="613"/>
      <c r="J628" s="721" t="s">
        <v>2606</v>
      </c>
      <c r="K628" s="613"/>
    </row>
    <row r="629" spans="1:11">
      <c r="B629" s="572"/>
      <c r="C629" s="385"/>
      <c r="D629" s="385"/>
      <c r="E629" s="613"/>
      <c r="J629" s="721"/>
      <c r="K629" s="613"/>
    </row>
    <row r="630" spans="1:11">
      <c r="A630" s="27" t="s">
        <v>3370</v>
      </c>
      <c r="B630" s="572"/>
      <c r="C630" s="385" t="str">
        <f>B627</f>
        <v>Utilized</v>
      </c>
      <c r="D630" s="385" t="str">
        <f>B628</f>
        <v>Non-Utilized</v>
      </c>
      <c r="E630" s="613"/>
      <c r="J630" s="721"/>
      <c r="K630" s="613"/>
    </row>
    <row r="631" spans="1:11">
      <c r="B631" s="572" t="str">
        <f>B626</f>
        <v>Data Center Utilizaiton</v>
      </c>
      <c r="C631" s="385">
        <f>tlOutputGraphOpscapPlant1Utiliz</f>
        <v>0.56300511050462976</v>
      </c>
      <c r="D631" s="385">
        <f>tlOutputGraphOpscapPlant1NonUtiliz</f>
        <v>0.43699488949537024</v>
      </c>
      <c r="E631" s="613"/>
      <c r="J631" s="721"/>
      <c r="K631" s="613"/>
    </row>
    <row r="632" spans="1:11">
      <c r="J632" s="720"/>
    </row>
    <row r="633" spans="1:11">
      <c r="B633" s="617" t="s">
        <v>872</v>
      </c>
      <c r="C633" s="563" t="s">
        <v>894</v>
      </c>
      <c r="D633" s="563" t="s">
        <v>895</v>
      </c>
      <c r="E633" s="563"/>
      <c r="J633" s="723"/>
      <c r="K633" s="563"/>
    </row>
    <row r="634" spans="1:11">
      <c r="B634" s="607" t="s">
        <v>1427</v>
      </c>
      <c r="C634" s="609">
        <f>INDEX(finPNLEmpExp,xxIndexTeam)</f>
        <v>2027201069.2307689</v>
      </c>
      <c r="D634" s="609">
        <f>INDEX(obalPNLEmpExp,xxIndexTeam)</f>
        <v>2027201069.2307689</v>
      </c>
      <c r="E634" s="609"/>
      <c r="J634" s="722" t="s">
        <v>2608</v>
      </c>
      <c r="K634" s="609" t="s">
        <v>2633</v>
      </c>
    </row>
    <row r="635" spans="1:11" ht="11.45" customHeight="1">
      <c r="B635" s="607" t="s">
        <v>1533</v>
      </c>
      <c r="C635" s="609">
        <f>INDEX(finPNLRevExp,xxIndexTeam)</f>
        <v>554451777.47368419</v>
      </c>
      <c r="D635" s="609">
        <f>INDEX(obalPNLRevExp,xxIndexTeam)</f>
        <v>554451777.47368419</v>
      </c>
      <c r="E635" s="609"/>
      <c r="J635" s="722" t="s">
        <v>2609</v>
      </c>
      <c r="K635" s="609" t="s">
        <v>2634</v>
      </c>
    </row>
    <row r="636" spans="1:11">
      <c r="B636" s="607" t="s">
        <v>1556</v>
      </c>
      <c r="C636" s="609">
        <f>INDEX(finPNLProdDevExp,xxIndexTeam)</f>
        <v>18500000</v>
      </c>
      <c r="D636" s="609">
        <f>INDEX(obalPNLProdDevExp,xxIndexTeam)</f>
        <v>18500000</v>
      </c>
      <c r="E636" s="609"/>
      <c r="J636" s="722" t="s">
        <v>2610</v>
      </c>
      <c r="K636" s="609" t="s">
        <v>2635</v>
      </c>
    </row>
    <row r="637" spans="1:11">
      <c r="B637" s="607" t="s">
        <v>1557</v>
      </c>
      <c r="C637" s="609">
        <f>INDEX(finPNLAdminInfraExp,xxIndexTeam)</f>
        <v>480000000</v>
      </c>
      <c r="D637" s="609">
        <f>INDEX(obalPNLAdminInfraExp,xxIndexTeam)</f>
        <v>480000000</v>
      </c>
      <c r="E637" s="609"/>
      <c r="J637" s="722" t="s">
        <v>2611</v>
      </c>
      <c r="K637" s="609" t="s">
        <v>2636</v>
      </c>
    </row>
    <row r="638" spans="1:11">
      <c r="B638" s="607" t="s">
        <v>1893</v>
      </c>
      <c r="C638" s="609">
        <f>INDEX(finPNLOtherOpExp,xxIndexTeam)</f>
        <v>181000000</v>
      </c>
      <c r="D638" s="609">
        <f>INDEX(obalPNLOtherOpExp,xxIndexTeam)</f>
        <v>181000000</v>
      </c>
      <c r="E638" s="609"/>
      <c r="J638" s="722" t="s">
        <v>2612</v>
      </c>
      <c r="K638" s="609" t="s">
        <v>2637</v>
      </c>
    </row>
    <row r="639" spans="1:11">
      <c r="B639" s="607"/>
      <c r="C639" s="609"/>
      <c r="D639" s="609"/>
      <c r="E639" s="609"/>
      <c r="J639" s="722"/>
      <c r="K639" s="609"/>
    </row>
    <row r="640" spans="1:11">
      <c r="A640" s="27" t="s">
        <v>3370</v>
      </c>
      <c r="B640" s="607"/>
      <c r="C640" s="609" t="str">
        <f>B634</f>
        <v>People Related</v>
      </c>
      <c r="D640" s="609" t="str">
        <f>B635</f>
        <v>Revenue Related</v>
      </c>
      <c r="E640" s="609" t="str">
        <f>B636</f>
        <v>Net Outside Services</v>
      </c>
      <c r="F640" t="str">
        <f>B637</f>
        <v>Admin &amp; Infrastructure</v>
      </c>
      <c r="G640" t="str">
        <f>B638</f>
        <v>Other Operating</v>
      </c>
      <c r="J640" s="722"/>
      <c r="K640" s="609"/>
    </row>
    <row r="641" spans="2:11">
      <c r="B641" s="607" t="str">
        <f>C633</f>
        <v>This Year</v>
      </c>
      <c r="C641" s="609">
        <f>tlOutputGraphOpsfinPNLEmpExp</f>
        <v>2027201069.2307689</v>
      </c>
      <c r="D641" s="609">
        <f>tlOutputGraphOpsfinPNLRevExp</f>
        <v>554451777.47368419</v>
      </c>
      <c r="E641" s="609">
        <f>tlOutputGraphOpsfinPNLProdDevExp</f>
        <v>18500000</v>
      </c>
      <c r="F641" s="609">
        <f>tlOutputGraphOpsfinPNLAdminInfraExp</f>
        <v>480000000</v>
      </c>
      <c r="G641" s="609">
        <f>tlOutputGraphOpsfinPNLOtherOpExp</f>
        <v>181000000</v>
      </c>
      <c r="J641" s="722"/>
      <c r="K641" s="609"/>
    </row>
    <row r="642" spans="2:11">
      <c r="B642" s="607" t="str">
        <f>D633</f>
        <v>Last Year</v>
      </c>
      <c r="C642" s="609">
        <f>tlOutputGraphOpsobalPNLEmpExp</f>
        <v>2027201069.2307689</v>
      </c>
      <c r="D642" s="609">
        <f>tlOutputGraphOpsobalPNLRevExp</f>
        <v>554451777.47368419</v>
      </c>
      <c r="E642" s="609">
        <f>tlOutputGraphOpsobalPNLProdDevExp</f>
        <v>18500000</v>
      </c>
      <c r="F642" s="609">
        <f>tlOutputGraphOpsobalPNLAdminInfraExp</f>
        <v>480000000</v>
      </c>
      <c r="G642" s="609">
        <f>tlOutputGraphOpsobalPNLOtherOpExp</f>
        <v>181000000</v>
      </c>
      <c r="J642" s="722"/>
      <c r="K642" s="609"/>
    </row>
    <row r="643" spans="2:11">
      <c r="B643" s="607"/>
      <c r="C643" s="609"/>
      <c r="D643" s="609"/>
      <c r="E643" s="609"/>
      <c r="J643" s="722"/>
      <c r="K643" s="609"/>
    </row>
    <row r="644" spans="2:11">
      <c r="B644" s="21"/>
      <c r="C644" s="21"/>
      <c r="D644" s="724"/>
      <c r="E644" s="21"/>
    </row>
    <row r="645" spans="2:11">
      <c r="D645" s="326"/>
    </row>
    <row r="650" spans="2:11" ht="12" thickBot="1">
      <c r="C650" s="565" t="s">
        <v>727</v>
      </c>
      <c r="D650" s="565" t="s">
        <v>2788</v>
      </c>
      <c r="E650" s="565" t="s">
        <v>2789</v>
      </c>
      <c r="F650" s="565" t="s">
        <v>2790</v>
      </c>
      <c r="G650" s="565" t="s">
        <v>2791</v>
      </c>
    </row>
    <row r="651" spans="2:11">
      <c r="B651" s="175">
        <v>1</v>
      </c>
      <c r="C651" s="176">
        <v>100</v>
      </c>
      <c r="D651" s="754" t="s">
        <v>2293</v>
      </c>
      <c r="E651" s="729" t="s">
        <v>2259</v>
      </c>
      <c r="F651" s="729" t="s">
        <v>2260</v>
      </c>
      <c r="G651" s="755" t="s">
        <v>2261</v>
      </c>
    </row>
    <row r="652" spans="2:11">
      <c r="B652" s="129">
        <v>2</v>
      </c>
      <c r="C652" s="21">
        <v>200</v>
      </c>
      <c r="D652" s="756" t="s">
        <v>2292</v>
      </c>
      <c r="E652" s="563" t="s">
        <v>3098</v>
      </c>
      <c r="F652" s="563" t="s">
        <v>3099</v>
      </c>
      <c r="G652" s="757" t="s">
        <v>3100</v>
      </c>
    </row>
    <row r="653" spans="2:11">
      <c r="B653" s="129">
        <v>3</v>
      </c>
      <c r="C653" s="21">
        <v>300</v>
      </c>
      <c r="D653" s="756" t="s">
        <v>2294</v>
      </c>
      <c r="E653" s="563" t="s">
        <v>2274</v>
      </c>
      <c r="F653" s="563" t="s">
        <v>1425</v>
      </c>
      <c r="G653" s="757"/>
    </row>
    <row r="654" spans="2:11">
      <c r="B654" s="129">
        <v>4</v>
      </c>
      <c r="C654" s="21">
        <v>400</v>
      </c>
      <c r="D654" s="756" t="s">
        <v>2296</v>
      </c>
      <c r="E654" s="563" t="s">
        <v>2275</v>
      </c>
      <c r="F654" s="563" t="s">
        <v>2276</v>
      </c>
      <c r="G654" s="757" t="s">
        <v>2277</v>
      </c>
    </row>
    <row r="655" spans="2:11">
      <c r="B655" s="129">
        <v>5</v>
      </c>
      <c r="C655" s="21">
        <v>500</v>
      </c>
      <c r="D655" s="756" t="s">
        <v>2295</v>
      </c>
      <c r="E655" s="563" t="s">
        <v>2278</v>
      </c>
      <c r="F655" s="563" t="s">
        <v>2279</v>
      </c>
      <c r="G655" s="757" t="s">
        <v>2280</v>
      </c>
    </row>
    <row r="656" spans="2:11">
      <c r="B656" s="129">
        <v>6</v>
      </c>
      <c r="C656" s="21">
        <v>600</v>
      </c>
      <c r="D656" s="756" t="s">
        <v>2302</v>
      </c>
      <c r="E656" s="563" t="s">
        <v>2281</v>
      </c>
      <c r="F656" s="563" t="s">
        <v>2282</v>
      </c>
      <c r="G656" s="757" t="s">
        <v>2283</v>
      </c>
    </row>
    <row r="657" spans="2:7">
      <c r="B657" s="129">
        <v>7</v>
      </c>
      <c r="C657" s="21">
        <v>700</v>
      </c>
      <c r="D657" s="756" t="s">
        <v>2297</v>
      </c>
      <c r="E657" s="563" t="s">
        <v>2284</v>
      </c>
      <c r="F657" s="563" t="s">
        <v>2285</v>
      </c>
      <c r="G657" s="757" t="s">
        <v>2286</v>
      </c>
    </row>
    <row r="658" spans="2:7">
      <c r="B658" s="129">
        <v>8</v>
      </c>
      <c r="C658" s="21">
        <v>800</v>
      </c>
      <c r="D658" s="756" t="s">
        <v>2298</v>
      </c>
      <c r="E658" s="563" t="s">
        <v>2287</v>
      </c>
      <c r="F658" s="563" t="s">
        <v>2286</v>
      </c>
      <c r="G658" s="757" t="s">
        <v>2288</v>
      </c>
    </row>
    <row r="659" spans="2:7" ht="12" thickBot="1">
      <c r="B659" s="131">
        <v>9</v>
      </c>
      <c r="C659" s="132">
        <v>900</v>
      </c>
      <c r="D659" s="758" t="s">
        <v>2299</v>
      </c>
      <c r="E659" s="759" t="s">
        <v>2289</v>
      </c>
      <c r="F659" s="759" t="s">
        <v>2290</v>
      </c>
      <c r="G659" s="760"/>
    </row>
    <row r="660" spans="2:7" ht="12" thickBot="1"/>
    <row r="661" spans="2:7">
      <c r="B661" s="786" t="s">
        <v>1267</v>
      </c>
      <c r="C661" s="787" t="s">
        <v>2821</v>
      </c>
    </row>
    <row r="662" spans="2:7">
      <c r="B662" s="129">
        <v>101</v>
      </c>
      <c r="C662" s="757" t="s">
        <v>2259</v>
      </c>
    </row>
    <row r="663" spans="2:7">
      <c r="B663" s="129">
        <f>B662+1</f>
        <v>102</v>
      </c>
      <c r="C663" s="757" t="s">
        <v>2260</v>
      </c>
    </row>
    <row r="664" spans="2:7">
      <c r="B664" s="129">
        <f>B663+1</f>
        <v>103</v>
      </c>
      <c r="C664" s="757" t="s">
        <v>2261</v>
      </c>
    </row>
    <row r="665" spans="2:7">
      <c r="B665" s="129">
        <v>201</v>
      </c>
      <c r="C665" s="563" t="s">
        <v>3098</v>
      </c>
    </row>
    <row r="666" spans="2:7">
      <c r="B666" s="129">
        <f>B665+1</f>
        <v>202</v>
      </c>
      <c r="C666" s="563" t="s">
        <v>3099</v>
      </c>
    </row>
    <row r="667" spans="2:7">
      <c r="B667" s="129">
        <f>B666+1</f>
        <v>203</v>
      </c>
      <c r="C667" s="757" t="s">
        <v>3100</v>
      </c>
    </row>
    <row r="668" spans="2:7">
      <c r="B668" s="129">
        <v>301</v>
      </c>
      <c r="C668" s="757" t="s">
        <v>2274</v>
      </c>
    </row>
    <row r="669" spans="2:7">
      <c r="B669" s="129">
        <f>B668+1</f>
        <v>302</v>
      </c>
      <c r="C669" s="757" t="s">
        <v>1425</v>
      </c>
    </row>
    <row r="670" spans="2:7">
      <c r="B670" s="129">
        <f>B669+1</f>
        <v>303</v>
      </c>
      <c r="C670" s="757"/>
    </row>
    <row r="671" spans="2:7">
      <c r="B671" s="129">
        <v>401</v>
      </c>
      <c r="C671" s="757" t="s">
        <v>2275</v>
      </c>
    </row>
    <row r="672" spans="2:7">
      <c r="B672" s="129">
        <f>B671+1</f>
        <v>402</v>
      </c>
      <c r="C672" s="757" t="s">
        <v>2276</v>
      </c>
    </row>
    <row r="673" spans="2:3">
      <c r="B673" s="129">
        <f>B672+1</f>
        <v>403</v>
      </c>
      <c r="C673" s="757" t="s">
        <v>2277</v>
      </c>
    </row>
    <row r="674" spans="2:3">
      <c r="B674" s="129">
        <v>501</v>
      </c>
      <c r="C674" s="757" t="s">
        <v>2278</v>
      </c>
    </row>
    <row r="675" spans="2:3">
      <c r="B675" s="129">
        <f>B674+1</f>
        <v>502</v>
      </c>
      <c r="C675" s="757" t="s">
        <v>2279</v>
      </c>
    </row>
    <row r="676" spans="2:3">
      <c r="B676" s="129">
        <f>B675+1</f>
        <v>503</v>
      </c>
      <c r="C676" s="757" t="s">
        <v>2280</v>
      </c>
    </row>
    <row r="677" spans="2:3">
      <c r="B677" s="129">
        <v>601</v>
      </c>
      <c r="C677" s="757" t="s">
        <v>2281</v>
      </c>
    </row>
    <row r="678" spans="2:3">
      <c r="B678" s="129">
        <f>B677+1</f>
        <v>602</v>
      </c>
      <c r="C678" s="757" t="s">
        <v>2282</v>
      </c>
    </row>
    <row r="679" spans="2:3">
      <c r="B679" s="129">
        <f>B678+1</f>
        <v>603</v>
      </c>
      <c r="C679" s="757" t="s">
        <v>2283</v>
      </c>
    </row>
    <row r="680" spans="2:3">
      <c r="B680" s="129">
        <v>701</v>
      </c>
      <c r="C680" s="757" t="s">
        <v>2284</v>
      </c>
    </row>
    <row r="681" spans="2:3">
      <c r="B681" s="129">
        <f>B680+1</f>
        <v>702</v>
      </c>
      <c r="C681" s="757" t="s">
        <v>2285</v>
      </c>
    </row>
    <row r="682" spans="2:3">
      <c r="B682" s="129">
        <f>B681+1</f>
        <v>703</v>
      </c>
      <c r="C682" s="130"/>
    </row>
    <row r="683" spans="2:3">
      <c r="B683" s="129">
        <v>801</v>
      </c>
      <c r="C683" s="757" t="s">
        <v>2287</v>
      </c>
    </row>
    <row r="684" spans="2:3">
      <c r="B684" s="129">
        <f>B683+1</f>
        <v>802</v>
      </c>
      <c r="C684" s="757" t="s">
        <v>2286</v>
      </c>
    </row>
    <row r="685" spans="2:3">
      <c r="B685" s="129">
        <f>B684+1</f>
        <v>803</v>
      </c>
      <c r="C685" s="757" t="s">
        <v>2288</v>
      </c>
    </row>
    <row r="686" spans="2:3">
      <c r="B686" s="129">
        <v>901</v>
      </c>
      <c r="C686" s="757" t="s">
        <v>2289</v>
      </c>
    </row>
    <row r="687" spans="2:3">
      <c r="B687" s="129">
        <f>B686+1</f>
        <v>902</v>
      </c>
      <c r="C687" s="757" t="s">
        <v>2290</v>
      </c>
    </row>
    <row r="688" spans="2:3" ht="12" thickBot="1">
      <c r="B688" s="131">
        <f>B687+1</f>
        <v>903</v>
      </c>
      <c r="C688" s="133"/>
    </row>
    <row r="691" spans="2:2">
      <c r="B691" s="3" t="s">
        <v>3788</v>
      </c>
    </row>
  </sheetData>
  <phoneticPr fontId="0" type="noConversion"/>
  <pageMargins left="0.5" right="0.5" top="0.5" bottom="0.5"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edback">
    <tabColor indexed="60"/>
  </sheetPr>
  <dimension ref="A1:S251"/>
  <sheetViews>
    <sheetView topLeftCell="D1" zoomScaleNormal="100" workbookViewId="0">
      <pane ySplit="1" topLeftCell="A148" activePane="bottomLeft" state="frozen"/>
      <selection activeCell="E3" sqref="E3:I248"/>
      <selection pane="bottomLeft" activeCell="J170" sqref="J170"/>
    </sheetView>
  </sheetViews>
  <sheetFormatPr defaultColWidth="9.33203125" defaultRowHeight="11.25"/>
  <cols>
    <col min="4" max="4" width="30.1640625" customWidth="1"/>
    <col min="5" max="5" width="15.83203125" customWidth="1"/>
    <col min="6" max="6" width="16" customWidth="1"/>
    <col min="7" max="7" width="15" customWidth="1"/>
    <col min="8" max="9" width="15.83203125" customWidth="1"/>
    <col min="10" max="10" width="32.5" customWidth="1"/>
    <col min="11" max="15" width="41.1640625" customWidth="1"/>
    <col min="17" max="19" width="16.6640625" bestFit="1" customWidth="1"/>
  </cols>
  <sheetData>
    <row r="1" spans="1:19" s="138" customFormat="1" ht="15.75">
      <c r="A1" s="138" t="s">
        <v>986</v>
      </c>
      <c r="E1" s="138" t="s">
        <v>1231</v>
      </c>
      <c r="F1" s="138" t="s">
        <v>1232</v>
      </c>
      <c r="G1" s="138" t="s">
        <v>1233</v>
      </c>
      <c r="H1" s="138" t="s">
        <v>2983</v>
      </c>
      <c r="I1" s="138" t="s">
        <v>2984</v>
      </c>
    </row>
    <row r="2" spans="1:19">
      <c r="B2" s="3" t="s">
        <v>1306</v>
      </c>
      <c r="D2" s="565"/>
    </row>
    <row r="3" spans="1:19">
      <c r="D3" s="565" t="s">
        <v>60</v>
      </c>
      <c r="E3">
        <f>analyRank</f>
        <v>2</v>
      </c>
      <c r="F3">
        <f>analyRank</f>
        <v>1</v>
      </c>
      <c r="G3">
        <f>analyRank</f>
        <v>3</v>
      </c>
      <c r="H3">
        <f>analyRank</f>
        <v>4</v>
      </c>
      <c r="I3">
        <f>analyRank</f>
        <v>4</v>
      </c>
      <c r="K3" s="565"/>
      <c r="M3" s="565"/>
      <c r="N3" s="565"/>
    </row>
    <row r="4" spans="1:19">
      <c r="D4" t="s">
        <v>679</v>
      </c>
      <c r="E4" t="str">
        <f>E9</f>
        <v>IIC</v>
      </c>
      <c r="F4" t="str">
        <f t="shared" ref="F4:I4" si="0">F9</f>
        <v>Bloomfield</v>
      </c>
      <c r="G4" t="str">
        <f t="shared" si="0"/>
        <v>Nextus</v>
      </c>
      <c r="H4">
        <f t="shared" si="0"/>
        <v>0</v>
      </c>
      <c r="I4">
        <f t="shared" si="0"/>
        <v>0</v>
      </c>
      <c r="L4" s="565" t="s">
        <v>3733</v>
      </c>
      <c r="M4" s="565"/>
    </row>
    <row r="5" spans="1:19">
      <c r="B5" s="3" t="s">
        <v>2168</v>
      </c>
      <c r="D5" s="565" t="s">
        <v>3358</v>
      </c>
      <c r="E5" s="326">
        <f>analyWinMetric</f>
        <v>940488897.02871478</v>
      </c>
      <c r="F5" s="326">
        <f>analyWinMetric</f>
        <v>994108450.93279386</v>
      </c>
      <c r="G5" s="326">
        <f>analyWinMetric</f>
        <v>349301186.90683627</v>
      </c>
      <c r="H5" s="326">
        <f>analyWinMetric</f>
        <v>0</v>
      </c>
      <c r="I5" s="326">
        <f>analyWinMetric</f>
        <v>0</v>
      </c>
      <c r="M5" s="682" t="s">
        <v>2165</v>
      </c>
    </row>
    <row r="6" spans="1:19">
      <c r="D6" s="565" t="s">
        <v>3359</v>
      </c>
      <c r="E6" s="326">
        <f>analyWinMetricAvg</f>
        <v>940488897.02871478</v>
      </c>
      <c r="F6" s="326">
        <f>analyWinMetricAvg</f>
        <v>994108450.93279386</v>
      </c>
      <c r="G6" s="326">
        <f>analyWinMetricAvg</f>
        <v>349301186.90683627</v>
      </c>
      <c r="H6" s="326">
        <f>analyWinMetricAvg</f>
        <v>0</v>
      </c>
      <c r="I6" s="326">
        <f>analyWinMetricAvg</f>
        <v>0</v>
      </c>
      <c r="M6" s="542" t="s">
        <v>2166</v>
      </c>
    </row>
    <row r="7" spans="1:19">
      <c r="D7" s="4"/>
    </row>
    <row r="8" spans="1:19">
      <c r="D8" s="4"/>
    </row>
    <row r="9" spans="1:19">
      <c r="B9" s="706" t="s">
        <v>2167</v>
      </c>
      <c r="D9" s="3"/>
      <c r="E9" t="str">
        <f>decTeamName</f>
        <v>IIC</v>
      </c>
      <c r="F9" t="str">
        <f>decTeamName</f>
        <v>Bloomfield</v>
      </c>
      <c r="G9" t="str">
        <f>decTeamName</f>
        <v>Nextus</v>
      </c>
      <c r="L9" s="719" t="s">
        <v>2646</v>
      </c>
      <c r="M9" s="719" t="s">
        <v>4162</v>
      </c>
      <c r="N9" s="719" t="s">
        <v>4163</v>
      </c>
      <c r="O9" s="719" t="s">
        <v>4164</v>
      </c>
      <c r="P9" t="s">
        <v>4073</v>
      </c>
    </row>
    <row r="10" spans="1:19">
      <c r="D10" t="str">
        <f>DataNameProd1</f>
        <v>Growth</v>
      </c>
      <c r="E10" s="326">
        <f>finPNLProd1Rev-finPNLProd1GGORev</f>
        <v>1866892651.7624998</v>
      </c>
      <c r="F10" s="326">
        <f>finPNLProd1Rev-finPNLProd1GGORev</f>
        <v>1657198555.9855313</v>
      </c>
      <c r="G10" s="326">
        <f>finPNLProd1Rev-finPNLProd1GGORev</f>
        <v>1197054796.3770657</v>
      </c>
      <c r="H10" s="326"/>
      <c r="I10" s="326"/>
      <c r="L10" s="719" t="s">
        <v>2647</v>
      </c>
      <c r="M10" s="719" t="s">
        <v>4165</v>
      </c>
      <c r="N10" s="719" t="s">
        <v>4166</v>
      </c>
      <c r="O10" s="719" t="s">
        <v>4167</v>
      </c>
      <c r="P10" t="s">
        <v>4074</v>
      </c>
      <c r="Q10" s="326"/>
      <c r="R10" s="326"/>
      <c r="S10" s="326"/>
    </row>
    <row r="11" spans="1:19">
      <c r="D11" t="str">
        <f>DataNameProd2</f>
        <v>Transform</v>
      </c>
      <c r="E11" s="326">
        <f>finPNLProd2Rev-finPNLProd2GGORev</f>
        <v>2218180536</v>
      </c>
      <c r="F11" s="326">
        <f>finPNLProd2Rev-finPNLProd2GGORev</f>
        <v>1926082219.9950004</v>
      </c>
      <c r="G11" s="326">
        <f>finPNLProd2Rev-finPNLProd2GGORev</f>
        <v>1416211986.487</v>
      </c>
      <c r="H11" s="326"/>
      <c r="I11" s="326"/>
      <c r="L11" s="719" t="s">
        <v>2648</v>
      </c>
      <c r="M11" s="719" t="s">
        <v>4168</v>
      </c>
      <c r="N11" s="719" t="s">
        <v>4169</v>
      </c>
      <c r="O11" s="719" t="s">
        <v>4170</v>
      </c>
      <c r="P11" t="s">
        <v>4075</v>
      </c>
      <c r="Q11" s="326"/>
      <c r="R11" s="326"/>
      <c r="S11" s="326"/>
    </row>
    <row r="12" spans="1:19">
      <c r="D12" s="565" t="s">
        <v>3065</v>
      </c>
      <c r="E12" s="326">
        <f>finPNLProd1GGORev+finPNLProd2GGORev</f>
        <v>326337786.73989737</v>
      </c>
      <c r="F12" s="326">
        <f>finPNLProd1GGORev+finPNLProd2GGORev</f>
        <v>329347202.32700366</v>
      </c>
      <c r="G12" s="326">
        <f>finPNLProd1GGORev+finPNLProd2GGORev</f>
        <v>326337786.73989737</v>
      </c>
      <c r="H12" s="326"/>
      <c r="I12" s="326"/>
      <c r="L12" s="719" t="s">
        <v>3076</v>
      </c>
      <c r="M12" s="720" t="s">
        <v>4171</v>
      </c>
      <c r="N12" s="720" t="s">
        <v>4172</v>
      </c>
      <c r="O12" s="720" t="s">
        <v>4173</v>
      </c>
      <c r="P12" t="s">
        <v>4076</v>
      </c>
      <c r="Q12" s="326"/>
      <c r="R12" s="326"/>
      <c r="S12" s="326"/>
    </row>
    <row r="13" spans="1:19">
      <c r="D13" s="565" t="s">
        <v>936</v>
      </c>
      <c r="E13" s="385">
        <f>finCAGR</f>
        <v>0</v>
      </c>
      <c r="F13" s="385">
        <f>finCAGR</f>
        <v>0</v>
      </c>
      <c r="G13" s="385">
        <f>finCAGR</f>
        <v>0</v>
      </c>
      <c r="H13" s="385"/>
      <c r="I13" s="385"/>
      <c r="L13" s="719" t="s">
        <v>2649</v>
      </c>
      <c r="M13" s="719" t="s">
        <v>4174</v>
      </c>
      <c r="N13" s="719" t="s">
        <v>4175</v>
      </c>
      <c r="O13" s="719" t="s">
        <v>4176</v>
      </c>
      <c r="P13" t="s">
        <v>4077</v>
      </c>
      <c r="Q13" s="326"/>
      <c r="R13" s="326"/>
      <c r="S13" s="326"/>
    </row>
    <row r="14" spans="1:19">
      <c r="L14" s="720"/>
      <c r="M14" s="720"/>
      <c r="N14" s="720"/>
      <c r="O14" s="720"/>
    </row>
    <row r="15" spans="1:19">
      <c r="B15" s="706" t="s">
        <v>2171</v>
      </c>
      <c r="D15" s="3"/>
      <c r="E15" t="str">
        <f>decTeamName</f>
        <v>IIC</v>
      </c>
      <c r="F15" t="str">
        <f>decTeamName</f>
        <v>Bloomfield</v>
      </c>
      <c r="G15" t="str">
        <f>decTeamName</f>
        <v>Nextus</v>
      </c>
      <c r="L15" s="720"/>
      <c r="M15" s="720"/>
      <c r="N15" s="720"/>
      <c r="O15" s="720"/>
    </row>
    <row r="16" spans="1:19">
      <c r="D16" s="565" t="s">
        <v>2172</v>
      </c>
      <c r="E16" s="326">
        <f>finPNLRev-finPNLExistSubRev</f>
        <v>641728986.73989773</v>
      </c>
      <c r="F16" s="326">
        <f>finPNLRev-finPNLExistSubRev</f>
        <v>603891782.32700348</v>
      </c>
      <c r="G16" s="326">
        <f>finPNLRev-finPNLExistSubRev</f>
        <v>529574146.73989725</v>
      </c>
      <c r="H16" s="326"/>
      <c r="I16" s="326"/>
      <c r="L16" s="719" t="s">
        <v>2650</v>
      </c>
      <c r="M16" s="719" t="s">
        <v>4177</v>
      </c>
      <c r="N16" s="719" t="s">
        <v>4178</v>
      </c>
      <c r="O16" s="719" t="s">
        <v>4179</v>
      </c>
      <c r="P16" t="s">
        <v>4078</v>
      </c>
    </row>
    <row r="17" spans="2:16">
      <c r="D17" s="565" t="s">
        <v>2173</v>
      </c>
      <c r="E17" s="326">
        <f>finPNLExistSubRev</f>
        <v>3769681987.7625008</v>
      </c>
      <c r="F17" s="326">
        <f>finPNLExistSubRev</f>
        <v>3308736195.9805317</v>
      </c>
      <c r="G17" s="326">
        <f>finPNLExistSubRev</f>
        <v>2410030422.8640656</v>
      </c>
      <c r="H17" s="326"/>
      <c r="I17" s="326"/>
      <c r="L17" s="719" t="s">
        <v>2651</v>
      </c>
      <c r="M17" s="719" t="s">
        <v>4180</v>
      </c>
      <c r="N17" s="719" t="s">
        <v>4181</v>
      </c>
      <c r="O17" s="719" t="s">
        <v>4182</v>
      </c>
      <c r="P17" t="s">
        <v>4079</v>
      </c>
    </row>
    <row r="18" spans="2:16">
      <c r="D18" s="565" t="s">
        <v>2174</v>
      </c>
      <c r="E18" s="385">
        <f>1-capTotalCancellationRate</f>
        <v>0.91537169304402211</v>
      </c>
      <c r="F18" s="385">
        <f>1-capTotalCancellationRate</f>
        <v>0.91249541633369236</v>
      </c>
      <c r="G18" s="385">
        <f>1-capTotalCancellationRate</f>
        <v>0.91413336150585456</v>
      </c>
      <c r="H18" s="385"/>
      <c r="I18" s="385"/>
      <c r="L18" s="719" t="s">
        <v>2652</v>
      </c>
      <c r="M18" s="719" t="s">
        <v>4183</v>
      </c>
      <c r="N18" s="719" t="s">
        <v>4184</v>
      </c>
      <c r="O18" s="719" t="s">
        <v>4185</v>
      </c>
      <c r="P18" t="s">
        <v>4080</v>
      </c>
    </row>
    <row r="19" spans="2:16">
      <c r="D19" s="565"/>
      <c r="E19" s="385"/>
      <c r="F19" s="385"/>
      <c r="G19" s="385"/>
      <c r="H19" s="385"/>
      <c r="I19" s="385"/>
      <c r="L19" s="719"/>
      <c r="M19" s="719"/>
      <c r="N19" s="719"/>
      <c r="O19" s="719"/>
    </row>
    <row r="20" spans="2:16">
      <c r="L20" s="720"/>
      <c r="M20" s="720"/>
      <c r="N20" s="720"/>
      <c r="O20" s="720"/>
    </row>
    <row r="21" spans="2:16">
      <c r="B21" s="706" t="s">
        <v>1884</v>
      </c>
      <c r="E21" t="str">
        <f>decTeamName</f>
        <v>IIC</v>
      </c>
      <c r="F21" t="str">
        <f>decTeamName</f>
        <v>Bloomfield</v>
      </c>
      <c r="G21" t="str">
        <f>decTeamName</f>
        <v>Nextus</v>
      </c>
      <c r="L21" s="720"/>
      <c r="M21" s="720"/>
      <c r="N21" s="720"/>
      <c r="O21" s="720"/>
    </row>
    <row r="22" spans="2:16">
      <c r="D22" t="s">
        <v>1427</v>
      </c>
      <c r="E22" s="609">
        <f>finPNLEmpExp</f>
        <v>2027201069.2307689</v>
      </c>
      <c r="F22" s="609">
        <f>finPNLEmpExp</f>
        <v>1749815042.0956995</v>
      </c>
      <c r="G22" s="609">
        <f>finPNLEmpExp</f>
        <v>1531397169.8875041</v>
      </c>
      <c r="H22" s="609"/>
      <c r="I22" s="609"/>
      <c r="L22" s="722" t="s">
        <v>2653</v>
      </c>
      <c r="M22" s="722" t="s">
        <v>4186</v>
      </c>
      <c r="N22" s="722" t="s">
        <v>4187</v>
      </c>
      <c r="O22" s="722" t="s">
        <v>4188</v>
      </c>
      <c r="P22" t="s">
        <v>4081</v>
      </c>
    </row>
    <row r="23" spans="2:16">
      <c r="D23" t="s">
        <v>1533</v>
      </c>
      <c r="E23" s="609">
        <f>finPNLRevExp</f>
        <v>554451777.47368419</v>
      </c>
      <c r="F23" s="609">
        <f>finPNLRevExp</f>
        <v>507060027.37474138</v>
      </c>
      <c r="G23" s="609">
        <f>finPNLRevExp</f>
        <v>384641542.69712645</v>
      </c>
      <c r="H23" s="609"/>
      <c r="I23" s="609"/>
      <c r="L23" s="722" t="s">
        <v>2654</v>
      </c>
      <c r="M23" s="722" t="s">
        <v>4189</v>
      </c>
      <c r="N23" s="722" t="s">
        <v>4190</v>
      </c>
      <c r="O23" s="722" t="s">
        <v>4191</v>
      </c>
      <c r="P23" t="s">
        <v>4082</v>
      </c>
    </row>
    <row r="24" spans="2:16">
      <c r="D24" t="s">
        <v>1556</v>
      </c>
      <c r="E24" s="609">
        <f>finPNLProdDevExp</f>
        <v>18500000</v>
      </c>
      <c r="F24" s="609">
        <f>finPNLProdDevExp</f>
        <v>5000000</v>
      </c>
      <c r="G24" s="609">
        <f>finPNLProdDevExp</f>
        <v>5000000.0000000009</v>
      </c>
      <c r="H24" s="609"/>
      <c r="I24" s="609"/>
      <c r="L24" s="722" t="s">
        <v>2655</v>
      </c>
      <c r="M24" s="722" t="s">
        <v>4192</v>
      </c>
      <c r="N24" s="722" t="s">
        <v>4193</v>
      </c>
      <c r="O24" s="722" t="s">
        <v>4194</v>
      </c>
      <c r="P24" t="s">
        <v>4083</v>
      </c>
    </row>
    <row r="25" spans="2:16">
      <c r="D25" t="s">
        <v>1557</v>
      </c>
      <c r="E25" s="609">
        <f>finPNLAdminInfraExp</f>
        <v>480000000</v>
      </c>
      <c r="F25" s="609">
        <f>finPNLAdminInfraExp</f>
        <v>294000000</v>
      </c>
      <c r="G25" s="609">
        <f>finPNLAdminInfraExp</f>
        <v>237500000</v>
      </c>
      <c r="H25" s="609"/>
      <c r="I25" s="609"/>
      <c r="L25" s="722" t="s">
        <v>2656</v>
      </c>
      <c r="M25" s="722" t="s">
        <v>4195</v>
      </c>
      <c r="N25" s="722" t="s">
        <v>4196</v>
      </c>
      <c r="O25" s="722" t="s">
        <v>4197</v>
      </c>
      <c r="P25" t="s">
        <v>4084</v>
      </c>
    </row>
    <row r="26" spans="2:16">
      <c r="D26" s="565" t="s">
        <v>2179</v>
      </c>
      <c r="E26" s="609">
        <f>finPNLOtherOpExp</f>
        <v>181000000</v>
      </c>
      <c r="F26" s="609">
        <f>finPNLOtherOpExp</f>
        <v>181000000</v>
      </c>
      <c r="G26" s="609">
        <f>finPNLOtherOpExp</f>
        <v>181000000</v>
      </c>
      <c r="H26" s="609"/>
      <c r="I26" s="609"/>
      <c r="L26" s="722" t="s">
        <v>2657</v>
      </c>
      <c r="M26" s="722" t="s">
        <v>4198</v>
      </c>
      <c r="N26" s="722" t="s">
        <v>4199</v>
      </c>
      <c r="O26" s="722" t="s">
        <v>4200</v>
      </c>
      <c r="P26" t="s">
        <v>4085</v>
      </c>
    </row>
    <row r="27" spans="2:16">
      <c r="D27" t="s">
        <v>1883</v>
      </c>
      <c r="E27" s="609">
        <f>finPNLDeprAmortExp</f>
        <v>312079846.15384614</v>
      </c>
      <c r="F27" s="609">
        <f>finPNLDeprAmortExp</f>
        <v>255954891.58086011</v>
      </c>
      <c r="G27" s="609">
        <f>finPNLDeprAmortExp</f>
        <v>258403934.02249923</v>
      </c>
      <c r="H27" s="609"/>
      <c r="I27" s="609"/>
      <c r="L27" s="722" t="s">
        <v>2658</v>
      </c>
      <c r="M27" s="722" t="s">
        <v>4201</v>
      </c>
      <c r="N27" s="722" t="s">
        <v>4202</v>
      </c>
      <c r="O27" s="722" t="s">
        <v>4203</v>
      </c>
      <c r="P27" t="s">
        <v>4086</v>
      </c>
    </row>
    <row r="28" spans="2:16">
      <c r="D28" s="565" t="s">
        <v>1884</v>
      </c>
      <c r="E28" s="609">
        <f>finPNLOperatingIncome</f>
        <v>838178281.64409935</v>
      </c>
      <c r="F28" s="609">
        <f>finPNLOperatingIncome</f>
        <v>919798017.25623417</v>
      </c>
      <c r="G28" s="609">
        <f>finPNLOperatingIncome</f>
        <v>341661922.99683321</v>
      </c>
      <c r="H28" s="609"/>
      <c r="I28" s="609"/>
      <c r="L28" s="722" t="s">
        <v>2659</v>
      </c>
      <c r="M28" s="722" t="s">
        <v>4204</v>
      </c>
      <c r="N28" s="722" t="s">
        <v>4205</v>
      </c>
      <c r="O28" s="722" t="s">
        <v>4206</v>
      </c>
      <c r="P28" t="s">
        <v>4087</v>
      </c>
    </row>
    <row r="29" spans="2:16">
      <c r="D29" s="565" t="s">
        <v>403</v>
      </c>
      <c r="E29" s="699">
        <f>finPNLOperatingMargin</f>
        <v>0.1900023113894177</v>
      </c>
      <c r="F29" s="699">
        <f>finPNLOperatingMargin</f>
        <v>0.23508445534709546</v>
      </c>
      <c r="G29" s="699">
        <f>finPNLOperatingMargin</f>
        <v>0.11622717100445366</v>
      </c>
      <c r="H29" s="699"/>
      <c r="I29" s="699"/>
      <c r="L29" s="722" t="s">
        <v>2660</v>
      </c>
      <c r="M29" s="722" t="s">
        <v>4207</v>
      </c>
      <c r="N29" s="722" t="s">
        <v>4208</v>
      </c>
      <c r="O29" s="722" t="s">
        <v>4209</v>
      </c>
      <c r="P29" t="s">
        <v>4088</v>
      </c>
    </row>
    <row r="30" spans="2:16">
      <c r="L30" s="720"/>
      <c r="M30" s="720"/>
      <c r="N30" s="720"/>
      <c r="O30" s="720"/>
    </row>
    <row r="31" spans="2:16">
      <c r="B31" s="706" t="s">
        <v>2030</v>
      </c>
      <c r="D31" s="3"/>
      <c r="E31" t="str">
        <f>decTeamName</f>
        <v>IIC</v>
      </c>
      <c r="F31" t="str">
        <f>decTeamName</f>
        <v>Bloomfield</v>
      </c>
      <c r="G31" t="str">
        <f>decTeamName</f>
        <v>Nextus</v>
      </c>
      <c r="L31" s="720"/>
      <c r="M31" s="720"/>
      <c r="N31" s="720"/>
      <c r="O31" s="720"/>
    </row>
    <row r="32" spans="2:16">
      <c r="D32" s="565" t="s">
        <v>1737</v>
      </c>
      <c r="E32" s="326">
        <f>finCashOI</f>
        <v>940488897.02871478</v>
      </c>
      <c r="F32" s="326">
        <f>finCashOI</f>
        <v>994108450.93279386</v>
      </c>
      <c r="G32" s="326">
        <f>finCashOI</f>
        <v>349301186.90683627</v>
      </c>
      <c r="H32" s="326"/>
      <c r="I32" s="326"/>
      <c r="L32" s="719" t="s">
        <v>2661</v>
      </c>
      <c r="M32" s="719" t="s">
        <v>4210</v>
      </c>
      <c r="N32" s="719" t="s">
        <v>4211</v>
      </c>
      <c r="O32" s="719" t="s">
        <v>4212</v>
      </c>
      <c r="P32" t="s">
        <v>4089</v>
      </c>
    </row>
    <row r="33" spans="2:16">
      <c r="D33" s="565" t="s">
        <v>2291</v>
      </c>
      <c r="E33" s="385">
        <f>finCashOIMargin</f>
        <v>0.21319457707855041</v>
      </c>
      <c r="F33" s="385">
        <f>finCashOIMargin</f>
        <v>0.25407691619145711</v>
      </c>
      <c r="G33" s="385">
        <f>finCashOIMargin</f>
        <v>0.11882590962018261</v>
      </c>
      <c r="H33" s="385"/>
      <c r="I33" s="385"/>
      <c r="L33" s="719" t="s">
        <v>2662</v>
      </c>
      <c r="M33" s="719" t="s">
        <v>4213</v>
      </c>
      <c r="N33" s="719" t="s">
        <v>4214</v>
      </c>
      <c r="O33" s="719" t="s">
        <v>4215</v>
      </c>
      <c r="P33" t="s">
        <v>4090</v>
      </c>
    </row>
    <row r="34" spans="2:16">
      <c r="L34" s="720"/>
      <c r="M34" s="720"/>
      <c r="N34" s="720"/>
      <c r="O34" s="720"/>
    </row>
    <row r="35" spans="2:16">
      <c r="L35" s="720"/>
      <c r="M35" s="720"/>
      <c r="N35" s="720"/>
      <c r="O35" s="720"/>
    </row>
    <row r="36" spans="2:16">
      <c r="L36" s="720"/>
      <c r="M36" s="720"/>
      <c r="N36" s="720"/>
      <c r="O36" s="720"/>
    </row>
    <row r="37" spans="2:16" ht="12" thickBot="1">
      <c r="D37">
        <v>2</v>
      </c>
      <c r="E37">
        <v>5</v>
      </c>
      <c r="F37">
        <v>6</v>
      </c>
      <c r="G37">
        <v>7</v>
      </c>
      <c r="L37" s="720"/>
      <c r="M37" s="720"/>
      <c r="N37" s="720"/>
      <c r="O37" s="720"/>
    </row>
    <row r="38" spans="2:16">
      <c r="B38" s="706" t="s">
        <v>322</v>
      </c>
      <c r="D38" s="3"/>
      <c r="E38" t="str">
        <f>decTeamName</f>
        <v>IIC</v>
      </c>
      <c r="F38" t="str">
        <f>decTeamName</f>
        <v>Bloomfield</v>
      </c>
      <c r="G38" t="str">
        <f>decTeamName</f>
        <v>Nextus</v>
      </c>
      <c r="J38" s="1301" t="s">
        <v>4482</v>
      </c>
      <c r="K38" s="1302" t="s">
        <v>1109</v>
      </c>
      <c r="L38" s="720"/>
      <c r="M38" s="720"/>
      <c r="N38" s="720"/>
      <c r="O38" s="720"/>
    </row>
    <row r="39" spans="2:16">
      <c r="C39">
        <v>1</v>
      </c>
      <c r="D39" s="565" t="str">
        <f t="shared" ref="D39:G48" si="1">VLOOKUP($C39,capTableCSATImpact,D$50,FALSE)</f>
        <v>Product Technology</v>
      </c>
      <c r="E39" s="707">
        <f t="shared" si="1"/>
        <v>0.06</v>
      </c>
      <c r="F39" s="713">
        <f t="shared" si="1"/>
        <v>4.4999999999999998E-2</v>
      </c>
      <c r="G39" s="713">
        <f t="shared" si="1"/>
        <v>7.4999999999999997E-2</v>
      </c>
      <c r="H39" s="713"/>
      <c r="I39" s="713"/>
      <c r="J39" s="1303" t="str">
        <f>B38</f>
        <v>Customer Satisfaction</v>
      </c>
      <c r="K39" s="1304" t="s">
        <v>999</v>
      </c>
      <c r="L39" s="719" t="s">
        <v>2671</v>
      </c>
      <c r="M39" s="719" t="s">
        <v>4216</v>
      </c>
      <c r="N39" s="719" t="s">
        <v>4217</v>
      </c>
      <c r="O39" s="719" t="s">
        <v>4218</v>
      </c>
      <c r="P39" t="s">
        <v>4091</v>
      </c>
    </row>
    <row r="40" spans="2:16">
      <c r="C40">
        <v>2</v>
      </c>
      <c r="D40" s="565" t="str">
        <f t="shared" si="1"/>
        <v>Pricing</v>
      </c>
      <c r="E40" s="707">
        <f t="shared" si="1"/>
        <v>0</v>
      </c>
      <c r="F40" s="713">
        <f t="shared" si="1"/>
        <v>-3.7500000000000033E-2</v>
      </c>
      <c r="G40" s="713">
        <f t="shared" si="1"/>
        <v>1.5000000000000013E-2</v>
      </c>
      <c r="H40" s="713"/>
      <c r="I40" s="713"/>
      <c r="J40" s="1303"/>
      <c r="K40" s="1304" t="s">
        <v>1110</v>
      </c>
      <c r="L40" s="719" t="s">
        <v>2672</v>
      </c>
      <c r="M40" s="719" t="s">
        <v>4219</v>
      </c>
      <c r="N40" s="719" t="s">
        <v>4220</v>
      </c>
      <c r="O40" s="719" t="s">
        <v>4221</v>
      </c>
      <c r="P40" t="s">
        <v>4092</v>
      </c>
    </row>
    <row r="41" spans="2:16">
      <c r="C41">
        <v>3</v>
      </c>
      <c r="D41" s="565" t="str">
        <f t="shared" si="1"/>
        <v>Content</v>
      </c>
      <c r="E41" s="707">
        <f t="shared" si="1"/>
        <v>0.01</v>
      </c>
      <c r="F41" s="713">
        <f t="shared" si="1"/>
        <v>0.01</v>
      </c>
      <c r="G41" s="713">
        <f t="shared" si="1"/>
        <v>0.02</v>
      </c>
      <c r="H41" s="713"/>
      <c r="I41" s="713"/>
      <c r="J41" s="1303"/>
      <c r="K41" s="1304" t="s">
        <v>1111</v>
      </c>
      <c r="L41" s="719" t="s">
        <v>2673</v>
      </c>
      <c r="M41" s="719" t="s">
        <v>4222</v>
      </c>
      <c r="N41" s="719" t="s">
        <v>4223</v>
      </c>
      <c r="O41" s="719" t="s">
        <v>4224</v>
      </c>
      <c r="P41" t="s">
        <v>4093</v>
      </c>
    </row>
    <row r="42" spans="2:16" ht="12" thickBot="1">
      <c r="C42">
        <v>4</v>
      </c>
      <c r="D42" s="565" t="str">
        <f t="shared" si="1"/>
        <v>Global Presence</v>
      </c>
      <c r="E42" s="707">
        <f t="shared" si="1"/>
        <v>0.01</v>
      </c>
      <c r="F42" s="713">
        <f t="shared" si="1"/>
        <v>0.04</v>
      </c>
      <c r="G42" s="713">
        <f t="shared" si="1"/>
        <v>0.01</v>
      </c>
      <c r="H42" s="713"/>
      <c r="I42" s="713"/>
      <c r="J42" s="1306" t="s">
        <v>4483</v>
      </c>
      <c r="K42" s="1305" t="s">
        <v>1112</v>
      </c>
      <c r="L42" s="719" t="s">
        <v>2674</v>
      </c>
      <c r="M42" s="719" t="s">
        <v>4225</v>
      </c>
      <c r="N42" s="719" t="s">
        <v>4226</v>
      </c>
      <c r="O42" s="719" t="s">
        <v>4227</v>
      </c>
      <c r="P42" t="s">
        <v>4094</v>
      </c>
    </row>
    <row r="43" spans="2:16">
      <c r="C43">
        <v>5</v>
      </c>
      <c r="D43" s="565" t="str">
        <f t="shared" si="1"/>
        <v>SF Coverage</v>
      </c>
      <c r="E43" s="707">
        <f t="shared" si="1"/>
        <v>0.01</v>
      </c>
      <c r="F43" s="713">
        <f t="shared" si="1"/>
        <v>0.04</v>
      </c>
      <c r="G43" s="713">
        <f t="shared" si="1"/>
        <v>0.01</v>
      </c>
      <c r="H43" s="713"/>
      <c r="I43" s="713"/>
      <c r="L43" s="719" t="s">
        <v>2675</v>
      </c>
      <c r="M43" s="719" t="s">
        <v>4228</v>
      </c>
      <c r="N43" s="719" t="s">
        <v>4229</v>
      </c>
      <c r="O43" s="719" t="s">
        <v>4230</v>
      </c>
      <c r="P43" t="s">
        <v>4095</v>
      </c>
    </row>
    <row r="44" spans="2:16">
      <c r="C44">
        <v>6</v>
      </c>
      <c r="D44" s="565" t="str">
        <f t="shared" si="1"/>
        <v>Customer Service</v>
      </c>
      <c r="E44" s="707">
        <f t="shared" si="1"/>
        <v>0</v>
      </c>
      <c r="F44" s="713">
        <f t="shared" si="1"/>
        <v>0</v>
      </c>
      <c r="G44" s="713">
        <f t="shared" si="1"/>
        <v>-1.4999999999999999E-2</v>
      </c>
      <c r="H44" s="713"/>
      <c r="I44" s="713"/>
      <c r="L44" s="719" t="s">
        <v>2676</v>
      </c>
      <c r="M44" s="719" t="s">
        <v>4231</v>
      </c>
      <c r="N44" s="719" t="s">
        <v>4232</v>
      </c>
      <c r="O44" s="719" t="s">
        <v>4233</v>
      </c>
      <c r="P44" t="s">
        <v>4096</v>
      </c>
    </row>
    <row r="45" spans="2:16">
      <c r="C45">
        <v>7</v>
      </c>
      <c r="D45" s="565" t="str">
        <f t="shared" si="1"/>
        <v>Employee Engagement</v>
      </c>
      <c r="E45" s="707">
        <f t="shared" si="1"/>
        <v>0</v>
      </c>
      <c r="F45" s="713">
        <f t="shared" si="1"/>
        <v>0</v>
      </c>
      <c r="G45" s="713">
        <f t="shared" si="1"/>
        <v>0</v>
      </c>
      <c r="H45" s="713"/>
      <c r="I45" s="713"/>
      <c r="L45" s="719" t="s">
        <v>2677</v>
      </c>
      <c r="M45" s="719" t="s">
        <v>4234</v>
      </c>
      <c r="N45" s="719" t="s">
        <v>4235</v>
      </c>
      <c r="O45" s="719" t="s">
        <v>4236</v>
      </c>
      <c r="P45" t="s">
        <v>4097</v>
      </c>
    </row>
    <row r="46" spans="2:16">
      <c r="C46">
        <v>8</v>
      </c>
      <c r="D46" s="565" t="str">
        <f t="shared" si="1"/>
        <v>Marketing</v>
      </c>
      <c r="E46" s="713">
        <f t="shared" si="1"/>
        <v>0</v>
      </c>
      <c r="F46" s="713">
        <f t="shared" si="1"/>
        <v>0</v>
      </c>
      <c r="G46" s="713">
        <f t="shared" si="1"/>
        <v>0</v>
      </c>
      <c r="H46" s="713"/>
      <c r="I46" s="713"/>
      <c r="L46" s="719" t="s">
        <v>2678</v>
      </c>
      <c r="M46" s="719" t="s">
        <v>4237</v>
      </c>
      <c r="N46" s="719" t="s">
        <v>4238</v>
      </c>
      <c r="O46" s="719" t="s">
        <v>4239</v>
      </c>
      <c r="P46" t="s">
        <v>4098</v>
      </c>
    </row>
    <row r="47" spans="2:16">
      <c r="C47">
        <v>9</v>
      </c>
      <c r="D47" s="565" t="str">
        <f t="shared" si="1"/>
        <v>Data Access</v>
      </c>
      <c r="E47" s="713">
        <f t="shared" si="1"/>
        <v>0</v>
      </c>
      <c r="F47" s="713">
        <f t="shared" si="1"/>
        <v>0</v>
      </c>
      <c r="G47" s="713">
        <f t="shared" si="1"/>
        <v>0</v>
      </c>
      <c r="H47" s="713"/>
      <c r="I47" s="713"/>
      <c r="L47" s="719" t="s">
        <v>2679</v>
      </c>
      <c r="M47" s="719" t="s">
        <v>4240</v>
      </c>
      <c r="N47" s="719" t="s">
        <v>4241</v>
      </c>
      <c r="O47" s="719" t="s">
        <v>4242</v>
      </c>
      <c r="P47" t="s">
        <v>4099</v>
      </c>
    </row>
    <row r="48" spans="2:16">
      <c r="C48">
        <v>10</v>
      </c>
      <c r="D48" s="565" t="str">
        <f t="shared" si="1"/>
        <v>Strategic Initiatives</v>
      </c>
      <c r="E48" s="713">
        <f t="shared" si="1"/>
        <v>0</v>
      </c>
      <c r="F48" s="713">
        <f t="shared" si="1"/>
        <v>0</v>
      </c>
      <c r="G48" s="713">
        <f t="shared" si="1"/>
        <v>0</v>
      </c>
      <c r="H48" s="713"/>
      <c r="I48" s="713"/>
      <c r="L48" s="719" t="s">
        <v>2977</v>
      </c>
      <c r="M48" s="719" t="s">
        <v>4243</v>
      </c>
      <c r="N48" s="719" t="s">
        <v>4244</v>
      </c>
      <c r="O48" s="719" t="s">
        <v>4245</v>
      </c>
      <c r="P48" t="s">
        <v>4100</v>
      </c>
    </row>
    <row r="49" spans="2:16">
      <c r="D49" s="565" t="s">
        <v>322</v>
      </c>
      <c r="E49" s="1299">
        <f>capCSAT</f>
        <v>63</v>
      </c>
      <c r="F49" s="1299">
        <f>capCSAT</f>
        <v>63</v>
      </c>
      <c r="G49" s="1299">
        <f>capCSAT</f>
        <v>63</v>
      </c>
      <c r="H49" s="1299"/>
      <c r="I49" s="1299"/>
      <c r="L49" s="719" t="s">
        <v>2669</v>
      </c>
      <c r="M49" s="719" t="s">
        <v>4246</v>
      </c>
      <c r="N49" s="719" t="s">
        <v>4247</v>
      </c>
      <c r="O49" s="719" t="s">
        <v>4248</v>
      </c>
      <c r="P49" t="s">
        <v>4101</v>
      </c>
    </row>
    <row r="50" spans="2:16">
      <c r="D50">
        <v>2</v>
      </c>
      <c r="E50">
        <v>5</v>
      </c>
      <c r="F50">
        <v>6</v>
      </c>
      <c r="G50">
        <v>7</v>
      </c>
      <c r="L50" s="720"/>
      <c r="M50" s="720"/>
      <c r="N50" s="720"/>
      <c r="O50" s="720"/>
    </row>
    <row r="51" spans="2:16">
      <c r="B51" s="706" t="s">
        <v>2170</v>
      </c>
      <c r="D51" s="3"/>
      <c r="E51" t="str">
        <f>decTeamName</f>
        <v>IIC</v>
      </c>
      <c r="F51" t="str">
        <f>decTeamName</f>
        <v>Bloomfield</v>
      </c>
      <c r="G51" t="str">
        <f>decTeamName</f>
        <v>Nextus</v>
      </c>
      <c r="L51" s="720"/>
      <c r="M51" s="720"/>
      <c r="N51" s="720"/>
      <c r="O51" s="720"/>
    </row>
    <row r="52" spans="2:16">
      <c r="C52">
        <v>1</v>
      </c>
      <c r="D52" s="565" t="str">
        <f t="shared" ref="D52:G57" si="2">VLOOKUP($C52,capTableESATImpact,D$50,FALSE)</f>
        <v>Revenue Performance</v>
      </c>
      <c r="E52" s="707">
        <f t="shared" si="2"/>
        <v>0</v>
      </c>
      <c r="F52" s="713">
        <f t="shared" si="2"/>
        <v>-2.5496060395224163E-2</v>
      </c>
      <c r="G52" s="713">
        <f t="shared" si="2"/>
        <v>-0.10013635303994128</v>
      </c>
      <c r="H52" s="713"/>
      <c r="I52" s="713"/>
      <c r="L52" s="719" t="s">
        <v>2670</v>
      </c>
      <c r="M52" s="719" t="s">
        <v>4249</v>
      </c>
      <c r="N52" s="719" t="s">
        <v>4250</v>
      </c>
      <c r="O52" s="719" t="s">
        <v>4251</v>
      </c>
      <c r="P52" t="s">
        <v>4102</v>
      </c>
    </row>
    <row r="53" spans="2:16">
      <c r="C53">
        <v>2</v>
      </c>
      <c r="D53" s="565" t="str">
        <f t="shared" si="2"/>
        <v>Profit Performance</v>
      </c>
      <c r="E53" s="707">
        <f t="shared" si="2"/>
        <v>2.8584125590613851E-3</v>
      </c>
      <c r="F53" s="713">
        <f t="shared" si="2"/>
        <v>-2.8584125590613851E-3</v>
      </c>
      <c r="G53" s="713">
        <f t="shared" si="2"/>
        <v>-2.8584125590613851E-3</v>
      </c>
      <c r="H53" s="713"/>
      <c r="I53" s="713"/>
      <c r="L53" s="719" t="s">
        <v>2680</v>
      </c>
      <c r="M53" s="719" t="s">
        <v>4252</v>
      </c>
      <c r="N53" s="719" t="s">
        <v>4253</v>
      </c>
      <c r="O53" s="719" t="s">
        <v>4254</v>
      </c>
      <c r="P53" t="s">
        <v>4103</v>
      </c>
    </row>
    <row r="54" spans="2:16">
      <c r="C54">
        <v>3</v>
      </c>
      <c r="D54" s="565" t="str">
        <f t="shared" si="2"/>
        <v>Training</v>
      </c>
      <c r="E54" s="707">
        <f t="shared" si="2"/>
        <v>0.09</v>
      </c>
      <c r="F54" s="713">
        <f t="shared" si="2"/>
        <v>0.09</v>
      </c>
      <c r="G54" s="713">
        <f t="shared" si="2"/>
        <v>0.03</v>
      </c>
      <c r="H54" s="713"/>
      <c r="I54" s="713"/>
      <c r="L54" s="719" t="s">
        <v>2681</v>
      </c>
      <c r="M54" s="719" t="s">
        <v>4255</v>
      </c>
      <c r="N54" s="719" t="s">
        <v>4256</v>
      </c>
      <c r="O54" s="719" t="s">
        <v>4257</v>
      </c>
      <c r="P54" t="s">
        <v>4104</v>
      </c>
    </row>
    <row r="55" spans="2:16">
      <c r="C55">
        <v>4</v>
      </c>
      <c r="D55" s="565" t="str">
        <f t="shared" si="2"/>
        <v>Headcount</v>
      </c>
      <c r="E55" s="707">
        <f t="shared" si="2"/>
        <v>0.01</v>
      </c>
      <c r="F55" s="713">
        <f t="shared" si="2"/>
        <v>0.01</v>
      </c>
      <c r="G55" s="713">
        <f t="shared" si="2"/>
        <v>0.01</v>
      </c>
      <c r="H55" s="713"/>
      <c r="I55" s="713"/>
      <c r="L55" s="719" t="s">
        <v>2682</v>
      </c>
      <c r="M55" s="719" t="s">
        <v>4258</v>
      </c>
      <c r="N55" s="719" t="s">
        <v>4259</v>
      </c>
      <c r="O55" s="719" t="s">
        <v>4260</v>
      </c>
      <c r="P55" t="s">
        <v>4105</v>
      </c>
    </row>
    <row r="56" spans="2:16">
      <c r="C56">
        <v>5</v>
      </c>
      <c r="D56" s="565" t="str">
        <f t="shared" si="2"/>
        <v>Marketing</v>
      </c>
      <c r="E56" s="707">
        <f t="shared" si="2"/>
        <v>0</v>
      </c>
      <c r="F56" s="713">
        <f t="shared" si="2"/>
        <v>0</v>
      </c>
      <c r="G56" s="713">
        <f t="shared" si="2"/>
        <v>0</v>
      </c>
      <c r="H56" s="713"/>
      <c r="I56" s="713"/>
      <c r="L56" s="719" t="s">
        <v>2683</v>
      </c>
      <c r="M56" s="719" t="s">
        <v>4261</v>
      </c>
      <c r="N56" s="719" t="s">
        <v>4262</v>
      </c>
      <c r="O56" s="719" t="s">
        <v>4263</v>
      </c>
      <c r="P56" t="s">
        <v>4106</v>
      </c>
    </row>
    <row r="57" spans="2:16">
      <c r="C57">
        <v>7</v>
      </c>
      <c r="D57" s="565" t="str">
        <f t="shared" si="2"/>
        <v>Strategic Initiatives</v>
      </c>
      <c r="E57" s="707">
        <f t="shared" si="2"/>
        <v>0</v>
      </c>
      <c r="F57" s="713">
        <f t="shared" si="2"/>
        <v>0</v>
      </c>
      <c r="G57" s="713">
        <f t="shared" si="2"/>
        <v>0</v>
      </c>
      <c r="H57" s="713"/>
      <c r="I57" s="713"/>
      <c r="L57" s="719" t="s">
        <v>2684</v>
      </c>
      <c r="M57" s="719" t="s">
        <v>4264</v>
      </c>
      <c r="N57" s="719" t="s">
        <v>4265</v>
      </c>
      <c r="O57" s="719" t="s">
        <v>4266</v>
      </c>
      <c r="P57" t="s">
        <v>4107</v>
      </c>
    </row>
    <row r="58" spans="2:16">
      <c r="D58" s="565" t="s">
        <v>100</v>
      </c>
      <c r="E58" s="1299">
        <f>capESAT</f>
        <v>63</v>
      </c>
      <c r="F58" s="1299">
        <f>capESAT</f>
        <v>63</v>
      </c>
      <c r="G58" s="1299">
        <f>capESAT</f>
        <v>63</v>
      </c>
      <c r="H58" s="1299"/>
      <c r="I58" s="1299"/>
      <c r="L58" s="719" t="s">
        <v>2685</v>
      </c>
      <c r="M58" s="719" t="s">
        <v>4267</v>
      </c>
      <c r="N58" s="719" t="s">
        <v>4268</v>
      </c>
      <c r="O58" s="719" t="s">
        <v>4269</v>
      </c>
      <c r="P58" t="s">
        <v>4108</v>
      </c>
    </row>
    <row r="59" spans="2:16">
      <c r="D59" s="565"/>
      <c r="E59" s="713"/>
      <c r="F59" s="713"/>
      <c r="G59" s="713"/>
      <c r="H59" s="713"/>
      <c r="I59" s="713"/>
      <c r="L59" s="719"/>
      <c r="M59" s="719"/>
      <c r="N59" s="719"/>
      <c r="O59" s="719"/>
    </row>
    <row r="60" spans="2:16">
      <c r="L60" s="720"/>
      <c r="M60" s="720"/>
      <c r="N60" s="720"/>
      <c r="O60" s="720"/>
    </row>
    <row r="61" spans="2:16">
      <c r="B61" s="21"/>
      <c r="C61" s="21">
        <v>3</v>
      </c>
      <c r="D61" s="21">
        <v>2</v>
      </c>
      <c r="E61" s="21">
        <v>4</v>
      </c>
      <c r="F61" s="21">
        <v>5</v>
      </c>
      <c r="G61" s="21">
        <v>6</v>
      </c>
      <c r="H61" s="21"/>
      <c r="I61" s="21"/>
      <c r="L61" s="724"/>
      <c r="M61" s="724"/>
      <c r="N61" s="724"/>
      <c r="O61" s="724"/>
    </row>
    <row r="62" spans="2:16">
      <c r="B62" s="59" t="str">
        <f>DataNameProd2 &amp; " Voice of the Customer"</f>
        <v>Transform Voice of the Customer</v>
      </c>
      <c r="C62" s="21"/>
      <c r="D62" s="21"/>
      <c r="E62" t="str">
        <f>decTeamName</f>
        <v>IIC</v>
      </c>
      <c r="F62" t="str">
        <f>decTeamName</f>
        <v>Bloomfield</v>
      </c>
      <c r="G62" t="str">
        <f>decTeamName</f>
        <v>Nextus</v>
      </c>
      <c r="L62" s="720"/>
      <c r="M62" s="720"/>
      <c r="N62" s="720"/>
      <c r="O62" s="720"/>
    </row>
    <row r="63" spans="2:16">
      <c r="B63" s="710">
        <v>1</v>
      </c>
      <c r="C63" s="710">
        <f t="shared" ref="C63:D68" si="3">VLOOKUP($B63,mmProd2Explain,C$61,FALSE)</f>
        <v>10</v>
      </c>
      <c r="D63" s="710" t="str">
        <f>VLOOKUP($B63,mmProd2Explain,D$61,FALSE)</f>
        <v>Product Technology</v>
      </c>
      <c r="E63" s="709">
        <f>(VLOOKUP($B63,mmProd2Explain,E$61,FALSE)-VLOOKUP($B63,mmProd2Explain,7,FALSE)/tlInputMaxTeams)/VLOOKUP(100,mmProd2Explain,7,FALSE)</f>
        <v>3.3378427121863175E-2</v>
      </c>
      <c r="F63" s="709">
        <f>(VLOOKUP($B63,mmProd2Explain,F$61,FALSE)-VLOOKUP($B63,mmProd2Explain,7,FALSE)/tlInputMaxTeams)/VLOOKUP(100,mmProd2Explain,7,FALSE)</f>
        <v>7.095466566117574E-4</v>
      </c>
      <c r="G63" s="709">
        <f>(VLOOKUP($B63,mmProd2Explain,G$61,FALSE)-VLOOKUP($B63,mmProd2Explain,7,FALSE)/tlInputMaxTeams)/VLOOKUP(100,mmProd2Explain,7,FALSE)</f>
        <v>-3.4087973778474959E-2</v>
      </c>
      <c r="H63" s="709"/>
      <c r="I63" s="709"/>
      <c r="L63" s="719" t="s">
        <v>2663</v>
      </c>
      <c r="M63" s="719" t="s">
        <v>4270</v>
      </c>
      <c r="N63" s="719" t="s">
        <v>4271</v>
      </c>
      <c r="O63" s="719" t="s">
        <v>4272</v>
      </c>
      <c r="P63" t="s">
        <v>4109</v>
      </c>
    </row>
    <row r="64" spans="2:16">
      <c r="B64" s="710">
        <v>2</v>
      </c>
      <c r="C64" s="710">
        <f t="shared" si="3"/>
        <v>9</v>
      </c>
      <c r="D64" s="710" t="str">
        <f t="shared" si="3"/>
        <v>Price</v>
      </c>
      <c r="E64" s="709">
        <f t="shared" ref="E64:G68" si="4">(VLOOKUP($B64,mmProd2Explain,E$61,FALSE)-VLOOKUP($B64,mmProd2Explain,7,FALSE)/tlInputMaxTeams)/VLOOKUP(100,mmProd2Explain,7,FALSE)</f>
        <v>9.4160453502971191E-3</v>
      </c>
      <c r="F64" s="709">
        <f t="shared" si="4"/>
        <v>-5.8821340435678486E-2</v>
      </c>
      <c r="G64" s="709">
        <f t="shared" si="4"/>
        <v>4.9405295085381357E-2</v>
      </c>
      <c r="H64" s="709"/>
      <c r="I64" s="709"/>
      <c r="L64" s="719" t="s">
        <v>2664</v>
      </c>
      <c r="M64" s="719" t="s">
        <v>4273</v>
      </c>
      <c r="N64" s="719" t="s">
        <v>4274</v>
      </c>
      <c r="O64" s="719" t="s">
        <v>4275</v>
      </c>
      <c r="P64" t="s">
        <v>4110</v>
      </c>
    </row>
    <row r="65" spans="2:16">
      <c r="B65" s="710">
        <v>3</v>
      </c>
      <c r="C65" s="710">
        <f t="shared" si="3"/>
        <v>8</v>
      </c>
      <c r="D65" s="710" t="str">
        <f t="shared" si="3"/>
        <v>Content</v>
      </c>
      <c r="E65" s="709">
        <f t="shared" si="4"/>
        <v>-1.559474796110377E-2</v>
      </c>
      <c r="F65" s="709">
        <f t="shared" si="4"/>
        <v>-1.559474796110377E-2</v>
      </c>
      <c r="G65" s="709">
        <f t="shared" si="4"/>
        <v>3.118949592220752E-2</v>
      </c>
      <c r="H65" s="709"/>
      <c r="I65" s="709"/>
      <c r="L65" s="719" t="s">
        <v>2665</v>
      </c>
      <c r="M65" s="719" t="s">
        <v>4276</v>
      </c>
      <c r="N65" s="719" t="s">
        <v>4277</v>
      </c>
      <c r="O65" s="719" t="s">
        <v>4278</v>
      </c>
      <c r="P65" t="s">
        <v>4111</v>
      </c>
    </row>
    <row r="66" spans="2:16">
      <c r="B66" s="710">
        <v>4</v>
      </c>
      <c r="C66" s="710">
        <f t="shared" si="3"/>
        <v>7</v>
      </c>
      <c r="D66" s="710" t="str">
        <f t="shared" si="3"/>
        <v>Sales Force</v>
      </c>
      <c r="E66" s="709">
        <f t="shared" si="4"/>
        <v>9.8094682150465899E-3</v>
      </c>
      <c r="F66" s="709">
        <f t="shared" si="4"/>
        <v>-2.6955902223706498E-2</v>
      </c>
      <c r="G66" s="709">
        <f t="shared" si="4"/>
        <v>1.7146434008659912E-2</v>
      </c>
      <c r="H66" s="709"/>
      <c r="I66" s="709"/>
      <c r="L66" s="719" t="s">
        <v>2666</v>
      </c>
      <c r="M66" s="719" t="s">
        <v>4279</v>
      </c>
      <c r="N66" s="719" t="s">
        <v>4280</v>
      </c>
      <c r="O66" s="719" t="s">
        <v>4281</v>
      </c>
      <c r="P66" t="s">
        <v>4112</v>
      </c>
    </row>
    <row r="67" spans="2:16">
      <c r="B67" s="710">
        <v>5</v>
      </c>
      <c r="C67" s="710">
        <f t="shared" si="3"/>
        <v>6</v>
      </c>
      <c r="D67" s="710" t="str">
        <f t="shared" si="3"/>
        <v>Customer Service</v>
      </c>
      <c r="E67" s="709">
        <f t="shared" si="4"/>
        <v>1.1696060970827822E-2</v>
      </c>
      <c r="F67" s="709">
        <f t="shared" si="4"/>
        <v>1.1696060970827822E-2</v>
      </c>
      <c r="G67" s="709">
        <f t="shared" si="4"/>
        <v>-2.3392121941655637E-2</v>
      </c>
      <c r="H67" s="709"/>
      <c r="I67" s="709"/>
      <c r="L67" s="719" t="s">
        <v>2667</v>
      </c>
      <c r="M67" s="719" t="s">
        <v>4282</v>
      </c>
      <c r="N67" s="719" t="s">
        <v>4283</v>
      </c>
      <c r="O67" s="719" t="s">
        <v>4284</v>
      </c>
      <c r="P67" t="s">
        <v>4113</v>
      </c>
    </row>
    <row r="68" spans="2:16">
      <c r="B68" s="710">
        <v>6</v>
      </c>
      <c r="C68" s="710">
        <f t="shared" si="3"/>
        <v>5</v>
      </c>
      <c r="D68" s="710" t="str">
        <f t="shared" si="3"/>
        <v>Marketing</v>
      </c>
      <c r="E68" s="709">
        <f t="shared" si="4"/>
        <v>8.1769184045946252E-3</v>
      </c>
      <c r="F68" s="709">
        <f t="shared" si="4"/>
        <v>1.123533033184902E-2</v>
      </c>
      <c r="G68" s="709">
        <f t="shared" si="4"/>
        <v>-1.9412248736443656E-2</v>
      </c>
      <c r="H68" s="709"/>
      <c r="I68" s="709"/>
      <c r="L68" s="719" t="s">
        <v>2668</v>
      </c>
      <c r="M68" s="719" t="s">
        <v>4285</v>
      </c>
      <c r="N68" s="719" t="s">
        <v>4286</v>
      </c>
      <c r="O68" s="719" t="s">
        <v>4287</v>
      </c>
      <c r="P68" t="s">
        <v>4114</v>
      </c>
    </row>
    <row r="69" spans="2:16">
      <c r="B69" s="710"/>
      <c r="C69" s="710"/>
      <c r="D69" s="710"/>
      <c r="E69" s="709"/>
      <c r="F69" s="709"/>
      <c r="G69" s="709"/>
      <c r="H69" s="709"/>
      <c r="I69" s="709"/>
      <c r="L69" s="719"/>
      <c r="M69" s="719"/>
      <c r="N69" s="719"/>
      <c r="O69" s="719"/>
    </row>
    <row r="70" spans="2:16">
      <c r="B70" s="710"/>
      <c r="C70" s="710"/>
      <c r="D70" s="710"/>
      <c r="E70" s="709"/>
      <c r="F70" s="709"/>
      <c r="G70" s="709"/>
      <c r="H70" s="709"/>
      <c r="I70" s="709"/>
      <c r="L70" s="719"/>
      <c r="M70" s="719"/>
      <c r="N70" s="719"/>
      <c r="O70" s="719"/>
    </row>
    <row r="71" spans="2:16">
      <c r="B71" s="21"/>
      <c r="C71" s="21"/>
      <c r="D71" s="21"/>
      <c r="E71" s="21"/>
      <c r="F71" s="21"/>
      <c r="G71" s="21"/>
      <c r="H71" s="21"/>
      <c r="I71" s="21"/>
      <c r="L71" s="724"/>
      <c r="M71" s="724"/>
      <c r="N71" s="724"/>
      <c r="O71" s="724"/>
    </row>
    <row r="72" spans="2:16">
      <c r="B72" s="706" t="s">
        <v>2238</v>
      </c>
      <c r="E72" t="str">
        <f>decTeamName</f>
        <v>IIC</v>
      </c>
      <c r="F72" t="str">
        <f>decTeamName</f>
        <v>Bloomfield</v>
      </c>
      <c r="G72" t="str">
        <f>decTeamName</f>
        <v>Nextus</v>
      </c>
      <c r="L72" s="720"/>
      <c r="M72" s="720"/>
      <c r="N72" s="720"/>
      <c r="O72" s="720"/>
    </row>
    <row r="73" spans="2:16">
      <c r="D73" s="565" t="s">
        <v>2036</v>
      </c>
      <c r="E73" s="326">
        <f>cbalTotalRevY0</f>
        <v>4411410974.5023985</v>
      </c>
      <c r="F73" s="326">
        <f>cbalTotalRevY0</f>
        <v>3912627978.3075352</v>
      </c>
      <c r="G73" s="326">
        <f>cbalTotalRevY0</f>
        <v>2939604569.6039629</v>
      </c>
      <c r="H73" s="326"/>
      <c r="I73" s="326"/>
      <c r="L73" s="719" t="s">
        <v>2686</v>
      </c>
      <c r="M73" s="719" t="s">
        <v>4288</v>
      </c>
      <c r="N73" s="719" t="s">
        <v>4289</v>
      </c>
      <c r="O73" s="719" t="s">
        <v>4290</v>
      </c>
      <c r="P73" t="s">
        <v>4115</v>
      </c>
    </row>
    <row r="74" spans="2:16">
      <c r="D74" s="565" t="s">
        <v>101</v>
      </c>
      <c r="E74" s="326">
        <f>cbalTotalRevY1</f>
        <v>0</v>
      </c>
      <c r="F74" s="326">
        <f>cbalTotalRevY1</f>
        <v>0</v>
      </c>
      <c r="G74" s="326">
        <f>cbalTotalRevY1</f>
        <v>0</v>
      </c>
      <c r="H74" s="326"/>
      <c r="I74" s="326"/>
      <c r="L74" s="719" t="s">
        <v>2687</v>
      </c>
      <c r="M74" s="719" t="s">
        <v>4291</v>
      </c>
      <c r="N74" s="719" t="s">
        <v>4292</v>
      </c>
      <c r="O74" s="719" t="s">
        <v>4293</v>
      </c>
      <c r="P74" t="s">
        <v>4116</v>
      </c>
    </row>
    <row r="75" spans="2:16">
      <c r="D75" s="565" t="s">
        <v>102</v>
      </c>
      <c r="E75" s="326">
        <f>cbalTotalRevY2</f>
        <v>0</v>
      </c>
      <c r="F75" s="326">
        <f>cbalTotalRevY2</f>
        <v>0</v>
      </c>
      <c r="G75" s="326">
        <f>cbalTotalRevY2</f>
        <v>0</v>
      </c>
      <c r="H75" s="326"/>
      <c r="I75" s="326"/>
      <c r="L75" s="719" t="s">
        <v>2688</v>
      </c>
      <c r="M75" s="719" t="s">
        <v>4294</v>
      </c>
      <c r="N75" s="719" t="s">
        <v>4295</v>
      </c>
      <c r="O75" s="719" t="s">
        <v>4296</v>
      </c>
      <c r="P75" t="s">
        <v>4117</v>
      </c>
    </row>
    <row r="76" spans="2:16">
      <c r="D76" s="565" t="s">
        <v>103</v>
      </c>
      <c r="E76" s="326">
        <f>cbalTotalRevY3</f>
        <v>0</v>
      </c>
      <c r="F76" s="326">
        <f>cbalTotalRevY3</f>
        <v>0</v>
      </c>
      <c r="G76" s="326">
        <f>cbalTotalRevY3</f>
        <v>0</v>
      </c>
      <c r="H76" s="326"/>
      <c r="I76" s="326"/>
      <c r="L76" s="719" t="s">
        <v>2689</v>
      </c>
      <c r="M76" s="719" t="s">
        <v>4297</v>
      </c>
      <c r="N76" s="719" t="s">
        <v>4298</v>
      </c>
      <c r="O76" s="719" t="s">
        <v>4299</v>
      </c>
      <c r="P76" t="s">
        <v>4118</v>
      </c>
    </row>
    <row r="77" spans="2:16">
      <c r="L77" s="720"/>
      <c r="M77" s="720"/>
      <c r="N77" s="720"/>
      <c r="O77" s="720"/>
    </row>
    <row r="78" spans="2:16">
      <c r="B78" s="706" t="s">
        <v>2239</v>
      </c>
      <c r="E78" t="str">
        <f>decTeamName</f>
        <v>IIC</v>
      </c>
      <c r="F78" t="str">
        <f>decTeamName</f>
        <v>Bloomfield</v>
      </c>
      <c r="G78" t="str">
        <f>decTeamName</f>
        <v>Nextus</v>
      </c>
      <c r="L78" s="720"/>
      <c r="M78" s="720"/>
      <c r="N78" s="720"/>
      <c r="O78" s="720"/>
    </row>
    <row r="79" spans="2:16">
      <c r="D79" s="565" t="s">
        <v>2036</v>
      </c>
      <c r="E79" s="385">
        <f>cbalOperatingMarginY0</f>
        <v>0.1900023113894177</v>
      </c>
      <c r="F79" s="385">
        <f>cbalOperatingMarginY0</f>
        <v>0.23508445534709546</v>
      </c>
      <c r="G79" s="385">
        <f>cbalOperatingMarginY0</f>
        <v>0.11622717100445366</v>
      </c>
      <c r="H79" s="385"/>
      <c r="I79" s="385"/>
      <c r="L79" s="719" t="s">
        <v>2690</v>
      </c>
      <c r="M79" s="719" t="s">
        <v>4300</v>
      </c>
      <c r="N79" s="719" t="s">
        <v>4301</v>
      </c>
      <c r="O79" s="719" t="s">
        <v>4302</v>
      </c>
      <c r="P79" t="s">
        <v>4119</v>
      </c>
    </row>
    <row r="80" spans="2:16">
      <c r="D80" s="565" t="s">
        <v>101</v>
      </c>
      <c r="E80" s="385">
        <f>cbalOperatingMarginY1</f>
        <v>0</v>
      </c>
      <c r="F80" s="385">
        <f>cbalOperatingMarginY1</f>
        <v>0</v>
      </c>
      <c r="G80" s="385">
        <f>cbalOperatingMarginY1</f>
        <v>0</v>
      </c>
      <c r="H80" s="385"/>
      <c r="I80" s="385"/>
      <c r="L80" s="719" t="s">
        <v>2691</v>
      </c>
      <c r="M80" s="719" t="s">
        <v>4303</v>
      </c>
      <c r="N80" s="719" t="s">
        <v>4304</v>
      </c>
      <c r="O80" s="719" t="s">
        <v>4305</v>
      </c>
      <c r="P80" t="s">
        <v>4120</v>
      </c>
    </row>
    <row r="81" spans="2:16">
      <c r="D81" s="565" t="s">
        <v>102</v>
      </c>
      <c r="E81" s="385">
        <f>cbalOperatingMarginY2</f>
        <v>0</v>
      </c>
      <c r="F81" s="385">
        <f>cbalOperatingMarginY2</f>
        <v>0</v>
      </c>
      <c r="G81" s="385">
        <f>cbalOperatingMarginY2</f>
        <v>0</v>
      </c>
      <c r="H81" s="385"/>
      <c r="I81" s="385"/>
      <c r="L81" s="719" t="s">
        <v>2692</v>
      </c>
      <c r="M81" s="719" t="s">
        <v>4306</v>
      </c>
      <c r="N81" s="719" t="s">
        <v>4307</v>
      </c>
      <c r="O81" s="719" t="s">
        <v>4308</v>
      </c>
      <c r="P81" t="s">
        <v>4121</v>
      </c>
    </row>
    <row r="82" spans="2:16">
      <c r="D82" s="565" t="s">
        <v>103</v>
      </c>
      <c r="E82" s="385">
        <f>cbalOperatingMarginY3</f>
        <v>0</v>
      </c>
      <c r="F82" s="385">
        <f>cbalOperatingMarginY3</f>
        <v>0</v>
      </c>
      <c r="G82" s="385">
        <f>cbalOperatingMarginY3</f>
        <v>0</v>
      </c>
      <c r="H82" s="385"/>
      <c r="I82" s="385"/>
      <c r="L82" s="719" t="s">
        <v>2693</v>
      </c>
      <c r="M82" s="719" t="s">
        <v>4309</v>
      </c>
      <c r="N82" s="719" t="s">
        <v>4310</v>
      </c>
      <c r="O82" s="719" t="s">
        <v>4311</v>
      </c>
      <c r="P82" t="s">
        <v>4122</v>
      </c>
    </row>
    <row r="83" spans="2:16">
      <c r="D83" s="565"/>
      <c r="E83" s="385"/>
      <c r="F83" s="385"/>
      <c r="G83" s="385"/>
      <c r="H83" s="385"/>
      <c r="I83" s="385"/>
      <c r="L83" s="719"/>
      <c r="M83" s="719"/>
      <c r="N83" s="719"/>
      <c r="O83" s="719"/>
    </row>
    <row r="84" spans="2:16">
      <c r="B84" s="706" t="s">
        <v>2240</v>
      </c>
      <c r="E84" t="str">
        <f>decTeamName</f>
        <v>IIC</v>
      </c>
      <c r="F84" t="str">
        <f>decTeamName</f>
        <v>Bloomfield</v>
      </c>
      <c r="G84" t="str">
        <f>decTeamName</f>
        <v>Nextus</v>
      </c>
      <c r="L84" s="720"/>
      <c r="M84" s="720"/>
      <c r="N84" s="720"/>
      <c r="O84" s="720"/>
    </row>
    <row r="85" spans="2:16">
      <c r="D85" s="565" t="s">
        <v>2036</v>
      </c>
      <c r="E85" s="326">
        <f>cbalCashOIY0</f>
        <v>940488897.02871478</v>
      </c>
      <c r="F85" s="326">
        <f>cbalCashOIY0</f>
        <v>994108450.93279386</v>
      </c>
      <c r="G85" s="326">
        <f>cbalCashOIY0</f>
        <v>349301186.90683627</v>
      </c>
      <c r="H85" s="326"/>
      <c r="I85" s="326"/>
      <c r="L85" s="719" t="s">
        <v>2694</v>
      </c>
      <c r="M85" s="719" t="s">
        <v>4312</v>
      </c>
      <c r="N85" s="719" t="s">
        <v>4313</v>
      </c>
      <c r="O85" s="719" t="s">
        <v>4314</v>
      </c>
      <c r="P85" t="s">
        <v>4123</v>
      </c>
    </row>
    <row r="86" spans="2:16">
      <c r="D86" s="565" t="s">
        <v>101</v>
      </c>
      <c r="E86" s="326">
        <f>cbalCashOIY1</f>
        <v>0</v>
      </c>
      <c r="F86" s="326">
        <f>cbalCashOIY1</f>
        <v>0</v>
      </c>
      <c r="G86" s="326">
        <f>cbalCashOIY1</f>
        <v>0</v>
      </c>
      <c r="H86" s="326"/>
      <c r="I86" s="326"/>
      <c r="L86" s="719" t="s">
        <v>2695</v>
      </c>
      <c r="M86" s="719" t="s">
        <v>4315</v>
      </c>
      <c r="N86" s="719" t="s">
        <v>4316</v>
      </c>
      <c r="O86" s="719" t="s">
        <v>4317</v>
      </c>
      <c r="P86" t="s">
        <v>4124</v>
      </c>
    </row>
    <row r="87" spans="2:16">
      <c r="D87" s="565" t="s">
        <v>102</v>
      </c>
      <c r="E87" s="326">
        <f>cbalCashOIY2</f>
        <v>0</v>
      </c>
      <c r="F87" s="326">
        <f>cbalCashOIY2</f>
        <v>0</v>
      </c>
      <c r="G87" s="326">
        <f>cbalCashOIY2</f>
        <v>0</v>
      </c>
      <c r="H87" s="326"/>
      <c r="I87" s="326"/>
      <c r="L87" s="719" t="s">
        <v>2696</v>
      </c>
      <c r="M87" s="719" t="s">
        <v>4318</v>
      </c>
      <c r="N87" s="719" t="s">
        <v>4319</v>
      </c>
      <c r="O87" s="719" t="s">
        <v>4320</v>
      </c>
      <c r="P87" t="s">
        <v>4125</v>
      </c>
    </row>
    <row r="88" spans="2:16">
      <c r="D88" s="565" t="s">
        <v>103</v>
      </c>
      <c r="E88" s="326">
        <f>cbalCashOIY3</f>
        <v>0</v>
      </c>
      <c r="F88" s="326">
        <f>cbalCashOIY3</f>
        <v>0</v>
      </c>
      <c r="G88" s="326">
        <f>cbalCashOIY3</f>
        <v>0</v>
      </c>
      <c r="H88" s="326"/>
      <c r="I88" s="326"/>
      <c r="L88" s="719" t="s">
        <v>2697</v>
      </c>
      <c r="M88" s="719" t="s">
        <v>4321</v>
      </c>
      <c r="N88" s="719" t="s">
        <v>4322</v>
      </c>
      <c r="O88" s="719" t="s">
        <v>4323</v>
      </c>
      <c r="P88" t="s">
        <v>4126</v>
      </c>
    </row>
    <row r="89" spans="2:16">
      <c r="L89" s="720"/>
      <c r="M89" s="720"/>
      <c r="N89" s="720"/>
      <c r="O89" s="720"/>
    </row>
    <row r="90" spans="2:16">
      <c r="B90" s="706" t="s">
        <v>2241</v>
      </c>
      <c r="E90" t="str">
        <f>decTeamName</f>
        <v>IIC</v>
      </c>
      <c r="F90" t="str">
        <f>decTeamName</f>
        <v>Bloomfield</v>
      </c>
      <c r="G90" t="str">
        <f>decTeamName</f>
        <v>Nextus</v>
      </c>
      <c r="L90" s="720"/>
      <c r="M90" s="720"/>
      <c r="N90" s="720"/>
      <c r="O90" s="720"/>
    </row>
    <row r="91" spans="2:16">
      <c r="D91" s="565" t="s">
        <v>2036</v>
      </c>
      <c r="E91" s="385">
        <f>cbalESATY0</f>
        <v>63</v>
      </c>
      <c r="F91" s="385">
        <f>cbalESATY0</f>
        <v>63</v>
      </c>
      <c r="G91" s="385">
        <f>cbalESATY0</f>
        <v>63</v>
      </c>
      <c r="H91" s="385"/>
      <c r="I91" s="385"/>
      <c r="L91" s="719" t="s">
        <v>2698</v>
      </c>
      <c r="M91" s="719" t="s">
        <v>4324</v>
      </c>
      <c r="N91" s="719" t="s">
        <v>4325</v>
      </c>
      <c r="O91" s="719" t="s">
        <v>4326</v>
      </c>
      <c r="P91" t="s">
        <v>4127</v>
      </c>
    </row>
    <row r="92" spans="2:16">
      <c r="D92" s="565" t="s">
        <v>101</v>
      </c>
      <c r="E92" s="385">
        <f>cbalESATY1</f>
        <v>0</v>
      </c>
      <c r="F92" s="385">
        <f>cbalESATY1</f>
        <v>0</v>
      </c>
      <c r="G92" s="385">
        <f>cbalESATY1</f>
        <v>0</v>
      </c>
      <c r="H92" s="385"/>
      <c r="I92" s="385"/>
      <c r="L92" s="719" t="s">
        <v>2699</v>
      </c>
      <c r="M92" s="719" t="s">
        <v>4327</v>
      </c>
      <c r="N92" s="719" t="s">
        <v>4328</v>
      </c>
      <c r="O92" s="719" t="s">
        <v>4329</v>
      </c>
      <c r="P92" t="s">
        <v>4128</v>
      </c>
    </row>
    <row r="93" spans="2:16">
      <c r="D93" s="565" t="s">
        <v>102</v>
      </c>
      <c r="E93" s="385">
        <f>cbalESATY2</f>
        <v>0</v>
      </c>
      <c r="F93" s="385">
        <f>cbalESATY2</f>
        <v>0</v>
      </c>
      <c r="G93" s="385">
        <f>cbalESATY2</f>
        <v>0</v>
      </c>
      <c r="H93" s="385"/>
      <c r="I93" s="385"/>
      <c r="L93" s="719" t="s">
        <v>2700</v>
      </c>
      <c r="M93" s="719" t="s">
        <v>4330</v>
      </c>
      <c r="N93" s="719" t="s">
        <v>4331</v>
      </c>
      <c r="O93" s="719" t="s">
        <v>4332</v>
      </c>
      <c r="P93" t="s">
        <v>4129</v>
      </c>
    </row>
    <row r="94" spans="2:16">
      <c r="D94" s="565" t="s">
        <v>103</v>
      </c>
      <c r="E94" s="385">
        <f>cbalESATY3</f>
        <v>0</v>
      </c>
      <c r="F94" s="385">
        <f>cbalESATY3</f>
        <v>0</v>
      </c>
      <c r="G94" s="385">
        <f>cbalESATY3</f>
        <v>0</v>
      </c>
      <c r="H94" s="385"/>
      <c r="I94" s="385"/>
      <c r="L94" s="719" t="s">
        <v>2701</v>
      </c>
      <c r="M94" s="719" t="s">
        <v>4333</v>
      </c>
      <c r="N94" s="719" t="s">
        <v>4334</v>
      </c>
      <c r="O94" s="719" t="s">
        <v>4335</v>
      </c>
      <c r="P94" t="s">
        <v>4130</v>
      </c>
    </row>
    <row r="95" spans="2:16">
      <c r="L95" s="720"/>
      <c r="M95" s="720"/>
      <c r="N95" s="720"/>
      <c r="O95" s="720"/>
    </row>
    <row r="96" spans="2:16">
      <c r="B96" s="706" t="s">
        <v>2242</v>
      </c>
      <c r="E96" t="str">
        <f>decTeamName</f>
        <v>IIC</v>
      </c>
      <c r="F96" t="str">
        <f>decTeamName</f>
        <v>Bloomfield</v>
      </c>
      <c r="G96" t="str">
        <f>decTeamName</f>
        <v>Nextus</v>
      </c>
      <c r="L96" s="720"/>
      <c r="M96" s="720"/>
      <c r="N96" s="720"/>
      <c r="O96" s="720"/>
    </row>
    <row r="97" spans="2:16">
      <c r="D97" s="565" t="s">
        <v>2036</v>
      </c>
      <c r="E97" s="385">
        <f>cbalCSATY0</f>
        <v>63</v>
      </c>
      <c r="F97" s="385">
        <f>cbalCSATY0</f>
        <v>63</v>
      </c>
      <c r="G97" s="385">
        <f>cbalCSATY0</f>
        <v>63</v>
      </c>
      <c r="H97" s="385"/>
      <c r="I97" s="385"/>
      <c r="L97" s="719" t="s">
        <v>2702</v>
      </c>
      <c r="M97" s="719" t="s">
        <v>4336</v>
      </c>
      <c r="N97" s="719" t="s">
        <v>4337</v>
      </c>
      <c r="O97" s="719" t="s">
        <v>4338</v>
      </c>
      <c r="P97" t="s">
        <v>4131</v>
      </c>
    </row>
    <row r="98" spans="2:16">
      <c r="D98" s="565" t="s">
        <v>101</v>
      </c>
      <c r="E98" s="385">
        <f>cbalCSATY1</f>
        <v>0</v>
      </c>
      <c r="F98" s="385">
        <f>cbalCSATY1</f>
        <v>0</v>
      </c>
      <c r="G98" s="385">
        <f>cbalCSATY1</f>
        <v>0</v>
      </c>
      <c r="H98" s="385"/>
      <c r="I98" s="385"/>
      <c r="L98" s="719" t="s">
        <v>2703</v>
      </c>
      <c r="M98" s="719" t="s">
        <v>4339</v>
      </c>
      <c r="N98" s="719" t="s">
        <v>4340</v>
      </c>
      <c r="O98" s="719" t="s">
        <v>4341</v>
      </c>
      <c r="P98" t="s">
        <v>4132</v>
      </c>
    </row>
    <row r="99" spans="2:16">
      <c r="D99" s="565" t="s">
        <v>102</v>
      </c>
      <c r="E99" s="385">
        <f>cbalCSATY2</f>
        <v>0</v>
      </c>
      <c r="F99" s="385">
        <f>cbalCSATY2</f>
        <v>0</v>
      </c>
      <c r="G99" s="385">
        <f>cbalCSATY2</f>
        <v>0</v>
      </c>
      <c r="H99" s="385"/>
      <c r="I99" s="385"/>
      <c r="L99" s="719" t="s">
        <v>2704</v>
      </c>
      <c r="M99" s="719" t="s">
        <v>4342</v>
      </c>
      <c r="N99" s="719" t="s">
        <v>4343</v>
      </c>
      <c r="O99" s="719" t="s">
        <v>4344</v>
      </c>
      <c r="P99" t="s">
        <v>4133</v>
      </c>
    </row>
    <row r="100" spans="2:16">
      <c r="D100" s="565" t="s">
        <v>103</v>
      </c>
      <c r="E100" s="385">
        <f>cbalCSATY3</f>
        <v>0</v>
      </c>
      <c r="F100" s="385">
        <f>cbalCSATY3</f>
        <v>0</v>
      </c>
      <c r="G100" s="385">
        <f>cbalCSATY3</f>
        <v>0</v>
      </c>
      <c r="H100" s="385"/>
      <c r="I100" s="385"/>
      <c r="L100" s="719" t="s">
        <v>2705</v>
      </c>
      <c r="M100" s="719" t="s">
        <v>4345</v>
      </c>
      <c r="N100" s="719" t="s">
        <v>4346</v>
      </c>
      <c r="O100" s="719" t="s">
        <v>4347</v>
      </c>
      <c r="P100" t="s">
        <v>4134</v>
      </c>
    </row>
    <row r="101" spans="2:16">
      <c r="D101" s="565"/>
      <c r="E101" s="385"/>
      <c r="F101" s="385"/>
      <c r="G101" s="385"/>
      <c r="H101" s="385"/>
      <c r="I101" s="385"/>
      <c r="L101" s="719"/>
      <c r="M101" s="719"/>
      <c r="N101" s="719"/>
      <c r="O101" s="719"/>
    </row>
    <row r="102" spans="2:16">
      <c r="B102" s="706" t="s">
        <v>2293</v>
      </c>
      <c r="E102" t="str">
        <f>decTeamName</f>
        <v>IIC</v>
      </c>
      <c r="F102" t="str">
        <f>decTeamName</f>
        <v>Bloomfield</v>
      </c>
      <c r="G102" t="str">
        <f>decTeamName</f>
        <v>Nextus</v>
      </c>
      <c r="L102" s="720"/>
      <c r="M102" s="720"/>
      <c r="N102" s="720"/>
      <c r="O102" s="720"/>
    </row>
    <row r="103" spans="2:16">
      <c r="C103">
        <v>101</v>
      </c>
      <c r="D103" t="str">
        <f>INDEX(DataPage!$M$309:$M$335,MATCH(C103,DataPage!$L$309:$L$335,0))</f>
        <v>Acquire</v>
      </c>
      <c r="E103" s="14" t="str">
        <f>IF(cbalEvent101Chosen, "X", "")</f>
        <v/>
      </c>
      <c r="F103" s="14" t="str">
        <f>IF(cbalEvent101Chosen, "X", "")</f>
        <v/>
      </c>
      <c r="G103" s="14" t="str">
        <f>IF(cbalEvent101Chosen, "X", "")</f>
        <v/>
      </c>
      <c r="H103" s="14"/>
      <c r="I103" s="14"/>
      <c r="L103" s="719" t="s">
        <v>2706</v>
      </c>
      <c r="M103" s="719" t="s">
        <v>4348</v>
      </c>
      <c r="N103" s="719" t="s">
        <v>4349</v>
      </c>
      <c r="O103" s="719" t="s">
        <v>4350</v>
      </c>
      <c r="P103" t="s">
        <v>4135</v>
      </c>
    </row>
    <row r="104" spans="2:16">
      <c r="C104">
        <v>102</v>
      </c>
      <c r="D104" t="str">
        <f>INDEX(DataPage!$M$309:$M$335,MATCH(C104,DataPage!$L$309:$L$335,0))</f>
        <v>Invest</v>
      </c>
      <c r="E104" s="14" t="str">
        <f>IF(cbalEvent102Chosen, "X", "")</f>
        <v/>
      </c>
      <c r="F104" s="14" t="str">
        <f>IF(cbalEvent102Chosen, "X", "")</f>
        <v/>
      </c>
      <c r="G104" s="14" t="str">
        <f>IF(cbalEvent102Chosen, "X", "")</f>
        <v/>
      </c>
      <c r="H104" s="14"/>
      <c r="I104" s="14"/>
      <c r="L104" s="719" t="s">
        <v>2707</v>
      </c>
      <c r="M104" s="719" t="s">
        <v>4351</v>
      </c>
      <c r="N104" s="719" t="s">
        <v>4352</v>
      </c>
      <c r="O104" s="719" t="s">
        <v>4353</v>
      </c>
      <c r="P104" t="s">
        <v>4136</v>
      </c>
    </row>
    <row r="105" spans="2:16">
      <c r="C105">
        <v>103</v>
      </c>
      <c r="D105" t="str">
        <f>INDEX(DataPage!$M$309:$M$335,MATCH(C105,DataPage!$L$309:$L$335,0))</f>
        <v>Due Diligence</v>
      </c>
      <c r="E105" s="14" t="str">
        <f>IF(cbalEvent103Chosen, "X", "")</f>
        <v/>
      </c>
      <c r="F105" s="14" t="str">
        <f>IF(cbalEvent103Chosen, "X", "")</f>
        <v/>
      </c>
      <c r="G105" s="14" t="str">
        <f>IF(cbalEvent103Chosen, "X", "")</f>
        <v/>
      </c>
      <c r="H105" s="14"/>
      <c r="I105" s="14"/>
      <c r="L105" s="719" t="s">
        <v>2708</v>
      </c>
      <c r="M105" s="719" t="s">
        <v>4354</v>
      </c>
      <c r="N105" s="719" t="s">
        <v>4355</v>
      </c>
      <c r="O105" s="719" t="s">
        <v>4356</v>
      </c>
      <c r="P105" t="s">
        <v>4137</v>
      </c>
    </row>
    <row r="106" spans="2:16">
      <c r="L106" s="720"/>
      <c r="M106" s="720"/>
      <c r="N106" s="720"/>
      <c r="O106" s="720"/>
    </row>
    <row r="107" spans="2:16">
      <c r="B107" s="706" t="s">
        <v>2292</v>
      </c>
      <c r="E107" t="str">
        <f>decTeamName</f>
        <v>IIC</v>
      </c>
      <c r="F107" t="str">
        <f>decTeamName</f>
        <v>Bloomfield</v>
      </c>
      <c r="G107" t="str">
        <f>decTeamName</f>
        <v>Nextus</v>
      </c>
      <c r="L107" s="720"/>
      <c r="M107" s="720"/>
      <c r="N107" s="720"/>
      <c r="O107" s="720"/>
    </row>
    <row r="108" spans="2:16">
      <c r="C108">
        <v>201</v>
      </c>
      <c r="D108" t="str">
        <f>INDEX(DataPage!$M$309:$M$335,MATCH(C108,DataPage!$L$309:$L$335,0))</f>
        <v>One-on-one Coaching</v>
      </c>
      <c r="E108" s="14" t="str">
        <f>IF(cbalEvent201Chosen, "X", "")</f>
        <v/>
      </c>
      <c r="F108" s="14" t="str">
        <f>IF(cbalEvent201Chosen, "X", "")</f>
        <v/>
      </c>
      <c r="G108" s="14" t="str">
        <f>IF(cbalEvent201Chosen, "X", "")</f>
        <v/>
      </c>
      <c r="H108" s="14"/>
      <c r="I108" s="14"/>
      <c r="L108" s="719" t="s">
        <v>2709</v>
      </c>
      <c r="M108" s="719" t="s">
        <v>4357</v>
      </c>
      <c r="N108" s="719" t="s">
        <v>4358</v>
      </c>
      <c r="O108" s="719" t="s">
        <v>4359</v>
      </c>
      <c r="P108" t="s">
        <v>4138</v>
      </c>
    </row>
    <row r="109" spans="2:16">
      <c r="C109">
        <v>202</v>
      </c>
      <c r="D109" t="str">
        <f>INDEX(DataPage!$M$309:$M$335,MATCH(C109,DataPage!$L$309:$L$335,0))</f>
        <v>Ideation</v>
      </c>
      <c r="E109" s="14" t="str">
        <f>IF(cbalEvent202Chosen, "X", "")</f>
        <v/>
      </c>
      <c r="F109" s="14" t="str">
        <f>IF(cbalEvent202Chosen, "X", "")</f>
        <v/>
      </c>
      <c r="G109" s="14" t="str">
        <f>IF(cbalEvent202Chosen, "X", "")</f>
        <v/>
      </c>
      <c r="H109" s="14"/>
      <c r="I109" s="14"/>
      <c r="L109" s="719" t="s">
        <v>2710</v>
      </c>
      <c r="M109" s="719" t="s">
        <v>4360</v>
      </c>
      <c r="N109" s="719" t="s">
        <v>4361</v>
      </c>
      <c r="O109" s="719" t="s">
        <v>4362</v>
      </c>
      <c r="P109" t="s">
        <v>4139</v>
      </c>
    </row>
    <row r="110" spans="2:16">
      <c r="C110">
        <v>203</v>
      </c>
      <c r="D110" t="str">
        <f>INDEX(DataPage!$M$309:$M$335,MATCH(C110,DataPage!$L$309:$L$335,0))</f>
        <v>Innovation Workshop</v>
      </c>
      <c r="E110" s="14" t="str">
        <f>IF(cbalEvent203Chosen, "X", "")</f>
        <v/>
      </c>
      <c r="F110" s="14" t="str">
        <f>IF(cbalEvent203Chosen, "X", "")</f>
        <v/>
      </c>
      <c r="G110" s="14" t="str">
        <f>IF(cbalEvent203Chosen, "X", "")</f>
        <v/>
      </c>
      <c r="H110" s="14"/>
      <c r="I110" s="14"/>
      <c r="L110" s="719" t="s">
        <v>2711</v>
      </c>
      <c r="M110" s="719" t="s">
        <v>4363</v>
      </c>
      <c r="N110" s="719" t="s">
        <v>4364</v>
      </c>
      <c r="O110" s="719" t="s">
        <v>4365</v>
      </c>
      <c r="P110" t="s">
        <v>4140</v>
      </c>
    </row>
    <row r="111" spans="2:16">
      <c r="L111" s="720"/>
      <c r="M111" s="720"/>
      <c r="N111" s="720"/>
      <c r="O111" s="720"/>
    </row>
    <row r="112" spans="2:16">
      <c r="B112" s="706" t="s">
        <v>2294</v>
      </c>
      <c r="E112" t="str">
        <f>decTeamName</f>
        <v>IIC</v>
      </c>
      <c r="F112" t="str">
        <f>decTeamName</f>
        <v>Bloomfield</v>
      </c>
      <c r="G112" t="str">
        <f>decTeamName</f>
        <v>Nextus</v>
      </c>
      <c r="L112" s="720"/>
      <c r="M112" s="720"/>
      <c r="N112" s="720"/>
      <c r="O112" s="720"/>
    </row>
    <row r="113" spans="1:16">
      <c r="C113">
        <v>301</v>
      </c>
      <c r="D113" t="str">
        <f>INDEX(DataPage!$M$309:$M$335,MATCH(C113,DataPage!$L$309:$L$335,0))</f>
        <v>No Service</v>
      </c>
      <c r="E113" s="14" t="str">
        <f>IF(cbalEvent301Chosen, "X", "")</f>
        <v/>
      </c>
      <c r="F113" s="14" t="str">
        <f>IF(cbalEvent301Chosen, "X", "")</f>
        <v/>
      </c>
      <c r="G113" s="14" t="str">
        <f>IF(cbalEvent301Chosen, "X", "")</f>
        <v/>
      </c>
      <c r="H113" s="14"/>
      <c r="I113" s="14"/>
      <c r="L113" s="719" t="s">
        <v>2712</v>
      </c>
      <c r="M113" s="719" t="s">
        <v>4366</v>
      </c>
      <c r="N113" s="719" t="s">
        <v>4367</v>
      </c>
      <c r="O113" s="719" t="s">
        <v>4368</v>
      </c>
      <c r="P113" t="s">
        <v>4141</v>
      </c>
    </row>
    <row r="114" spans="1:16">
      <c r="C114">
        <v>302</v>
      </c>
      <c r="D114" t="str">
        <f>INDEX(DataPage!$M$309:$M$335,MATCH(C114,DataPage!$L$309:$L$335,0))</f>
        <v>Service</v>
      </c>
      <c r="E114" s="14" t="str">
        <f>IF(cbalEvent302Chosen, "X", "")</f>
        <v/>
      </c>
      <c r="F114" s="14" t="str">
        <f>IF(cbalEvent302Chosen, "X", "")</f>
        <v/>
      </c>
      <c r="G114" s="14" t="str">
        <f>IF(cbalEvent302Chosen, "X", "")</f>
        <v/>
      </c>
      <c r="H114" s="14"/>
      <c r="I114" s="14"/>
      <c r="L114" s="719" t="s">
        <v>2713</v>
      </c>
      <c r="M114" s="719" t="s">
        <v>4369</v>
      </c>
      <c r="N114" s="719" t="s">
        <v>4370</v>
      </c>
      <c r="O114" s="719" t="s">
        <v>4371</v>
      </c>
      <c r="P114" t="s">
        <v>4142</v>
      </c>
    </row>
    <row r="115" spans="1:16">
      <c r="E115" s="14"/>
      <c r="F115" s="14"/>
      <c r="G115" s="14"/>
      <c r="H115" s="14"/>
      <c r="I115" s="14"/>
      <c r="L115" s="719" t="s">
        <v>2714</v>
      </c>
      <c r="M115" s="719" t="s">
        <v>4372</v>
      </c>
      <c r="N115" s="719" t="s">
        <v>4373</v>
      </c>
      <c r="O115" s="719" t="s">
        <v>4374</v>
      </c>
      <c r="P115" t="s">
        <v>4143</v>
      </c>
    </row>
    <row r="116" spans="1:16">
      <c r="L116" s="720"/>
      <c r="M116" s="720"/>
      <c r="N116" s="720"/>
      <c r="O116" s="720"/>
    </row>
    <row r="117" spans="1:16">
      <c r="B117" s="706" t="s">
        <v>2296</v>
      </c>
      <c r="E117" t="str">
        <f>decTeamName</f>
        <v>IIC</v>
      </c>
      <c r="F117" t="str">
        <f>decTeamName</f>
        <v>Bloomfield</v>
      </c>
      <c r="G117" t="str">
        <f>decTeamName</f>
        <v>Nextus</v>
      </c>
      <c r="L117" s="720"/>
      <c r="M117" s="720"/>
      <c r="N117" s="720"/>
      <c r="O117" s="720"/>
    </row>
    <row r="118" spans="1:16">
      <c r="A118" s="14" t="str">
        <f>"IF(cbalEvent"&amp;$C118&amp;"Chosen, ""X"", """")"</f>
        <v>IF(cbalEvent401Chosen, "X", "")</v>
      </c>
      <c r="C118">
        <v>401</v>
      </c>
      <c r="D118" t="str">
        <f>INDEX(DataPage!$M$309:$M$335,MATCH(C118,DataPage!$L$309:$L$335,0))</f>
        <v>Build</v>
      </c>
      <c r="E118" s="14" t="str">
        <f>IF(cbalEvent401Chosen, "X", "")</f>
        <v/>
      </c>
      <c r="F118" s="14" t="str">
        <f>IF(cbalEvent401Chosen, "X", "")</f>
        <v/>
      </c>
      <c r="G118" s="14" t="str">
        <f>IF(cbalEvent401Chosen, "X", "")</f>
        <v/>
      </c>
      <c r="H118" s="14"/>
      <c r="I118" s="14"/>
      <c r="L118" s="719" t="s">
        <v>2715</v>
      </c>
      <c r="M118" s="719" t="s">
        <v>4375</v>
      </c>
      <c r="N118" s="719" t="s">
        <v>4376</v>
      </c>
      <c r="O118" s="719" t="s">
        <v>4377</v>
      </c>
      <c r="P118" t="s">
        <v>4144</v>
      </c>
    </row>
    <row r="119" spans="1:16">
      <c r="C119">
        <v>402</v>
      </c>
      <c r="D119" t="str">
        <f>INDEX(DataPage!$M$309:$M$335,MATCH(C119,DataPage!$L$309:$L$335,0))</f>
        <v>Innovation Process</v>
      </c>
      <c r="E119" s="14" t="str">
        <f>IF(cbalEvent402Chosen, "X", "")</f>
        <v/>
      </c>
      <c r="F119" s="14" t="str">
        <f>IF(cbalEvent402Chosen, "X", "")</f>
        <v/>
      </c>
      <c r="G119" s="14" t="str">
        <f>IF(cbalEvent402Chosen, "X", "")</f>
        <v/>
      </c>
      <c r="H119" s="14"/>
      <c r="I119" s="14"/>
      <c r="L119" s="719" t="s">
        <v>2716</v>
      </c>
      <c r="M119" s="719" t="s">
        <v>4378</v>
      </c>
      <c r="N119" s="719" t="s">
        <v>4379</v>
      </c>
      <c r="O119" s="719" t="s">
        <v>4380</v>
      </c>
      <c r="P119" t="s">
        <v>4145</v>
      </c>
    </row>
    <row r="120" spans="1:16">
      <c r="C120">
        <v>403</v>
      </c>
      <c r="D120" t="str">
        <f>INDEX(DataPage!$M$309:$M$335,MATCH(C120,DataPage!$L$309:$L$335,0))</f>
        <v>No Build</v>
      </c>
      <c r="E120" s="14" t="str">
        <f>IF(cbalEvent403Chosen, "X", "")</f>
        <v/>
      </c>
      <c r="F120" s="14" t="str">
        <f>IF(cbalEvent403Chosen, "X", "")</f>
        <v/>
      </c>
      <c r="G120" s="14" t="str">
        <f>IF(cbalEvent403Chosen, "X", "")</f>
        <v/>
      </c>
      <c r="H120" s="14"/>
      <c r="I120" s="14"/>
      <c r="L120" s="719" t="s">
        <v>2717</v>
      </c>
      <c r="M120" s="719" t="s">
        <v>4381</v>
      </c>
      <c r="N120" s="719" t="s">
        <v>4382</v>
      </c>
      <c r="O120" s="719" t="s">
        <v>4383</v>
      </c>
      <c r="P120" t="s">
        <v>4146</v>
      </c>
    </row>
    <row r="121" spans="1:16">
      <c r="L121" s="720"/>
      <c r="M121" s="720"/>
      <c r="N121" s="720"/>
      <c r="O121" s="720"/>
    </row>
    <row r="122" spans="1:16">
      <c r="B122" s="706" t="s">
        <v>2295</v>
      </c>
      <c r="E122" t="str">
        <f>decTeamName</f>
        <v>IIC</v>
      </c>
      <c r="F122" t="str">
        <f>decTeamName</f>
        <v>Bloomfield</v>
      </c>
      <c r="G122" t="str">
        <f>decTeamName</f>
        <v>Nextus</v>
      </c>
      <c r="L122" s="720"/>
      <c r="M122" s="720"/>
      <c r="N122" s="720"/>
      <c r="O122" s="720"/>
    </row>
    <row r="123" spans="1:16">
      <c r="C123">
        <v>501</v>
      </c>
      <c r="D123" t="str">
        <f>INDEX(DataPage!$M$309:$M$335,MATCH(C123,DataPage!$L$309:$L$335,0))</f>
        <v>Leverage 3rd Party</v>
      </c>
      <c r="E123" s="14" t="str">
        <f>IF(cbalEvent501Chosen, "X", "")</f>
        <v/>
      </c>
      <c r="F123" s="14" t="str">
        <f>IF(cbalEvent501Chosen, "X", "")</f>
        <v/>
      </c>
      <c r="G123" s="14" t="str">
        <f>IF(cbalEvent501Chosen, "X", "")</f>
        <v/>
      </c>
      <c r="H123" s="14"/>
      <c r="I123" s="14"/>
      <c r="L123" s="719" t="s">
        <v>2718</v>
      </c>
      <c r="M123" s="719" t="s">
        <v>4384</v>
      </c>
      <c r="N123" s="719" t="s">
        <v>4385</v>
      </c>
      <c r="O123" s="719" t="s">
        <v>4386</v>
      </c>
      <c r="P123" t="s">
        <v>4147</v>
      </c>
    </row>
    <row r="124" spans="1:16">
      <c r="C124">
        <v>502</v>
      </c>
      <c r="D124" t="str">
        <f>INDEX(DataPage!$M$309:$M$335,MATCH(C124,DataPage!$L$309:$L$335,0))</f>
        <v>Build and Charge</v>
      </c>
      <c r="E124" s="14" t="str">
        <f>IF(cbalEvent502Chosen, "X", "")</f>
        <v/>
      </c>
      <c r="F124" s="14" t="str">
        <f>IF(cbalEvent502Chosen, "X", "")</f>
        <v/>
      </c>
      <c r="G124" s="14" t="str">
        <f>IF(cbalEvent502Chosen, "X", "")</f>
        <v/>
      </c>
      <c r="H124" s="14"/>
      <c r="I124" s="14"/>
      <c r="L124" s="719" t="s">
        <v>2719</v>
      </c>
      <c r="M124" s="719" t="s">
        <v>4387</v>
      </c>
      <c r="N124" s="719" t="s">
        <v>4388</v>
      </c>
      <c r="O124" s="719" t="s">
        <v>4389</v>
      </c>
      <c r="P124" t="s">
        <v>4148</v>
      </c>
    </row>
    <row r="125" spans="1:16">
      <c r="C125">
        <v>503</v>
      </c>
      <c r="D125" t="str">
        <f>INDEX(DataPage!$M$309:$M$335,MATCH(C125,DataPage!$L$309:$L$335,0))</f>
        <v>Build and No Charge</v>
      </c>
      <c r="E125" s="14" t="str">
        <f>IF(cbalEvent503Chosen, "X", "")</f>
        <v/>
      </c>
      <c r="F125" s="14" t="str">
        <f>IF(cbalEvent503Chosen, "X", "")</f>
        <v/>
      </c>
      <c r="G125" s="14" t="str">
        <f>IF(cbalEvent503Chosen, "X", "")</f>
        <v/>
      </c>
      <c r="H125" s="14"/>
      <c r="I125" s="14"/>
      <c r="L125" s="719" t="s">
        <v>2720</v>
      </c>
      <c r="M125" s="719" t="s">
        <v>4390</v>
      </c>
      <c r="N125" s="719" t="s">
        <v>4391</v>
      </c>
      <c r="O125" s="719" t="s">
        <v>4392</v>
      </c>
      <c r="P125" t="s">
        <v>4149</v>
      </c>
    </row>
    <row r="126" spans="1:16">
      <c r="L126" s="720"/>
      <c r="M126" s="720"/>
      <c r="N126" s="720"/>
      <c r="O126" s="720"/>
    </row>
    <row r="127" spans="1:16">
      <c r="B127" s="706" t="s">
        <v>2302</v>
      </c>
      <c r="E127" t="str">
        <f>decTeamName</f>
        <v>IIC</v>
      </c>
      <c r="F127" t="str">
        <f>decTeamName</f>
        <v>Bloomfield</v>
      </c>
      <c r="G127" t="str">
        <f>decTeamName</f>
        <v>Nextus</v>
      </c>
      <c r="L127" s="720"/>
      <c r="M127" s="720"/>
      <c r="N127" s="720"/>
      <c r="O127" s="720"/>
    </row>
    <row r="128" spans="1:16">
      <c r="C128">
        <v>601</v>
      </c>
      <c r="D128" t="str">
        <f>INDEX(DataPage!$M$309:$M$335,MATCH(C128,DataPage!$L$309:$L$335,0))</f>
        <v>Buy</v>
      </c>
      <c r="E128" s="14" t="str">
        <f>IF(cbalEvent601Chosen, "X", "")</f>
        <v/>
      </c>
      <c r="F128" s="14" t="str">
        <f>IF(cbalEvent601Chosen, "X", "")</f>
        <v/>
      </c>
      <c r="G128" s="14" t="str">
        <f>IF(cbalEvent601Chosen, "X", "")</f>
        <v/>
      </c>
      <c r="H128" s="14"/>
      <c r="I128" s="14"/>
      <c r="L128" s="719" t="s">
        <v>2721</v>
      </c>
      <c r="M128" s="719" t="s">
        <v>4393</v>
      </c>
      <c r="N128" s="719" t="s">
        <v>4394</v>
      </c>
      <c r="O128" s="719" t="s">
        <v>4395</v>
      </c>
      <c r="P128" t="s">
        <v>4150</v>
      </c>
    </row>
    <row r="129" spans="2:16">
      <c r="C129">
        <v>602</v>
      </c>
      <c r="D129" t="str">
        <f>INDEX(DataPage!$M$309:$M$335,MATCH(C129,DataPage!$L$309:$L$335,0))</f>
        <v>Create</v>
      </c>
      <c r="E129" s="14" t="str">
        <f>IF(cbalEvent602Chosen, "X", "")</f>
        <v/>
      </c>
      <c r="F129" s="14" t="str">
        <f>IF(cbalEvent602Chosen, "X", "")</f>
        <v/>
      </c>
      <c r="G129" s="14" t="str">
        <f>IF(cbalEvent602Chosen, "X", "")</f>
        <v/>
      </c>
      <c r="H129" s="14"/>
      <c r="I129" s="14"/>
      <c r="L129" s="719" t="s">
        <v>2722</v>
      </c>
      <c r="M129" s="719" t="s">
        <v>4396</v>
      </c>
      <c r="N129" s="719" t="s">
        <v>4397</v>
      </c>
      <c r="O129" s="719" t="s">
        <v>4398</v>
      </c>
      <c r="P129" t="s">
        <v>4151</v>
      </c>
    </row>
    <row r="130" spans="2:16">
      <c r="C130">
        <v>603</v>
      </c>
      <c r="D130" t="str">
        <f>INDEX(DataPage!$M$309:$M$335,MATCH(C130,DataPage!$L$309:$L$335,0))</f>
        <v>Partner</v>
      </c>
      <c r="E130" s="14" t="str">
        <f>IF(cbalEvent603Chosen, "X", "")</f>
        <v/>
      </c>
      <c r="F130" s="14" t="str">
        <f>IF(cbalEvent603Chosen, "X", "")</f>
        <v/>
      </c>
      <c r="G130" s="14" t="str">
        <f>IF(cbalEvent603Chosen, "X", "")</f>
        <v/>
      </c>
      <c r="H130" s="14"/>
      <c r="I130" s="14"/>
      <c r="L130" s="719" t="s">
        <v>2723</v>
      </c>
      <c r="M130" s="719" t="s">
        <v>4399</v>
      </c>
      <c r="N130" s="719" t="s">
        <v>4400</v>
      </c>
      <c r="O130" s="719" t="s">
        <v>4401</v>
      </c>
      <c r="P130" t="s">
        <v>4152</v>
      </c>
    </row>
    <row r="131" spans="2:16">
      <c r="L131" s="720"/>
      <c r="M131" s="720"/>
      <c r="N131" s="720"/>
      <c r="O131" s="720"/>
    </row>
    <row r="132" spans="2:16">
      <c r="B132" s="706" t="s">
        <v>2297</v>
      </c>
      <c r="E132" t="str">
        <f>decTeamName</f>
        <v>IIC</v>
      </c>
      <c r="F132" t="str">
        <f>decTeamName</f>
        <v>Bloomfield</v>
      </c>
      <c r="G132" t="str">
        <f>decTeamName</f>
        <v>Nextus</v>
      </c>
      <c r="L132" s="720"/>
      <c r="M132" s="720"/>
      <c r="N132" s="720"/>
      <c r="O132" s="720"/>
    </row>
    <row r="133" spans="2:16">
      <c r="C133">
        <v>701</v>
      </c>
      <c r="D133" t="str">
        <f>INDEX(DataPage!$M$309:$M$335,MATCH(C133,DataPage!$L$309:$L$335,0))</f>
        <v>Hire More</v>
      </c>
      <c r="E133" s="14" t="str">
        <f>IF(cbalEvent701Chosen, "X", "")</f>
        <v/>
      </c>
      <c r="F133" s="14" t="str">
        <f>IF(cbalEvent701Chosen, "X", "")</f>
        <v/>
      </c>
      <c r="G133" s="14" t="str">
        <f>IF(cbalEvent701Chosen, "X", "")</f>
        <v/>
      </c>
      <c r="H133" s="14"/>
      <c r="I133" s="14"/>
      <c r="L133" s="719" t="s">
        <v>2724</v>
      </c>
      <c r="M133" s="719" t="s">
        <v>4402</v>
      </c>
      <c r="N133" s="719" t="s">
        <v>4403</v>
      </c>
      <c r="O133" s="719" t="s">
        <v>4404</v>
      </c>
      <c r="P133" t="s">
        <v>4153</v>
      </c>
    </row>
    <row r="134" spans="2:16">
      <c r="C134">
        <v>702</v>
      </c>
      <c r="D134" t="str">
        <f>INDEX(DataPage!$M$309:$M$335,MATCH(C134,DataPage!$L$309:$L$335,0))</f>
        <v>Leverage Technology</v>
      </c>
      <c r="E134" s="14" t="str">
        <f>IF(cbalEvent702Chosen, "X", "")</f>
        <v/>
      </c>
      <c r="F134" s="14" t="str">
        <f>IF(cbalEvent702Chosen, "X", "")</f>
        <v/>
      </c>
      <c r="G134" s="14" t="str">
        <f>IF(cbalEvent702Chosen, "X", "")</f>
        <v/>
      </c>
      <c r="H134" s="14"/>
      <c r="I134" s="14"/>
      <c r="L134" s="719" t="s">
        <v>2725</v>
      </c>
      <c r="M134" s="719" t="s">
        <v>4405</v>
      </c>
      <c r="N134" s="719" t="s">
        <v>4406</v>
      </c>
      <c r="O134" s="719" t="s">
        <v>4407</v>
      </c>
      <c r="P134" t="s">
        <v>4154</v>
      </c>
    </row>
    <row r="135" spans="2:16">
      <c r="C135">
        <v>703</v>
      </c>
      <c r="D135" t="str">
        <f>INDEX(DataPage!$M$309:$M$335,MATCH(C135,DataPage!$L$309:$L$335,0))</f>
        <v>Status Quo</v>
      </c>
      <c r="E135" s="14" t="str">
        <f>IF(cbalEvent703Chosen, "X", "")</f>
        <v/>
      </c>
      <c r="F135" s="14" t="str">
        <f>IF(cbalEvent703Chosen, "X", "")</f>
        <v/>
      </c>
      <c r="G135" s="14" t="str">
        <f>IF(cbalEvent703Chosen, "X", "")</f>
        <v/>
      </c>
      <c r="H135" s="14"/>
      <c r="I135" s="14"/>
      <c r="L135" s="719" t="s">
        <v>2726</v>
      </c>
      <c r="M135" s="719" t="s">
        <v>4408</v>
      </c>
      <c r="N135" s="719" t="s">
        <v>4409</v>
      </c>
      <c r="O135" s="719" t="s">
        <v>4410</v>
      </c>
      <c r="P135" t="s">
        <v>4155</v>
      </c>
    </row>
    <row r="136" spans="2:16">
      <c r="L136" s="720"/>
      <c r="M136" s="720"/>
      <c r="N136" s="720"/>
      <c r="O136" s="720"/>
    </row>
    <row r="137" spans="2:16">
      <c r="B137" s="706" t="s">
        <v>2298</v>
      </c>
      <c r="E137" t="str">
        <f>decTeamName</f>
        <v>IIC</v>
      </c>
      <c r="F137" t="str">
        <f>decTeamName</f>
        <v>Bloomfield</v>
      </c>
      <c r="G137" t="str">
        <f>decTeamName</f>
        <v>Nextus</v>
      </c>
      <c r="L137" s="720"/>
      <c r="M137" s="720"/>
      <c r="N137" s="720"/>
      <c r="O137" s="720"/>
    </row>
    <row r="138" spans="2:16">
      <c r="C138">
        <v>801</v>
      </c>
      <c r="D138" t="str">
        <f>INDEX(DataPage!$M$309:$M$335,MATCH(C138,DataPage!$L$309:$L$335,0))</f>
        <v>Fully Integrate</v>
      </c>
      <c r="E138" s="14" t="str">
        <f>IF(cbalEvent801Chosen, "X", "")</f>
        <v/>
      </c>
      <c r="F138" s="14" t="str">
        <f>IF(cbalEvent801Chosen, "X", "")</f>
        <v/>
      </c>
      <c r="G138" s="14" t="str">
        <f>IF(cbalEvent801Chosen, "X", "")</f>
        <v/>
      </c>
      <c r="H138" s="14"/>
      <c r="I138" s="14"/>
      <c r="L138" s="719" t="s">
        <v>2727</v>
      </c>
      <c r="M138" s="719" t="s">
        <v>4411</v>
      </c>
      <c r="N138" s="719" t="s">
        <v>4412</v>
      </c>
      <c r="O138" s="719" t="s">
        <v>4413</v>
      </c>
      <c r="P138" t="s">
        <v>4156</v>
      </c>
    </row>
    <row r="139" spans="2:16">
      <c r="C139">
        <v>802</v>
      </c>
      <c r="D139" t="str">
        <f>INDEX(DataPage!$M$309:$M$335,MATCH(C139,DataPage!$L$309:$L$335,0))</f>
        <v>Status Quo</v>
      </c>
      <c r="E139" s="14" t="str">
        <f>IF(cbalEvent802Chosen, "X", "")</f>
        <v/>
      </c>
      <c r="F139" s="14" t="str">
        <f>IF(cbalEvent802Chosen, "X", "")</f>
        <v/>
      </c>
      <c r="G139" s="14" t="str">
        <f>IF(cbalEvent802Chosen, "X", "")</f>
        <v/>
      </c>
      <c r="H139" s="14"/>
      <c r="I139" s="14"/>
      <c r="L139" s="719" t="s">
        <v>2728</v>
      </c>
      <c r="M139" s="719" t="s">
        <v>4414</v>
      </c>
      <c r="N139" s="719" t="s">
        <v>4415</v>
      </c>
      <c r="O139" s="719" t="s">
        <v>4416</v>
      </c>
      <c r="P139" t="s">
        <v>4157</v>
      </c>
    </row>
    <row r="140" spans="2:16">
      <c r="C140">
        <v>803</v>
      </c>
      <c r="D140" t="str">
        <f>INDEX(DataPage!$M$309:$M$335,MATCH(C140,DataPage!$L$309:$L$335,0))</f>
        <v>Partially Integrate</v>
      </c>
      <c r="E140" s="14" t="str">
        <f>IF(cbalEvent803Chosen, "X", "")</f>
        <v/>
      </c>
      <c r="F140" s="14" t="str">
        <f>IF(cbalEvent803Chosen, "X", "")</f>
        <v/>
      </c>
      <c r="G140" s="14" t="str">
        <f>IF(cbalEvent803Chosen, "X", "")</f>
        <v/>
      </c>
      <c r="H140" s="14"/>
      <c r="I140" s="14"/>
      <c r="L140" s="719" t="s">
        <v>2729</v>
      </c>
      <c r="M140" s="719" t="s">
        <v>4417</v>
      </c>
      <c r="N140" s="719" t="s">
        <v>4418</v>
      </c>
      <c r="O140" s="719" t="s">
        <v>4419</v>
      </c>
      <c r="P140" t="s">
        <v>4158</v>
      </c>
    </row>
    <row r="141" spans="2:16">
      <c r="L141" s="720"/>
      <c r="M141" s="720"/>
      <c r="N141" s="720"/>
      <c r="O141" s="720"/>
    </row>
    <row r="142" spans="2:16">
      <c r="B142" s="706" t="s">
        <v>2299</v>
      </c>
      <c r="E142" t="str">
        <f>decTeamName</f>
        <v>IIC</v>
      </c>
      <c r="F142" t="str">
        <f>decTeamName</f>
        <v>Bloomfield</v>
      </c>
      <c r="G142" t="str">
        <f>decTeamName</f>
        <v>Nextus</v>
      </c>
      <c r="L142" s="720"/>
      <c r="M142" s="720"/>
      <c r="N142" s="720"/>
      <c r="O142" s="720"/>
    </row>
    <row r="143" spans="2:16">
      <c r="C143">
        <v>901</v>
      </c>
      <c r="D143" t="str">
        <f>INDEX(DataPage!$M$309:$M$335,MATCH(C143,DataPage!$L$309:$L$335,0))</f>
        <v>No Open Platform</v>
      </c>
      <c r="E143" s="14" t="str">
        <f>IF(cbalEvent901Chosen, "X", "")</f>
        <v/>
      </c>
      <c r="F143" s="14" t="str">
        <f>IF(cbalEvent901Chosen, "X", "")</f>
        <v/>
      </c>
      <c r="G143" s="14" t="str">
        <f>IF(cbalEvent901Chosen, "X", "")</f>
        <v/>
      </c>
      <c r="H143" s="14"/>
      <c r="I143" s="14"/>
      <c r="L143" s="719" t="s">
        <v>2730</v>
      </c>
      <c r="M143" s="719" t="s">
        <v>4420</v>
      </c>
      <c r="N143" s="719" t="s">
        <v>4421</v>
      </c>
      <c r="O143" s="719" t="s">
        <v>4422</v>
      </c>
      <c r="P143" t="s">
        <v>4159</v>
      </c>
    </row>
    <row r="144" spans="2:16">
      <c r="C144">
        <v>902</v>
      </c>
      <c r="D144" t="str">
        <f>INDEX(DataPage!$M$309:$M$335,MATCH(C144,DataPage!$L$309:$L$335,0))</f>
        <v>Open Platform</v>
      </c>
      <c r="E144" s="14" t="str">
        <f>IF(cbalEvent902Chosen, "X", "")</f>
        <v/>
      </c>
      <c r="F144" s="14" t="str">
        <f>IF(cbalEvent902Chosen, "X", "")</f>
        <v/>
      </c>
      <c r="G144" s="14" t="str">
        <f>IF(cbalEvent902Chosen, "X", "")</f>
        <v/>
      </c>
      <c r="H144" s="14"/>
      <c r="I144" s="14"/>
      <c r="L144" s="719" t="s">
        <v>2731</v>
      </c>
      <c r="M144" s="719" t="s">
        <v>4423</v>
      </c>
      <c r="N144" s="719" t="s">
        <v>4424</v>
      </c>
      <c r="O144" s="719" t="s">
        <v>4425</v>
      </c>
      <c r="P144" t="s">
        <v>4160</v>
      </c>
    </row>
    <row r="145" spans="2:16">
      <c r="E145" s="14"/>
      <c r="F145" s="14"/>
      <c r="G145" s="14"/>
      <c r="H145" s="14"/>
      <c r="I145" s="14"/>
      <c r="L145" s="719" t="s">
        <v>2732</v>
      </c>
      <c r="M145" s="719" t="s">
        <v>4426</v>
      </c>
      <c r="N145" s="719" t="s">
        <v>4427</v>
      </c>
      <c r="O145" s="719" t="s">
        <v>4428</v>
      </c>
      <c r="P145" t="s">
        <v>4161</v>
      </c>
    </row>
    <row r="147" spans="2:16">
      <c r="B147" s="3" t="s">
        <v>313</v>
      </c>
      <c r="E147" t="str">
        <f>decTeamName</f>
        <v>IIC</v>
      </c>
      <c r="F147" t="str">
        <f>decTeamName</f>
        <v>Bloomfield</v>
      </c>
      <c r="G147" t="str">
        <f>decTeamName</f>
        <v>Nextus</v>
      </c>
    </row>
    <row r="148" spans="2:16">
      <c r="D148" s="565" t="s">
        <v>101</v>
      </c>
      <c r="E148" t="e">
        <f>Analysis!E46</f>
        <v>#N/A</v>
      </c>
      <c r="F148" t="e">
        <f>Analysis!F46</f>
        <v>#N/A</v>
      </c>
      <c r="G148" t="e">
        <f>Analysis!G46</f>
        <v>#N/A</v>
      </c>
      <c r="H148">
        <f>Analysis!H46</f>
        <v>0</v>
      </c>
      <c r="I148">
        <f>Analysis!I46</f>
        <v>0</v>
      </c>
    </row>
    <row r="149" spans="2:16">
      <c r="D149" s="565" t="s">
        <v>101</v>
      </c>
      <c r="E149" t="e">
        <f>Analysis!E47</f>
        <v>#N/A</v>
      </c>
      <c r="F149" t="e">
        <f>Analysis!F47</f>
        <v>#N/A</v>
      </c>
      <c r="G149" t="e">
        <f>Analysis!G47</f>
        <v>#N/A</v>
      </c>
      <c r="H149">
        <f>Analysis!H47</f>
        <v>0</v>
      </c>
      <c r="I149">
        <f>Analysis!I47</f>
        <v>0</v>
      </c>
    </row>
    <row r="150" spans="2:16">
      <c r="D150" s="565" t="s">
        <v>101</v>
      </c>
      <c r="E150" t="e">
        <f>Analysis!E48</f>
        <v>#N/A</v>
      </c>
      <c r="F150" t="e">
        <f>Analysis!F48</f>
        <v>#N/A</v>
      </c>
      <c r="G150" t="e">
        <f>Analysis!G48</f>
        <v>#N/A</v>
      </c>
      <c r="H150">
        <f>Analysis!H48</f>
        <v>0</v>
      </c>
      <c r="I150">
        <f>Analysis!I48</f>
        <v>0</v>
      </c>
    </row>
    <row r="151" spans="2:16">
      <c r="D151" s="565" t="s">
        <v>102</v>
      </c>
      <c r="E151" t="e">
        <f>Analysis!E49</f>
        <v>#N/A</v>
      </c>
      <c r="F151" t="e">
        <f>Analysis!F49</f>
        <v>#N/A</v>
      </c>
      <c r="G151" t="e">
        <f>Analysis!G49</f>
        <v>#N/A</v>
      </c>
      <c r="H151">
        <f>Analysis!H49</f>
        <v>0</v>
      </c>
      <c r="I151">
        <f>Analysis!I49</f>
        <v>0</v>
      </c>
    </row>
    <row r="152" spans="2:16">
      <c r="D152" s="565" t="s">
        <v>102</v>
      </c>
      <c r="E152" t="e">
        <f>Analysis!E50</f>
        <v>#N/A</v>
      </c>
      <c r="F152" t="e">
        <f>Analysis!F50</f>
        <v>#N/A</v>
      </c>
      <c r="G152" t="e">
        <f>Analysis!G50</f>
        <v>#N/A</v>
      </c>
      <c r="H152">
        <f>Analysis!H50</f>
        <v>0</v>
      </c>
      <c r="I152">
        <f>Analysis!I50</f>
        <v>0</v>
      </c>
    </row>
    <row r="153" spans="2:16">
      <c r="D153" s="565" t="s">
        <v>102</v>
      </c>
      <c r="E153" t="e">
        <f>Analysis!E51</f>
        <v>#N/A</v>
      </c>
      <c r="F153" t="e">
        <f>Analysis!F51</f>
        <v>#N/A</v>
      </c>
      <c r="G153" t="e">
        <f>Analysis!G51</f>
        <v>#N/A</v>
      </c>
      <c r="H153">
        <f>Analysis!H51</f>
        <v>0</v>
      </c>
      <c r="I153">
        <f>Analysis!I51</f>
        <v>0</v>
      </c>
    </row>
    <row r="154" spans="2:16">
      <c r="D154" s="565" t="s">
        <v>103</v>
      </c>
      <c r="E154" t="e">
        <f>Analysis!E52</f>
        <v>#N/A</v>
      </c>
      <c r="F154" t="e">
        <f>Analysis!F52</f>
        <v>#N/A</v>
      </c>
      <c r="G154" t="e">
        <f>Analysis!G52</f>
        <v>#N/A</v>
      </c>
      <c r="H154">
        <f>Analysis!H52</f>
        <v>0</v>
      </c>
      <c r="I154">
        <f>Analysis!I52</f>
        <v>0</v>
      </c>
    </row>
    <row r="155" spans="2:16">
      <c r="D155" s="565" t="s">
        <v>103</v>
      </c>
      <c r="E155" t="e">
        <f>Analysis!E53</f>
        <v>#N/A</v>
      </c>
      <c r="F155" t="e">
        <f>Analysis!F53</f>
        <v>#N/A</v>
      </c>
      <c r="G155" t="e">
        <f>Analysis!G53</f>
        <v>#N/A</v>
      </c>
      <c r="H155">
        <f>Analysis!H53</f>
        <v>0</v>
      </c>
      <c r="I155">
        <f>Analysis!I53</f>
        <v>0</v>
      </c>
    </row>
    <row r="156" spans="2:16">
      <c r="D156" s="565" t="s">
        <v>103</v>
      </c>
      <c r="E156" t="e">
        <f>Analysis!E54</f>
        <v>#N/A</v>
      </c>
      <c r="F156" t="e">
        <f>Analysis!F54</f>
        <v>#N/A</v>
      </c>
      <c r="G156" t="e">
        <f>Analysis!G54</f>
        <v>#N/A</v>
      </c>
      <c r="H156">
        <f>Analysis!H54</f>
        <v>0</v>
      </c>
      <c r="I156">
        <f>Analysis!I54</f>
        <v>0</v>
      </c>
    </row>
    <row r="158" spans="2:16">
      <c r="C158">
        <f>C61</f>
        <v>3</v>
      </c>
      <c r="D158">
        <f>D61</f>
        <v>2</v>
      </c>
      <c r="E158">
        <f>E61</f>
        <v>4</v>
      </c>
      <c r="F158">
        <f>F61</f>
        <v>5</v>
      </c>
      <c r="G158">
        <f>G61</f>
        <v>6</v>
      </c>
      <c r="H158">
        <f t="shared" ref="H158:I158" si="5">H61</f>
        <v>0</v>
      </c>
      <c r="I158">
        <f t="shared" si="5"/>
        <v>0</v>
      </c>
      <c r="J158" s="724"/>
      <c r="K158" s="724"/>
      <c r="L158" s="724"/>
      <c r="M158" s="724"/>
    </row>
    <row r="159" spans="2:16">
      <c r="B159" s="3" t="str">
        <f t="shared" ref="B159:B165" si="6">B62</f>
        <v>Transform Voice of the Customer</v>
      </c>
      <c r="E159" t="str">
        <f t="shared" ref="E159:G165" si="7">E62</f>
        <v>IIC</v>
      </c>
      <c r="F159" t="str">
        <f t="shared" si="7"/>
        <v>Bloomfield</v>
      </c>
      <c r="G159" t="str">
        <f t="shared" si="7"/>
        <v>Nextus</v>
      </c>
      <c r="H159">
        <f t="shared" ref="H159:I159" si="8">H62</f>
        <v>0</v>
      </c>
      <c r="I159">
        <f t="shared" si="8"/>
        <v>0</v>
      </c>
      <c r="J159" s="698" t="s">
        <v>424</v>
      </c>
      <c r="K159" s="698" t="s">
        <v>133</v>
      </c>
      <c r="L159" s="698" t="s">
        <v>2985</v>
      </c>
      <c r="M159" s="720"/>
    </row>
    <row r="160" spans="2:16">
      <c r="B160">
        <f t="shared" si="6"/>
        <v>1</v>
      </c>
      <c r="C160">
        <f t="shared" ref="C160:D165" si="9">C63</f>
        <v>10</v>
      </c>
      <c r="D160" t="str">
        <f t="shared" si="9"/>
        <v>Product Technology</v>
      </c>
      <c r="E160" s="385">
        <f t="shared" si="7"/>
        <v>3.3378427121863175E-2</v>
      </c>
      <c r="F160" s="385">
        <f t="shared" si="7"/>
        <v>7.095466566117574E-4</v>
      </c>
      <c r="G160" s="385">
        <f t="shared" si="7"/>
        <v>-3.4087973778474959E-2</v>
      </c>
      <c r="H160" s="385">
        <f t="shared" ref="H160:I160" si="10">H63</f>
        <v>0</v>
      </c>
      <c r="I160" s="385">
        <f t="shared" si="10"/>
        <v>0</v>
      </c>
      <c r="J160" s="990">
        <f>MIN(E160:I160)</f>
        <v>-3.4087973778474959E-2</v>
      </c>
      <c r="K160" s="990">
        <f>MAX(E160:I160)</f>
        <v>3.3378427121863175E-2</v>
      </c>
      <c r="L160" s="990">
        <f>K160-J160</f>
        <v>6.7466400900338133E-2</v>
      </c>
      <c r="M160" s="719"/>
    </row>
    <row r="161" spans="2:13">
      <c r="B161">
        <f t="shared" si="6"/>
        <v>2</v>
      </c>
      <c r="C161">
        <f t="shared" si="9"/>
        <v>9</v>
      </c>
      <c r="D161" t="str">
        <f t="shared" si="9"/>
        <v>Price</v>
      </c>
      <c r="E161" s="385">
        <f t="shared" si="7"/>
        <v>9.4160453502971191E-3</v>
      </c>
      <c r="F161" s="385">
        <f t="shared" si="7"/>
        <v>-5.8821340435678486E-2</v>
      </c>
      <c r="G161" s="385">
        <f t="shared" si="7"/>
        <v>4.9405295085381357E-2</v>
      </c>
      <c r="H161" s="385">
        <f t="shared" ref="H161:I161" si="11">H64</f>
        <v>0</v>
      </c>
      <c r="I161" s="385">
        <f t="shared" si="11"/>
        <v>0</v>
      </c>
      <c r="J161" s="990">
        <f t="shared" ref="J161:J165" si="12">MIN(E161:I161)</f>
        <v>-5.8821340435678486E-2</v>
      </c>
      <c r="K161" s="990">
        <f t="shared" ref="K161:K165" si="13">MAX(E161:I161)</f>
        <v>4.9405295085381357E-2</v>
      </c>
      <c r="L161" s="990">
        <f t="shared" ref="L161:L165" si="14">K161-J161</f>
        <v>0.10822663552105985</v>
      </c>
      <c r="M161" s="719"/>
    </row>
    <row r="162" spans="2:13">
      <c r="B162">
        <f t="shared" si="6"/>
        <v>3</v>
      </c>
      <c r="C162">
        <f t="shared" si="9"/>
        <v>8</v>
      </c>
      <c r="D162" t="str">
        <f t="shared" si="9"/>
        <v>Content</v>
      </c>
      <c r="E162" s="385">
        <f t="shared" si="7"/>
        <v>-1.559474796110377E-2</v>
      </c>
      <c r="F162" s="385">
        <f t="shared" si="7"/>
        <v>-1.559474796110377E-2</v>
      </c>
      <c r="G162" s="385">
        <f t="shared" si="7"/>
        <v>3.118949592220752E-2</v>
      </c>
      <c r="H162" s="385">
        <f t="shared" ref="H162:I162" si="15">H65</f>
        <v>0</v>
      </c>
      <c r="I162" s="385">
        <f t="shared" si="15"/>
        <v>0</v>
      </c>
      <c r="J162" s="990">
        <f t="shared" si="12"/>
        <v>-1.559474796110377E-2</v>
      </c>
      <c r="K162" s="990">
        <f t="shared" si="13"/>
        <v>3.118949592220752E-2</v>
      </c>
      <c r="L162" s="990">
        <f t="shared" si="14"/>
        <v>4.6784243883311288E-2</v>
      </c>
      <c r="M162" s="719"/>
    </row>
    <row r="163" spans="2:13">
      <c r="B163">
        <f t="shared" si="6"/>
        <v>4</v>
      </c>
      <c r="C163">
        <f t="shared" si="9"/>
        <v>7</v>
      </c>
      <c r="D163" t="str">
        <f t="shared" si="9"/>
        <v>Sales Force</v>
      </c>
      <c r="E163" s="385">
        <f t="shared" si="7"/>
        <v>9.8094682150465899E-3</v>
      </c>
      <c r="F163" s="385">
        <f t="shared" si="7"/>
        <v>-2.6955902223706498E-2</v>
      </c>
      <c r="G163" s="385">
        <f t="shared" si="7"/>
        <v>1.7146434008659912E-2</v>
      </c>
      <c r="H163" s="385">
        <f t="shared" ref="H163:I163" si="16">H66</f>
        <v>0</v>
      </c>
      <c r="I163" s="385">
        <f t="shared" si="16"/>
        <v>0</v>
      </c>
      <c r="J163" s="990">
        <f t="shared" si="12"/>
        <v>-2.6955902223706498E-2</v>
      </c>
      <c r="K163" s="990">
        <f t="shared" si="13"/>
        <v>1.7146434008659912E-2</v>
      </c>
      <c r="L163" s="990">
        <f t="shared" si="14"/>
        <v>4.410233623236641E-2</v>
      </c>
      <c r="M163" s="719"/>
    </row>
    <row r="164" spans="2:13">
      <c r="B164">
        <f t="shared" si="6"/>
        <v>5</v>
      </c>
      <c r="C164">
        <f t="shared" si="9"/>
        <v>6</v>
      </c>
      <c r="D164" t="str">
        <f t="shared" si="9"/>
        <v>Customer Service</v>
      </c>
      <c r="E164" s="385">
        <f t="shared" si="7"/>
        <v>1.1696060970827822E-2</v>
      </c>
      <c r="F164" s="385">
        <f t="shared" si="7"/>
        <v>1.1696060970827822E-2</v>
      </c>
      <c r="G164" s="385">
        <f t="shared" si="7"/>
        <v>-2.3392121941655637E-2</v>
      </c>
      <c r="H164" s="385">
        <f t="shared" ref="H164:I164" si="17">H67</f>
        <v>0</v>
      </c>
      <c r="I164" s="385">
        <f t="shared" si="17"/>
        <v>0</v>
      </c>
      <c r="J164" s="990">
        <f t="shared" si="12"/>
        <v>-2.3392121941655637E-2</v>
      </c>
      <c r="K164" s="990">
        <f t="shared" si="13"/>
        <v>1.1696060970827822E-2</v>
      </c>
      <c r="L164" s="990">
        <f t="shared" si="14"/>
        <v>3.5088182912483459E-2</v>
      </c>
      <c r="M164" s="719"/>
    </row>
    <row r="165" spans="2:13">
      <c r="B165">
        <f t="shared" si="6"/>
        <v>6</v>
      </c>
      <c r="C165">
        <f t="shared" si="9"/>
        <v>5</v>
      </c>
      <c r="D165" t="str">
        <f t="shared" si="9"/>
        <v>Marketing</v>
      </c>
      <c r="E165" s="385">
        <f t="shared" si="7"/>
        <v>8.1769184045946252E-3</v>
      </c>
      <c r="F165" s="385">
        <f t="shared" si="7"/>
        <v>1.123533033184902E-2</v>
      </c>
      <c r="G165" s="385">
        <f t="shared" si="7"/>
        <v>-1.9412248736443656E-2</v>
      </c>
      <c r="H165" s="385">
        <f t="shared" ref="H165:I165" si="18">H68</f>
        <v>0</v>
      </c>
      <c r="I165" s="385">
        <f t="shared" si="18"/>
        <v>0</v>
      </c>
      <c r="J165" s="990">
        <f t="shared" si="12"/>
        <v>-1.9412248736443656E-2</v>
      </c>
      <c r="K165" s="990">
        <f t="shared" si="13"/>
        <v>1.123533033184902E-2</v>
      </c>
      <c r="L165" s="990">
        <f t="shared" si="14"/>
        <v>3.0647579068292678E-2</v>
      </c>
      <c r="M165" s="719"/>
    </row>
    <row r="166" spans="2:13">
      <c r="B166" s="710"/>
      <c r="C166" s="710"/>
      <c r="D166" s="710"/>
      <c r="E166" s="712"/>
      <c r="F166" s="712"/>
      <c r="G166" s="712"/>
      <c r="H166" s="712"/>
      <c r="I166" s="712"/>
      <c r="J166" s="725"/>
      <c r="K166" s="725"/>
      <c r="L166" s="725"/>
      <c r="M166" s="725"/>
    </row>
    <row r="167" spans="2:13">
      <c r="B167" s="991" t="str">
        <f>B159</f>
        <v>Transform Voice of the Customer</v>
      </c>
      <c r="E167" s="385" t="str">
        <f>E159</f>
        <v>IIC</v>
      </c>
      <c r="F167" s="385" t="str">
        <f t="shared" ref="F167" si="19">F159</f>
        <v>Bloomfield</v>
      </c>
      <c r="G167" s="385" t="str">
        <f>G159</f>
        <v>Nextus</v>
      </c>
      <c r="H167" s="385">
        <f t="shared" ref="H167:I167" si="20">H159</f>
        <v>0</v>
      </c>
      <c r="I167" s="385">
        <f t="shared" si="20"/>
        <v>0</v>
      </c>
    </row>
    <row r="168" spans="2:13">
      <c r="C168">
        <f>C160</f>
        <v>10</v>
      </c>
      <c r="D168" t="str">
        <f>D160</f>
        <v>Product Technology</v>
      </c>
      <c r="E168" s="385">
        <f t="shared" ref="E168:E173" si="21">IF($L160&gt;0,(E160-$J160)/$L160-0.5,0)</f>
        <v>0.5</v>
      </c>
      <c r="F168" s="385">
        <f t="shared" ref="F168:I168" si="22">IF($L160&gt;0,(F160-$J160)/$L160-0.5,0)</f>
        <v>1.5775555991046075E-2</v>
      </c>
      <c r="G168" s="385">
        <f t="shared" si="22"/>
        <v>-0.5</v>
      </c>
      <c r="H168" s="385">
        <f t="shared" si="22"/>
        <v>5.2585186636822101E-3</v>
      </c>
      <c r="I168" s="385">
        <f t="shared" si="22"/>
        <v>5.2585186636822101E-3</v>
      </c>
    </row>
    <row r="169" spans="2:13">
      <c r="C169">
        <f t="shared" ref="C169:C173" si="23">C161</f>
        <v>9</v>
      </c>
      <c r="D169" t="str">
        <f t="shared" ref="D169:D173" si="24">D161</f>
        <v>Price</v>
      </c>
      <c r="E169" s="385">
        <f t="shared" si="21"/>
        <v>0.13050454684694757</v>
      </c>
      <c r="F169" s="385">
        <f t="shared" ref="F169:I169" si="25">IF($L161&gt;0,(F161-$J161)/$L161-0.5,0)</f>
        <v>-0.5</v>
      </c>
      <c r="G169" s="385">
        <f t="shared" si="25"/>
        <v>0.5</v>
      </c>
      <c r="H169" s="385">
        <f t="shared" si="25"/>
        <v>4.3501515615649189E-2</v>
      </c>
      <c r="I169" s="385">
        <f t="shared" si="25"/>
        <v>4.3501515615649189E-2</v>
      </c>
    </row>
    <row r="170" spans="2:13">
      <c r="C170">
        <f t="shared" si="23"/>
        <v>8</v>
      </c>
      <c r="D170" t="str">
        <f t="shared" si="24"/>
        <v>Content</v>
      </c>
      <c r="E170" s="385">
        <f t="shared" si="21"/>
        <v>-0.5</v>
      </c>
      <c r="F170" s="385">
        <f t="shared" ref="F170:I170" si="26">IF($L162&gt;0,(F162-$J162)/$L162-0.5,0)</f>
        <v>-0.5</v>
      </c>
      <c r="G170" s="385">
        <f t="shared" si="26"/>
        <v>0.5</v>
      </c>
      <c r="H170" s="385">
        <f t="shared" si="26"/>
        <v>-0.16666666666666652</v>
      </c>
      <c r="I170" s="385">
        <f t="shared" si="26"/>
        <v>-0.16666666666666652</v>
      </c>
    </row>
    <row r="171" spans="2:13">
      <c r="C171">
        <f t="shared" si="23"/>
        <v>7</v>
      </c>
      <c r="D171" t="str">
        <f t="shared" si="24"/>
        <v>Sales Force</v>
      </c>
      <c r="E171" s="385">
        <f t="shared" si="21"/>
        <v>0.33363770674287385</v>
      </c>
      <c r="F171" s="385">
        <f t="shared" ref="F171:I171" si="27">IF($L163&gt;0,(F163-$J163)/$L163-0.5,0)</f>
        <v>-0.5</v>
      </c>
      <c r="G171" s="385">
        <f t="shared" si="27"/>
        <v>0.5</v>
      </c>
      <c r="H171" s="385">
        <f t="shared" si="27"/>
        <v>0.11121256891429121</v>
      </c>
      <c r="I171" s="385">
        <f t="shared" si="27"/>
        <v>0.11121256891429121</v>
      </c>
    </row>
    <row r="172" spans="2:13">
      <c r="C172">
        <f t="shared" si="23"/>
        <v>6</v>
      </c>
      <c r="D172" t="str">
        <f t="shared" si="24"/>
        <v>Customer Service</v>
      </c>
      <c r="E172" s="385">
        <f t="shared" si="21"/>
        <v>0.5</v>
      </c>
      <c r="F172" s="385">
        <f t="shared" ref="F172:I172" si="28">IF($L164&gt;0,(F164-$J164)/$L164-0.5,0)</f>
        <v>0.5</v>
      </c>
      <c r="G172" s="385">
        <f t="shared" si="28"/>
        <v>-0.5</v>
      </c>
      <c r="H172" s="385">
        <f t="shared" si="28"/>
        <v>0.16666666666666663</v>
      </c>
      <c r="I172" s="385">
        <f t="shared" si="28"/>
        <v>0.16666666666666663</v>
      </c>
    </row>
    <row r="173" spans="2:13">
      <c r="C173">
        <f t="shared" si="23"/>
        <v>5</v>
      </c>
      <c r="D173" t="str">
        <f t="shared" si="24"/>
        <v>Marketing</v>
      </c>
      <c r="E173" s="385">
        <f t="shared" si="21"/>
        <v>0.40020706299707165</v>
      </c>
      <c r="F173" s="385">
        <f t="shared" ref="F173:I173" si="29">IF($L165&gt;0,(F165-$J165)/$L165-0.5,0)</f>
        <v>0.5</v>
      </c>
      <c r="G173" s="385">
        <f t="shared" si="29"/>
        <v>-0.5</v>
      </c>
      <c r="H173" s="385">
        <f t="shared" si="29"/>
        <v>0.13340235433235725</v>
      </c>
      <c r="I173" s="385">
        <f t="shared" si="29"/>
        <v>0.13340235433235725</v>
      </c>
    </row>
    <row r="175" spans="2:13">
      <c r="B175" s="706" t="s">
        <v>2167</v>
      </c>
    </row>
    <row r="176" spans="2:13">
      <c r="C176" s="27" t="s">
        <v>3370</v>
      </c>
      <c r="E176" t="str">
        <f>D10</f>
        <v>Growth</v>
      </c>
      <c r="F176" t="str">
        <f>D11</f>
        <v>Transform</v>
      </c>
      <c r="G176" s="565" t="str">
        <f>D12</f>
        <v>GGO</v>
      </c>
      <c r="H176" t="str">
        <f>D13</f>
        <v>CAGR</v>
      </c>
      <c r="J176" s="720"/>
      <c r="K176" s="720"/>
      <c r="L176" s="720"/>
      <c r="M176" s="720"/>
    </row>
    <row r="177" spans="2:13">
      <c r="D177" s="3" t="e">
        <f>tlOutputFBdecTeamName_1</f>
        <v>#NAME?</v>
      </c>
      <c r="E177" s="326" t="e">
        <f>tlOutputFBfinPNLProd1Rev1</f>
        <v>#NAME?</v>
      </c>
      <c r="F177" s="326" t="e">
        <f>tlOutputFBfinPNLProd2Rev1</f>
        <v>#NAME?</v>
      </c>
      <c r="G177" s="326" t="e">
        <f>tlOutputFBfinGGORev1</f>
        <v>#NAME?</v>
      </c>
      <c r="H177" s="326" t="e">
        <f>tlOutputFBfinCAGR1</f>
        <v>#NAME?</v>
      </c>
      <c r="I177" s="326"/>
      <c r="J177" s="720"/>
      <c r="K177" s="720"/>
      <c r="L177" s="720"/>
      <c r="M177" s="720"/>
    </row>
    <row r="178" spans="2:13">
      <c r="D178" t="e">
        <f>tlOutputFBdecTeamName_2</f>
        <v>#NAME?</v>
      </c>
      <c r="E178" s="326" t="e">
        <f>tlOutputFBfinPNLProd1Rev2</f>
        <v>#NAME?</v>
      </c>
      <c r="F178" s="326" t="e">
        <f>tlOutputFBfinPNLProd2Rev2</f>
        <v>#NAME?</v>
      </c>
      <c r="G178" s="326" t="e">
        <f>tlOutputFBfinGGORev2</f>
        <v>#NAME?</v>
      </c>
      <c r="H178" s="326" t="e">
        <f>tlOutputFBfinCAGR2</f>
        <v>#NAME?</v>
      </c>
      <c r="I178" s="326"/>
      <c r="J178" s="720"/>
      <c r="K178" s="720"/>
      <c r="L178" s="720"/>
      <c r="M178" s="720"/>
    </row>
    <row r="179" spans="2:13">
      <c r="D179" t="e">
        <f>tlOutputFBdecTeamName_3</f>
        <v>#NAME?</v>
      </c>
      <c r="E179" s="326" t="e">
        <f>tlOutputFBfinPNLProd1Rev3</f>
        <v>#NAME?</v>
      </c>
      <c r="F179" s="326" t="e">
        <f>tlOutputFBfinPNLProd2Rev3</f>
        <v>#NAME?</v>
      </c>
      <c r="G179" s="326" t="e">
        <f>tlOutputFBfinGGORev3</f>
        <v>#NAME?</v>
      </c>
      <c r="H179" s="326" t="e">
        <f>tlOutputFBfinCAGR3</f>
        <v>#NAME?</v>
      </c>
      <c r="I179" s="326"/>
      <c r="J179" s="720"/>
      <c r="K179" s="720"/>
      <c r="L179" s="720"/>
      <c r="M179" s="720"/>
    </row>
    <row r="180" spans="2:13">
      <c r="J180" s="720"/>
      <c r="K180" s="720"/>
      <c r="L180" s="720"/>
      <c r="M180" s="720"/>
    </row>
    <row r="181" spans="2:13">
      <c r="B181" s="706" t="s">
        <v>2171</v>
      </c>
      <c r="J181" s="720"/>
      <c r="K181" s="720"/>
      <c r="L181" s="720"/>
      <c r="M181" s="720"/>
    </row>
    <row r="182" spans="2:13">
      <c r="C182" s="27" t="s">
        <v>3370</v>
      </c>
      <c r="E182" t="str">
        <f>D16</f>
        <v>New Sales</v>
      </c>
      <c r="F182" t="str">
        <f>D17</f>
        <v>Recurring Revenue</v>
      </c>
      <c r="G182" t="str">
        <f>D18</f>
        <v>Customer Retention Rate</v>
      </c>
      <c r="J182" s="720"/>
      <c r="K182" s="720"/>
      <c r="L182" s="720"/>
      <c r="M182" s="720"/>
    </row>
    <row r="183" spans="2:13">
      <c r="D183" t="str">
        <f>E15</f>
        <v>IIC</v>
      </c>
      <c r="E183" s="326" t="e">
        <f>tlOutputFBfinPNLRevNew_1</f>
        <v>#NAME?</v>
      </c>
      <c r="F183" s="326" t="e">
        <f>tlOutputFBfinPNLExistSubRev_1</f>
        <v>#NAME?</v>
      </c>
      <c r="G183" s="385" t="e">
        <f>tlOutputFBcapTotalCancellationRate_1</f>
        <v>#NAME?</v>
      </c>
      <c r="H183" s="326"/>
      <c r="I183" s="326"/>
      <c r="J183" s="720"/>
      <c r="K183" s="720"/>
      <c r="L183" s="720"/>
      <c r="M183" s="720"/>
    </row>
    <row r="184" spans="2:13">
      <c r="D184" t="str">
        <f>F15</f>
        <v>Bloomfield</v>
      </c>
      <c r="E184" s="326" t="e">
        <f>tlOutputFBfinPNLRevNew_2</f>
        <v>#NAME?</v>
      </c>
      <c r="F184" s="326" t="e">
        <f>tlOutputFBfinPNLExistSubRev_2</f>
        <v>#NAME?</v>
      </c>
      <c r="G184" s="385" t="e">
        <f>tlOutputFBcapTotalCancellationRate_2</f>
        <v>#NAME?</v>
      </c>
      <c r="H184" s="326"/>
      <c r="I184" s="326"/>
      <c r="J184" s="720"/>
      <c r="K184" s="720"/>
      <c r="L184" s="720"/>
      <c r="M184" s="720"/>
    </row>
    <row r="185" spans="2:13">
      <c r="D185" t="str">
        <f>G15</f>
        <v>Nextus</v>
      </c>
      <c r="E185" s="326" t="e">
        <f>tlOutputFBfinPNLRevNew_3</f>
        <v>#NAME?</v>
      </c>
      <c r="F185" s="326" t="e">
        <f>tlOutputFBfinPNLExistSubRev_3</f>
        <v>#NAME?</v>
      </c>
      <c r="G185" s="385" t="e">
        <f>tlOutputFBcapTotalCancellationRate_3</f>
        <v>#NAME?</v>
      </c>
      <c r="H185" s="326"/>
      <c r="I185" s="326"/>
      <c r="J185" s="720"/>
      <c r="K185" s="720"/>
      <c r="L185" s="720"/>
      <c r="M185" s="720"/>
    </row>
    <row r="187" spans="2:13">
      <c r="B187" s="706" t="s">
        <v>1884</v>
      </c>
      <c r="J187" s="720"/>
      <c r="K187" s="720"/>
      <c r="L187" s="720"/>
      <c r="M187" s="720"/>
    </row>
    <row r="188" spans="2:13">
      <c r="C188" s="27" t="s">
        <v>3370</v>
      </c>
      <c r="E188" t="str">
        <f>D22</f>
        <v>People Related</v>
      </c>
      <c r="F188" t="str">
        <f>D23</f>
        <v>Revenue Related</v>
      </c>
      <c r="G188" t="str">
        <f>D24</f>
        <v>Net Outside Services</v>
      </c>
      <c r="H188" t="str">
        <f>D25</f>
        <v>Admin &amp; Infrastructure</v>
      </c>
      <c r="I188" t="str">
        <f>D26</f>
        <v>Other Operating Expenses</v>
      </c>
      <c r="J188" s="720" t="str">
        <f>D27</f>
        <v>Depreciation &amp; Amortization</v>
      </c>
      <c r="K188" s="720" t="str">
        <f>D28</f>
        <v>Operating Profit</v>
      </c>
      <c r="L188" s="720" t="str">
        <f>D29</f>
        <v>Operating Margin</v>
      </c>
      <c r="M188" s="720"/>
    </row>
    <row r="189" spans="2:13">
      <c r="D189" t="str">
        <f>E21</f>
        <v>IIC</v>
      </c>
      <c r="E189" s="609" t="e">
        <f>tlOutputFBfinPNLEmpExp_1</f>
        <v>#NAME?</v>
      </c>
      <c r="F189" s="609" t="e">
        <f>tlOutputFBfinPNLRevExp_1</f>
        <v>#NAME?</v>
      </c>
      <c r="G189" s="609" t="e">
        <f>tlOutputFBfinPNLProdDevExp_1</f>
        <v>#NAME?</v>
      </c>
      <c r="H189" s="609" t="e">
        <f>tlOutputFBfinPNLAdminInfraExp_1</f>
        <v>#NAME?</v>
      </c>
      <c r="I189" s="609" t="e">
        <f>tlOutputFBfinPNLOtherOpExp_1</f>
        <v>#NAME?</v>
      </c>
      <c r="J189" s="609" t="e">
        <f>tlOutputFBfinPNLDeprAmortExp_1</f>
        <v>#NAME?</v>
      </c>
      <c r="K189" s="609" t="e">
        <f>tlOutputFBfinPNLOperatingIncome_1</f>
        <v>#NAME?</v>
      </c>
      <c r="L189" s="699" t="e">
        <f>tlOutputFBfinPNLOperatingMargin_1</f>
        <v>#NAME?</v>
      </c>
      <c r="M189" s="720"/>
    </row>
    <row r="190" spans="2:13">
      <c r="D190" t="str">
        <f>F21</f>
        <v>Bloomfield</v>
      </c>
      <c r="E190" s="609" t="e">
        <f>tlOutputFBfinPNLEmpExp_2</f>
        <v>#NAME?</v>
      </c>
      <c r="F190" s="609" t="e">
        <f>tlOutputFBfinPNLRevExp_2</f>
        <v>#NAME?</v>
      </c>
      <c r="G190" s="609" t="e">
        <f>tlOutputFBfinPNLProdDevExp_2</f>
        <v>#NAME?</v>
      </c>
      <c r="H190" s="609" t="e">
        <f>tlOutputFBfinPNLAdminInfraExp_2</f>
        <v>#NAME?</v>
      </c>
      <c r="I190" s="609" t="e">
        <f>tlOutputFBfinPNLOtherOpExp_2</f>
        <v>#NAME?</v>
      </c>
      <c r="J190" s="609" t="e">
        <f>tlOutputFBfinPNLDeprAmortExp_2</f>
        <v>#NAME?</v>
      </c>
      <c r="K190" s="609" t="e">
        <f>tlOutputFBfinPNLOperatingIncome_2</f>
        <v>#NAME?</v>
      </c>
      <c r="L190" s="699" t="e">
        <f>tlOutputFBfinPNLOperatingMargin_2</f>
        <v>#NAME?</v>
      </c>
      <c r="M190" s="720"/>
    </row>
    <row r="191" spans="2:13">
      <c r="D191" t="str">
        <f>G21</f>
        <v>Nextus</v>
      </c>
      <c r="E191" s="609" t="e">
        <f>tlOutputFBfinPNLEmpExp_3</f>
        <v>#NAME?</v>
      </c>
      <c r="F191" s="609" t="e">
        <f>tlOutputFBfinPNLRevExp_3</f>
        <v>#NAME?</v>
      </c>
      <c r="G191" s="609" t="e">
        <f>tlOutputFBfinPNLProdDevExp_3</f>
        <v>#NAME?</v>
      </c>
      <c r="H191" s="609" t="e">
        <f>tlOutputFBfinPNLAdminInfraExp_3</f>
        <v>#NAME?</v>
      </c>
      <c r="I191" s="609" t="e">
        <f>tlOutputFBfinPNLOtherOpExp_3</f>
        <v>#NAME?</v>
      </c>
      <c r="J191" s="609" t="e">
        <f>tlOutputFBfinPNLDeprAmortExp_3</f>
        <v>#NAME?</v>
      </c>
      <c r="K191" s="609" t="e">
        <f>tlOutputFBfinPNLOperatingIncome_3</f>
        <v>#NAME?</v>
      </c>
      <c r="L191" s="699" t="e">
        <f>tlOutputFBfinPNLOperatingMargin_3</f>
        <v>#NAME?</v>
      </c>
      <c r="M191" s="720"/>
    </row>
    <row r="193" spans="2:15">
      <c r="B193" s="706" t="s">
        <v>2030</v>
      </c>
      <c r="J193" s="720"/>
      <c r="K193" s="720"/>
      <c r="L193" s="720"/>
      <c r="M193" s="720"/>
    </row>
    <row r="194" spans="2:15">
      <c r="C194" s="27" t="s">
        <v>3370</v>
      </c>
      <c r="E194" t="str">
        <f>D32</f>
        <v>Cash OI</v>
      </c>
      <c r="F194" t="str">
        <f>D33</f>
        <v>Cash OI Margin</v>
      </c>
      <c r="J194" s="720"/>
      <c r="K194" s="720"/>
      <c r="L194" s="720"/>
      <c r="M194" s="720"/>
    </row>
    <row r="195" spans="2:15">
      <c r="D195" t="str">
        <f>E31</f>
        <v>IIC</v>
      </c>
      <c r="E195" s="326" t="e">
        <f>tlOutputFBfinCashOI_1</f>
        <v>#NAME?</v>
      </c>
      <c r="F195" s="385" t="e">
        <f>tlOutputFBfinCashOIMargin_1</f>
        <v>#NAME?</v>
      </c>
      <c r="H195" s="326"/>
      <c r="I195" s="326"/>
      <c r="J195" s="720"/>
      <c r="K195" s="720"/>
      <c r="L195" s="720"/>
      <c r="M195" s="720"/>
    </row>
    <row r="196" spans="2:15">
      <c r="D196" t="str">
        <f>F31</f>
        <v>Bloomfield</v>
      </c>
      <c r="E196" s="326" t="e">
        <f>tlOutputFBfinCashOI_2</f>
        <v>#NAME?</v>
      </c>
      <c r="F196" s="385" t="e">
        <f>tlOutputFBfinCashOIMargin_2</f>
        <v>#NAME?</v>
      </c>
      <c r="H196" s="326"/>
      <c r="I196" s="326"/>
      <c r="J196" s="720"/>
      <c r="K196" s="720"/>
      <c r="L196" s="720"/>
      <c r="M196" s="720"/>
    </row>
    <row r="197" spans="2:15">
      <c r="D197" t="str">
        <f>G31</f>
        <v>Nextus</v>
      </c>
      <c r="E197" s="326" t="e">
        <f>tlOutputFBfinCashOI_3</f>
        <v>#NAME?</v>
      </c>
      <c r="F197" s="385" t="e">
        <f>tlOutputFBfinCashOIMargin_3</f>
        <v>#NAME?</v>
      </c>
      <c r="H197" s="326"/>
      <c r="I197" s="326"/>
      <c r="J197" s="720"/>
      <c r="K197" s="720"/>
      <c r="L197" s="720"/>
      <c r="M197" s="720"/>
    </row>
    <row r="199" spans="2:15">
      <c r="B199" s="706" t="s">
        <v>322</v>
      </c>
      <c r="D199" s="565"/>
      <c r="E199" s="713"/>
      <c r="F199" s="713"/>
      <c r="G199" s="713"/>
      <c r="H199" s="713"/>
      <c r="I199" s="713"/>
      <c r="J199" s="719"/>
      <c r="K199" s="719"/>
      <c r="L199" s="719"/>
      <c r="M199" s="719"/>
    </row>
    <row r="200" spans="2:15">
      <c r="C200" s="27" t="s">
        <v>3370</v>
      </c>
      <c r="D200" s="565"/>
      <c r="E200" s="713" t="str">
        <f>D39</f>
        <v>Product Technology</v>
      </c>
      <c r="F200" s="713" t="str">
        <f>D40</f>
        <v>Pricing</v>
      </c>
      <c r="G200" s="713" t="str">
        <f>D41</f>
        <v>Content</v>
      </c>
      <c r="H200" s="713" t="str">
        <f>D42</f>
        <v>Global Presence</v>
      </c>
      <c r="I200" s="713" t="str">
        <f>D43</f>
        <v>SF Coverage</v>
      </c>
      <c r="J200" s="719" t="str">
        <f>D44</f>
        <v>Customer Service</v>
      </c>
      <c r="K200" s="719" t="str">
        <f>D45</f>
        <v>Employee Engagement</v>
      </c>
      <c r="L200" s="719" t="str">
        <f>D46</f>
        <v>Marketing</v>
      </c>
      <c r="M200" s="719" t="str">
        <f>D47</f>
        <v>Data Access</v>
      </c>
      <c r="N200" t="str">
        <f>D48</f>
        <v>Strategic Initiatives</v>
      </c>
      <c r="O200" t="str">
        <f>D49</f>
        <v>Customer Satisfaction</v>
      </c>
    </row>
    <row r="201" spans="2:15">
      <c r="D201" t="str">
        <f>E38</f>
        <v>IIC</v>
      </c>
      <c r="E201" s="713" t="e">
        <f>tlOutputFBCSATDriver1_1</f>
        <v>#NAME?</v>
      </c>
      <c r="F201" s="713" t="e">
        <f>tlOutputFBCSATDriver2_1</f>
        <v>#NAME?</v>
      </c>
      <c r="G201" s="713" t="e">
        <f>tlOutputFBCSATDriver3_1</f>
        <v>#NAME?</v>
      </c>
      <c r="H201" s="713" t="e">
        <f>tlOutputFBCSATDriver4_1</f>
        <v>#NAME?</v>
      </c>
      <c r="I201" s="713" t="e">
        <f>tlOutputFBCSATDriver5_1</f>
        <v>#NAME?</v>
      </c>
      <c r="J201" s="713" t="e">
        <f>tlOutputFBCSATDriver6_1</f>
        <v>#NAME?</v>
      </c>
      <c r="K201" s="713" t="e">
        <f>tlOutputFBCSATDriver7_1</f>
        <v>#NAME?</v>
      </c>
      <c r="L201" s="713" t="e">
        <f>tlOutputFBCSATDriver8_1</f>
        <v>#NAME?</v>
      </c>
      <c r="M201" s="713" t="e">
        <f>tlOutputFBCSATDriver9_1</f>
        <v>#NAME?</v>
      </c>
      <c r="N201" s="713" t="e">
        <f>tlOutputFBCSATDriver10_1</f>
        <v>#NAME?</v>
      </c>
      <c r="O201" s="713" t="e">
        <f>tlOutputFBcapCSAT_1</f>
        <v>#NAME?</v>
      </c>
    </row>
    <row r="202" spans="2:15">
      <c r="D202" t="str">
        <f>F38</f>
        <v>Bloomfield</v>
      </c>
      <c r="E202" s="713" t="e">
        <f>tlOutputFBCSATDriver1_2</f>
        <v>#NAME?</v>
      </c>
      <c r="F202" s="713" t="e">
        <f>tlOutputFBCSATDriver2_2</f>
        <v>#NAME?</v>
      </c>
      <c r="G202" s="713" t="e">
        <f>tlOutputFBCSATDriver3_2</f>
        <v>#NAME?</v>
      </c>
      <c r="H202" s="713" t="e">
        <f>tlOutputFBCSATDriver4_2</f>
        <v>#NAME?</v>
      </c>
      <c r="I202" s="713" t="e">
        <f>tlOutputFBCSATDriver5_2</f>
        <v>#NAME?</v>
      </c>
      <c r="J202" s="713" t="e">
        <f>tlOutputFBCSATDriver6_2</f>
        <v>#NAME?</v>
      </c>
      <c r="K202" s="713" t="e">
        <f>tlOutputFBCSATDriver7_2</f>
        <v>#NAME?</v>
      </c>
      <c r="L202" s="713" t="e">
        <f>tlOutputFBCSATDriver8_2</f>
        <v>#NAME?</v>
      </c>
      <c r="M202" s="713" t="e">
        <f>tlOutputFBCSATDriver9_2</f>
        <v>#NAME?</v>
      </c>
      <c r="N202" s="713" t="e">
        <f>tlOutputFBCSATDriver10_2</f>
        <v>#NAME?</v>
      </c>
      <c r="O202" s="713" t="e">
        <f>tlOutputFBcapCSAT_2</f>
        <v>#NAME?</v>
      </c>
    </row>
    <row r="203" spans="2:15">
      <c r="D203" t="str">
        <f>G38</f>
        <v>Nextus</v>
      </c>
      <c r="E203" s="713" t="e">
        <f>tlOutputFBCSATDriver1_3</f>
        <v>#NAME?</v>
      </c>
      <c r="F203" s="713" t="e">
        <f>tlOutputFBCSATDriver2_3</f>
        <v>#NAME?</v>
      </c>
      <c r="G203" s="713" t="e">
        <f>tlOutputFBCSATDriver3_3</f>
        <v>#NAME?</v>
      </c>
      <c r="H203" s="713" t="e">
        <f>tlOutputFBCSATDriver4_3</f>
        <v>#NAME?</v>
      </c>
      <c r="I203" s="713" t="e">
        <f>tlOutputFBCSATDriver5_3</f>
        <v>#NAME?</v>
      </c>
      <c r="J203" s="713" t="e">
        <f>tlOutputFBCSATDriver6_3</f>
        <v>#NAME?</v>
      </c>
      <c r="K203" s="713" t="e">
        <f>tlOutputFBCSATDriver7_3</f>
        <v>#NAME?</v>
      </c>
      <c r="L203" s="713" t="e">
        <f>tlOutputFBCSATDriver8_3</f>
        <v>#NAME?</v>
      </c>
      <c r="M203" s="713" t="e">
        <f>tlOutputFBCSATDriver9_3</f>
        <v>#NAME?</v>
      </c>
      <c r="N203" s="713" t="e">
        <f>tlOutputFBCSATDriver10_3</f>
        <v>#NAME?</v>
      </c>
      <c r="O203" s="713" t="e">
        <f>tlOutputFBcapCSAT_3</f>
        <v>#NAME?</v>
      </c>
    </row>
    <row r="205" spans="2:15">
      <c r="B205" s="706" t="s">
        <v>2170</v>
      </c>
      <c r="D205" s="565"/>
      <c r="E205" s="713"/>
      <c r="F205" s="713"/>
      <c r="G205" s="713"/>
      <c r="H205" s="713"/>
      <c r="I205" s="713"/>
      <c r="J205" s="719"/>
      <c r="K205" s="719"/>
      <c r="L205" s="719"/>
      <c r="M205" s="719"/>
    </row>
    <row r="206" spans="2:15">
      <c r="C206" s="27" t="s">
        <v>3370</v>
      </c>
      <c r="D206" s="565"/>
      <c r="E206" s="713" t="str">
        <f>D52</f>
        <v>Revenue Performance</v>
      </c>
      <c r="F206" s="713" t="str">
        <f>D53</f>
        <v>Profit Performance</v>
      </c>
      <c r="G206" s="713" t="str">
        <f>D54</f>
        <v>Training</v>
      </c>
      <c r="H206" s="713" t="str">
        <f>D55</f>
        <v>Headcount</v>
      </c>
      <c r="I206" s="713" t="str">
        <f>D56</f>
        <v>Marketing</v>
      </c>
      <c r="J206" s="719" t="str">
        <f>D57</f>
        <v>Strategic Initiatives</v>
      </c>
      <c r="K206" s="719" t="str">
        <f>D58</f>
        <v>Employee Satisfaction</v>
      </c>
      <c r="L206" s="719"/>
      <c r="M206" s="719"/>
    </row>
    <row r="207" spans="2:15">
      <c r="D207" s="565" t="str">
        <f>E51</f>
        <v>IIC</v>
      </c>
      <c r="E207" s="713" t="e">
        <f>tlOutputFBESATDriver1_1</f>
        <v>#NAME?</v>
      </c>
      <c r="F207" s="713" t="e">
        <f>tlOutputFBESATDriver2_1</f>
        <v>#NAME?</v>
      </c>
      <c r="G207" s="713" t="e">
        <f>tlOutputFBESATDriver3_1</f>
        <v>#NAME?</v>
      </c>
      <c r="H207" s="713" t="e">
        <f>tlOutputFBESATDriver4_1</f>
        <v>#NAME?</v>
      </c>
      <c r="I207" s="713" t="e">
        <f>tlOutputFBESATDriver5_1</f>
        <v>#NAME?</v>
      </c>
      <c r="J207" s="713" t="e">
        <f>tlOutputFBESATDriver6_1</f>
        <v>#NAME?</v>
      </c>
      <c r="K207" s="713" t="e">
        <f>tlOutputFBcapESAT_1</f>
        <v>#NAME?</v>
      </c>
      <c r="L207" s="719"/>
      <c r="M207" s="719"/>
    </row>
    <row r="208" spans="2:15">
      <c r="D208" s="565" t="str">
        <f>F51</f>
        <v>Bloomfield</v>
      </c>
      <c r="E208" s="713" t="e">
        <f>tlOutputFBESATDriver1_2</f>
        <v>#NAME?</v>
      </c>
      <c r="F208" s="713" t="e">
        <f>tlOutputFBESATDriver2_2</f>
        <v>#NAME?</v>
      </c>
      <c r="G208" s="713" t="e">
        <f>tlOutputFBESATDriver3_2</f>
        <v>#NAME?</v>
      </c>
      <c r="H208" s="713" t="e">
        <f>tlOutputFBESATDriver4_2</f>
        <v>#NAME?</v>
      </c>
      <c r="I208" s="713" t="e">
        <f>tlOutputFBESATDriver5_2</f>
        <v>#NAME?</v>
      </c>
      <c r="J208" s="713" t="e">
        <f>tlOutputFBESATDriver6_2</f>
        <v>#NAME?</v>
      </c>
      <c r="K208" s="713" t="e">
        <f>tlOutputFBcapESAT_2</f>
        <v>#NAME?</v>
      </c>
      <c r="L208" s="719"/>
      <c r="M208" s="719"/>
    </row>
    <row r="209" spans="2:13">
      <c r="D209" s="565" t="str">
        <f>G51</f>
        <v>Nextus</v>
      </c>
      <c r="E209" s="713" t="e">
        <f>tlOutputFBESATDriver1_3</f>
        <v>#NAME?</v>
      </c>
      <c r="F209" s="713" t="e">
        <f>tlOutputFBESATDriver2_3</f>
        <v>#NAME?</v>
      </c>
      <c r="G209" s="713" t="e">
        <f>tlOutputFBESATDriver3_3</f>
        <v>#NAME?</v>
      </c>
      <c r="H209" s="713" t="e">
        <f>tlOutputFBESATDriver4_3</f>
        <v>#NAME?</v>
      </c>
      <c r="I209" s="713" t="e">
        <f>tlOutputFBESATDriver5_3</f>
        <v>#NAME?</v>
      </c>
      <c r="J209" s="713" t="e">
        <f>tlOutputFBESATDriver6_3</f>
        <v>#NAME?</v>
      </c>
      <c r="K209" s="713" t="e">
        <f>tlOutputFBcapESAT_3</f>
        <v>#NAME?</v>
      </c>
      <c r="L209" s="719"/>
      <c r="M209" s="719"/>
    </row>
    <row r="211" spans="2:13">
      <c r="B211" s="59" t="str">
        <f>DataNameProd2 &amp; " Voice of the Customer"</f>
        <v>Transform Voice of the Customer</v>
      </c>
      <c r="C211" s="710"/>
      <c r="D211" s="710"/>
      <c r="E211" s="712"/>
      <c r="F211" s="712"/>
      <c r="G211" s="712"/>
      <c r="H211" s="712"/>
      <c r="I211" s="712"/>
      <c r="J211" s="725"/>
      <c r="K211" s="725"/>
      <c r="L211" s="725"/>
      <c r="M211" s="725"/>
    </row>
    <row r="212" spans="2:13">
      <c r="B212" s="710"/>
      <c r="C212" s="27" t="s">
        <v>3370</v>
      </c>
      <c r="D212" s="710"/>
      <c r="E212" s="712" t="str">
        <f>D63</f>
        <v>Product Technology</v>
      </c>
      <c r="F212" s="712" t="str">
        <f>D64</f>
        <v>Price</v>
      </c>
      <c r="G212" s="712" t="str">
        <f>D65</f>
        <v>Content</v>
      </c>
      <c r="H212" s="712" t="str">
        <f>D66</f>
        <v>Sales Force</v>
      </c>
      <c r="I212" s="712" t="str">
        <f>D67</f>
        <v>Customer Service</v>
      </c>
      <c r="J212" s="725" t="str">
        <f>D68</f>
        <v>Marketing</v>
      </c>
      <c r="K212" s="725"/>
      <c r="L212" s="725"/>
      <c r="M212" s="725"/>
    </row>
    <row r="213" spans="2:13">
      <c r="B213" s="710"/>
      <c r="C213" s="710"/>
      <c r="D213" s="710" t="str">
        <f>E62</f>
        <v>IIC</v>
      </c>
      <c r="E213" s="709" t="e">
        <f>tlOutputFBProd2VOCDriver1_1</f>
        <v>#NAME?</v>
      </c>
      <c r="F213" s="709" t="e">
        <f>tlOutputFBProd2VOCDriver2_1</f>
        <v>#NAME?</v>
      </c>
      <c r="G213" s="709" t="e">
        <f>tlOutputFBProd2VOCDriver3_1</f>
        <v>#NAME?</v>
      </c>
      <c r="H213" s="709" t="e">
        <f>tlOutputFBProd2VOCDriver4_1</f>
        <v>#NAME?</v>
      </c>
      <c r="I213" s="709" t="e">
        <f>tlOutputFBProd2VOCDriver5_1</f>
        <v>#NAME?</v>
      </c>
      <c r="J213" s="709" t="e">
        <f>tlOutputFBProd2VOCDriver6_1</f>
        <v>#NAME?</v>
      </c>
      <c r="K213" s="725"/>
      <c r="L213" s="725"/>
      <c r="M213" s="725"/>
    </row>
    <row r="214" spans="2:13">
      <c r="B214" s="710"/>
      <c r="C214" s="710"/>
      <c r="D214" s="710" t="str">
        <f>F62</f>
        <v>Bloomfield</v>
      </c>
      <c r="E214" s="709" t="e">
        <f>tlOutputFBProd2VOCDriver1_2</f>
        <v>#NAME?</v>
      </c>
      <c r="F214" s="709" t="e">
        <f>tlOutputFBProd2VOCDriver2_2</f>
        <v>#NAME?</v>
      </c>
      <c r="G214" s="709" t="e">
        <f>tlOutputFBProd2VOCDriver3_2</f>
        <v>#NAME?</v>
      </c>
      <c r="H214" s="709" t="e">
        <f>tlOutputFBProd2VOCDriver4_2</f>
        <v>#NAME?</v>
      </c>
      <c r="I214" s="709" t="e">
        <f>tlOutputFBProd2VOCDriver5_2</f>
        <v>#NAME?</v>
      </c>
      <c r="J214" s="709" t="e">
        <f>tlOutputFBProd2VOCDriver6_2</f>
        <v>#NAME?</v>
      </c>
      <c r="K214" s="725"/>
      <c r="L214" s="725"/>
      <c r="M214" s="725"/>
    </row>
    <row r="215" spans="2:13">
      <c r="B215" s="710"/>
      <c r="C215" s="710"/>
      <c r="D215" s="710" t="str">
        <f>G62</f>
        <v>Nextus</v>
      </c>
      <c r="E215" s="709" t="e">
        <f>tlOutputFBProd2VOCDriver1_3</f>
        <v>#NAME?</v>
      </c>
      <c r="F215" s="709" t="e">
        <f>tlOutputFBProd2VOCDriver2_3</f>
        <v>#NAME?</v>
      </c>
      <c r="G215" s="709" t="e">
        <f>tlOutputFBProd2VOCDriver3_3</f>
        <v>#NAME?</v>
      </c>
      <c r="H215" s="709" t="e">
        <f>tlOutputFBProd2VOCDriver4_3</f>
        <v>#NAME?</v>
      </c>
      <c r="I215" s="709" t="e">
        <f>tlOutputFBProd2VOCDriver5_3</f>
        <v>#NAME?</v>
      </c>
      <c r="J215" s="709" t="e">
        <f>tlOutputFBProd2VOCDriver6_3</f>
        <v>#NAME?</v>
      </c>
      <c r="K215" s="725"/>
      <c r="L215" s="725"/>
      <c r="M215" s="725"/>
    </row>
    <row r="216" spans="2:13">
      <c r="B216" s="710"/>
      <c r="C216" s="710"/>
      <c r="D216" s="710"/>
      <c r="E216" s="710">
        <f>B63</f>
        <v>1</v>
      </c>
      <c r="F216" s="710">
        <f>B64</f>
        <v>2</v>
      </c>
      <c r="G216" s="710">
        <f>B65</f>
        <v>3</v>
      </c>
      <c r="H216" s="710">
        <f>B66</f>
        <v>4</v>
      </c>
      <c r="I216" s="710">
        <f>B67</f>
        <v>5</v>
      </c>
      <c r="J216" s="710">
        <f>B68</f>
        <v>6</v>
      </c>
      <c r="K216" s="725"/>
      <c r="L216" s="725"/>
      <c r="M216" s="725"/>
    </row>
    <row r="217" spans="2:13">
      <c r="B217" s="710"/>
      <c r="C217" s="710"/>
      <c r="D217" s="710"/>
      <c r="E217" s="710">
        <f>C63</f>
        <v>10</v>
      </c>
      <c r="F217" s="710">
        <f>C64</f>
        <v>9</v>
      </c>
      <c r="G217" s="710">
        <f>C65</f>
        <v>8</v>
      </c>
      <c r="H217" s="710">
        <f>C66</f>
        <v>7</v>
      </c>
      <c r="I217" s="710">
        <f>C67</f>
        <v>6</v>
      </c>
      <c r="J217" s="710">
        <f>C68</f>
        <v>5</v>
      </c>
      <c r="K217" s="725"/>
      <c r="L217" s="725"/>
      <c r="M217" s="725"/>
    </row>
    <row r="219" spans="2:13">
      <c r="B219" s="706" t="s">
        <v>2238</v>
      </c>
      <c r="J219" s="720"/>
      <c r="K219" s="720"/>
      <c r="L219" s="720"/>
      <c r="M219" s="720"/>
    </row>
    <row r="220" spans="2:13">
      <c r="C220" s="27" t="s">
        <v>3370</v>
      </c>
      <c r="E220" t="str">
        <f>D73</f>
        <v>Year 0</v>
      </c>
      <c r="F220" t="str">
        <f>D74</f>
        <v>Year 1</v>
      </c>
      <c r="G220" t="str">
        <f>D75</f>
        <v>Year 2</v>
      </c>
      <c r="H220" t="str">
        <f>D76</f>
        <v>Year 3</v>
      </c>
      <c r="J220" s="720"/>
      <c r="K220" s="720"/>
      <c r="L220" s="720"/>
      <c r="M220" s="720"/>
    </row>
    <row r="221" spans="2:13">
      <c r="D221" t="str">
        <f>E72</f>
        <v>IIC</v>
      </c>
      <c r="E221" s="326" t="e">
        <f>tlOutputFBcbalTotalRevY0_1</f>
        <v>#NAME?</v>
      </c>
      <c r="F221" s="326" t="e">
        <f>tlOutputFBcbalTotalRevY1_1</f>
        <v>#NAME?</v>
      </c>
      <c r="G221" s="326" t="e">
        <f>tlOutputFBcbalTotalRevY2_1</f>
        <v>#NAME?</v>
      </c>
      <c r="H221" s="326" t="e">
        <f>tlOutputFBcbalTotalRevY3_1</f>
        <v>#NAME?</v>
      </c>
      <c r="I221" s="326"/>
      <c r="J221" s="720"/>
      <c r="K221" s="720"/>
      <c r="L221" s="720"/>
      <c r="M221" s="720"/>
    </row>
    <row r="222" spans="2:13">
      <c r="D222" t="str">
        <f>F72</f>
        <v>Bloomfield</v>
      </c>
      <c r="E222" s="326" t="e">
        <f>tlOutputFBcbalTotalRevY0_2</f>
        <v>#NAME?</v>
      </c>
      <c r="F222" s="326" t="e">
        <f>tlOutputFBcbalTotalRevY1_2</f>
        <v>#NAME?</v>
      </c>
      <c r="G222" s="326" t="e">
        <f>tlOutputFBcbalTotalRevY2_2</f>
        <v>#NAME?</v>
      </c>
      <c r="H222" s="326" t="e">
        <f>tlOutputFBcbalTotalRevY3_2</f>
        <v>#NAME?</v>
      </c>
      <c r="I222" s="326"/>
      <c r="J222" s="720"/>
      <c r="K222" s="720"/>
      <c r="L222" s="720"/>
      <c r="M222" s="720"/>
    </row>
    <row r="223" spans="2:13">
      <c r="D223" t="str">
        <f>G72</f>
        <v>Nextus</v>
      </c>
      <c r="E223" s="326" t="e">
        <f>tlOutputFBcbalTotalRevY0_3</f>
        <v>#NAME?</v>
      </c>
      <c r="F223" s="326" t="e">
        <f>tlOutputFBcbalTotalRevY1_3</f>
        <v>#NAME?</v>
      </c>
      <c r="G223" s="326" t="e">
        <f>tlOutputFBcbalTotalRevY2_3</f>
        <v>#NAME?</v>
      </c>
      <c r="H223" s="326" t="e">
        <f>tlOutputFBcbalTotalRevY3_3</f>
        <v>#NAME?</v>
      </c>
      <c r="I223" s="326"/>
      <c r="J223" s="720"/>
      <c r="K223" s="720"/>
      <c r="L223" s="720"/>
      <c r="M223" s="720"/>
    </row>
    <row r="225" spans="2:13">
      <c r="B225" s="706" t="s">
        <v>2239</v>
      </c>
      <c r="D225" s="565"/>
      <c r="E225" s="385"/>
      <c r="F225" s="385"/>
      <c r="G225" s="385"/>
      <c r="H225" s="385"/>
      <c r="I225" s="385"/>
      <c r="J225" s="719"/>
      <c r="K225" s="719"/>
      <c r="L225" s="719"/>
      <c r="M225" s="719"/>
    </row>
    <row r="226" spans="2:13">
      <c r="C226" s="27" t="s">
        <v>3370</v>
      </c>
      <c r="D226" s="565"/>
      <c r="E226" s="385" t="str">
        <f>D79</f>
        <v>Year 0</v>
      </c>
      <c r="F226" s="385" t="str">
        <f>D80</f>
        <v>Year 1</v>
      </c>
      <c r="G226" s="385" t="str">
        <f>D81</f>
        <v>Year 2</v>
      </c>
      <c r="H226" s="385" t="str">
        <f>D82</f>
        <v>Year 3</v>
      </c>
      <c r="I226" s="385"/>
      <c r="J226" s="719"/>
      <c r="K226" s="719"/>
      <c r="L226" s="719"/>
      <c r="M226" s="719"/>
    </row>
    <row r="227" spans="2:13">
      <c r="D227" s="565" t="str">
        <f>E78</f>
        <v>IIC</v>
      </c>
      <c r="E227" s="385" t="e">
        <f>tlOutputFBcbalOperatingMarginY0_1</f>
        <v>#NAME?</v>
      </c>
      <c r="F227" s="385" t="e">
        <f>tlOutputFBcbalOperatingMarginY1_1</f>
        <v>#NAME?</v>
      </c>
      <c r="G227" s="385" t="e">
        <f>tlOutputFBcbalOperatingMarginY2_1</f>
        <v>#NAME?</v>
      </c>
      <c r="H227" s="385" t="e">
        <f>tlOutputFBcbalOperatingMarginY3_1</f>
        <v>#NAME?</v>
      </c>
      <c r="I227" s="385"/>
      <c r="J227" s="719"/>
      <c r="K227" s="719"/>
      <c r="L227" s="719"/>
      <c r="M227" s="719"/>
    </row>
    <row r="228" spans="2:13">
      <c r="D228" s="565" t="str">
        <f>F78</f>
        <v>Bloomfield</v>
      </c>
      <c r="E228" s="385" t="e">
        <f>tlOutputFBcbalOperatingMarginY0_2</f>
        <v>#NAME?</v>
      </c>
      <c r="F228" s="385" t="e">
        <f>tlOutputFBcbalOperatingMarginY1_2</f>
        <v>#NAME?</v>
      </c>
      <c r="G228" s="385" t="e">
        <f>tlOutputFBcbalOperatingMarginY2_2</f>
        <v>#NAME?</v>
      </c>
      <c r="H228" s="385" t="e">
        <f>tlOutputFBcbalOperatingMarginY3_2</f>
        <v>#NAME?</v>
      </c>
      <c r="I228" s="385"/>
      <c r="J228" s="719"/>
      <c r="K228" s="719"/>
      <c r="L228" s="719"/>
      <c r="M228" s="719"/>
    </row>
    <row r="229" spans="2:13">
      <c r="D229" s="565" t="str">
        <f>G78</f>
        <v>Nextus</v>
      </c>
      <c r="E229" s="385" t="e">
        <f>tlOutputFBcbalOperatingMarginY0_3</f>
        <v>#NAME?</v>
      </c>
      <c r="F229" s="385" t="e">
        <f>tlOutputFBcbalOperatingMarginY1_3</f>
        <v>#NAME?</v>
      </c>
      <c r="G229" s="385" t="e">
        <f>tlOutputFBcbalOperatingMarginY2_3</f>
        <v>#NAME?</v>
      </c>
      <c r="H229" s="385" t="e">
        <f>tlOutputFBcbalOperatingMarginY3_3</f>
        <v>#NAME?</v>
      </c>
      <c r="I229" s="385"/>
      <c r="J229" s="719"/>
      <c r="K229" s="719"/>
      <c r="L229" s="719"/>
      <c r="M229" s="719"/>
    </row>
    <row r="231" spans="2:13">
      <c r="B231" s="706" t="s">
        <v>2240</v>
      </c>
      <c r="J231" s="720"/>
      <c r="K231" s="720"/>
      <c r="L231" s="720"/>
      <c r="M231" s="720"/>
    </row>
    <row r="232" spans="2:13">
      <c r="C232" s="27" t="s">
        <v>3370</v>
      </c>
      <c r="E232" t="str">
        <f>D85</f>
        <v>Year 0</v>
      </c>
      <c r="F232" t="str">
        <f>D86</f>
        <v>Year 1</v>
      </c>
      <c r="G232" t="str">
        <f>D87</f>
        <v>Year 2</v>
      </c>
      <c r="H232" t="str">
        <f>D88</f>
        <v>Year 3</v>
      </c>
      <c r="J232" s="720"/>
      <c r="K232" s="720"/>
      <c r="L232" s="720"/>
      <c r="M232" s="720"/>
    </row>
    <row r="233" spans="2:13">
      <c r="D233" t="str">
        <f>E84</f>
        <v>IIC</v>
      </c>
      <c r="E233" s="326" t="e">
        <f>tlOutputFBcbalCashOIY0_1</f>
        <v>#NAME?</v>
      </c>
      <c r="F233" s="326" t="e">
        <f>tlOutputFBcbalCashOIY1_1</f>
        <v>#NAME?</v>
      </c>
      <c r="G233" s="326" t="e">
        <f>tlOutputFBcbalCashOIY2_1</f>
        <v>#NAME?</v>
      </c>
      <c r="H233" s="326" t="e">
        <f>tlOutputFBcbalCashOIY3_1</f>
        <v>#NAME?</v>
      </c>
      <c r="I233" s="326"/>
      <c r="J233" s="720"/>
      <c r="K233" s="720"/>
      <c r="L233" s="720"/>
      <c r="M233" s="720"/>
    </row>
    <row r="234" spans="2:13">
      <c r="D234" t="str">
        <f>F84</f>
        <v>Bloomfield</v>
      </c>
      <c r="E234" s="326" t="e">
        <f>tlOutputFBcbalCashOIY0_2</f>
        <v>#NAME?</v>
      </c>
      <c r="F234" s="326" t="e">
        <f>tlOutputFBcbalCashOIY1_2</f>
        <v>#NAME?</v>
      </c>
      <c r="G234" s="326" t="e">
        <f>tlOutputFBcbalCashOIY2_2</f>
        <v>#NAME?</v>
      </c>
      <c r="H234" s="326" t="e">
        <f>tlOutputFBcbalCashOIY3_2</f>
        <v>#NAME?</v>
      </c>
      <c r="I234" s="326"/>
      <c r="J234" s="720"/>
      <c r="K234" s="720"/>
      <c r="L234" s="720"/>
      <c r="M234" s="720"/>
    </row>
    <row r="235" spans="2:13">
      <c r="D235" t="str">
        <f>G84</f>
        <v>Nextus</v>
      </c>
      <c r="E235" s="326" t="e">
        <f>tlOutputFBcbalCashOIY0_3</f>
        <v>#NAME?</v>
      </c>
      <c r="F235" s="326" t="e">
        <f>tlOutputFBcbalCashOIY1_3</f>
        <v>#NAME?</v>
      </c>
      <c r="G235" s="326" t="e">
        <f>tlOutputFBcbalCashOIY2_3</f>
        <v>#NAME?</v>
      </c>
      <c r="H235" s="326" t="e">
        <f>tlOutputFBcbalCashOIY3_3</f>
        <v>#NAME?</v>
      </c>
      <c r="I235" s="326"/>
      <c r="J235" s="720"/>
      <c r="K235" s="720"/>
      <c r="L235" s="720"/>
      <c r="M235" s="720"/>
    </row>
    <row r="237" spans="2:13">
      <c r="B237" s="706" t="s">
        <v>2241</v>
      </c>
      <c r="J237" s="720"/>
      <c r="K237" s="720"/>
      <c r="L237" s="720"/>
      <c r="M237" s="720"/>
    </row>
    <row r="238" spans="2:13">
      <c r="C238" s="27" t="s">
        <v>3370</v>
      </c>
      <c r="E238" t="str">
        <f>D91</f>
        <v>Year 0</v>
      </c>
      <c r="F238" t="str">
        <f>D92</f>
        <v>Year 1</v>
      </c>
      <c r="G238" t="str">
        <f>D93</f>
        <v>Year 2</v>
      </c>
      <c r="H238" t="str">
        <f>D94</f>
        <v>Year 3</v>
      </c>
      <c r="J238" s="720"/>
      <c r="K238" s="720"/>
      <c r="L238" s="720"/>
      <c r="M238" s="720"/>
    </row>
    <row r="239" spans="2:13">
      <c r="D239" t="str">
        <f>E90</f>
        <v>IIC</v>
      </c>
      <c r="E239" s="385" t="e">
        <f>tlOutputFBcbalESATY0_1</f>
        <v>#NAME?</v>
      </c>
      <c r="F239" s="385" t="e">
        <f>tlOutputFBcbalESATY1_1</f>
        <v>#NAME?</v>
      </c>
      <c r="G239" s="385" t="e">
        <f>tlOutputFBcbalESATY2_1</f>
        <v>#NAME?</v>
      </c>
      <c r="H239" s="385" t="e">
        <f>tlOutputFBcbalESATY3_1</f>
        <v>#NAME?</v>
      </c>
      <c r="I239" s="385"/>
      <c r="J239" s="720"/>
      <c r="K239" s="720"/>
      <c r="L239" s="720"/>
      <c r="M239" s="720"/>
    </row>
    <row r="240" spans="2:13">
      <c r="D240" t="str">
        <f>F90</f>
        <v>Bloomfield</v>
      </c>
      <c r="E240" s="385" t="e">
        <f>tlOutputFBcbalESATY0_2</f>
        <v>#NAME?</v>
      </c>
      <c r="F240" s="385" t="e">
        <f>tlOutputFBcbalESATY1_2</f>
        <v>#NAME?</v>
      </c>
      <c r="G240" s="385" t="e">
        <f>tlOutputFBcbalESATY2_2</f>
        <v>#NAME?</v>
      </c>
      <c r="H240" s="385" t="e">
        <f>tlOutputFBcbalESATY3_2</f>
        <v>#NAME?</v>
      </c>
      <c r="I240" s="385"/>
      <c r="J240" s="720"/>
      <c r="K240" s="720"/>
      <c r="L240" s="720"/>
      <c r="M240" s="720"/>
    </row>
    <row r="241" spans="2:13">
      <c r="D241" t="str">
        <f>G90</f>
        <v>Nextus</v>
      </c>
      <c r="E241" s="385" t="e">
        <f>tlOutputFBcbalESATY0_3</f>
        <v>#NAME?</v>
      </c>
      <c r="F241" s="385" t="e">
        <f>tlOutputFBcbalESATY1_3</f>
        <v>#NAME?</v>
      </c>
      <c r="G241" s="385" t="e">
        <f>tlOutputFBcbalESATY2_3</f>
        <v>#NAME?</v>
      </c>
      <c r="H241" s="385" t="e">
        <f>tlOutputFBcbalESATY3_3</f>
        <v>#NAME?</v>
      </c>
      <c r="I241" s="385"/>
      <c r="J241" s="720"/>
      <c r="K241" s="720"/>
      <c r="L241" s="720"/>
      <c r="M241" s="720"/>
    </row>
    <row r="243" spans="2:13">
      <c r="B243" s="706" t="s">
        <v>2242</v>
      </c>
      <c r="D243" s="565"/>
      <c r="E243" s="385"/>
      <c r="F243" s="385"/>
      <c r="G243" s="385"/>
      <c r="H243" s="385"/>
      <c r="I243" s="385"/>
      <c r="J243" s="719"/>
      <c r="K243" s="719"/>
      <c r="L243" s="719"/>
      <c r="M243" s="719"/>
    </row>
    <row r="244" spans="2:13">
      <c r="C244" s="27" t="s">
        <v>3370</v>
      </c>
      <c r="D244" s="565"/>
      <c r="E244" s="385" t="str">
        <f>D97</f>
        <v>Year 0</v>
      </c>
      <c r="F244" s="385" t="str">
        <f>D98</f>
        <v>Year 1</v>
      </c>
      <c r="G244" s="385" t="str">
        <f>D99</f>
        <v>Year 2</v>
      </c>
      <c r="H244" s="385" t="str">
        <f>D100</f>
        <v>Year 3</v>
      </c>
      <c r="I244" s="385"/>
      <c r="J244" s="719"/>
      <c r="K244" s="719"/>
      <c r="L244" s="719"/>
      <c r="M244" s="719"/>
    </row>
    <row r="245" spans="2:13">
      <c r="D245" s="565" t="str">
        <f>E96</f>
        <v>IIC</v>
      </c>
      <c r="E245" s="385" t="e">
        <f>tlOutputFBcbalCSATY0_1</f>
        <v>#NAME?</v>
      </c>
      <c r="F245" s="385" t="e">
        <f>tlOutputFBcbalCSATY1_1</f>
        <v>#NAME?</v>
      </c>
      <c r="G245" s="385" t="e">
        <f>tlOutputFBcbalCSATY2_1</f>
        <v>#NAME?</v>
      </c>
      <c r="H245" s="385" t="e">
        <f>tlOutputFBcbalCSATY3_1</f>
        <v>#NAME?</v>
      </c>
      <c r="I245" s="385"/>
      <c r="J245" s="719"/>
      <c r="K245" s="719"/>
      <c r="L245" s="719"/>
      <c r="M245" s="719"/>
    </row>
    <row r="246" spans="2:13">
      <c r="D246" s="565" t="str">
        <f>F96</f>
        <v>Bloomfield</v>
      </c>
      <c r="E246" s="385" t="e">
        <f>tlOutputFBcbalCSATY0_2</f>
        <v>#NAME?</v>
      </c>
      <c r="F246" s="385" t="e">
        <f>tlOutputFBcbalCSATY1_2</f>
        <v>#NAME?</v>
      </c>
      <c r="G246" s="385" t="e">
        <f>tlOutputFBcbalCSATY2_2</f>
        <v>#NAME?</v>
      </c>
      <c r="H246" s="385" t="e">
        <f>tlOutputFBcbalCSATY3_2</f>
        <v>#NAME?</v>
      </c>
      <c r="I246" s="385"/>
      <c r="J246" s="719"/>
      <c r="K246" s="719"/>
      <c r="L246" s="719"/>
      <c r="M246" s="719"/>
    </row>
    <row r="247" spans="2:13">
      <c r="D247" s="565" t="str">
        <f>G96</f>
        <v>Nextus</v>
      </c>
      <c r="E247" s="385" t="e">
        <f>tlOutputFBcbalCSATY0_3</f>
        <v>#NAME?</v>
      </c>
      <c r="F247" s="385" t="e">
        <f>tlOutputFBcbalCSATY1_3</f>
        <v>#NAME?</v>
      </c>
      <c r="G247" s="385" t="e">
        <f>tlOutputFBcbalCSATY2_3</f>
        <v>#NAME?</v>
      </c>
      <c r="H247" s="385" t="e">
        <f>tlOutputFBcbalCSATY3_3</f>
        <v>#NAME?</v>
      </c>
      <c r="I247" s="385"/>
      <c r="J247" s="719"/>
      <c r="K247" s="719"/>
      <c r="L247" s="719"/>
      <c r="M247" s="719"/>
    </row>
    <row r="250" spans="2:13" ht="12" thickBot="1">
      <c r="B250" s="132"/>
      <c r="C250" s="132"/>
      <c r="D250" s="132"/>
      <c r="E250" s="132"/>
      <c r="F250" s="132"/>
      <c r="G250" s="132"/>
      <c r="H250" s="132"/>
      <c r="I250" s="132"/>
    </row>
    <row r="251" spans="2:13">
      <c r="E251" s="3" t="s">
        <v>3731</v>
      </c>
      <c r="H251" s="3"/>
      <c r="I251" s="3"/>
    </row>
  </sheetData>
  <phoneticPr fontId="0" type="noConversion"/>
  <pageMargins left="0.5" right="0.5" top="0.5" bottom="0.5"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feedbackTS" enableFormatConditionsCalculation="0">
    <tabColor indexed="60"/>
  </sheetPr>
  <dimension ref="A1:J52"/>
  <sheetViews>
    <sheetView workbookViewId="0">
      <pane ySplit="1" topLeftCell="A2" activePane="bottomLeft" state="frozen"/>
      <selection activeCell="E3" sqref="E3:I248"/>
      <selection pane="bottomLeft" activeCell="E3" sqref="E3:G52"/>
    </sheetView>
  </sheetViews>
  <sheetFormatPr defaultRowHeight="11.25"/>
  <cols>
    <col min="1" max="1" width="11.6640625" style="387" customWidth="1"/>
    <col min="2" max="2" width="22.6640625" style="387" customWidth="1"/>
    <col min="3" max="4" width="9.33203125" style="387"/>
    <col min="5" max="7" width="15" style="387" customWidth="1"/>
    <col min="8" max="8" width="12" style="387" customWidth="1"/>
    <col min="9" max="16384" width="9.33203125" style="387"/>
  </cols>
  <sheetData>
    <row r="1" spans="1:10" s="386" customFormat="1" ht="15.75">
      <c r="A1" s="386" t="s">
        <v>985</v>
      </c>
      <c r="E1" s="386" t="s">
        <v>1231</v>
      </c>
      <c r="F1" s="386" t="s">
        <v>1232</v>
      </c>
      <c r="G1" s="386" t="s">
        <v>1233</v>
      </c>
    </row>
    <row r="2" spans="1:10">
      <c r="B2" s="387" t="s">
        <v>605</v>
      </c>
      <c r="J2" s="387" t="s">
        <v>1295</v>
      </c>
    </row>
    <row r="3" spans="1:10">
      <c r="E3" s="388"/>
      <c r="F3" s="388"/>
      <c r="G3" s="388"/>
      <c r="H3" s="387" t="s">
        <v>1299</v>
      </c>
      <c r="J3" s="388"/>
    </row>
    <row r="4" spans="1:10">
      <c r="J4" s="388"/>
    </row>
    <row r="5" spans="1:10" ht="12" thickBot="1">
      <c r="D5" s="71" t="s">
        <v>135</v>
      </c>
      <c r="E5" s="555"/>
      <c r="F5" s="555"/>
      <c r="G5" s="555"/>
      <c r="J5" s="388"/>
    </row>
    <row r="6" spans="1:10">
      <c r="A6" s="390" t="s">
        <v>1109</v>
      </c>
      <c r="B6" s="391" t="s">
        <v>1108</v>
      </c>
      <c r="E6" s="387" t="str">
        <f>decTeamName</f>
        <v>IIC</v>
      </c>
      <c r="F6" s="387" t="str">
        <f>decTeamName</f>
        <v>Bloomfield</v>
      </c>
      <c r="G6" s="387" t="str">
        <f>decTeamName</f>
        <v>Nextus</v>
      </c>
      <c r="J6" s="388" t="e">
        <f>decTeamName</f>
        <v>#VALUE!</v>
      </c>
    </row>
    <row r="7" spans="1:10">
      <c r="A7" s="392" t="s">
        <v>999</v>
      </c>
      <c r="B7" s="393" t="str">
        <f>"Gross Margin " &amp;DataNameProd1</f>
        <v>Gross Margin Growth</v>
      </c>
      <c r="D7" s="389">
        <v>0</v>
      </c>
      <c r="E7" s="555">
        <f t="shared" ref="E7:G11" si="0">IF(xxYear=$D7,E$5,NA())</f>
        <v>0</v>
      </c>
      <c r="F7" s="555">
        <f t="shared" si="0"/>
        <v>0</v>
      </c>
      <c r="G7" s="555">
        <f t="shared" si="0"/>
        <v>0</v>
      </c>
      <c r="H7" s="387" t="s">
        <v>316</v>
      </c>
      <c r="J7" s="388">
        <f>IF(xxYear=$D7,J$5,NA())</f>
        <v>0</v>
      </c>
    </row>
    <row r="8" spans="1:10">
      <c r="A8" s="392" t="s">
        <v>1110</v>
      </c>
      <c r="B8" s="393"/>
      <c r="D8" s="389">
        <v>1</v>
      </c>
      <c r="E8" s="555" t="e">
        <f t="shared" si="0"/>
        <v>#N/A</v>
      </c>
      <c r="F8" s="555" t="e">
        <f t="shared" si="0"/>
        <v>#N/A</v>
      </c>
      <c r="G8" s="555" t="e">
        <f t="shared" si="0"/>
        <v>#N/A</v>
      </c>
      <c r="J8" s="388" t="e">
        <f>IF(xxYear=$D8,J$5,NA())</f>
        <v>#N/A</v>
      </c>
    </row>
    <row r="9" spans="1:10">
      <c r="A9" s="392" t="s">
        <v>1111</v>
      </c>
      <c r="B9" s="393" t="s">
        <v>901</v>
      </c>
      <c r="D9" s="389">
        <v>2</v>
      </c>
      <c r="E9" s="555" t="e">
        <f t="shared" si="0"/>
        <v>#N/A</v>
      </c>
      <c r="F9" s="555" t="e">
        <f t="shared" si="0"/>
        <v>#N/A</v>
      </c>
      <c r="G9" s="555" t="e">
        <f t="shared" si="0"/>
        <v>#N/A</v>
      </c>
      <c r="J9" s="388" t="e">
        <f>IF(xxYear=$D9,J$5,NA())</f>
        <v>#N/A</v>
      </c>
    </row>
    <row r="10" spans="1:10" ht="12" thickBot="1">
      <c r="A10" s="394" t="s">
        <v>1112</v>
      </c>
      <c r="B10" s="395" t="s">
        <v>234</v>
      </c>
      <c r="D10" s="389">
        <v>3</v>
      </c>
      <c r="E10" s="555" t="e">
        <f t="shared" si="0"/>
        <v>#N/A</v>
      </c>
      <c r="F10" s="555" t="e">
        <f t="shared" si="0"/>
        <v>#N/A</v>
      </c>
      <c r="G10" s="555" t="e">
        <f t="shared" si="0"/>
        <v>#N/A</v>
      </c>
      <c r="J10" s="388" t="e">
        <f>IF(xxYear=$D10,J$5,NA())</f>
        <v>#N/A</v>
      </c>
    </row>
    <row r="11" spans="1:10">
      <c r="D11" s="389">
        <v>4</v>
      </c>
      <c r="E11" s="555" t="e">
        <f t="shared" si="0"/>
        <v>#N/A</v>
      </c>
      <c r="F11" s="555" t="e">
        <f t="shared" si="0"/>
        <v>#N/A</v>
      </c>
      <c r="G11" s="555" t="e">
        <f t="shared" si="0"/>
        <v>#N/A</v>
      </c>
      <c r="J11" s="388" t="e">
        <f>IF(xxYear=$D11,J$5,NA())</f>
        <v>#N/A</v>
      </c>
    </row>
    <row r="12" spans="1:10">
      <c r="D12" s="389"/>
      <c r="J12" s="388"/>
    </row>
    <row r="13" spans="1:10" ht="12" thickBot="1">
      <c r="D13" s="71" t="s">
        <v>136</v>
      </c>
      <c r="E13" s="555"/>
      <c r="F13" s="555"/>
      <c r="G13" s="555"/>
      <c r="J13" s="388"/>
    </row>
    <row r="14" spans="1:10">
      <c r="A14" s="390" t="s">
        <v>1109</v>
      </c>
      <c r="B14" s="391" t="s">
        <v>1108</v>
      </c>
      <c r="D14" s="71"/>
      <c r="E14" s="387" t="str">
        <f>decTeamName</f>
        <v>IIC</v>
      </c>
      <c r="F14" s="387" t="str">
        <f>decTeamName</f>
        <v>Bloomfield</v>
      </c>
      <c r="G14" s="387" t="str">
        <f>decTeamName</f>
        <v>Nextus</v>
      </c>
      <c r="J14" s="388" t="e">
        <f>decTeamName</f>
        <v>#VALUE!</v>
      </c>
    </row>
    <row r="15" spans="1:10">
      <c r="A15" s="392" t="s">
        <v>999</v>
      </c>
      <c r="B15" s="393" t="str">
        <f>"Operating Margin " &amp;DataNameProd1</f>
        <v>Operating Margin Growth</v>
      </c>
      <c r="D15" s="389">
        <v>0</v>
      </c>
      <c r="E15" s="555"/>
      <c r="F15" s="555"/>
      <c r="G15" s="555"/>
      <c r="H15" s="387" t="s">
        <v>315</v>
      </c>
      <c r="J15" s="388"/>
    </row>
    <row r="16" spans="1:10">
      <c r="A16" s="392" t="s">
        <v>1110</v>
      </c>
      <c r="B16" s="393"/>
      <c r="D16" s="389">
        <v>1</v>
      </c>
      <c r="E16" s="555" t="e">
        <f t="shared" ref="E16:G19" si="1">IF(xxYear=$D16,E$13,NA())</f>
        <v>#N/A</v>
      </c>
      <c r="F16" s="555" t="e">
        <f t="shared" si="1"/>
        <v>#N/A</v>
      </c>
      <c r="G16" s="555" t="e">
        <f t="shared" si="1"/>
        <v>#N/A</v>
      </c>
      <c r="J16" s="388" t="e">
        <f>IF(xxYear=$D16,J$13,NA())</f>
        <v>#N/A</v>
      </c>
    </row>
    <row r="17" spans="1:10">
      <c r="A17" s="392" t="s">
        <v>1111</v>
      </c>
      <c r="B17" s="393" t="s">
        <v>901</v>
      </c>
      <c r="D17" s="389">
        <v>2</v>
      </c>
      <c r="E17" s="555" t="e">
        <f t="shared" si="1"/>
        <v>#N/A</v>
      </c>
      <c r="F17" s="555" t="e">
        <f t="shared" si="1"/>
        <v>#N/A</v>
      </c>
      <c r="G17" s="555" t="e">
        <f t="shared" si="1"/>
        <v>#N/A</v>
      </c>
      <c r="J17" s="388" t="e">
        <f>IF(xxYear=$D17,J$13,NA())</f>
        <v>#N/A</v>
      </c>
    </row>
    <row r="18" spans="1:10" ht="12" thickBot="1">
      <c r="A18" s="394" t="s">
        <v>1112</v>
      </c>
      <c r="B18" s="395" t="s">
        <v>137</v>
      </c>
      <c r="D18" s="389">
        <v>3</v>
      </c>
      <c r="E18" s="555" t="e">
        <f t="shared" si="1"/>
        <v>#N/A</v>
      </c>
      <c r="F18" s="555" t="e">
        <f t="shared" si="1"/>
        <v>#N/A</v>
      </c>
      <c r="G18" s="555" t="e">
        <f t="shared" si="1"/>
        <v>#N/A</v>
      </c>
      <c r="J18" s="388" t="e">
        <f>IF(xxYear=$D18,J$13,NA())</f>
        <v>#N/A</v>
      </c>
    </row>
    <row r="19" spans="1:10">
      <c r="D19" s="389">
        <v>4</v>
      </c>
      <c r="E19" s="555" t="e">
        <f t="shared" si="1"/>
        <v>#N/A</v>
      </c>
      <c r="F19" s="555" t="e">
        <f t="shared" si="1"/>
        <v>#N/A</v>
      </c>
      <c r="G19" s="555" t="e">
        <f t="shared" si="1"/>
        <v>#N/A</v>
      </c>
      <c r="J19" s="388" t="e">
        <f>IF(xxYear=$D19,J$13,NA())</f>
        <v>#N/A</v>
      </c>
    </row>
    <row r="20" spans="1:10">
      <c r="D20" s="389"/>
      <c r="J20" s="388"/>
    </row>
    <row r="21" spans="1:10">
      <c r="D21" s="389"/>
      <c r="J21" s="388"/>
    </row>
    <row r="22" spans="1:10">
      <c r="D22" s="389"/>
      <c r="J22" s="388"/>
    </row>
    <row r="23" spans="1:10" ht="12" thickBot="1">
      <c r="B23" s="389"/>
      <c r="D23" s="71" t="s">
        <v>807</v>
      </c>
      <c r="E23" s="556">
        <f>finPNLRev</f>
        <v>4411410974.5023985</v>
      </c>
      <c r="F23" s="556">
        <f>finPNLRev</f>
        <v>3912627978.3075352</v>
      </c>
      <c r="G23" s="556">
        <f>finPNLRev</f>
        <v>2939604569.6039629</v>
      </c>
      <c r="J23" s="388" t="e">
        <f>finPNLRev</f>
        <v>#VALUE!</v>
      </c>
    </row>
    <row r="24" spans="1:10">
      <c r="A24" s="390" t="s">
        <v>1109</v>
      </c>
      <c r="B24" s="391" t="s">
        <v>1108</v>
      </c>
      <c r="E24" s="387" t="str">
        <f>decTeamName</f>
        <v>IIC</v>
      </c>
      <c r="F24" s="387" t="str">
        <f>decTeamName</f>
        <v>Bloomfield</v>
      </c>
      <c r="G24" s="387" t="str">
        <f>decTeamName</f>
        <v>Nextus</v>
      </c>
      <c r="J24" s="388" t="e">
        <f>decTeamName</f>
        <v>#VALUE!</v>
      </c>
    </row>
    <row r="25" spans="1:10">
      <c r="A25" s="392" t="s">
        <v>999</v>
      </c>
      <c r="B25" s="393" t="s">
        <v>243</v>
      </c>
      <c r="D25" s="387">
        <v>0</v>
      </c>
      <c r="E25" s="556">
        <f t="shared" ref="E25:G29" si="2">IF(xxYear=$D25,E$23,NA())</f>
        <v>4411410974.5023985</v>
      </c>
      <c r="F25" s="556">
        <f t="shared" si="2"/>
        <v>3912627978.3075352</v>
      </c>
      <c r="G25" s="556">
        <f t="shared" si="2"/>
        <v>2939604569.6039629</v>
      </c>
      <c r="H25" s="387" t="s">
        <v>1300</v>
      </c>
      <c r="J25" s="388" t="e">
        <f>IF(xxYear=$D25,J$23,NA())</f>
        <v>#VALUE!</v>
      </c>
    </row>
    <row r="26" spans="1:10">
      <c r="A26" s="392" t="s">
        <v>1110</v>
      </c>
      <c r="B26" s="393" t="s">
        <v>387</v>
      </c>
      <c r="D26" s="387">
        <v>1</v>
      </c>
      <c r="E26" s="556" t="e">
        <f t="shared" si="2"/>
        <v>#N/A</v>
      </c>
      <c r="F26" s="556" t="e">
        <f t="shared" si="2"/>
        <v>#N/A</v>
      </c>
      <c r="G26" s="556" t="e">
        <f t="shared" si="2"/>
        <v>#N/A</v>
      </c>
      <c r="J26" s="388" t="e">
        <f>IF(xxYear=$D26,J$23,NA())</f>
        <v>#N/A</v>
      </c>
    </row>
    <row r="27" spans="1:10">
      <c r="A27" s="392" t="s">
        <v>1111</v>
      </c>
      <c r="B27" s="393" t="s">
        <v>901</v>
      </c>
      <c r="D27" s="387">
        <v>2</v>
      </c>
      <c r="E27" s="556" t="e">
        <f t="shared" si="2"/>
        <v>#N/A</v>
      </c>
      <c r="F27" s="556" t="e">
        <f t="shared" si="2"/>
        <v>#N/A</v>
      </c>
      <c r="G27" s="556" t="e">
        <f t="shared" si="2"/>
        <v>#N/A</v>
      </c>
      <c r="J27" s="388" t="e">
        <f>IF(xxYear=$D27,J$23,NA())</f>
        <v>#N/A</v>
      </c>
    </row>
    <row r="28" spans="1:10" ht="12" thickBot="1">
      <c r="A28" s="394" t="s">
        <v>1112</v>
      </c>
      <c r="B28" s="395" t="s">
        <v>138</v>
      </c>
      <c r="D28" s="387">
        <v>3</v>
      </c>
      <c r="E28" s="556" t="e">
        <f t="shared" si="2"/>
        <v>#N/A</v>
      </c>
      <c r="F28" s="556" t="e">
        <f t="shared" si="2"/>
        <v>#N/A</v>
      </c>
      <c r="G28" s="556" t="e">
        <f t="shared" si="2"/>
        <v>#N/A</v>
      </c>
      <c r="J28" s="388" t="e">
        <f>IF(xxYear=$D28,J$23,NA())</f>
        <v>#N/A</v>
      </c>
    </row>
    <row r="29" spans="1:10">
      <c r="D29" s="387">
        <v>4</v>
      </c>
      <c r="E29" s="556" t="e">
        <f t="shared" si="2"/>
        <v>#N/A</v>
      </c>
      <c r="F29" s="556" t="e">
        <f t="shared" si="2"/>
        <v>#N/A</v>
      </c>
      <c r="G29" s="556" t="e">
        <f t="shared" si="2"/>
        <v>#N/A</v>
      </c>
      <c r="J29" s="388" t="e">
        <f>IF(xxYear=$D29,J$23,NA())</f>
        <v>#N/A</v>
      </c>
    </row>
    <row r="30" spans="1:10">
      <c r="J30" s="388"/>
    </row>
    <row r="31" spans="1:10">
      <c r="J31" s="388"/>
    </row>
    <row r="32" spans="1:10">
      <c r="J32" s="388"/>
    </row>
    <row r="33" spans="1:10" ht="12" thickBot="1">
      <c r="D33" s="71" t="s">
        <v>1030</v>
      </c>
      <c r="E33" s="555"/>
      <c r="F33" s="555"/>
      <c r="G33" s="555"/>
      <c r="J33" s="388"/>
    </row>
    <row r="34" spans="1:10">
      <c r="A34" s="390" t="s">
        <v>1109</v>
      </c>
      <c r="B34" s="391" t="s">
        <v>1108</v>
      </c>
      <c r="E34" s="387" t="str">
        <f>decTeamName</f>
        <v>IIC</v>
      </c>
      <c r="F34" s="387" t="str">
        <f>decTeamName</f>
        <v>Bloomfield</v>
      </c>
      <c r="G34" s="387" t="str">
        <f>decTeamName</f>
        <v>Nextus</v>
      </c>
      <c r="J34" s="388" t="e">
        <f>decTeamName</f>
        <v>#VALUE!</v>
      </c>
    </row>
    <row r="35" spans="1:10">
      <c r="A35" s="392" t="s">
        <v>999</v>
      </c>
      <c r="B35" s="393" t="s">
        <v>1307</v>
      </c>
      <c r="D35" s="387">
        <v>0</v>
      </c>
      <c r="E35" s="555">
        <f t="shared" ref="E35:G39" si="3">IF(xxYear=$D35,E$33,NA())</f>
        <v>0</v>
      </c>
      <c r="F35" s="555">
        <f t="shared" si="3"/>
        <v>0</v>
      </c>
      <c r="G35" s="555">
        <f t="shared" si="3"/>
        <v>0</v>
      </c>
      <c r="H35" s="387" t="s">
        <v>987</v>
      </c>
      <c r="I35" s="387" t="s">
        <v>1031</v>
      </c>
      <c r="J35" s="388">
        <f>IF(xxYear=$D35,J$33,NA())</f>
        <v>0</v>
      </c>
    </row>
    <row r="36" spans="1:10">
      <c r="A36" s="392" t="s">
        <v>1110</v>
      </c>
      <c r="B36" s="393"/>
      <c r="D36" s="387">
        <v>1</v>
      </c>
      <c r="E36" s="555" t="e">
        <f t="shared" si="3"/>
        <v>#N/A</v>
      </c>
      <c r="F36" s="555" t="e">
        <f t="shared" si="3"/>
        <v>#N/A</v>
      </c>
      <c r="G36" s="555" t="e">
        <f t="shared" si="3"/>
        <v>#N/A</v>
      </c>
      <c r="H36" s="387" t="s">
        <v>1032</v>
      </c>
      <c r="J36" s="388" t="e">
        <f>IF(xxYear=$D36,J$33,NA())</f>
        <v>#N/A</v>
      </c>
    </row>
    <row r="37" spans="1:10">
      <c r="A37" s="392" t="s">
        <v>1111</v>
      </c>
      <c r="B37" s="393" t="s">
        <v>901</v>
      </c>
      <c r="D37" s="387">
        <v>2</v>
      </c>
      <c r="E37" s="555" t="e">
        <f t="shared" si="3"/>
        <v>#N/A</v>
      </c>
      <c r="F37" s="555" t="e">
        <f t="shared" si="3"/>
        <v>#N/A</v>
      </c>
      <c r="G37" s="555" t="e">
        <f t="shared" si="3"/>
        <v>#N/A</v>
      </c>
      <c r="H37" s="387" t="s">
        <v>1033</v>
      </c>
      <c r="J37" s="388" t="e">
        <f>IF(xxYear=$D37,J$33,NA())</f>
        <v>#N/A</v>
      </c>
    </row>
    <row r="38" spans="1:10" ht="12" thickBot="1">
      <c r="A38" s="394" t="s">
        <v>1112</v>
      </c>
      <c r="B38" s="395" t="s">
        <v>139</v>
      </c>
      <c r="D38" s="387">
        <v>3</v>
      </c>
      <c r="E38" s="555" t="e">
        <f t="shared" si="3"/>
        <v>#N/A</v>
      </c>
      <c r="F38" s="555" t="e">
        <f t="shared" si="3"/>
        <v>#N/A</v>
      </c>
      <c r="G38" s="555" t="e">
        <f t="shared" si="3"/>
        <v>#N/A</v>
      </c>
      <c r="H38" s="387" t="s">
        <v>1034</v>
      </c>
      <c r="J38" s="388" t="e">
        <f>IF(xxYear=$D38,J$33,NA())</f>
        <v>#N/A</v>
      </c>
    </row>
    <row r="39" spans="1:10">
      <c r="D39" s="387">
        <v>4</v>
      </c>
      <c r="E39" s="555" t="e">
        <f t="shared" si="3"/>
        <v>#N/A</v>
      </c>
      <c r="F39" s="555" t="e">
        <f t="shared" si="3"/>
        <v>#N/A</v>
      </c>
      <c r="G39" s="555" t="e">
        <f t="shared" si="3"/>
        <v>#N/A</v>
      </c>
      <c r="H39" s="387" t="s">
        <v>1035</v>
      </c>
      <c r="J39" s="388" t="e">
        <f>IF(xxYear=$D39,J$33,NA())</f>
        <v>#N/A</v>
      </c>
    </row>
    <row r="40" spans="1:10">
      <c r="J40" s="388"/>
    </row>
    <row r="41" spans="1:10" ht="12" thickBot="1">
      <c r="D41" s="389" t="s">
        <v>60</v>
      </c>
      <c r="J41" s="388"/>
    </row>
    <row r="42" spans="1:10">
      <c r="A42" s="390" t="s">
        <v>1109</v>
      </c>
      <c r="B42" s="391" t="s">
        <v>1108</v>
      </c>
      <c r="E42" s="387" t="str">
        <f>decTeamName</f>
        <v>IIC</v>
      </c>
      <c r="F42" s="387" t="str">
        <f>decTeamName</f>
        <v>Bloomfield</v>
      </c>
      <c r="G42" s="387" t="str">
        <f>decTeamName</f>
        <v>Nextus</v>
      </c>
      <c r="J42" s="388" t="e">
        <f>decTeamName</f>
        <v>#VALUE!</v>
      </c>
    </row>
    <row r="43" spans="1:10">
      <c r="A43" s="392" t="s">
        <v>999</v>
      </c>
      <c r="B43" s="393" t="s">
        <v>60</v>
      </c>
      <c r="D43" s="387">
        <v>0</v>
      </c>
      <c r="E43" s="387">
        <f t="shared" ref="E43:G43" si="4">RANK(E35,$E35:$G35)</f>
        <v>1</v>
      </c>
      <c r="F43" s="387">
        <f t="shared" si="4"/>
        <v>1</v>
      </c>
      <c r="G43" s="387">
        <f t="shared" si="4"/>
        <v>1</v>
      </c>
      <c r="H43" s="387" t="s">
        <v>398</v>
      </c>
      <c r="J43" s="388">
        <f>RANK(J35,$E35:$G35)</f>
        <v>1</v>
      </c>
    </row>
    <row r="44" spans="1:10">
      <c r="A44" s="392" t="s">
        <v>1110</v>
      </c>
      <c r="B44" s="393"/>
      <c r="D44" s="387">
        <v>1</v>
      </c>
      <c r="E44" s="387" t="e">
        <f t="shared" ref="E44:G44" si="5">RANK(E36,$E36:$G36)</f>
        <v>#N/A</v>
      </c>
      <c r="F44" s="387" t="e">
        <f t="shared" si="5"/>
        <v>#N/A</v>
      </c>
      <c r="G44" s="387" t="e">
        <f t="shared" si="5"/>
        <v>#N/A</v>
      </c>
      <c r="H44" s="387" t="s">
        <v>399</v>
      </c>
      <c r="J44" s="388" t="e">
        <f>RANK(J36,$E36:$G36)</f>
        <v>#N/A</v>
      </c>
    </row>
    <row r="45" spans="1:10">
      <c r="A45" s="392" t="s">
        <v>1111</v>
      </c>
      <c r="B45" s="393" t="s">
        <v>901</v>
      </c>
      <c r="D45" s="387">
        <v>2</v>
      </c>
      <c r="E45" s="387" t="e">
        <f t="shared" ref="E45:G45" si="6">RANK(E37,$E37:$G37)</f>
        <v>#N/A</v>
      </c>
      <c r="F45" s="387" t="e">
        <f t="shared" si="6"/>
        <v>#N/A</v>
      </c>
      <c r="G45" s="387" t="e">
        <f t="shared" si="6"/>
        <v>#N/A</v>
      </c>
      <c r="H45" s="387" t="s">
        <v>400</v>
      </c>
      <c r="J45" s="388" t="e">
        <f>RANK(J37,$E37:$G37)</f>
        <v>#N/A</v>
      </c>
    </row>
    <row r="46" spans="1:10" ht="12" thickBot="1">
      <c r="A46" s="394" t="s">
        <v>1112</v>
      </c>
      <c r="B46" s="395" t="s">
        <v>140</v>
      </c>
      <c r="D46" s="387">
        <v>3</v>
      </c>
      <c r="E46" s="387" t="e">
        <f t="shared" ref="E46:G46" si="7">RANK(E38,$E38:$G38)</f>
        <v>#N/A</v>
      </c>
      <c r="F46" s="387" t="e">
        <f t="shared" si="7"/>
        <v>#N/A</v>
      </c>
      <c r="G46" s="387" t="e">
        <f t="shared" si="7"/>
        <v>#N/A</v>
      </c>
      <c r="H46" s="387" t="s">
        <v>401</v>
      </c>
      <c r="J46" s="388" t="e">
        <f>RANK(J38,$E38:$G38)</f>
        <v>#N/A</v>
      </c>
    </row>
    <row r="47" spans="1:10">
      <c r="D47" s="387">
        <v>4</v>
      </c>
      <c r="E47" s="387" t="e">
        <f t="shared" ref="E47:G47" si="8">RANK(E39,$E39:$G39)</f>
        <v>#N/A</v>
      </c>
      <c r="F47" s="387" t="e">
        <f t="shared" si="8"/>
        <v>#N/A</v>
      </c>
      <c r="G47" s="387" t="e">
        <f t="shared" si="8"/>
        <v>#N/A</v>
      </c>
      <c r="H47" s="387" t="s">
        <v>402</v>
      </c>
      <c r="J47" s="388" t="e">
        <f>RANK(J39,$E39:$G39)</f>
        <v>#N/A</v>
      </c>
    </row>
    <row r="48" spans="1:10">
      <c r="J48" s="388"/>
    </row>
    <row r="49" spans="1:10">
      <c r="J49" s="388"/>
    </row>
    <row r="50" spans="1:10">
      <c r="J50" s="388"/>
    </row>
    <row r="51" spans="1:10">
      <c r="J51" s="388"/>
    </row>
    <row r="52" spans="1:10">
      <c r="A52" s="396"/>
      <c r="B52" s="396"/>
      <c r="C52" s="396"/>
      <c r="D52" s="396"/>
      <c r="E52" s="396"/>
      <c r="F52" s="396"/>
      <c r="G52" s="396"/>
      <c r="H52" s="396"/>
      <c r="I52" s="396"/>
      <c r="J52" s="396"/>
    </row>
  </sheetData>
  <phoneticPr fontId="0" type="noConversion"/>
  <dataValidations count="1">
    <dataValidation type="list" allowBlank="1" showInputMessage="1" showErrorMessage="1" sqref="B42 B34 B14 B24 B6">
      <formula1>listFBTypes</formula1>
    </dataValidation>
  </dataValidations>
  <pageMargins left="0.5" right="0.5" top="0.5" bottom="0.5" header="0.5" footer="0.5"/>
  <pageSetup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1081"/>
  <sheetViews>
    <sheetView workbookViewId="0">
      <selection activeCell="N11" sqref="N11"/>
    </sheetView>
  </sheetViews>
  <sheetFormatPr defaultRowHeight="15"/>
  <cols>
    <col min="1" max="16384" width="9.33203125" style="1309"/>
  </cols>
  <sheetData>
    <row r="1" spans="1:6">
      <c r="A1" s="1309" t="s">
        <v>4489</v>
      </c>
      <c r="B1" s="1309" t="s">
        <v>4490</v>
      </c>
      <c r="C1" s="1309" t="s">
        <v>4491</v>
      </c>
      <c r="D1" s="1309" t="s">
        <v>4492</v>
      </c>
      <c r="E1" s="1309" t="s">
        <v>4493</v>
      </c>
      <c r="F1" s="1309" t="s">
        <v>4494</v>
      </c>
    </row>
    <row r="2" spans="1:6">
      <c r="A2" s="1309" t="s">
        <v>4495</v>
      </c>
    </row>
    <row r="3" spans="1:6">
      <c r="A3" s="1309" t="s">
        <v>4496</v>
      </c>
    </row>
    <row r="4" spans="1:6">
      <c r="A4" s="1309" t="s">
        <v>4497</v>
      </c>
    </row>
    <row r="5" spans="1:6">
      <c r="A5" s="1309" t="s">
        <v>4498</v>
      </c>
    </row>
    <row r="6" spans="1:6">
      <c r="A6" s="1309" t="s">
        <v>4499</v>
      </c>
    </row>
    <row r="7" spans="1:6">
      <c r="A7" s="1309" t="s">
        <v>4500</v>
      </c>
    </row>
    <row r="8" spans="1:6">
      <c r="A8" s="1309" t="s">
        <v>4501</v>
      </c>
    </row>
    <row r="9" spans="1:6">
      <c r="A9" s="1309" t="s">
        <v>4502</v>
      </c>
    </row>
    <row r="10" spans="1:6">
      <c r="A10" s="1309" t="s">
        <v>4503</v>
      </c>
    </row>
    <row r="11" spans="1:6">
      <c r="A11" s="1309" t="s">
        <v>4504</v>
      </c>
    </row>
    <row r="12" spans="1:6">
      <c r="A12" s="1309" t="s">
        <v>4505</v>
      </c>
    </row>
    <row r="13" spans="1:6">
      <c r="A13" s="1309" t="s">
        <v>4506</v>
      </c>
    </row>
    <row r="14" spans="1:6">
      <c r="A14" s="1309" t="s">
        <v>4507</v>
      </c>
    </row>
    <row r="15" spans="1:6">
      <c r="A15" s="1309" t="s">
        <v>4508</v>
      </c>
    </row>
    <row r="16" spans="1:6">
      <c r="A16" s="1309" t="s">
        <v>4509</v>
      </c>
    </row>
    <row r="17" spans="1:6">
      <c r="A17" s="1309" t="s">
        <v>4510</v>
      </c>
    </row>
    <row r="18" spans="1:6">
      <c r="A18" s="1309" t="s">
        <v>4511</v>
      </c>
    </row>
    <row r="19" spans="1:6">
      <c r="A19" s="1309" t="s">
        <v>4512</v>
      </c>
    </row>
    <row r="20" spans="1:6">
      <c r="A20" s="1309" t="s">
        <v>4513</v>
      </c>
    </row>
    <row r="21" spans="1:6">
      <c r="A21" s="1309" t="s">
        <v>4514</v>
      </c>
    </row>
    <row r="22" spans="1:6">
      <c r="A22" s="1309" t="s">
        <v>4515</v>
      </c>
    </row>
    <row r="23" spans="1:6">
      <c r="A23" s="1309" t="s">
        <v>4516</v>
      </c>
    </row>
    <row r="24" spans="1:6">
      <c r="A24" s="1309" t="s">
        <v>4517</v>
      </c>
    </row>
    <row r="25" spans="1:6">
      <c r="A25" s="1309" t="s">
        <v>4518</v>
      </c>
      <c r="B25" s="1309" t="s">
        <v>4519</v>
      </c>
      <c r="C25" s="1309" t="s">
        <v>4519</v>
      </c>
      <c r="D25" s="1309" t="s">
        <v>4519</v>
      </c>
      <c r="E25" s="1309" t="s">
        <v>4519</v>
      </c>
      <c r="F25" s="1309" t="s">
        <v>4519</v>
      </c>
    </row>
    <row r="26" spans="1:6">
      <c r="A26" s="1309" t="s">
        <v>4520</v>
      </c>
      <c r="B26" s="1309" t="s">
        <v>4521</v>
      </c>
      <c r="C26" s="1309" t="s">
        <v>4521</v>
      </c>
      <c r="D26" s="1309" t="s">
        <v>4521</v>
      </c>
      <c r="E26" s="1309" t="s">
        <v>4521</v>
      </c>
      <c r="F26" s="1309" t="s">
        <v>4521</v>
      </c>
    </row>
    <row r="27" spans="1:6">
      <c r="A27" s="1309" t="s">
        <v>4522</v>
      </c>
      <c r="B27" s="1309" t="s">
        <v>4523</v>
      </c>
      <c r="C27" s="1309" t="s">
        <v>4523</v>
      </c>
      <c r="D27" s="1309" t="s">
        <v>4523</v>
      </c>
      <c r="E27" s="1309" t="s">
        <v>4523</v>
      </c>
      <c r="F27" s="1309" t="s">
        <v>4523</v>
      </c>
    </row>
    <row r="28" spans="1:6">
      <c r="A28" s="1309" t="s">
        <v>4524</v>
      </c>
      <c r="B28" s="1309" t="s">
        <v>4525</v>
      </c>
      <c r="C28" s="1309" t="s">
        <v>4525</v>
      </c>
      <c r="D28" s="1309" t="s">
        <v>4525</v>
      </c>
      <c r="E28" s="1309" t="s">
        <v>4525</v>
      </c>
      <c r="F28" s="1309" t="s">
        <v>4525</v>
      </c>
    </row>
    <row r="29" spans="1:6">
      <c r="A29" s="1309" t="s">
        <v>4526</v>
      </c>
      <c r="B29" s="1309">
        <v>22</v>
      </c>
    </row>
    <row r="30" spans="1:6">
      <c r="A30" s="1309" t="s">
        <v>4527</v>
      </c>
      <c r="B30" s="1309">
        <v>-4.6183073870751198E-2</v>
      </c>
    </row>
    <row r="31" spans="1:6">
      <c r="A31" s="1309" t="s">
        <v>4528</v>
      </c>
      <c r="B31" s="1309">
        <v>0.22054693521115701</v>
      </c>
    </row>
    <row r="32" spans="1:6">
      <c r="A32" s="1309" t="s">
        <v>4529</v>
      </c>
      <c r="B32" s="1309">
        <v>927990587.73498797</v>
      </c>
    </row>
    <row r="33" spans="1:2">
      <c r="A33" s="1309" t="s">
        <v>4530</v>
      </c>
      <c r="B33" s="1309">
        <v>0</v>
      </c>
    </row>
    <row r="34" spans="1:2">
      <c r="A34" s="1309" t="s">
        <v>4531</v>
      </c>
      <c r="B34" s="1309">
        <v>0</v>
      </c>
    </row>
    <row r="35" spans="1:2">
      <c r="A35" s="1309" t="s">
        <v>4532</v>
      </c>
      <c r="B35" s="1309">
        <v>0</v>
      </c>
    </row>
    <row r="36" spans="1:2">
      <c r="A36" s="1309" t="s">
        <v>4533</v>
      </c>
      <c r="B36" s="1309">
        <v>0</v>
      </c>
    </row>
    <row r="37" spans="1:2">
      <c r="A37" s="1309" t="s">
        <v>4534</v>
      </c>
      <c r="B37" s="1309">
        <v>0</v>
      </c>
    </row>
    <row r="38" spans="1:2">
      <c r="A38" s="1309" t="s">
        <v>4535</v>
      </c>
      <c r="B38" s="1309">
        <v>0</v>
      </c>
    </row>
    <row r="39" spans="1:2">
      <c r="A39" s="1309" t="s">
        <v>4536</v>
      </c>
      <c r="B39" s="1309">
        <v>0</v>
      </c>
    </row>
    <row r="40" spans="1:2">
      <c r="A40" s="1309" t="s">
        <v>4537</v>
      </c>
      <c r="B40" s="1309">
        <v>0</v>
      </c>
    </row>
    <row r="41" spans="1:2">
      <c r="A41" s="1309" t="s">
        <v>4538</v>
      </c>
      <c r="B41" s="1309">
        <v>0</v>
      </c>
    </row>
    <row r="42" spans="1:2">
      <c r="A42" s="1309" t="s">
        <v>4539</v>
      </c>
      <c r="B42" s="1309">
        <v>0</v>
      </c>
    </row>
    <row r="43" spans="1:2">
      <c r="A43" s="1309" t="s">
        <v>4540</v>
      </c>
      <c r="B43" s="1309">
        <v>0</v>
      </c>
    </row>
    <row r="44" spans="1:2">
      <c r="A44" s="1309" t="s">
        <v>4541</v>
      </c>
      <c r="B44" s="1309">
        <v>0</v>
      </c>
    </row>
    <row r="45" spans="1:2">
      <c r="A45" s="1309" t="s">
        <v>4542</v>
      </c>
      <c r="B45" s="1309">
        <v>0</v>
      </c>
    </row>
    <row r="46" spans="1:2">
      <c r="A46" s="1309" t="s">
        <v>4543</v>
      </c>
      <c r="B46" s="1309">
        <v>0</v>
      </c>
    </row>
    <row r="47" spans="1:2">
      <c r="A47" s="1309" t="s">
        <v>4544</v>
      </c>
      <c r="B47" s="1309">
        <v>0</v>
      </c>
    </row>
    <row r="48" spans="1:2">
      <c r="A48" s="1309" t="s">
        <v>4545</v>
      </c>
      <c r="B48" s="1309">
        <v>0</v>
      </c>
    </row>
    <row r="49" spans="1:2">
      <c r="A49" s="1309" t="s">
        <v>4546</v>
      </c>
      <c r="B49" s="1309">
        <v>0</v>
      </c>
    </row>
    <row r="50" spans="1:2">
      <c r="A50" s="1309" t="s">
        <v>4547</v>
      </c>
      <c r="B50" s="1309">
        <v>0</v>
      </c>
    </row>
    <row r="51" spans="1:2">
      <c r="A51" s="1309" t="s">
        <v>4548</v>
      </c>
      <c r="B51" s="1309">
        <v>0</v>
      </c>
    </row>
    <row r="52" spans="1:2">
      <c r="A52" s="1309" t="s">
        <v>4549</v>
      </c>
      <c r="B52" s="1309">
        <v>0</v>
      </c>
    </row>
    <row r="53" spans="1:2">
      <c r="A53" s="1309" t="s">
        <v>4550</v>
      </c>
      <c r="B53" s="1309">
        <v>0</v>
      </c>
    </row>
    <row r="54" spans="1:2">
      <c r="A54" s="1309" t="s">
        <v>4551</v>
      </c>
      <c r="B54" s="1309">
        <v>0</v>
      </c>
    </row>
    <row r="55" spans="1:2">
      <c r="A55" s="1309" t="s">
        <v>4552</v>
      </c>
      <c r="B55" s="1309">
        <v>0</v>
      </c>
    </row>
    <row r="56" spans="1:2">
      <c r="A56" s="1309" t="s">
        <v>4553</v>
      </c>
      <c r="B56" s="1309">
        <v>0</v>
      </c>
    </row>
    <row r="57" spans="1:2">
      <c r="A57" s="1309" t="s">
        <v>4554</v>
      </c>
      <c r="B57" s="1309">
        <v>0</v>
      </c>
    </row>
    <row r="58" spans="1:2">
      <c r="A58" s="1309" t="s">
        <v>4555</v>
      </c>
      <c r="B58" s="1309">
        <v>0</v>
      </c>
    </row>
    <row r="59" spans="1:2">
      <c r="A59" s="1309" t="s">
        <v>4556</v>
      </c>
      <c r="B59" s="1309">
        <v>0</v>
      </c>
    </row>
    <row r="60" spans="1:2">
      <c r="A60" s="1309" t="s">
        <v>4557</v>
      </c>
      <c r="B60" s="1309">
        <v>0</v>
      </c>
    </row>
    <row r="61" spans="1:2">
      <c r="A61" s="1309" t="s">
        <v>4558</v>
      </c>
      <c r="B61" s="1309">
        <v>0</v>
      </c>
    </row>
    <row r="62" spans="1:2">
      <c r="A62" s="1309" t="s">
        <v>4559</v>
      </c>
      <c r="B62" s="1309">
        <v>0</v>
      </c>
    </row>
    <row r="63" spans="1:2">
      <c r="A63" s="1309" t="s">
        <v>4560</v>
      </c>
      <c r="B63" s="1309">
        <v>62.920634920634903</v>
      </c>
    </row>
    <row r="64" spans="1:2">
      <c r="A64" s="1309" t="s">
        <v>4561</v>
      </c>
      <c r="B64" s="1309">
        <v>0</v>
      </c>
    </row>
    <row r="65" spans="1:2">
      <c r="A65" s="1309" t="s">
        <v>4562</v>
      </c>
      <c r="B65" s="1309">
        <v>30</v>
      </c>
    </row>
    <row r="66" spans="1:2">
      <c r="A66" s="1309" t="s">
        <v>4563</v>
      </c>
      <c r="B66" s="1309">
        <v>0.53860869359004004</v>
      </c>
    </row>
    <row r="67" spans="1:2">
      <c r="A67" s="1309" t="s">
        <v>4564</v>
      </c>
      <c r="B67" s="1309">
        <v>0</v>
      </c>
    </row>
    <row r="68" spans="1:2">
      <c r="A68" s="1309" t="s">
        <v>4565</v>
      </c>
      <c r="B68" s="1309">
        <v>0</v>
      </c>
    </row>
    <row r="69" spans="1:2">
      <c r="A69" s="1309" t="s">
        <v>4566</v>
      </c>
      <c r="B69" s="1309">
        <v>0</v>
      </c>
    </row>
    <row r="70" spans="1:2">
      <c r="A70" s="1309" t="s">
        <v>4567</v>
      </c>
      <c r="B70" s="1309">
        <v>0</v>
      </c>
    </row>
    <row r="71" spans="1:2">
      <c r="A71" s="1309" t="s">
        <v>4568</v>
      </c>
      <c r="B71" s="1309">
        <v>0</v>
      </c>
    </row>
    <row r="72" spans="1:2">
      <c r="A72" s="1309" t="s">
        <v>4569</v>
      </c>
      <c r="B72" s="1309">
        <v>0</v>
      </c>
    </row>
    <row r="73" spans="1:2">
      <c r="A73" s="1309" t="s">
        <v>4570</v>
      </c>
      <c r="B73" s="1309">
        <v>0</v>
      </c>
    </row>
    <row r="74" spans="1:2">
      <c r="A74" s="1309" t="s">
        <v>4571</v>
      </c>
      <c r="B74" s="1309">
        <v>0</v>
      </c>
    </row>
    <row r="75" spans="1:2">
      <c r="A75" s="1309" t="s">
        <v>4572</v>
      </c>
      <c r="B75" s="1309">
        <v>0</v>
      </c>
    </row>
    <row r="76" spans="1:2">
      <c r="A76" s="1309" t="s">
        <v>4573</v>
      </c>
      <c r="B76" s="1309">
        <v>0</v>
      </c>
    </row>
    <row r="77" spans="1:2">
      <c r="A77" s="1309" t="s">
        <v>4574</v>
      </c>
      <c r="B77" s="1309">
        <v>0</v>
      </c>
    </row>
    <row r="78" spans="1:2">
      <c r="A78" s="1309" t="s">
        <v>4575</v>
      </c>
      <c r="B78" s="1309">
        <v>0</v>
      </c>
    </row>
    <row r="79" spans="1:2">
      <c r="A79" s="1309" t="s">
        <v>4576</v>
      </c>
      <c r="B79" s="1309">
        <v>0</v>
      </c>
    </row>
    <row r="80" spans="1:2">
      <c r="A80" s="1309" t="s">
        <v>4577</v>
      </c>
      <c r="B80" s="1309">
        <v>0</v>
      </c>
    </row>
    <row r="81" spans="1:2">
      <c r="A81" s="1309" t="s">
        <v>4578</v>
      </c>
      <c r="B81" s="1309">
        <v>0</v>
      </c>
    </row>
    <row r="82" spans="1:2">
      <c r="A82" s="1309" t="s">
        <v>4579</v>
      </c>
      <c r="B82" s="1309">
        <v>0</v>
      </c>
    </row>
    <row r="83" spans="1:2">
      <c r="A83" s="1309" t="s">
        <v>4580</v>
      </c>
      <c r="B83" s="1309">
        <v>0</v>
      </c>
    </row>
    <row r="84" spans="1:2">
      <c r="A84" s="1309" t="s">
        <v>4581</v>
      </c>
      <c r="B84" s="1309">
        <v>62</v>
      </c>
    </row>
    <row r="85" spans="1:2">
      <c r="A85" s="1309" t="s">
        <v>4582</v>
      </c>
      <c r="B85" s="1309" t="e">
        <v>#N/A</v>
      </c>
    </row>
    <row r="86" spans="1:2">
      <c r="A86" s="1309" t="s">
        <v>4583</v>
      </c>
      <c r="B86" s="1309" t="e">
        <v>#N/A</v>
      </c>
    </row>
    <row r="87" spans="1:2">
      <c r="A87" s="1309" t="s">
        <v>4584</v>
      </c>
      <c r="B87" s="1309" t="e">
        <v>#N/A</v>
      </c>
    </row>
    <row r="88" spans="1:2">
      <c r="A88" s="1309" t="s">
        <v>4585</v>
      </c>
      <c r="B88" s="1309" t="e">
        <v>#N/A</v>
      </c>
    </row>
    <row r="89" spans="1:2">
      <c r="A89" s="1309" t="s">
        <v>4586</v>
      </c>
      <c r="B89" s="1309" t="e">
        <v>#N/A</v>
      </c>
    </row>
    <row r="90" spans="1:2">
      <c r="A90" s="1309" t="s">
        <v>4587</v>
      </c>
      <c r="B90" s="1309" t="e">
        <v>#N/A</v>
      </c>
    </row>
    <row r="91" spans="1:2">
      <c r="A91" s="1309" t="s">
        <v>4588</v>
      </c>
      <c r="B91" s="1309" t="e">
        <v>#N/A</v>
      </c>
    </row>
    <row r="92" spans="1:2">
      <c r="A92" s="1309" t="s">
        <v>4589</v>
      </c>
      <c r="B92" s="1309" t="e">
        <v>#N/A</v>
      </c>
    </row>
    <row r="93" spans="1:2">
      <c r="A93" s="1309" t="s">
        <v>4590</v>
      </c>
      <c r="B93" s="1309" t="e">
        <v>#N/A</v>
      </c>
    </row>
    <row r="94" spans="1:2">
      <c r="A94" s="1309" t="s">
        <v>4591</v>
      </c>
      <c r="B94" s="1309">
        <v>0</v>
      </c>
    </row>
    <row r="95" spans="1:2">
      <c r="A95" s="1309" t="s">
        <v>4592</v>
      </c>
      <c r="B95" s="1309">
        <v>0</v>
      </c>
    </row>
    <row r="96" spans="1:2">
      <c r="A96" s="1309" t="s">
        <v>4593</v>
      </c>
      <c r="B96" s="1309">
        <v>0</v>
      </c>
    </row>
    <row r="97" spans="1:2">
      <c r="A97" s="1309" t="s">
        <v>4594</v>
      </c>
      <c r="B97" s="1309">
        <v>0</v>
      </c>
    </row>
    <row r="98" spans="1:2">
      <c r="A98" s="1309" t="s">
        <v>4595</v>
      </c>
      <c r="B98" s="1309">
        <v>0</v>
      </c>
    </row>
    <row r="99" spans="1:2">
      <c r="A99" s="1309" t="s">
        <v>4596</v>
      </c>
      <c r="B99" s="1309">
        <v>0</v>
      </c>
    </row>
    <row r="100" spans="1:2">
      <c r="A100" s="1309" t="s">
        <v>4597</v>
      </c>
      <c r="B100" s="1309">
        <v>0</v>
      </c>
    </row>
    <row r="101" spans="1:2">
      <c r="A101" s="1309" t="s">
        <v>4598</v>
      </c>
      <c r="B101" s="1309">
        <v>0</v>
      </c>
    </row>
    <row r="102" spans="1:2">
      <c r="A102" s="1309" t="s">
        <v>4599</v>
      </c>
      <c r="B102" s="1309">
        <v>0</v>
      </c>
    </row>
    <row r="103" spans="1:2">
      <c r="A103" s="1309" t="s">
        <v>4600</v>
      </c>
      <c r="B103" s="1309">
        <v>0</v>
      </c>
    </row>
    <row r="104" spans="1:2">
      <c r="A104" s="1309" t="s">
        <v>4601</v>
      </c>
      <c r="B104" s="1309">
        <v>0</v>
      </c>
    </row>
    <row r="105" spans="1:2">
      <c r="A105" s="1309" t="s">
        <v>4602</v>
      </c>
      <c r="B105" s="1309">
        <v>0</v>
      </c>
    </row>
    <row r="106" spans="1:2">
      <c r="A106" s="1309" t="s">
        <v>4603</v>
      </c>
      <c r="B106" s="1309">
        <v>0</v>
      </c>
    </row>
    <row r="107" spans="1:2">
      <c r="A107" s="1309" t="s">
        <v>4604</v>
      </c>
      <c r="B107" s="1309">
        <v>0.67600000000000005</v>
      </c>
    </row>
    <row r="108" spans="1:2">
      <c r="A108" s="1309" t="s">
        <v>4605</v>
      </c>
      <c r="B108" s="1309">
        <v>0</v>
      </c>
    </row>
    <row r="109" spans="1:2">
      <c r="A109" s="1309" t="s">
        <v>4606</v>
      </c>
      <c r="B109" s="1309">
        <v>900</v>
      </c>
    </row>
    <row r="110" spans="1:2">
      <c r="A110" s="1309" t="s">
        <v>4607</v>
      </c>
      <c r="B110" s="1309">
        <v>0</v>
      </c>
    </row>
    <row r="111" spans="1:2">
      <c r="A111" s="1309" t="s">
        <v>4608</v>
      </c>
      <c r="B111" s="1309">
        <v>3</v>
      </c>
    </row>
    <row r="112" spans="1:2">
      <c r="A112" s="1309" t="s">
        <v>4609</v>
      </c>
      <c r="B112" s="1309">
        <v>15139</v>
      </c>
    </row>
    <row r="113" spans="1:2">
      <c r="A113" s="1309" t="s">
        <v>4610</v>
      </c>
      <c r="B113" s="1309" t="e">
        <v>#N/A</v>
      </c>
    </row>
    <row r="114" spans="1:2">
      <c r="A114" s="1309" t="s">
        <v>4611</v>
      </c>
      <c r="B114" s="1309" t="e">
        <v>#N/A</v>
      </c>
    </row>
    <row r="115" spans="1:2">
      <c r="A115" s="1309" t="s">
        <v>4612</v>
      </c>
      <c r="B115" s="1309" t="e">
        <v>#N/A</v>
      </c>
    </row>
    <row r="116" spans="1:2">
      <c r="A116" s="1309" t="s">
        <v>4613</v>
      </c>
      <c r="B116" s="1309" t="e">
        <v>#N/A</v>
      </c>
    </row>
    <row r="117" spans="1:2">
      <c r="A117" s="1309" t="s">
        <v>4614</v>
      </c>
      <c r="B117" s="1309" t="e">
        <v>#N/A</v>
      </c>
    </row>
    <row r="118" spans="1:2">
      <c r="A118" s="1309" t="s">
        <v>4615</v>
      </c>
      <c r="B118" s="1309" t="e">
        <v>#N/A</v>
      </c>
    </row>
    <row r="119" spans="1:2">
      <c r="A119" s="1309" t="s">
        <v>4616</v>
      </c>
      <c r="B119" s="1309" t="e">
        <v>#N/A</v>
      </c>
    </row>
    <row r="120" spans="1:2">
      <c r="A120" s="1309" t="s">
        <v>4617</v>
      </c>
      <c r="B120" s="1309" t="e">
        <v>#N/A</v>
      </c>
    </row>
    <row r="121" spans="1:2">
      <c r="A121" s="1309" t="s">
        <v>4618</v>
      </c>
      <c r="B121" s="1309" t="e">
        <v>#N/A</v>
      </c>
    </row>
    <row r="122" spans="1:2">
      <c r="A122" s="1309" t="s">
        <v>4619</v>
      </c>
      <c r="B122" s="1309">
        <v>0</v>
      </c>
    </row>
    <row r="123" spans="1:2">
      <c r="A123" s="1309" t="s">
        <v>4620</v>
      </c>
      <c r="B123" s="1309">
        <v>0</v>
      </c>
    </row>
    <row r="124" spans="1:2">
      <c r="A124" s="1309" t="s">
        <v>4621</v>
      </c>
      <c r="B124" s="1309">
        <v>0</v>
      </c>
    </row>
    <row r="125" spans="1:2">
      <c r="A125" s="1309" t="s">
        <v>4622</v>
      </c>
      <c r="B125" s="1309">
        <v>0</v>
      </c>
    </row>
    <row r="126" spans="1:2">
      <c r="A126" s="1309" t="s">
        <v>4623</v>
      </c>
      <c r="B126" s="1309">
        <v>0</v>
      </c>
    </row>
    <row r="127" spans="1:2">
      <c r="A127" s="1309" t="s">
        <v>4624</v>
      </c>
      <c r="B127" s="1309">
        <v>0</v>
      </c>
    </row>
    <row r="128" spans="1:2">
      <c r="A128" s="1309" t="s">
        <v>4625</v>
      </c>
      <c r="B128" s="1309">
        <v>0</v>
      </c>
    </row>
    <row r="129" spans="1:2">
      <c r="A129" s="1309" t="s">
        <v>4626</v>
      </c>
      <c r="B129" s="1309">
        <v>0</v>
      </c>
    </row>
    <row r="130" spans="1:2">
      <c r="A130" s="1309" t="s">
        <v>4627</v>
      </c>
      <c r="B130" s="1309">
        <v>0</v>
      </c>
    </row>
    <row r="131" spans="1:2">
      <c r="A131" s="1309" t="s">
        <v>4628</v>
      </c>
      <c r="B131" s="1309">
        <v>0</v>
      </c>
    </row>
    <row r="132" spans="1:2">
      <c r="A132" s="1309" t="s">
        <v>4629</v>
      </c>
      <c r="B132" s="1309">
        <v>0</v>
      </c>
    </row>
    <row r="133" spans="1:2">
      <c r="A133" s="1309" t="s">
        <v>4630</v>
      </c>
      <c r="B133" s="1309">
        <v>0</v>
      </c>
    </row>
    <row r="134" spans="1:2">
      <c r="A134" s="1309" t="s">
        <v>4631</v>
      </c>
      <c r="B134" s="1309">
        <v>0</v>
      </c>
    </row>
    <row r="135" spans="1:2">
      <c r="A135" s="1309" t="s">
        <v>4632</v>
      </c>
      <c r="B135" s="1309">
        <v>0</v>
      </c>
    </row>
    <row r="136" spans="1:2">
      <c r="A136" s="1309" t="s">
        <v>4633</v>
      </c>
      <c r="B136" s="1309">
        <v>0</v>
      </c>
    </row>
    <row r="137" spans="1:2">
      <c r="A137" s="1309" t="s">
        <v>4634</v>
      </c>
      <c r="B137" s="1309">
        <v>0</v>
      </c>
    </row>
    <row r="138" spans="1:2">
      <c r="A138" s="1309" t="s">
        <v>4635</v>
      </c>
      <c r="B138" s="1309">
        <v>0</v>
      </c>
    </row>
    <row r="139" spans="1:2">
      <c r="A139" s="1309" t="s">
        <v>4636</v>
      </c>
      <c r="B139" s="1309">
        <v>0</v>
      </c>
    </row>
    <row r="140" spans="1:2">
      <c r="A140" s="1309" t="s">
        <v>4637</v>
      </c>
      <c r="B140" s="1309">
        <v>0</v>
      </c>
    </row>
    <row r="141" spans="1:2">
      <c r="A141" s="1309" t="s">
        <v>4638</v>
      </c>
      <c r="B141" s="1309">
        <v>0</v>
      </c>
    </row>
    <row r="142" spans="1:2">
      <c r="A142" s="1309" t="s">
        <v>4639</v>
      </c>
      <c r="B142" s="1309">
        <v>0</v>
      </c>
    </row>
    <row r="143" spans="1:2">
      <c r="A143" s="1309" t="s">
        <v>4640</v>
      </c>
      <c r="B143" s="1309">
        <v>662551710.81191099</v>
      </c>
    </row>
    <row r="144" spans="1:2">
      <c r="A144" s="1309" t="s">
        <v>4641</v>
      </c>
      <c r="B144" s="1309">
        <v>0.157462533747384</v>
      </c>
    </row>
    <row r="145" spans="1:2">
      <c r="A145" s="1309" t="s">
        <v>4642</v>
      </c>
      <c r="B145" s="1309">
        <v>0.67600000000000005</v>
      </c>
    </row>
    <row r="146" spans="1:2">
      <c r="A146" s="1309" t="s">
        <v>4643</v>
      </c>
      <c r="B146" s="1309">
        <v>6000000</v>
      </c>
    </row>
    <row r="147" spans="1:2">
      <c r="A147" s="1309" t="s">
        <v>4644</v>
      </c>
      <c r="B147" s="1309">
        <v>0</v>
      </c>
    </row>
    <row r="148" spans="1:2">
      <c r="A148" s="1309" t="s">
        <v>4645</v>
      </c>
      <c r="B148" s="1309">
        <v>0</v>
      </c>
    </row>
    <row r="149" spans="1:2">
      <c r="A149" s="1309" t="s">
        <v>4646</v>
      </c>
      <c r="B149" s="1309">
        <v>0</v>
      </c>
    </row>
    <row r="150" spans="1:2">
      <c r="A150" s="1309" t="s">
        <v>4647</v>
      </c>
      <c r="B150" s="1309">
        <v>16000</v>
      </c>
    </row>
    <row r="151" spans="1:2">
      <c r="A151" s="1309" t="s">
        <v>4648</v>
      </c>
      <c r="B151" s="1309">
        <v>0.9</v>
      </c>
    </row>
    <row r="152" spans="1:2">
      <c r="A152" s="1309" t="s">
        <v>4649</v>
      </c>
      <c r="B152" s="1309">
        <v>0.22</v>
      </c>
    </row>
    <row r="153" spans="1:2">
      <c r="A153" s="1309" t="s">
        <v>4650</v>
      </c>
      <c r="B153" s="1309">
        <v>6</v>
      </c>
    </row>
    <row r="154" spans="1:2">
      <c r="A154" s="1309" t="s">
        <v>4651</v>
      </c>
      <c r="B154" s="1309">
        <v>0</v>
      </c>
    </row>
    <row r="155" spans="1:2">
      <c r="A155" s="1309" t="s">
        <v>4652</v>
      </c>
      <c r="B155" s="1309">
        <v>150</v>
      </c>
    </row>
    <row r="156" spans="1:2">
      <c r="A156" s="1309" t="s">
        <v>4653</v>
      </c>
      <c r="B156" s="1309">
        <v>5000</v>
      </c>
    </row>
    <row r="157" spans="1:2">
      <c r="A157" s="1309" t="s">
        <v>4654</v>
      </c>
      <c r="B157" s="1309">
        <v>0</v>
      </c>
    </row>
    <row r="158" spans="1:2">
      <c r="A158" s="1309" t="s">
        <v>4655</v>
      </c>
      <c r="B158" s="1309">
        <v>0</v>
      </c>
    </row>
    <row r="159" spans="1:2">
      <c r="A159" s="1309" t="s">
        <v>4656</v>
      </c>
      <c r="B159" s="1309">
        <v>0</v>
      </c>
    </row>
    <row r="160" spans="1:2">
      <c r="A160" s="1309" t="s">
        <v>4657</v>
      </c>
      <c r="B160" s="1309">
        <v>0</v>
      </c>
    </row>
    <row r="161" spans="1:2">
      <c r="A161" s="1309" t="s">
        <v>4658</v>
      </c>
      <c r="B161" s="1309">
        <v>0</v>
      </c>
    </row>
    <row r="162" spans="1:2">
      <c r="A162" s="1309" t="s">
        <v>4659</v>
      </c>
      <c r="B162" s="1309">
        <v>0</v>
      </c>
    </row>
    <row r="163" spans="1:2">
      <c r="A163" s="1309" t="s">
        <v>4660</v>
      </c>
      <c r="B163" s="1309">
        <v>0</v>
      </c>
    </row>
    <row r="164" spans="1:2">
      <c r="A164" s="1309" t="s">
        <v>4661</v>
      </c>
      <c r="B164" s="1309">
        <v>0</v>
      </c>
    </row>
    <row r="165" spans="1:2">
      <c r="A165" s="1309" t="s">
        <v>4662</v>
      </c>
      <c r="B165" s="1309">
        <v>5000000</v>
      </c>
    </row>
    <row r="166" spans="1:2">
      <c r="A166" s="1309" t="s">
        <v>4663</v>
      </c>
      <c r="B166" s="1309">
        <v>0</v>
      </c>
    </row>
    <row r="167" spans="1:2">
      <c r="A167" s="1309" t="s">
        <v>4664</v>
      </c>
      <c r="B167" s="1309">
        <v>0</v>
      </c>
    </row>
    <row r="168" spans="1:2">
      <c r="A168" s="1309" t="s">
        <v>4665</v>
      </c>
      <c r="B168" s="1309">
        <v>0</v>
      </c>
    </row>
    <row r="169" spans="1:2">
      <c r="A169" s="1309" t="s">
        <v>4666</v>
      </c>
      <c r="B169" s="1309">
        <v>16000</v>
      </c>
    </row>
    <row r="170" spans="1:2">
      <c r="A170" s="1309" t="s">
        <v>4667</v>
      </c>
      <c r="B170" s="1309">
        <v>0.8</v>
      </c>
    </row>
    <row r="171" spans="1:2">
      <c r="A171" s="1309" t="s">
        <v>4668</v>
      </c>
      <c r="B171" s="1309">
        <v>0.22</v>
      </c>
    </row>
    <row r="172" spans="1:2">
      <c r="A172" s="1309" t="s">
        <v>4669</v>
      </c>
      <c r="B172" s="1309">
        <v>4</v>
      </c>
    </row>
    <row r="173" spans="1:2">
      <c r="A173" s="1309" t="s">
        <v>4670</v>
      </c>
      <c r="B173" s="1309">
        <v>0.9</v>
      </c>
    </row>
    <row r="174" spans="1:2">
      <c r="A174" s="1309" t="s">
        <v>4671</v>
      </c>
      <c r="B174" s="1309">
        <v>0.8</v>
      </c>
    </row>
    <row r="175" spans="1:2">
      <c r="A175" s="1309" t="s">
        <v>4672</v>
      </c>
      <c r="B175" s="1309">
        <v>0.9</v>
      </c>
    </row>
    <row r="176" spans="1:2">
      <c r="A176" s="1309" t="s">
        <v>4673</v>
      </c>
      <c r="B176" s="1309">
        <v>4.6946513250000002E-2</v>
      </c>
    </row>
    <row r="177" spans="1:2">
      <c r="A177" s="1309" t="s">
        <v>4674</v>
      </c>
      <c r="B177" s="1309">
        <v>2</v>
      </c>
    </row>
    <row r="178" spans="1:2">
      <c r="A178" s="1309" t="s">
        <v>4675</v>
      </c>
      <c r="B178" s="1309">
        <v>2.52</v>
      </c>
    </row>
    <row r="179" spans="1:2">
      <c r="A179" s="1309" t="s">
        <v>4676</v>
      </c>
      <c r="B179" s="1309">
        <v>5.04</v>
      </c>
    </row>
    <row r="180" spans="1:2">
      <c r="A180" s="1309" t="s">
        <v>4677</v>
      </c>
      <c r="B180" s="1309">
        <v>0.159883825630075</v>
      </c>
    </row>
    <row r="181" spans="1:2">
      <c r="A181" s="1309" t="s">
        <v>4678</v>
      </c>
      <c r="B181" s="1309">
        <v>335199956.491633</v>
      </c>
    </row>
    <row r="182" spans="1:2">
      <c r="A182" s="1309" t="s">
        <v>4679</v>
      </c>
      <c r="B182" s="1309">
        <v>0</v>
      </c>
    </row>
    <row r="183" spans="1:2">
      <c r="A183" s="1309" t="s">
        <v>4680</v>
      </c>
      <c r="B183" s="1309">
        <v>2.52</v>
      </c>
    </row>
    <row r="184" spans="1:2">
      <c r="A184" s="1309" t="s">
        <v>4681</v>
      </c>
      <c r="B184" s="1309">
        <v>0</v>
      </c>
    </row>
    <row r="185" spans="1:2">
      <c r="A185" s="1309" t="s">
        <v>4682</v>
      </c>
      <c r="B185" s="1309">
        <v>0.337881132445568</v>
      </c>
    </row>
    <row r="186" spans="1:2">
      <c r="A186" s="1309" t="s">
        <v>4683</v>
      </c>
      <c r="B186" s="1309">
        <v>195000</v>
      </c>
    </row>
    <row r="187" spans="1:2">
      <c r="A187" s="1309" t="s">
        <v>4684</v>
      </c>
      <c r="B187" s="1309">
        <v>-3.1283532782219299E-2</v>
      </c>
    </row>
    <row r="188" spans="1:2">
      <c r="A188" s="1309" t="s">
        <v>4685</v>
      </c>
      <c r="B188" s="1309">
        <v>7.8314939886525697E-3</v>
      </c>
    </row>
    <row r="189" spans="1:2">
      <c r="A189" s="1309" t="s">
        <v>4686</v>
      </c>
      <c r="B189" s="1309">
        <v>7.6653942597852201E-3</v>
      </c>
    </row>
    <row r="190" spans="1:2">
      <c r="A190" s="1309" t="s">
        <v>4687</v>
      </c>
      <c r="B190" s="1309">
        <v>-2.3246135861299099E-2</v>
      </c>
    </row>
    <row r="191" spans="1:2">
      <c r="A191" s="1309" t="s">
        <v>4688</v>
      </c>
      <c r="B191" s="1309">
        <v>2.3055483642779099E-2</v>
      </c>
    </row>
    <row r="192" spans="1:2">
      <c r="A192" s="1309" t="s">
        <v>4689</v>
      </c>
      <c r="B192" s="1309">
        <v>-5.3250251996455802E-3</v>
      </c>
    </row>
    <row r="193" spans="1:2">
      <c r="A193" s="1309" t="s">
        <v>4690</v>
      </c>
      <c r="B193" s="1309">
        <v>-5.8402556072684603E-3</v>
      </c>
    </row>
    <row r="194" spans="1:2">
      <c r="A194" s="1309" t="s">
        <v>4691</v>
      </c>
      <c r="B194" s="1309">
        <v>-2.7142577559215501E-2</v>
      </c>
    </row>
    <row r="195" spans="1:2">
      <c r="A195" s="1309" t="s">
        <v>4692</v>
      </c>
      <c r="B195" s="1309">
        <v>72457200</v>
      </c>
    </row>
    <row r="196" spans="1:2">
      <c r="A196" s="1309" t="s">
        <v>4693</v>
      </c>
      <c r="B196" s="1309">
        <v>210077175.589284</v>
      </c>
    </row>
    <row r="197" spans="1:2">
      <c r="A197" s="1309" t="s">
        <v>4694</v>
      </c>
      <c r="B197" s="1309">
        <v>0.100202705460715</v>
      </c>
    </row>
    <row r="198" spans="1:2">
      <c r="A198" s="1309" t="s">
        <v>4695</v>
      </c>
      <c r="B198" s="1309">
        <v>1</v>
      </c>
    </row>
    <row r="199" spans="1:2">
      <c r="A199" s="1309" t="s">
        <v>4696</v>
      </c>
      <c r="B199" s="1309">
        <v>0.5</v>
      </c>
    </row>
    <row r="200" spans="1:2">
      <c r="A200" s="1309" t="s">
        <v>4697</v>
      </c>
      <c r="B200" s="1309">
        <v>10800</v>
      </c>
    </row>
    <row r="201" spans="1:2">
      <c r="A201" s="1309" t="s">
        <v>4698</v>
      </c>
      <c r="B201" s="1309">
        <v>2096521991.3313</v>
      </c>
    </row>
    <row r="202" spans="1:2">
      <c r="A202" s="1309" t="s">
        <v>4699</v>
      </c>
      <c r="B202" s="1309">
        <v>1680538895.4205301</v>
      </c>
    </row>
    <row r="203" spans="1:2">
      <c r="A203" s="1309" t="s">
        <v>4700</v>
      </c>
      <c r="B203" s="1309">
        <v>0.54</v>
      </c>
    </row>
    <row r="204" spans="1:2">
      <c r="A204" s="1309" t="s">
        <v>4701</v>
      </c>
      <c r="B204" s="1309">
        <v>0</v>
      </c>
    </row>
    <row r="205" spans="1:2">
      <c r="A205" s="1309" t="s">
        <v>4702</v>
      </c>
      <c r="B205" s="1309">
        <v>3.5236157187820201E-2</v>
      </c>
    </row>
    <row r="206" spans="1:2">
      <c r="A206" s="1309" t="s">
        <v>4703</v>
      </c>
      <c r="B206" s="1309">
        <v>3</v>
      </c>
    </row>
    <row r="207" spans="1:2">
      <c r="A207" s="1309" t="s">
        <v>4704</v>
      </c>
      <c r="B207" s="1309">
        <v>0.04</v>
      </c>
    </row>
    <row r="208" spans="1:2">
      <c r="A208" s="1309" t="s">
        <v>4705</v>
      </c>
      <c r="B208" s="1309">
        <v>193219200</v>
      </c>
    </row>
    <row r="209" spans="1:2">
      <c r="A209" s="1309" t="s">
        <v>4706</v>
      </c>
      <c r="B209" s="1309">
        <v>1</v>
      </c>
    </row>
    <row r="210" spans="1:2">
      <c r="A210" s="1309" t="s">
        <v>4707</v>
      </c>
      <c r="B210" s="1309">
        <v>0.8</v>
      </c>
    </row>
    <row r="211" spans="1:2">
      <c r="A211" s="1309" t="s">
        <v>4708</v>
      </c>
      <c r="B211" s="1309">
        <v>0.11373444720000001</v>
      </c>
    </row>
    <row r="212" spans="1:2">
      <c r="A212" s="1309" t="s">
        <v>4709</v>
      </c>
      <c r="B212" s="1309">
        <v>0</v>
      </c>
    </row>
    <row r="213" spans="1:2">
      <c r="A213" s="1309" t="s">
        <v>4710</v>
      </c>
      <c r="B213" s="1309">
        <v>2.52</v>
      </c>
    </row>
    <row r="214" spans="1:2">
      <c r="A214" s="1309" t="s">
        <v>4711</v>
      </c>
      <c r="B214" s="1309">
        <v>2.52</v>
      </c>
    </row>
    <row r="215" spans="1:2">
      <c r="A215" s="1309" t="s">
        <v>4712</v>
      </c>
      <c r="B215" s="1309">
        <v>0.28078952994644202</v>
      </c>
    </row>
    <row r="216" spans="1:2">
      <c r="A216" s="1309" t="s">
        <v>4713</v>
      </c>
      <c r="B216" s="1309">
        <v>592790631.24335396</v>
      </c>
    </row>
    <row r="217" spans="1:2">
      <c r="A217" s="1309" t="s">
        <v>4714</v>
      </c>
      <c r="B217" s="1309">
        <v>0</v>
      </c>
    </row>
    <row r="218" spans="1:2">
      <c r="A218" s="1309" t="s">
        <v>4715</v>
      </c>
      <c r="B218" s="1309">
        <v>195000</v>
      </c>
    </row>
    <row r="219" spans="1:2">
      <c r="A219" s="1309" t="s">
        <v>4716</v>
      </c>
      <c r="B219" s="1309">
        <v>0</v>
      </c>
    </row>
    <row r="220" spans="1:2">
      <c r="A220" s="1309" t="s">
        <v>4717</v>
      </c>
      <c r="B220" s="1309">
        <v>0.329067641681901</v>
      </c>
    </row>
    <row r="221" spans="1:2">
      <c r="A221" s="1309" t="s">
        <v>4718</v>
      </c>
      <c r="B221" s="1309">
        <v>0.5</v>
      </c>
    </row>
    <row r="222" spans="1:2">
      <c r="A222" s="1309" t="s">
        <v>4719</v>
      </c>
      <c r="B222" s="1309">
        <v>-3.4002444693816497E-2</v>
      </c>
    </row>
    <row r="223" spans="1:2">
      <c r="A223" s="1309" t="s">
        <v>4720</v>
      </c>
      <c r="B223" s="1309">
        <v>2.9626852958483701E-2</v>
      </c>
    </row>
    <row r="224" spans="1:2">
      <c r="A224" s="1309" t="s">
        <v>4721</v>
      </c>
      <c r="B224" s="1309">
        <v>-2.5458768873435799E-2</v>
      </c>
    </row>
    <row r="225" spans="1:2">
      <c r="A225" s="1309" t="s">
        <v>4722</v>
      </c>
      <c r="B225" s="1309">
        <v>7.14803073295884E-3</v>
      </c>
    </row>
    <row r="226" spans="1:2">
      <c r="A226" s="1309" t="s">
        <v>4723</v>
      </c>
      <c r="B226" s="1309">
        <v>-6.1234699798056501E-3</v>
      </c>
    </row>
    <row r="227" spans="1:2">
      <c r="A227" s="1309" t="s">
        <v>4724</v>
      </c>
      <c r="B227" s="1309">
        <v>5.6217270256443703E-3</v>
      </c>
    </row>
    <row r="228" spans="1:2">
      <c r="A228" s="1309" t="s">
        <v>4725</v>
      </c>
      <c r="B228" s="1309">
        <v>-1.5873015873015799E-2</v>
      </c>
    </row>
    <row r="229" spans="1:2">
      <c r="A229" s="1309" t="s">
        <v>4726</v>
      </c>
      <c r="B229" s="1309">
        <v>-3.9061088702986899E-2</v>
      </c>
    </row>
    <row r="230" spans="1:2">
      <c r="A230" s="1309" t="s">
        <v>4727</v>
      </c>
      <c r="B230" s="1309">
        <v>0</v>
      </c>
    </row>
    <row r="231" spans="1:2">
      <c r="A231" s="1309" t="s">
        <v>4728</v>
      </c>
      <c r="B231" s="1309">
        <v>452474535.22262698</v>
      </c>
    </row>
    <row r="232" spans="1:2">
      <c r="A232" s="1309" t="s">
        <v>4729</v>
      </c>
      <c r="B232" s="1309">
        <v>0.214325438631535</v>
      </c>
    </row>
    <row r="233" spans="1:2">
      <c r="A233" s="1309" t="s">
        <v>4730</v>
      </c>
      <c r="B233" s="1309">
        <v>0.04</v>
      </c>
    </row>
    <row r="234" spans="1:2">
      <c r="A234" s="1309" t="s">
        <v>4731</v>
      </c>
      <c r="B234" s="1309">
        <v>2</v>
      </c>
    </row>
    <row r="235" spans="1:2">
      <c r="A235" s="1309" t="s">
        <v>4732</v>
      </c>
      <c r="B235" s="1309">
        <v>5.04</v>
      </c>
    </row>
    <row r="236" spans="1:2">
      <c r="A236" s="1309" t="s">
        <v>4733</v>
      </c>
      <c r="B236" s="1309">
        <v>2111156464.2614</v>
      </c>
    </row>
    <row r="237" spans="1:2">
      <c r="A237" s="1309" t="s">
        <v>4734</v>
      </c>
      <c r="B237" s="1309">
        <v>1937837122.5341499</v>
      </c>
    </row>
    <row r="238" spans="1:2">
      <c r="A238" s="1309" t="s">
        <v>4735</v>
      </c>
      <c r="B238" s="1309">
        <v>12000</v>
      </c>
    </row>
    <row r="239" spans="1:2">
      <c r="A239" s="1309" t="s">
        <v>4736</v>
      </c>
      <c r="B239" s="1309">
        <v>1</v>
      </c>
    </row>
    <row r="240" spans="1:2">
      <c r="A240" s="1309" t="s">
        <v>4737</v>
      </c>
      <c r="B240" s="1309">
        <v>-0.11373444720000001</v>
      </c>
    </row>
    <row r="241" spans="1:2">
      <c r="A241" s="1309" t="s">
        <v>4738</v>
      </c>
      <c r="B241" s="1309">
        <v>3</v>
      </c>
    </row>
    <row r="242" spans="1:2">
      <c r="A242" s="1309" t="s">
        <v>4739</v>
      </c>
      <c r="B242" s="1309">
        <v>0.54</v>
      </c>
    </row>
    <row r="243" spans="1:2">
      <c r="A243" s="1309" t="s">
        <v>4740</v>
      </c>
      <c r="B243" s="1309">
        <v>0</v>
      </c>
    </row>
    <row r="244" spans="1:2">
      <c r="A244" s="1309" t="s">
        <v>4741</v>
      </c>
      <c r="B244" s="1309">
        <v>1</v>
      </c>
    </row>
    <row r="245" spans="1:2">
      <c r="A245" s="1309" t="s">
        <v>4742</v>
      </c>
      <c r="B245" s="1309">
        <v>4207678455.59271</v>
      </c>
    </row>
    <row r="246" spans="1:2">
      <c r="A246" s="1309" t="s">
        <v>4743</v>
      </c>
      <c r="B246" s="1309">
        <v>0</v>
      </c>
    </row>
    <row r="247" spans="1:2">
      <c r="A247" s="1309" t="s">
        <v>4744</v>
      </c>
      <c r="B247" s="1309">
        <v>0</v>
      </c>
    </row>
    <row r="248" spans="1:2">
      <c r="A248" s="1309" t="s">
        <v>4745</v>
      </c>
      <c r="B248" s="1309">
        <v>0</v>
      </c>
    </row>
    <row r="249" spans="1:2">
      <c r="A249" s="1309" t="s">
        <v>4746</v>
      </c>
      <c r="B249" s="1309">
        <v>0</v>
      </c>
    </row>
    <row r="250" spans="1:2">
      <c r="A250" s="1309" t="s">
        <v>4747</v>
      </c>
      <c r="B250" s="1309">
        <v>0</v>
      </c>
    </row>
    <row r="251" spans="1:2">
      <c r="A251" s="1309" t="s">
        <v>4748</v>
      </c>
      <c r="B251" s="1309">
        <v>0</v>
      </c>
    </row>
    <row r="252" spans="1:2">
      <c r="A252" s="1309" t="s">
        <v>4749</v>
      </c>
      <c r="B252" s="1309">
        <v>0</v>
      </c>
    </row>
    <row r="253" spans="1:2">
      <c r="A253" s="1309" t="s">
        <v>4750</v>
      </c>
      <c r="B253" s="1309">
        <v>0</v>
      </c>
    </row>
    <row r="254" spans="1:2">
      <c r="A254" s="1309" t="s">
        <v>4751</v>
      </c>
      <c r="B254" s="1309">
        <v>0</v>
      </c>
    </row>
    <row r="255" spans="1:2">
      <c r="A255" s="1309" t="s">
        <v>4752</v>
      </c>
      <c r="B255" s="1309">
        <v>0</v>
      </c>
    </row>
    <row r="256" spans="1:2">
      <c r="A256" s="1309" t="s">
        <v>4753</v>
      </c>
      <c r="B256" s="1309">
        <v>0</v>
      </c>
    </row>
    <row r="257" spans="1:2">
      <c r="A257" s="1309" t="s">
        <v>4754</v>
      </c>
      <c r="B257" s="1309">
        <v>0</v>
      </c>
    </row>
    <row r="258" spans="1:2">
      <c r="A258" s="1309" t="s">
        <v>4755</v>
      </c>
      <c r="B258" s="1309">
        <v>0</v>
      </c>
    </row>
    <row r="259" spans="1:2">
      <c r="A259" s="1309" t="s">
        <v>4756</v>
      </c>
      <c r="B259" s="1309">
        <v>0</v>
      </c>
    </row>
    <row r="260" spans="1:2">
      <c r="A260" s="1309" t="s">
        <v>4757</v>
      </c>
      <c r="B260" s="1309">
        <v>0</v>
      </c>
    </row>
    <row r="261" spans="1:2">
      <c r="A261" s="1309" t="s">
        <v>4758</v>
      </c>
      <c r="B261" s="1309">
        <v>0</v>
      </c>
    </row>
    <row r="262" spans="1:2">
      <c r="A262" s="1309" t="s">
        <v>4759</v>
      </c>
      <c r="B262" s="1309">
        <v>0</v>
      </c>
    </row>
    <row r="263" spans="1:2">
      <c r="A263" s="1309" t="s">
        <v>4760</v>
      </c>
      <c r="B263" s="1309">
        <v>0</v>
      </c>
    </row>
    <row r="264" spans="1:2">
      <c r="A264" s="1309" t="s">
        <v>4761</v>
      </c>
      <c r="B264" s="1309">
        <v>0</v>
      </c>
    </row>
    <row r="265" spans="1:2">
      <c r="A265" s="1309" t="s">
        <v>4762</v>
      </c>
      <c r="B265" s="1309">
        <v>0</v>
      </c>
    </row>
    <row r="266" spans="1:2">
      <c r="A266" s="1309" t="s">
        <v>4763</v>
      </c>
      <c r="B266" s="1309">
        <v>2</v>
      </c>
    </row>
    <row r="267" spans="1:2">
      <c r="A267" s="1309" t="s">
        <v>4764</v>
      </c>
      <c r="B267" s="1309">
        <v>0</v>
      </c>
    </row>
    <row r="268" spans="1:2">
      <c r="A268" s="1309" t="s">
        <v>4765</v>
      </c>
      <c r="B268" s="1309">
        <v>0</v>
      </c>
    </row>
    <row r="269" spans="1:2">
      <c r="A269" s="1309" t="s">
        <v>4766</v>
      </c>
      <c r="B269" s="1309">
        <v>0</v>
      </c>
    </row>
    <row r="270" spans="1:2">
      <c r="A270" s="1309" t="s">
        <v>4767</v>
      </c>
      <c r="B270" s="1309">
        <v>0</v>
      </c>
    </row>
    <row r="271" spans="1:2">
      <c r="A271" s="1309" t="s">
        <v>4768</v>
      </c>
      <c r="B271" s="1309">
        <v>0</v>
      </c>
    </row>
    <row r="272" spans="1:2">
      <c r="A272" s="1309" t="s">
        <v>4769</v>
      </c>
      <c r="B272" s="1309">
        <v>0</v>
      </c>
    </row>
    <row r="273" spans="1:2">
      <c r="A273" s="1309" t="s">
        <v>4770</v>
      </c>
      <c r="B273" s="1309">
        <v>0</v>
      </c>
    </row>
    <row r="274" spans="1:2">
      <c r="A274" s="1309" t="s">
        <v>4771</v>
      </c>
      <c r="B274" s="1309">
        <v>0</v>
      </c>
    </row>
    <row r="275" spans="1:2">
      <c r="A275" s="1309" t="s">
        <v>4772</v>
      </c>
      <c r="B275" s="1309">
        <v>0</v>
      </c>
    </row>
    <row r="276" spans="1:2">
      <c r="A276" s="1309" t="s">
        <v>4773</v>
      </c>
      <c r="B276" s="1309">
        <v>0</v>
      </c>
    </row>
    <row r="277" spans="1:2">
      <c r="A277" s="1309" t="s">
        <v>4774</v>
      </c>
      <c r="B277" s="1309">
        <v>0</v>
      </c>
    </row>
    <row r="278" spans="1:2">
      <c r="A278" s="1309" t="s">
        <v>4775</v>
      </c>
      <c r="B278" s="1309">
        <v>0</v>
      </c>
    </row>
    <row r="279" spans="1:2">
      <c r="A279" s="1309" t="s">
        <v>4776</v>
      </c>
      <c r="B279" s="1309">
        <v>0</v>
      </c>
    </row>
    <row r="280" spans="1:2">
      <c r="A280" s="1309" t="s">
        <v>4777</v>
      </c>
      <c r="B280" s="1309">
        <v>0</v>
      </c>
    </row>
    <row r="281" spans="1:2">
      <c r="A281" s="1309" t="s">
        <v>4778</v>
      </c>
      <c r="B281" s="1309">
        <v>1208</v>
      </c>
    </row>
    <row r="282" spans="1:2">
      <c r="A282" s="1309" t="s">
        <v>4779</v>
      </c>
      <c r="B282" s="1309">
        <v>13031</v>
      </c>
    </row>
    <row r="283" spans="1:2">
      <c r="A283" s="1309" t="s">
        <v>4780</v>
      </c>
      <c r="B283" s="1309" t="s">
        <v>1339</v>
      </c>
    </row>
    <row r="284" spans="1:2">
      <c r="A284" s="1309" t="s">
        <v>4781</v>
      </c>
      <c r="B284" s="1309">
        <v>927990587.73498797</v>
      </c>
    </row>
    <row r="285" spans="1:2">
      <c r="A285" s="1309" t="s">
        <v>4782</v>
      </c>
      <c r="B285" s="1309">
        <v>940488897.02871501</v>
      </c>
    </row>
    <row r="286" spans="1:2">
      <c r="A286" s="1309" t="s">
        <v>4783</v>
      </c>
      <c r="B286" s="1309">
        <v>927990587.73498797</v>
      </c>
    </row>
    <row r="287" spans="1:2">
      <c r="A287" s="1309" t="s">
        <v>4784</v>
      </c>
      <c r="B287" s="1309">
        <v>0</v>
      </c>
    </row>
    <row r="288" spans="1:2">
      <c r="A288" s="1309" t="s">
        <v>4785</v>
      </c>
      <c r="B288" s="1309">
        <v>0</v>
      </c>
    </row>
    <row r="289" spans="1:2">
      <c r="A289" s="1309" t="s">
        <v>4786</v>
      </c>
      <c r="B289" s="1309" t="s">
        <v>1339</v>
      </c>
    </row>
    <row r="290" spans="1:2">
      <c r="A290" s="1309" t="s">
        <v>4787</v>
      </c>
      <c r="B290" s="1309">
        <v>1946215295.4205301</v>
      </c>
    </row>
    <row r="291" spans="1:2">
      <c r="A291" s="1309" t="s">
        <v>4788</v>
      </c>
      <c r="B291" s="1309">
        <v>1937837122.5341499</v>
      </c>
    </row>
    <row r="292" spans="1:2">
      <c r="A292" s="1309" t="s">
        <v>4789</v>
      </c>
      <c r="B292" s="1309">
        <v>323626037.63802898</v>
      </c>
    </row>
    <row r="293" spans="1:2">
      <c r="A293" s="1309" t="s">
        <v>4790</v>
      </c>
      <c r="B293" s="1309">
        <v>-4.6183073870751198E-2</v>
      </c>
    </row>
    <row r="294" spans="1:2">
      <c r="A294" s="1309" t="s">
        <v>4791</v>
      </c>
      <c r="B294" s="1309">
        <v>589302437.63803005</v>
      </c>
    </row>
    <row r="295" spans="1:2">
      <c r="A295" s="1309" t="s">
        <v>4792</v>
      </c>
      <c r="B295" s="1309">
        <v>3618376017.95468</v>
      </c>
    </row>
    <row r="296" spans="1:2">
      <c r="A296" s="1309" t="s">
        <v>4793</v>
      </c>
      <c r="B296" s="1309">
        <v>0.91782883241771296</v>
      </c>
    </row>
    <row r="297" spans="1:2">
      <c r="A297" s="1309" t="s">
        <v>4794</v>
      </c>
      <c r="B297" s="1309">
        <v>2148092320</v>
      </c>
    </row>
    <row r="298" spans="1:2">
      <c r="A298" s="1309" t="s">
        <v>4795</v>
      </c>
      <c r="B298" s="1309">
        <v>540595547.85772502</v>
      </c>
    </row>
    <row r="299" spans="1:2">
      <c r="A299" s="1309" t="s">
        <v>4796</v>
      </c>
      <c r="B299" s="1309">
        <v>5000000</v>
      </c>
    </row>
    <row r="300" spans="1:2">
      <c r="A300" s="1309" t="s">
        <v>4797</v>
      </c>
      <c r="B300" s="1309">
        <v>465000000</v>
      </c>
    </row>
    <row r="301" spans="1:2">
      <c r="A301" s="1309" t="s">
        <v>4798</v>
      </c>
      <c r="B301" s="1309">
        <v>121000000</v>
      </c>
    </row>
    <row r="302" spans="1:2">
      <c r="A302" s="1309" t="s">
        <v>4799</v>
      </c>
      <c r="B302" s="1309">
        <v>265438876.92307699</v>
      </c>
    </row>
    <row r="303" spans="1:2">
      <c r="A303" s="1309" t="s">
        <v>4800</v>
      </c>
      <c r="B303" s="1309">
        <v>662551710.81191099</v>
      </c>
    </row>
    <row r="304" spans="1:2">
      <c r="A304" s="1309" t="s">
        <v>4801</v>
      </c>
      <c r="B304" s="1309">
        <v>0.157462533747384</v>
      </c>
    </row>
    <row r="305" spans="1:2">
      <c r="A305" s="1309" t="s">
        <v>4802</v>
      </c>
      <c r="B305" s="1309">
        <v>927990587.73498797</v>
      </c>
    </row>
    <row r="306" spans="1:2">
      <c r="A306" s="1309" t="s">
        <v>4803</v>
      </c>
      <c r="B306" s="1309">
        <v>0.22054693521115701</v>
      </c>
    </row>
    <row r="307" spans="1:2">
      <c r="A307" s="1309" t="s">
        <v>4804</v>
      </c>
      <c r="B307" s="1309">
        <v>0</v>
      </c>
    </row>
    <row r="308" spans="1:2">
      <c r="A308" s="1309" t="s">
        <v>4805</v>
      </c>
      <c r="B308" s="1309">
        <v>0</v>
      </c>
    </row>
    <row r="309" spans="1:2">
      <c r="A309" s="1309" t="s">
        <v>4806</v>
      </c>
      <c r="B309" s="1309">
        <v>0</v>
      </c>
    </row>
    <row r="310" spans="1:2">
      <c r="A310" s="1309" t="s">
        <v>4807</v>
      </c>
      <c r="B310" s="1309">
        <v>0</v>
      </c>
    </row>
    <row r="311" spans="1:2">
      <c r="A311" s="1309" t="s">
        <v>4808</v>
      </c>
      <c r="B311" s="1309">
        <v>0</v>
      </c>
    </row>
    <row r="312" spans="1:2">
      <c r="A312" s="1309" t="s">
        <v>4809</v>
      </c>
      <c r="B312" s="1309">
        <v>0</v>
      </c>
    </row>
    <row r="313" spans="1:2">
      <c r="A313" s="1309" t="s">
        <v>4810</v>
      </c>
      <c r="B313" s="1309">
        <v>-7.9365079365079604E-4</v>
      </c>
    </row>
    <row r="314" spans="1:2">
      <c r="A314" s="1309" t="s">
        <v>4811</v>
      </c>
      <c r="B314" s="1309">
        <v>0</v>
      </c>
    </row>
    <row r="315" spans="1:2">
      <c r="A315" s="1309" t="s">
        <v>4812</v>
      </c>
      <c r="B315" s="1309">
        <v>0</v>
      </c>
    </row>
    <row r="316" spans="1:2">
      <c r="A316" s="1309" t="s">
        <v>4813</v>
      </c>
      <c r="B316" s="1309">
        <v>0</v>
      </c>
    </row>
    <row r="317" spans="1:2">
      <c r="A317" s="1309" t="s">
        <v>4814</v>
      </c>
      <c r="B317" s="1309">
        <v>62.920634920634903</v>
      </c>
    </row>
    <row r="318" spans="1:2">
      <c r="A318" s="1309" t="s">
        <v>4815</v>
      </c>
      <c r="B318" s="1309">
        <v>0</v>
      </c>
    </row>
    <row r="319" spans="1:2">
      <c r="A319" s="1309" t="s">
        <v>4816</v>
      </c>
      <c r="B319" s="1309">
        <v>0</v>
      </c>
    </row>
    <row r="320" spans="1:2">
      <c r="A320" s="1309" t="s">
        <v>4817</v>
      </c>
      <c r="B320" s="1309">
        <v>0</v>
      </c>
    </row>
    <row r="321" spans="1:2">
      <c r="A321" s="1309" t="s">
        <v>4818</v>
      </c>
      <c r="B321" s="1309">
        <v>-0.01</v>
      </c>
    </row>
    <row r="322" spans="1:2">
      <c r="A322" s="1309" t="s">
        <v>4819</v>
      </c>
      <c r="B322" s="1309">
        <v>0</v>
      </c>
    </row>
    <row r="323" spans="1:2">
      <c r="A323" s="1309" t="s">
        <v>4820</v>
      </c>
      <c r="B323" s="1309">
        <v>0</v>
      </c>
    </row>
    <row r="324" spans="1:2">
      <c r="A324" s="1309" t="s">
        <v>4821</v>
      </c>
      <c r="B324" s="1309">
        <v>62</v>
      </c>
    </row>
    <row r="325" spans="1:2">
      <c r="A325" s="1309" t="s">
        <v>4822</v>
      </c>
      <c r="B325" s="1309">
        <v>-3.4002444693816497E-2</v>
      </c>
    </row>
    <row r="326" spans="1:2">
      <c r="A326" s="1309" t="s">
        <v>4823</v>
      </c>
      <c r="B326" s="1309">
        <v>2.9626852958483701E-2</v>
      </c>
    </row>
    <row r="327" spans="1:2">
      <c r="A327" s="1309" t="s">
        <v>4824</v>
      </c>
      <c r="B327" s="1309">
        <v>-2.5458768873435799E-2</v>
      </c>
    </row>
    <row r="328" spans="1:2">
      <c r="A328" s="1309" t="s">
        <v>4825</v>
      </c>
      <c r="B328" s="1309">
        <v>7.14803073295884E-3</v>
      </c>
    </row>
    <row r="329" spans="1:2">
      <c r="A329" s="1309" t="s">
        <v>4826</v>
      </c>
      <c r="B329" s="1309">
        <v>-6.1234699798056501E-3</v>
      </c>
    </row>
    <row r="330" spans="1:2">
      <c r="A330" s="1309" t="s">
        <v>4827</v>
      </c>
      <c r="B330" s="1309">
        <v>5.6217270256443703E-3</v>
      </c>
    </row>
    <row r="331" spans="1:2">
      <c r="A331" s="1309" t="s">
        <v>4828</v>
      </c>
      <c r="B331" s="1309">
        <v>4411410974.5024004</v>
      </c>
    </row>
    <row r="332" spans="1:2">
      <c r="A332" s="1309" t="s">
        <v>4829</v>
      </c>
      <c r="B332" s="1309">
        <v>4207678455.59271</v>
      </c>
    </row>
    <row r="333" spans="1:2">
      <c r="A333" s="1309" t="s">
        <v>4830</v>
      </c>
      <c r="B333" s="1309">
        <v>0</v>
      </c>
    </row>
    <row r="334" spans="1:2">
      <c r="A334" s="1309" t="s">
        <v>4831</v>
      </c>
      <c r="B334" s="1309">
        <v>0</v>
      </c>
    </row>
    <row r="335" spans="1:2">
      <c r="A335" s="1309" t="s">
        <v>4832</v>
      </c>
      <c r="B335" s="1309">
        <v>0.190002311389418</v>
      </c>
    </row>
    <row r="336" spans="1:2">
      <c r="A336" s="1309" t="s">
        <v>4833</v>
      </c>
      <c r="B336" s="1309">
        <v>0.157462533747384</v>
      </c>
    </row>
    <row r="337" spans="1:2">
      <c r="A337" s="1309" t="s">
        <v>4834</v>
      </c>
      <c r="B337" s="1309">
        <v>0</v>
      </c>
    </row>
    <row r="338" spans="1:2">
      <c r="A338" s="1309" t="s">
        <v>4835</v>
      </c>
      <c r="B338" s="1309">
        <v>0</v>
      </c>
    </row>
    <row r="339" spans="1:2">
      <c r="A339" s="1309" t="s">
        <v>4836</v>
      </c>
      <c r="B339" s="1309">
        <v>940488897.02871501</v>
      </c>
    </row>
    <row r="340" spans="1:2">
      <c r="A340" s="1309" t="s">
        <v>4837</v>
      </c>
      <c r="B340" s="1309">
        <v>927990587.73498797</v>
      </c>
    </row>
    <row r="341" spans="1:2">
      <c r="A341" s="1309" t="s">
        <v>4838</v>
      </c>
      <c r="B341" s="1309">
        <v>0</v>
      </c>
    </row>
    <row r="342" spans="1:2">
      <c r="A342" s="1309" t="s">
        <v>4839</v>
      </c>
      <c r="B342" s="1309">
        <v>0</v>
      </c>
    </row>
    <row r="343" spans="1:2">
      <c r="A343" s="1309" t="s">
        <v>4840</v>
      </c>
      <c r="B343" s="1309">
        <v>63</v>
      </c>
    </row>
    <row r="344" spans="1:2">
      <c r="A344" s="1309" t="s">
        <v>4841</v>
      </c>
      <c r="B344" s="1309">
        <v>62</v>
      </c>
    </row>
    <row r="345" spans="1:2">
      <c r="A345" s="1309" t="s">
        <v>4842</v>
      </c>
      <c r="B345" s="1309">
        <v>0</v>
      </c>
    </row>
    <row r="346" spans="1:2">
      <c r="A346" s="1309" t="s">
        <v>4843</v>
      </c>
      <c r="B346" s="1309">
        <v>0</v>
      </c>
    </row>
    <row r="347" spans="1:2">
      <c r="A347" s="1309" t="s">
        <v>4844</v>
      </c>
      <c r="B347" s="1309">
        <v>63</v>
      </c>
    </row>
    <row r="348" spans="1:2">
      <c r="A348" s="1309" t="s">
        <v>4845</v>
      </c>
      <c r="B348" s="1309">
        <v>62.920634920634903</v>
      </c>
    </row>
    <row r="349" spans="1:2">
      <c r="A349" s="1309" t="s">
        <v>4846</v>
      </c>
      <c r="B349" s="1309">
        <v>0</v>
      </c>
    </row>
    <row r="350" spans="1:2">
      <c r="A350" s="1309" t="s">
        <v>4847</v>
      </c>
      <c r="B350" s="1309">
        <v>0</v>
      </c>
    </row>
    <row r="351" spans="1:2">
      <c r="A351" s="1309" t="s">
        <v>4848</v>
      </c>
    </row>
    <row r="352" spans="1:2">
      <c r="A352" s="1309" t="s">
        <v>4849</v>
      </c>
    </row>
    <row r="353" spans="1:1">
      <c r="A353" s="1309" t="s">
        <v>4850</v>
      </c>
    </row>
    <row r="354" spans="1:1">
      <c r="A354" s="1309" t="s">
        <v>4851</v>
      </c>
    </row>
    <row r="355" spans="1:1">
      <c r="A355" s="1309" t="s">
        <v>4852</v>
      </c>
    </row>
    <row r="356" spans="1:1">
      <c r="A356" s="1309" t="s">
        <v>4853</v>
      </c>
    </row>
    <row r="357" spans="1:1">
      <c r="A357" s="1309" t="s">
        <v>4854</v>
      </c>
    </row>
    <row r="358" spans="1:1">
      <c r="A358" s="1309" t="s">
        <v>4855</v>
      </c>
    </row>
    <row r="359" spans="1:1">
      <c r="A359" s="1309" t="s">
        <v>4856</v>
      </c>
    </row>
    <row r="360" spans="1:1">
      <c r="A360" s="1309" t="s">
        <v>4857</v>
      </c>
    </row>
    <row r="361" spans="1:1">
      <c r="A361" s="1309" t="s">
        <v>4858</v>
      </c>
    </row>
    <row r="362" spans="1:1">
      <c r="A362" s="1309" t="s">
        <v>4859</v>
      </c>
    </row>
    <row r="363" spans="1:1">
      <c r="A363" s="1309" t="s">
        <v>4860</v>
      </c>
    </row>
    <row r="364" spans="1:1">
      <c r="A364" s="1309" t="s">
        <v>4861</v>
      </c>
    </row>
    <row r="365" spans="1:1">
      <c r="A365" s="1309" t="s">
        <v>4862</v>
      </c>
    </row>
    <row r="366" spans="1:1">
      <c r="A366" s="1309" t="s">
        <v>4863</v>
      </c>
    </row>
    <row r="367" spans="1:1">
      <c r="A367" s="1309" t="s">
        <v>4864</v>
      </c>
    </row>
    <row r="368" spans="1:1">
      <c r="A368" s="1309" t="s">
        <v>4865</v>
      </c>
    </row>
    <row r="369" spans="1:1">
      <c r="A369" s="1309" t="s">
        <v>4866</v>
      </c>
    </row>
    <row r="370" spans="1:1">
      <c r="A370" s="1309" t="s">
        <v>4867</v>
      </c>
    </row>
    <row r="371" spans="1:1">
      <c r="A371" s="1309" t="s">
        <v>4868</v>
      </c>
    </row>
    <row r="372" spans="1:1">
      <c r="A372" s="1309" t="s">
        <v>4869</v>
      </c>
    </row>
    <row r="373" spans="1:1">
      <c r="A373" s="1309" t="s">
        <v>4870</v>
      </c>
    </row>
    <row r="374" spans="1:1">
      <c r="A374" s="1309" t="s">
        <v>4871</v>
      </c>
    </row>
    <row r="375" spans="1:1">
      <c r="A375" s="1309" t="s">
        <v>4872</v>
      </c>
    </row>
    <row r="376" spans="1:1">
      <c r="A376" s="1309" t="s">
        <v>4873</v>
      </c>
    </row>
    <row r="377" spans="1:1">
      <c r="A377" s="1309" t="s">
        <v>4874</v>
      </c>
    </row>
    <row r="378" spans="1:1">
      <c r="A378" s="1309" t="s">
        <v>4875</v>
      </c>
    </row>
    <row r="379" spans="1:1">
      <c r="A379" s="1309" t="s">
        <v>4876</v>
      </c>
    </row>
    <row r="380" spans="1:1">
      <c r="A380" s="1309" t="s">
        <v>4877</v>
      </c>
    </row>
    <row r="381" spans="1:1">
      <c r="A381" s="1309" t="s">
        <v>4878</v>
      </c>
    </row>
    <row r="382" spans="1:1">
      <c r="A382" s="1309" t="s">
        <v>4879</v>
      </c>
    </row>
    <row r="383" spans="1:1">
      <c r="A383" s="1309" t="s">
        <v>4880</v>
      </c>
    </row>
    <row r="384" spans="1:1">
      <c r="A384" s="1309" t="s">
        <v>4881</v>
      </c>
    </row>
    <row r="385" spans="1:1">
      <c r="A385" s="1309" t="s">
        <v>4882</v>
      </c>
    </row>
    <row r="386" spans="1:1">
      <c r="A386" s="1309" t="s">
        <v>4883</v>
      </c>
    </row>
    <row r="387" spans="1:1">
      <c r="A387" s="1309" t="s">
        <v>4884</v>
      </c>
    </row>
    <row r="388" spans="1:1">
      <c r="A388" s="1309" t="s">
        <v>4885</v>
      </c>
    </row>
    <row r="389" spans="1:1">
      <c r="A389" s="1309" t="s">
        <v>4886</v>
      </c>
    </row>
    <row r="390" spans="1:1">
      <c r="A390" s="1309" t="s">
        <v>4887</v>
      </c>
    </row>
    <row r="391" spans="1:1">
      <c r="A391" s="1309" t="s">
        <v>4888</v>
      </c>
    </row>
    <row r="392" spans="1:1">
      <c r="A392" s="1309" t="s">
        <v>4889</v>
      </c>
    </row>
    <row r="393" spans="1:1">
      <c r="A393" s="1309" t="s">
        <v>4890</v>
      </c>
    </row>
    <row r="394" spans="1:1">
      <c r="A394" s="1309" t="s">
        <v>4891</v>
      </c>
    </row>
    <row r="395" spans="1:1">
      <c r="A395" s="1309" t="s">
        <v>4892</v>
      </c>
    </row>
    <row r="396" spans="1:1">
      <c r="A396" s="1309" t="s">
        <v>4893</v>
      </c>
    </row>
    <row r="397" spans="1:1">
      <c r="A397" s="1309" t="s">
        <v>4894</v>
      </c>
    </row>
    <row r="398" spans="1:1">
      <c r="A398" s="1309" t="s">
        <v>4895</v>
      </c>
    </row>
    <row r="399" spans="1:1">
      <c r="A399" s="1309" t="s">
        <v>4896</v>
      </c>
    </row>
    <row r="400" spans="1:1">
      <c r="A400" s="1309" t="s">
        <v>4897</v>
      </c>
    </row>
    <row r="401" spans="1:1">
      <c r="A401" s="1309" t="s">
        <v>4898</v>
      </c>
    </row>
    <row r="402" spans="1:1">
      <c r="A402" s="1309" t="s">
        <v>4899</v>
      </c>
    </row>
    <row r="403" spans="1:1">
      <c r="A403" s="1309" t="s">
        <v>4900</v>
      </c>
    </row>
    <row r="404" spans="1:1">
      <c r="A404" s="1309" t="s">
        <v>4901</v>
      </c>
    </row>
    <row r="405" spans="1:1">
      <c r="A405" s="1309" t="s">
        <v>4902</v>
      </c>
    </row>
    <row r="406" spans="1:1">
      <c r="A406" s="1309" t="s">
        <v>4903</v>
      </c>
    </row>
    <row r="407" spans="1:1">
      <c r="A407" s="1309" t="s">
        <v>4904</v>
      </c>
    </row>
    <row r="408" spans="1:1">
      <c r="A408" s="1309" t="s">
        <v>4905</v>
      </c>
    </row>
    <row r="409" spans="1:1">
      <c r="A409" s="1309" t="s">
        <v>4906</v>
      </c>
    </row>
    <row r="410" spans="1:1">
      <c r="A410" s="1309" t="s">
        <v>4907</v>
      </c>
    </row>
    <row r="411" spans="1:1">
      <c r="A411" s="1309" t="s">
        <v>4908</v>
      </c>
    </row>
    <row r="412" spans="1:1">
      <c r="A412" s="1309" t="s">
        <v>4909</v>
      </c>
    </row>
    <row r="413" spans="1:1">
      <c r="A413" s="1309" t="s">
        <v>4910</v>
      </c>
    </row>
    <row r="414" spans="1:1">
      <c r="A414" s="1309" t="s">
        <v>4911</v>
      </c>
    </row>
    <row r="415" spans="1:1">
      <c r="A415" s="1309" t="s">
        <v>4912</v>
      </c>
    </row>
    <row r="416" spans="1:1">
      <c r="A416" s="1309" t="s">
        <v>4913</v>
      </c>
    </row>
    <row r="417" spans="1:1">
      <c r="A417" s="1309" t="s">
        <v>4914</v>
      </c>
    </row>
    <row r="418" spans="1:1">
      <c r="A418" s="1309" t="s">
        <v>4915</v>
      </c>
    </row>
    <row r="419" spans="1:1">
      <c r="A419" s="1309" t="s">
        <v>4916</v>
      </c>
    </row>
    <row r="420" spans="1:1">
      <c r="A420" s="1309" t="s">
        <v>4917</v>
      </c>
    </row>
    <row r="421" spans="1:1">
      <c r="A421" s="1309" t="s">
        <v>4918</v>
      </c>
    </row>
    <row r="422" spans="1:1">
      <c r="A422" s="1309" t="s">
        <v>4919</v>
      </c>
    </row>
    <row r="423" spans="1:1">
      <c r="A423" s="1309" t="s">
        <v>4920</v>
      </c>
    </row>
    <row r="424" spans="1:1">
      <c r="A424" s="1309" t="s">
        <v>4921</v>
      </c>
    </row>
    <row r="425" spans="1:1">
      <c r="A425" s="1309" t="s">
        <v>4922</v>
      </c>
    </row>
    <row r="426" spans="1:1">
      <c r="A426" s="1309" t="s">
        <v>4923</v>
      </c>
    </row>
    <row r="427" spans="1:1">
      <c r="A427" s="1309" t="s">
        <v>4924</v>
      </c>
    </row>
    <row r="428" spans="1:1">
      <c r="A428" s="1309" t="s">
        <v>4925</v>
      </c>
    </row>
    <row r="429" spans="1:1">
      <c r="A429" s="1309" t="s">
        <v>4926</v>
      </c>
    </row>
    <row r="430" spans="1:1">
      <c r="A430" s="1309" t="s">
        <v>4927</v>
      </c>
    </row>
    <row r="431" spans="1:1">
      <c r="A431" s="1309" t="s">
        <v>4928</v>
      </c>
    </row>
    <row r="432" spans="1:1">
      <c r="A432" s="1309" t="s">
        <v>4929</v>
      </c>
    </row>
    <row r="433" spans="1:1">
      <c r="A433" s="1309" t="s">
        <v>4930</v>
      </c>
    </row>
    <row r="434" spans="1:1">
      <c r="A434" s="1309" t="s">
        <v>4931</v>
      </c>
    </row>
    <row r="435" spans="1:1">
      <c r="A435" s="1309" t="s">
        <v>4932</v>
      </c>
    </row>
    <row r="436" spans="1:1">
      <c r="A436" s="1309" t="s">
        <v>4933</v>
      </c>
    </row>
    <row r="437" spans="1:1">
      <c r="A437" s="1309" t="s">
        <v>4934</v>
      </c>
    </row>
    <row r="438" spans="1:1">
      <c r="A438" s="1309" t="s">
        <v>4935</v>
      </c>
    </row>
    <row r="439" spans="1:1">
      <c r="A439" s="1309" t="s">
        <v>4936</v>
      </c>
    </row>
    <row r="440" spans="1:1">
      <c r="A440" s="1309" t="s">
        <v>4937</v>
      </c>
    </row>
    <row r="441" spans="1:1">
      <c r="A441" s="1309" t="s">
        <v>4938</v>
      </c>
    </row>
    <row r="442" spans="1:1">
      <c r="A442" s="1309" t="s">
        <v>4939</v>
      </c>
    </row>
    <row r="443" spans="1:1">
      <c r="A443" s="1309" t="s">
        <v>4940</v>
      </c>
    </row>
    <row r="444" spans="1:1">
      <c r="A444" s="1309" t="s">
        <v>4941</v>
      </c>
    </row>
    <row r="445" spans="1:1">
      <c r="A445" s="1309" t="s">
        <v>4942</v>
      </c>
    </row>
    <row r="446" spans="1:1">
      <c r="A446" s="1309" t="s">
        <v>4943</v>
      </c>
    </row>
    <row r="447" spans="1:1">
      <c r="A447" s="1309" t="s">
        <v>4944</v>
      </c>
    </row>
    <row r="448" spans="1:1">
      <c r="A448" s="1309" t="s">
        <v>4945</v>
      </c>
    </row>
    <row r="449" spans="1:1">
      <c r="A449" s="1309" t="s">
        <v>4946</v>
      </c>
    </row>
    <row r="450" spans="1:1">
      <c r="A450" s="1309" t="s">
        <v>4947</v>
      </c>
    </row>
    <row r="451" spans="1:1">
      <c r="A451" s="1309" t="s">
        <v>4948</v>
      </c>
    </row>
    <row r="452" spans="1:1">
      <c r="A452" s="1309" t="s">
        <v>4949</v>
      </c>
    </row>
    <row r="453" spans="1:1">
      <c r="A453" s="1309" t="s">
        <v>4950</v>
      </c>
    </row>
    <row r="454" spans="1:1">
      <c r="A454" s="1309" t="s">
        <v>4951</v>
      </c>
    </row>
    <row r="455" spans="1:1">
      <c r="A455" s="1309" t="s">
        <v>4952</v>
      </c>
    </row>
    <row r="456" spans="1:1">
      <c r="A456" s="1309" t="s">
        <v>4953</v>
      </c>
    </row>
    <row r="457" spans="1:1">
      <c r="A457" s="1309" t="s">
        <v>4954</v>
      </c>
    </row>
    <row r="458" spans="1:1">
      <c r="A458" s="1309" t="s">
        <v>4955</v>
      </c>
    </row>
    <row r="459" spans="1:1">
      <c r="A459" s="1309" t="s">
        <v>4956</v>
      </c>
    </row>
    <row r="460" spans="1:1">
      <c r="A460" s="1309" t="s">
        <v>4957</v>
      </c>
    </row>
    <row r="461" spans="1:1">
      <c r="A461" s="1309" t="s">
        <v>4958</v>
      </c>
    </row>
    <row r="462" spans="1:1">
      <c r="A462" s="1309" t="s">
        <v>4959</v>
      </c>
    </row>
    <row r="463" spans="1:1">
      <c r="A463" s="1309" t="s">
        <v>4960</v>
      </c>
    </row>
    <row r="464" spans="1:1">
      <c r="A464" s="1309" t="s">
        <v>4961</v>
      </c>
    </row>
    <row r="465" spans="1:1">
      <c r="A465" s="1309" t="s">
        <v>4962</v>
      </c>
    </row>
    <row r="466" spans="1:1">
      <c r="A466" s="1309" t="s">
        <v>4963</v>
      </c>
    </row>
    <row r="467" spans="1:1">
      <c r="A467" s="1309" t="s">
        <v>4964</v>
      </c>
    </row>
    <row r="468" spans="1:1">
      <c r="A468" s="1309" t="s">
        <v>4965</v>
      </c>
    </row>
    <row r="469" spans="1:1">
      <c r="A469" s="1309" t="s">
        <v>4966</v>
      </c>
    </row>
    <row r="470" spans="1:1">
      <c r="A470" s="1309" t="s">
        <v>4967</v>
      </c>
    </row>
    <row r="471" spans="1:1">
      <c r="A471" s="1309" t="s">
        <v>4968</v>
      </c>
    </row>
    <row r="472" spans="1:1">
      <c r="A472" s="1309" t="s">
        <v>4969</v>
      </c>
    </row>
    <row r="473" spans="1:1">
      <c r="A473" s="1309" t="s">
        <v>4970</v>
      </c>
    </row>
    <row r="474" spans="1:1">
      <c r="A474" s="1309" t="s">
        <v>4971</v>
      </c>
    </row>
    <row r="475" spans="1:1">
      <c r="A475" s="1309" t="s">
        <v>4972</v>
      </c>
    </row>
    <row r="476" spans="1:1">
      <c r="A476" s="1309" t="s">
        <v>4973</v>
      </c>
    </row>
    <row r="477" spans="1:1">
      <c r="A477" s="1309" t="s">
        <v>4974</v>
      </c>
    </row>
    <row r="478" spans="1:1">
      <c r="A478" s="1309" t="s">
        <v>4975</v>
      </c>
    </row>
    <row r="479" spans="1:1">
      <c r="A479" s="1309" t="s">
        <v>4976</v>
      </c>
    </row>
    <row r="480" spans="1:1">
      <c r="A480" s="1309" t="s">
        <v>4977</v>
      </c>
    </row>
    <row r="481" spans="1:1">
      <c r="A481" s="1309" t="s">
        <v>4978</v>
      </c>
    </row>
    <row r="482" spans="1:1">
      <c r="A482" s="1309" t="s">
        <v>4979</v>
      </c>
    </row>
    <row r="483" spans="1:1">
      <c r="A483" s="1309" t="s">
        <v>4980</v>
      </c>
    </row>
    <row r="484" spans="1:1">
      <c r="A484" s="1309" t="s">
        <v>4981</v>
      </c>
    </row>
    <row r="485" spans="1:1">
      <c r="A485" s="1309" t="s">
        <v>4982</v>
      </c>
    </row>
    <row r="486" spans="1:1">
      <c r="A486" s="1309" t="s">
        <v>4983</v>
      </c>
    </row>
    <row r="487" spans="1:1">
      <c r="A487" s="1309" t="s">
        <v>4984</v>
      </c>
    </row>
    <row r="488" spans="1:1">
      <c r="A488" s="1309" t="s">
        <v>4985</v>
      </c>
    </row>
    <row r="489" spans="1:1">
      <c r="A489" s="1309" t="s">
        <v>4986</v>
      </c>
    </row>
    <row r="490" spans="1:1">
      <c r="A490" s="1309" t="s">
        <v>4987</v>
      </c>
    </row>
    <row r="491" spans="1:1">
      <c r="A491" s="1309" t="s">
        <v>4988</v>
      </c>
    </row>
    <row r="492" spans="1:1">
      <c r="A492" s="1309" t="s">
        <v>4989</v>
      </c>
    </row>
    <row r="493" spans="1:1">
      <c r="A493" s="1309" t="s">
        <v>4990</v>
      </c>
    </row>
    <row r="494" spans="1:1">
      <c r="A494" s="1309" t="s">
        <v>4991</v>
      </c>
    </row>
    <row r="495" spans="1:1">
      <c r="A495" s="1309" t="s">
        <v>4992</v>
      </c>
    </row>
    <row r="496" spans="1:1">
      <c r="A496" s="1309" t="s">
        <v>4993</v>
      </c>
    </row>
    <row r="497" spans="1:1">
      <c r="A497" s="1309" t="s">
        <v>4994</v>
      </c>
    </row>
    <row r="498" spans="1:1">
      <c r="A498" s="1309" t="s">
        <v>4995</v>
      </c>
    </row>
    <row r="499" spans="1:1">
      <c r="A499" s="1309" t="s">
        <v>4996</v>
      </c>
    </row>
    <row r="500" spans="1:1">
      <c r="A500" s="1309" t="s">
        <v>4997</v>
      </c>
    </row>
    <row r="501" spans="1:1">
      <c r="A501" s="1309" t="s">
        <v>4998</v>
      </c>
    </row>
    <row r="502" spans="1:1">
      <c r="A502" s="1309" t="s">
        <v>4999</v>
      </c>
    </row>
    <row r="503" spans="1:1">
      <c r="A503" s="1309" t="s">
        <v>5000</v>
      </c>
    </row>
    <row r="504" spans="1:1">
      <c r="A504" s="1309" t="s">
        <v>5001</v>
      </c>
    </row>
    <row r="505" spans="1:1">
      <c r="A505" s="1309" t="s">
        <v>5002</v>
      </c>
    </row>
    <row r="506" spans="1:1">
      <c r="A506" s="1309" t="s">
        <v>5003</v>
      </c>
    </row>
    <row r="507" spans="1:1">
      <c r="A507" s="1309" t="s">
        <v>5004</v>
      </c>
    </row>
    <row r="508" spans="1:1">
      <c r="A508" s="1309" t="s">
        <v>5005</v>
      </c>
    </row>
    <row r="509" spans="1:1">
      <c r="A509" s="1309" t="s">
        <v>5006</v>
      </c>
    </row>
    <row r="510" spans="1:1">
      <c r="A510" s="1309" t="s">
        <v>5007</v>
      </c>
    </row>
    <row r="511" spans="1:1">
      <c r="A511" s="1309" t="s">
        <v>5008</v>
      </c>
    </row>
    <row r="512" spans="1:1">
      <c r="A512" s="1309" t="s">
        <v>5009</v>
      </c>
    </row>
    <row r="513" spans="1:1">
      <c r="A513" s="1309" t="s">
        <v>5010</v>
      </c>
    </row>
    <row r="514" spans="1:1">
      <c r="A514" s="1309" t="s">
        <v>5011</v>
      </c>
    </row>
    <row r="515" spans="1:1">
      <c r="A515" s="1309" t="s">
        <v>5012</v>
      </c>
    </row>
    <row r="516" spans="1:1">
      <c r="A516" s="1309" t="s">
        <v>5013</v>
      </c>
    </row>
    <row r="517" spans="1:1">
      <c r="A517" s="1309" t="s">
        <v>5014</v>
      </c>
    </row>
    <row r="518" spans="1:1">
      <c r="A518" s="1309" t="s">
        <v>5015</v>
      </c>
    </row>
    <row r="519" spans="1:1">
      <c r="A519" s="1309" t="s">
        <v>5016</v>
      </c>
    </row>
    <row r="520" spans="1:1">
      <c r="A520" s="1309" t="s">
        <v>5017</v>
      </c>
    </row>
    <row r="521" spans="1:1">
      <c r="A521" s="1309" t="s">
        <v>5018</v>
      </c>
    </row>
    <row r="522" spans="1:1">
      <c r="A522" s="1309" t="s">
        <v>5019</v>
      </c>
    </row>
    <row r="523" spans="1:1">
      <c r="A523" s="1309" t="s">
        <v>5020</v>
      </c>
    </row>
    <row r="524" spans="1:1">
      <c r="A524" s="1309" t="s">
        <v>5021</v>
      </c>
    </row>
    <row r="525" spans="1:1">
      <c r="A525" s="1309" t="s">
        <v>5022</v>
      </c>
    </row>
    <row r="526" spans="1:1">
      <c r="A526" s="1309" t="s">
        <v>5023</v>
      </c>
    </row>
    <row r="527" spans="1:1">
      <c r="A527" s="1309" t="s">
        <v>5024</v>
      </c>
    </row>
    <row r="528" spans="1:1">
      <c r="A528" s="1309" t="s">
        <v>5025</v>
      </c>
    </row>
    <row r="529" spans="1:1">
      <c r="A529" s="1309" t="s">
        <v>5026</v>
      </c>
    </row>
    <row r="530" spans="1:1">
      <c r="A530" s="1309" t="s">
        <v>5027</v>
      </c>
    </row>
    <row r="531" spans="1:1">
      <c r="A531" s="1309" t="s">
        <v>5028</v>
      </c>
    </row>
    <row r="532" spans="1:1">
      <c r="A532" s="1309" t="s">
        <v>5029</v>
      </c>
    </row>
    <row r="533" spans="1:1">
      <c r="A533" s="1309" t="s">
        <v>5030</v>
      </c>
    </row>
    <row r="534" spans="1:1">
      <c r="A534" s="1309" t="s">
        <v>5031</v>
      </c>
    </row>
    <row r="535" spans="1:1">
      <c r="A535" s="1309" t="s">
        <v>5032</v>
      </c>
    </row>
    <row r="536" spans="1:1">
      <c r="A536" s="1309" t="s">
        <v>5033</v>
      </c>
    </row>
    <row r="537" spans="1:1">
      <c r="A537" s="1309" t="s">
        <v>5034</v>
      </c>
    </row>
    <row r="538" spans="1:1">
      <c r="A538" s="1309" t="s">
        <v>5035</v>
      </c>
    </row>
    <row r="539" spans="1:1">
      <c r="A539" s="1309" t="s">
        <v>5036</v>
      </c>
    </row>
    <row r="540" spans="1:1">
      <c r="A540" s="1309" t="s">
        <v>5037</v>
      </c>
    </row>
    <row r="541" spans="1:1">
      <c r="A541" s="1309" t="s">
        <v>5038</v>
      </c>
    </row>
    <row r="542" spans="1:1">
      <c r="A542" s="1309" t="s">
        <v>5039</v>
      </c>
    </row>
    <row r="543" spans="1:1">
      <c r="A543" s="1309" t="s">
        <v>5040</v>
      </c>
    </row>
    <row r="544" spans="1:1">
      <c r="A544" s="1309" t="s">
        <v>5041</v>
      </c>
    </row>
    <row r="545" spans="1:1">
      <c r="A545" s="1309" t="s">
        <v>5042</v>
      </c>
    </row>
    <row r="546" spans="1:1">
      <c r="A546" s="1309" t="s">
        <v>5043</v>
      </c>
    </row>
    <row r="547" spans="1:1">
      <c r="A547" s="1309" t="s">
        <v>5044</v>
      </c>
    </row>
    <row r="548" spans="1:1">
      <c r="A548" s="1309" t="s">
        <v>5045</v>
      </c>
    </row>
    <row r="549" spans="1:1">
      <c r="A549" s="1309" t="s">
        <v>5046</v>
      </c>
    </row>
    <row r="550" spans="1:1">
      <c r="A550" s="1309" t="s">
        <v>5047</v>
      </c>
    </row>
    <row r="551" spans="1:1">
      <c r="A551" s="1309" t="s">
        <v>5048</v>
      </c>
    </row>
    <row r="552" spans="1:1">
      <c r="A552" s="1309" t="s">
        <v>5049</v>
      </c>
    </row>
    <row r="553" spans="1:1">
      <c r="A553" s="1309" t="s">
        <v>5050</v>
      </c>
    </row>
    <row r="554" spans="1:1">
      <c r="A554" s="1309" t="s">
        <v>5051</v>
      </c>
    </row>
    <row r="555" spans="1:1">
      <c r="A555" s="1309" t="s">
        <v>5052</v>
      </c>
    </row>
    <row r="556" spans="1:1">
      <c r="A556" s="1309" t="s">
        <v>5053</v>
      </c>
    </row>
    <row r="557" spans="1:1">
      <c r="A557" s="1309" t="s">
        <v>5054</v>
      </c>
    </row>
    <row r="558" spans="1:1">
      <c r="A558" s="1309" t="s">
        <v>5055</v>
      </c>
    </row>
    <row r="559" spans="1:1">
      <c r="A559" s="1309" t="s">
        <v>5056</v>
      </c>
    </row>
    <row r="560" spans="1:1">
      <c r="A560" s="1309" t="s">
        <v>5057</v>
      </c>
    </row>
    <row r="561" spans="1:1">
      <c r="A561" s="1309" t="s">
        <v>5058</v>
      </c>
    </row>
    <row r="562" spans="1:1">
      <c r="A562" s="1309" t="s">
        <v>5059</v>
      </c>
    </row>
    <row r="563" spans="1:1">
      <c r="A563" s="1309" t="s">
        <v>5060</v>
      </c>
    </row>
    <row r="564" spans="1:1">
      <c r="A564" s="1309" t="s">
        <v>5061</v>
      </c>
    </row>
    <row r="565" spans="1:1">
      <c r="A565" s="1309" t="s">
        <v>5062</v>
      </c>
    </row>
    <row r="566" spans="1:1">
      <c r="A566" s="1309" t="s">
        <v>5063</v>
      </c>
    </row>
    <row r="567" spans="1:1">
      <c r="A567" s="1309" t="s">
        <v>5064</v>
      </c>
    </row>
    <row r="568" spans="1:1">
      <c r="A568" s="1309" t="s">
        <v>5065</v>
      </c>
    </row>
    <row r="569" spans="1:1">
      <c r="A569" s="1309" t="s">
        <v>5066</v>
      </c>
    </row>
    <row r="570" spans="1:1">
      <c r="A570" s="1309" t="s">
        <v>5067</v>
      </c>
    </row>
    <row r="571" spans="1:1">
      <c r="A571" s="1309" t="s">
        <v>5068</v>
      </c>
    </row>
    <row r="572" spans="1:1">
      <c r="A572" s="1309" t="s">
        <v>5069</v>
      </c>
    </row>
    <row r="573" spans="1:1">
      <c r="A573" s="1309" t="s">
        <v>5070</v>
      </c>
    </row>
    <row r="574" spans="1:1">
      <c r="A574" s="1309" t="s">
        <v>5071</v>
      </c>
    </row>
    <row r="575" spans="1:1">
      <c r="A575" s="1309" t="s">
        <v>5072</v>
      </c>
    </row>
    <row r="576" spans="1:1">
      <c r="A576" s="1309" t="s">
        <v>5073</v>
      </c>
    </row>
    <row r="577" spans="1:1">
      <c r="A577" s="1309" t="s">
        <v>5074</v>
      </c>
    </row>
    <row r="578" spans="1:1">
      <c r="A578" s="1309" t="s">
        <v>5075</v>
      </c>
    </row>
    <row r="579" spans="1:1">
      <c r="A579" s="1309" t="s">
        <v>5076</v>
      </c>
    </row>
    <row r="580" spans="1:1">
      <c r="A580" s="1309" t="s">
        <v>5077</v>
      </c>
    </row>
    <row r="581" spans="1:1">
      <c r="A581" s="1309" t="s">
        <v>5078</v>
      </c>
    </row>
    <row r="582" spans="1:1">
      <c r="A582" s="1309" t="s">
        <v>5079</v>
      </c>
    </row>
    <row r="583" spans="1:1">
      <c r="A583" s="1309" t="s">
        <v>5080</v>
      </c>
    </row>
    <row r="584" spans="1:1">
      <c r="A584" s="1309" t="s">
        <v>5081</v>
      </c>
    </row>
    <row r="585" spans="1:1">
      <c r="A585" s="1309" t="s">
        <v>5082</v>
      </c>
    </row>
    <row r="586" spans="1:1">
      <c r="A586" s="1309" t="s">
        <v>5083</v>
      </c>
    </row>
    <row r="587" spans="1:1">
      <c r="A587" s="1309" t="s">
        <v>5084</v>
      </c>
    </row>
    <row r="588" spans="1:1">
      <c r="A588" s="1309" t="s">
        <v>5085</v>
      </c>
    </row>
    <row r="589" spans="1:1">
      <c r="A589" s="1309" t="s">
        <v>5086</v>
      </c>
    </row>
    <row r="590" spans="1:1">
      <c r="A590" s="1309" t="s">
        <v>5087</v>
      </c>
    </row>
    <row r="591" spans="1:1">
      <c r="A591" s="1309" t="s">
        <v>5088</v>
      </c>
    </row>
    <row r="592" spans="1:1">
      <c r="A592" s="1309" t="s">
        <v>5089</v>
      </c>
    </row>
    <row r="593" spans="1:1">
      <c r="A593" s="1309" t="s">
        <v>5090</v>
      </c>
    </row>
    <row r="594" spans="1:1">
      <c r="A594" s="1309" t="s">
        <v>5091</v>
      </c>
    </row>
    <row r="595" spans="1:1">
      <c r="A595" s="1309" t="s">
        <v>5092</v>
      </c>
    </row>
    <row r="596" spans="1:1">
      <c r="A596" s="1309" t="s">
        <v>5093</v>
      </c>
    </row>
    <row r="597" spans="1:1">
      <c r="A597" s="1309" t="s">
        <v>5094</v>
      </c>
    </row>
    <row r="598" spans="1:1">
      <c r="A598" s="1309" t="s">
        <v>5095</v>
      </c>
    </row>
    <row r="599" spans="1:1">
      <c r="A599" s="1309" t="s">
        <v>5096</v>
      </c>
    </row>
    <row r="600" spans="1:1">
      <c r="A600" s="1309" t="s">
        <v>5097</v>
      </c>
    </row>
    <row r="601" spans="1:1">
      <c r="A601" s="1309" t="s">
        <v>5098</v>
      </c>
    </row>
    <row r="602" spans="1:1">
      <c r="A602" s="1309" t="s">
        <v>5099</v>
      </c>
    </row>
    <row r="603" spans="1:1">
      <c r="A603" s="1309" t="s">
        <v>5100</v>
      </c>
    </row>
    <row r="604" spans="1:1">
      <c r="A604" s="1309" t="s">
        <v>5101</v>
      </c>
    </row>
    <row r="605" spans="1:1">
      <c r="A605" s="1309" t="s">
        <v>5102</v>
      </c>
    </row>
    <row r="606" spans="1:1">
      <c r="A606" s="1309" t="s">
        <v>5103</v>
      </c>
    </row>
    <row r="607" spans="1:1">
      <c r="A607" s="1309" t="s">
        <v>5104</v>
      </c>
    </row>
    <row r="608" spans="1:1">
      <c r="A608" s="1309" t="s">
        <v>5105</v>
      </c>
    </row>
    <row r="609" spans="1:1">
      <c r="A609" s="1309" t="s">
        <v>5106</v>
      </c>
    </row>
    <row r="610" spans="1:1">
      <c r="A610" s="1309" t="s">
        <v>5107</v>
      </c>
    </row>
    <row r="611" spans="1:1">
      <c r="A611" s="1309" t="s">
        <v>5108</v>
      </c>
    </row>
    <row r="612" spans="1:1">
      <c r="A612" s="1309" t="s">
        <v>5109</v>
      </c>
    </row>
    <row r="613" spans="1:1">
      <c r="A613" s="1309" t="s">
        <v>5110</v>
      </c>
    </row>
    <row r="614" spans="1:1">
      <c r="A614" s="1309" t="s">
        <v>5111</v>
      </c>
    </row>
    <row r="615" spans="1:1">
      <c r="A615" s="1309" t="s">
        <v>5112</v>
      </c>
    </row>
    <row r="616" spans="1:1">
      <c r="A616" s="1309" t="s">
        <v>5113</v>
      </c>
    </row>
    <row r="617" spans="1:1">
      <c r="A617" s="1309" t="s">
        <v>5114</v>
      </c>
    </row>
    <row r="618" spans="1:1">
      <c r="A618" s="1309" t="s">
        <v>5115</v>
      </c>
    </row>
    <row r="619" spans="1:1">
      <c r="A619" s="1309" t="s">
        <v>5116</v>
      </c>
    </row>
    <row r="620" spans="1:1">
      <c r="A620" s="1309" t="s">
        <v>5117</v>
      </c>
    </row>
    <row r="621" spans="1:1">
      <c r="A621" s="1309" t="s">
        <v>5118</v>
      </c>
    </row>
    <row r="622" spans="1:1">
      <c r="A622" s="1309" t="s">
        <v>5119</v>
      </c>
    </row>
    <row r="623" spans="1:1">
      <c r="A623" s="1309" t="s">
        <v>5120</v>
      </c>
    </row>
    <row r="624" spans="1:1">
      <c r="A624" s="1309" t="s">
        <v>5121</v>
      </c>
    </row>
    <row r="625" spans="1:1">
      <c r="A625" s="1309" t="s">
        <v>5122</v>
      </c>
    </row>
    <row r="626" spans="1:1">
      <c r="A626" s="1309" t="s">
        <v>5123</v>
      </c>
    </row>
    <row r="627" spans="1:1">
      <c r="A627" s="1309" t="s">
        <v>5124</v>
      </c>
    </row>
    <row r="628" spans="1:1">
      <c r="A628" s="1309" t="s">
        <v>5125</v>
      </c>
    </row>
    <row r="629" spans="1:1">
      <c r="A629" s="1309" t="s">
        <v>5126</v>
      </c>
    </row>
    <row r="630" spans="1:1">
      <c r="A630" s="1309" t="s">
        <v>5127</v>
      </c>
    </row>
    <row r="631" spans="1:1">
      <c r="A631" s="1309" t="s">
        <v>5128</v>
      </c>
    </row>
    <row r="632" spans="1:1">
      <c r="A632" s="1309" t="s">
        <v>5129</v>
      </c>
    </row>
    <row r="633" spans="1:1">
      <c r="A633" s="1309" t="s">
        <v>5130</v>
      </c>
    </row>
    <row r="634" spans="1:1">
      <c r="A634" s="1309" t="s">
        <v>5131</v>
      </c>
    </row>
    <row r="635" spans="1:1">
      <c r="A635" s="1309" t="s">
        <v>5132</v>
      </c>
    </row>
    <row r="636" spans="1:1">
      <c r="A636" s="1309" t="s">
        <v>5133</v>
      </c>
    </row>
    <row r="637" spans="1:1">
      <c r="A637" s="1309" t="s">
        <v>5134</v>
      </c>
    </row>
    <row r="638" spans="1:1">
      <c r="A638" s="1309" t="s">
        <v>5135</v>
      </c>
    </row>
    <row r="639" spans="1:1">
      <c r="A639" s="1309" t="s">
        <v>5136</v>
      </c>
    </row>
    <row r="640" spans="1:1">
      <c r="A640" s="1309" t="s">
        <v>5137</v>
      </c>
    </row>
    <row r="641" spans="1:1">
      <c r="A641" s="1309" t="s">
        <v>5138</v>
      </c>
    </row>
    <row r="642" spans="1:1">
      <c r="A642" s="1309" t="s">
        <v>5139</v>
      </c>
    </row>
    <row r="643" spans="1:1">
      <c r="A643" s="1309" t="s">
        <v>5140</v>
      </c>
    </row>
    <row r="644" spans="1:1">
      <c r="A644" s="1309" t="s">
        <v>5141</v>
      </c>
    </row>
    <row r="645" spans="1:1">
      <c r="A645" s="1309" t="s">
        <v>5142</v>
      </c>
    </row>
    <row r="646" spans="1:1">
      <c r="A646" s="1309" t="s">
        <v>5143</v>
      </c>
    </row>
    <row r="647" spans="1:1">
      <c r="A647" s="1309" t="s">
        <v>5144</v>
      </c>
    </row>
    <row r="648" spans="1:1">
      <c r="A648" s="1309" t="s">
        <v>5145</v>
      </c>
    </row>
    <row r="649" spans="1:1">
      <c r="A649" s="1309" t="s">
        <v>5146</v>
      </c>
    </row>
    <row r="650" spans="1:1">
      <c r="A650" s="1309" t="s">
        <v>5147</v>
      </c>
    </row>
    <row r="651" spans="1:1">
      <c r="A651" s="1309" t="s">
        <v>5148</v>
      </c>
    </row>
    <row r="652" spans="1:1">
      <c r="A652" s="1309" t="s">
        <v>5149</v>
      </c>
    </row>
    <row r="653" spans="1:1">
      <c r="A653" s="1309" t="s">
        <v>5150</v>
      </c>
    </row>
    <row r="654" spans="1:1">
      <c r="A654" s="1309" t="s">
        <v>5151</v>
      </c>
    </row>
    <row r="655" spans="1:1">
      <c r="A655" s="1309" t="s">
        <v>5152</v>
      </c>
    </row>
    <row r="656" spans="1:1">
      <c r="A656" s="1309" t="s">
        <v>5153</v>
      </c>
    </row>
    <row r="657" spans="1:1">
      <c r="A657" s="1309" t="s">
        <v>5154</v>
      </c>
    </row>
    <row r="658" spans="1:1">
      <c r="A658" s="1309" t="s">
        <v>5155</v>
      </c>
    </row>
    <row r="659" spans="1:1">
      <c r="A659" s="1309" t="s">
        <v>5156</v>
      </c>
    </row>
    <row r="660" spans="1:1">
      <c r="A660" s="1309" t="s">
        <v>5157</v>
      </c>
    </row>
    <row r="661" spans="1:1">
      <c r="A661" s="1309" t="s">
        <v>5158</v>
      </c>
    </row>
    <row r="662" spans="1:1">
      <c r="A662" s="1309" t="s">
        <v>5159</v>
      </c>
    </row>
    <row r="663" spans="1:1">
      <c r="A663" s="1309" t="s">
        <v>5160</v>
      </c>
    </row>
    <row r="664" spans="1:1">
      <c r="A664" s="1309" t="s">
        <v>5161</v>
      </c>
    </row>
    <row r="665" spans="1:1">
      <c r="A665" s="1309" t="s">
        <v>5162</v>
      </c>
    </row>
    <row r="666" spans="1:1">
      <c r="A666" s="1309" t="s">
        <v>5163</v>
      </c>
    </row>
    <row r="667" spans="1:1">
      <c r="A667" s="1309" t="s">
        <v>5164</v>
      </c>
    </row>
    <row r="668" spans="1:1">
      <c r="A668" s="1309" t="s">
        <v>5165</v>
      </c>
    </row>
    <row r="669" spans="1:1">
      <c r="A669" s="1309" t="s">
        <v>5166</v>
      </c>
    </row>
    <row r="670" spans="1:1">
      <c r="A670" s="1309" t="s">
        <v>5167</v>
      </c>
    </row>
    <row r="671" spans="1:1">
      <c r="A671" s="1309" t="s">
        <v>5168</v>
      </c>
    </row>
    <row r="672" spans="1:1">
      <c r="A672" s="1309" t="s">
        <v>5169</v>
      </c>
    </row>
    <row r="673" spans="1:1">
      <c r="A673" s="1309" t="s">
        <v>5170</v>
      </c>
    </row>
    <row r="674" spans="1:1">
      <c r="A674" s="1309" t="s">
        <v>5171</v>
      </c>
    </row>
    <row r="675" spans="1:1">
      <c r="A675" s="1309" t="s">
        <v>5172</v>
      </c>
    </row>
    <row r="676" spans="1:1">
      <c r="A676" s="1309" t="s">
        <v>5173</v>
      </c>
    </row>
    <row r="677" spans="1:1">
      <c r="A677" s="1309" t="s">
        <v>5174</v>
      </c>
    </row>
    <row r="678" spans="1:1">
      <c r="A678" s="1309" t="s">
        <v>5175</v>
      </c>
    </row>
    <row r="679" spans="1:1">
      <c r="A679" s="1309" t="s">
        <v>5176</v>
      </c>
    </row>
    <row r="680" spans="1:1">
      <c r="A680" s="1309" t="s">
        <v>5177</v>
      </c>
    </row>
    <row r="681" spans="1:1">
      <c r="A681" s="1309" t="s">
        <v>5178</v>
      </c>
    </row>
    <row r="682" spans="1:1">
      <c r="A682" s="1309" t="s">
        <v>5179</v>
      </c>
    </row>
    <row r="683" spans="1:1">
      <c r="A683" s="1309" t="s">
        <v>5180</v>
      </c>
    </row>
    <row r="684" spans="1:1">
      <c r="A684" s="1309" t="s">
        <v>5181</v>
      </c>
    </row>
    <row r="685" spans="1:1">
      <c r="A685" s="1309" t="s">
        <v>5182</v>
      </c>
    </row>
    <row r="686" spans="1:1">
      <c r="A686" s="1309" t="s">
        <v>5183</v>
      </c>
    </row>
    <row r="687" spans="1:1">
      <c r="A687" s="1309" t="s">
        <v>5184</v>
      </c>
    </row>
    <row r="688" spans="1:1">
      <c r="A688" s="1309" t="s">
        <v>5185</v>
      </c>
    </row>
    <row r="689" spans="1:1">
      <c r="A689" s="1309" t="s">
        <v>5186</v>
      </c>
    </row>
    <row r="690" spans="1:1">
      <c r="A690" s="1309" t="s">
        <v>5187</v>
      </c>
    </row>
    <row r="691" spans="1:1">
      <c r="A691" s="1309" t="s">
        <v>5188</v>
      </c>
    </row>
    <row r="692" spans="1:1">
      <c r="A692" s="1309" t="s">
        <v>5189</v>
      </c>
    </row>
    <row r="693" spans="1:1">
      <c r="A693" s="1309" t="s">
        <v>5190</v>
      </c>
    </row>
    <row r="694" spans="1:1">
      <c r="A694" s="1309" t="s">
        <v>5191</v>
      </c>
    </row>
    <row r="695" spans="1:1">
      <c r="A695" s="1309" t="s">
        <v>5192</v>
      </c>
    </row>
    <row r="696" spans="1:1">
      <c r="A696" s="1309" t="s">
        <v>5193</v>
      </c>
    </row>
    <row r="697" spans="1:1">
      <c r="A697" s="1309" t="s">
        <v>5194</v>
      </c>
    </row>
    <row r="698" spans="1:1">
      <c r="A698" s="1309" t="s">
        <v>5195</v>
      </c>
    </row>
    <row r="699" spans="1:1">
      <c r="A699" s="1309" t="s">
        <v>5196</v>
      </c>
    </row>
    <row r="700" spans="1:1">
      <c r="A700" s="1309" t="s">
        <v>5197</v>
      </c>
    </row>
    <row r="701" spans="1:1">
      <c r="A701" s="1309" t="s">
        <v>5198</v>
      </c>
    </row>
    <row r="702" spans="1:1">
      <c r="A702" s="1309" t="s">
        <v>5199</v>
      </c>
    </row>
    <row r="703" spans="1:1">
      <c r="A703" s="1309" t="s">
        <v>5200</v>
      </c>
    </row>
    <row r="704" spans="1:1">
      <c r="A704" s="1309" t="s">
        <v>5201</v>
      </c>
    </row>
    <row r="705" spans="1:1">
      <c r="A705" s="1309" t="s">
        <v>5202</v>
      </c>
    </row>
    <row r="706" spans="1:1">
      <c r="A706" s="1309" t="s">
        <v>5203</v>
      </c>
    </row>
    <row r="707" spans="1:1">
      <c r="A707" s="1309" t="s">
        <v>5204</v>
      </c>
    </row>
    <row r="708" spans="1:1">
      <c r="A708" s="1309" t="s">
        <v>5205</v>
      </c>
    </row>
    <row r="709" spans="1:1">
      <c r="A709" s="1309" t="s">
        <v>5206</v>
      </c>
    </row>
    <row r="710" spans="1:1">
      <c r="A710" s="1309" t="s">
        <v>5207</v>
      </c>
    </row>
    <row r="711" spans="1:1">
      <c r="A711" s="1309" t="s">
        <v>5208</v>
      </c>
    </row>
    <row r="712" spans="1:1">
      <c r="A712" s="1309" t="s">
        <v>5209</v>
      </c>
    </row>
    <row r="713" spans="1:1">
      <c r="A713" s="1309" t="s">
        <v>5210</v>
      </c>
    </row>
    <row r="714" spans="1:1">
      <c r="A714" s="1309" t="s">
        <v>5211</v>
      </c>
    </row>
    <row r="715" spans="1:1">
      <c r="A715" s="1309" t="s">
        <v>5212</v>
      </c>
    </row>
    <row r="716" spans="1:1">
      <c r="A716" s="1309" t="s">
        <v>5213</v>
      </c>
    </row>
    <row r="717" spans="1:1">
      <c r="A717" s="1309" t="s">
        <v>5214</v>
      </c>
    </row>
    <row r="718" spans="1:1">
      <c r="A718" s="1309" t="s">
        <v>5215</v>
      </c>
    </row>
    <row r="719" spans="1:1">
      <c r="A719" s="1309" t="s">
        <v>5216</v>
      </c>
    </row>
    <row r="720" spans="1:1">
      <c r="A720" s="1309" t="s">
        <v>5217</v>
      </c>
    </row>
    <row r="721" spans="1:1">
      <c r="A721" s="1309" t="s">
        <v>5218</v>
      </c>
    </row>
    <row r="722" spans="1:1">
      <c r="A722" s="1309" t="s">
        <v>5219</v>
      </c>
    </row>
    <row r="723" spans="1:1">
      <c r="A723" s="1309" t="s">
        <v>5220</v>
      </c>
    </row>
    <row r="724" spans="1:1">
      <c r="A724" s="1309" t="s">
        <v>5221</v>
      </c>
    </row>
    <row r="725" spans="1:1">
      <c r="A725" s="1309" t="s">
        <v>5222</v>
      </c>
    </row>
    <row r="726" spans="1:1">
      <c r="A726" s="1309" t="s">
        <v>5223</v>
      </c>
    </row>
    <row r="727" spans="1:1">
      <c r="A727" s="1309" t="s">
        <v>5224</v>
      </c>
    </row>
    <row r="728" spans="1:1">
      <c r="A728" s="1309" t="s">
        <v>5225</v>
      </c>
    </row>
    <row r="729" spans="1:1">
      <c r="A729" s="1309" t="s">
        <v>5226</v>
      </c>
    </row>
    <row r="730" spans="1:1">
      <c r="A730" s="1309" t="s">
        <v>5227</v>
      </c>
    </row>
    <row r="731" spans="1:1">
      <c r="A731" s="1309" t="s">
        <v>5228</v>
      </c>
    </row>
    <row r="732" spans="1:1">
      <c r="A732" s="1309" t="s">
        <v>5229</v>
      </c>
    </row>
    <row r="733" spans="1:1">
      <c r="A733" s="1309" t="s">
        <v>5230</v>
      </c>
    </row>
    <row r="734" spans="1:1">
      <c r="A734" s="1309" t="s">
        <v>5231</v>
      </c>
    </row>
    <row r="735" spans="1:1">
      <c r="A735" s="1309" t="s">
        <v>5232</v>
      </c>
    </row>
    <row r="736" spans="1:1">
      <c r="A736" s="1309" t="s">
        <v>5233</v>
      </c>
    </row>
    <row r="737" spans="1:1">
      <c r="A737" s="1309" t="s">
        <v>5234</v>
      </c>
    </row>
    <row r="738" spans="1:1">
      <c r="A738" s="1309" t="s">
        <v>5235</v>
      </c>
    </row>
    <row r="739" spans="1:1">
      <c r="A739" s="1309" t="s">
        <v>5236</v>
      </c>
    </row>
    <row r="740" spans="1:1">
      <c r="A740" s="1309" t="s">
        <v>5237</v>
      </c>
    </row>
    <row r="741" spans="1:1">
      <c r="A741" s="1309" t="s">
        <v>5238</v>
      </c>
    </row>
    <row r="742" spans="1:1">
      <c r="A742" s="1309" t="s">
        <v>5239</v>
      </c>
    </row>
    <row r="743" spans="1:1">
      <c r="A743" s="1309" t="s">
        <v>5240</v>
      </c>
    </row>
    <row r="744" spans="1:1">
      <c r="A744" s="1309" t="s">
        <v>5241</v>
      </c>
    </row>
    <row r="745" spans="1:1">
      <c r="A745" s="1309" t="s">
        <v>5242</v>
      </c>
    </row>
    <row r="746" spans="1:1">
      <c r="A746" s="1309" t="s">
        <v>5243</v>
      </c>
    </row>
    <row r="747" spans="1:1">
      <c r="A747" s="1309" t="s">
        <v>5244</v>
      </c>
    </row>
    <row r="748" spans="1:1">
      <c r="A748" s="1309" t="s">
        <v>5245</v>
      </c>
    </row>
    <row r="749" spans="1:1">
      <c r="A749" s="1309" t="s">
        <v>5246</v>
      </c>
    </row>
    <row r="750" spans="1:1">
      <c r="A750" s="1309" t="s">
        <v>5247</v>
      </c>
    </row>
    <row r="751" spans="1:1">
      <c r="A751" s="1309" t="s">
        <v>5248</v>
      </c>
    </row>
    <row r="752" spans="1:1">
      <c r="A752" s="1309" t="s">
        <v>5249</v>
      </c>
    </row>
    <row r="753" spans="1:1">
      <c r="A753" s="1309" t="s">
        <v>5250</v>
      </c>
    </row>
    <row r="754" spans="1:1">
      <c r="A754" s="1309" t="s">
        <v>5251</v>
      </c>
    </row>
    <row r="755" spans="1:1">
      <c r="A755" s="1309" t="s">
        <v>5252</v>
      </c>
    </row>
    <row r="756" spans="1:1">
      <c r="A756" s="1309" t="s">
        <v>5253</v>
      </c>
    </row>
    <row r="757" spans="1:1">
      <c r="A757" s="1309" t="s">
        <v>5254</v>
      </c>
    </row>
    <row r="758" spans="1:1">
      <c r="A758" s="1309" t="s">
        <v>5255</v>
      </c>
    </row>
    <row r="759" spans="1:1">
      <c r="A759" s="1309" t="s">
        <v>5256</v>
      </c>
    </row>
    <row r="760" spans="1:1">
      <c r="A760" s="1309" t="s">
        <v>5257</v>
      </c>
    </row>
    <row r="761" spans="1:1">
      <c r="A761" s="1309" t="s">
        <v>5258</v>
      </c>
    </row>
    <row r="762" spans="1:1">
      <c r="A762" s="1309" t="s">
        <v>5259</v>
      </c>
    </row>
    <row r="763" spans="1:1">
      <c r="A763" s="1309" t="s">
        <v>5260</v>
      </c>
    </row>
    <row r="764" spans="1:1">
      <c r="A764" s="1309" t="s">
        <v>5261</v>
      </c>
    </row>
    <row r="765" spans="1:1">
      <c r="A765" s="1309" t="s">
        <v>5262</v>
      </c>
    </row>
    <row r="766" spans="1:1">
      <c r="A766" s="1309" t="s">
        <v>5263</v>
      </c>
    </row>
    <row r="767" spans="1:1">
      <c r="A767" s="1309" t="s">
        <v>5264</v>
      </c>
    </row>
    <row r="768" spans="1:1">
      <c r="A768" s="1309" t="s">
        <v>5265</v>
      </c>
    </row>
    <row r="769" spans="1:1">
      <c r="A769" s="1309" t="s">
        <v>5266</v>
      </c>
    </row>
    <row r="770" spans="1:1">
      <c r="A770" s="1309" t="s">
        <v>5267</v>
      </c>
    </row>
    <row r="771" spans="1:1">
      <c r="A771" s="1309" t="s">
        <v>5268</v>
      </c>
    </row>
    <row r="772" spans="1:1">
      <c r="A772" s="1309" t="s">
        <v>5269</v>
      </c>
    </row>
    <row r="773" spans="1:1">
      <c r="A773" s="1309" t="s">
        <v>5270</v>
      </c>
    </row>
    <row r="774" spans="1:1">
      <c r="A774" s="1309" t="s">
        <v>5271</v>
      </c>
    </row>
    <row r="775" spans="1:1">
      <c r="A775" s="1309" t="s">
        <v>5272</v>
      </c>
    </row>
    <row r="776" spans="1:1">
      <c r="A776" s="1309" t="s">
        <v>5273</v>
      </c>
    </row>
    <row r="777" spans="1:1">
      <c r="A777" s="1309" t="s">
        <v>5274</v>
      </c>
    </row>
    <row r="778" spans="1:1">
      <c r="A778" s="1309" t="s">
        <v>5275</v>
      </c>
    </row>
    <row r="779" spans="1:1">
      <c r="A779" s="1309" t="s">
        <v>5276</v>
      </c>
    </row>
    <row r="780" spans="1:1">
      <c r="A780" s="1309" t="s">
        <v>5277</v>
      </c>
    </row>
    <row r="781" spans="1:1">
      <c r="A781" s="1309" t="s">
        <v>5278</v>
      </c>
    </row>
    <row r="782" spans="1:1">
      <c r="A782" s="1309" t="s">
        <v>5279</v>
      </c>
    </row>
    <row r="783" spans="1:1">
      <c r="A783" s="1309" t="s">
        <v>5280</v>
      </c>
    </row>
    <row r="784" spans="1:1">
      <c r="A784" s="1309" t="s">
        <v>5281</v>
      </c>
    </row>
    <row r="785" spans="1:1">
      <c r="A785" s="1309" t="s">
        <v>5282</v>
      </c>
    </row>
    <row r="786" spans="1:1">
      <c r="A786" s="1309" t="s">
        <v>5283</v>
      </c>
    </row>
    <row r="787" spans="1:1">
      <c r="A787" s="1309" t="s">
        <v>5284</v>
      </c>
    </row>
    <row r="788" spans="1:1">
      <c r="A788" s="1309" t="s">
        <v>5285</v>
      </c>
    </row>
    <row r="789" spans="1:1">
      <c r="A789" s="1309" t="s">
        <v>5286</v>
      </c>
    </row>
    <row r="790" spans="1:1">
      <c r="A790" s="1309" t="s">
        <v>5287</v>
      </c>
    </row>
    <row r="791" spans="1:1">
      <c r="A791" s="1309" t="s">
        <v>5288</v>
      </c>
    </row>
    <row r="792" spans="1:1">
      <c r="A792" s="1309" t="s">
        <v>5289</v>
      </c>
    </row>
    <row r="793" spans="1:1">
      <c r="A793" s="1309" t="s">
        <v>5290</v>
      </c>
    </row>
    <row r="794" spans="1:1">
      <c r="A794" s="1309" t="s">
        <v>5291</v>
      </c>
    </row>
    <row r="795" spans="1:1">
      <c r="A795" s="1309" t="s">
        <v>5292</v>
      </c>
    </row>
    <row r="796" spans="1:1">
      <c r="A796" s="1309" t="s">
        <v>5293</v>
      </c>
    </row>
    <row r="797" spans="1:1">
      <c r="A797" s="1309" t="s">
        <v>5294</v>
      </c>
    </row>
    <row r="798" spans="1:1">
      <c r="A798" s="1309" t="s">
        <v>5295</v>
      </c>
    </row>
    <row r="799" spans="1:1">
      <c r="A799" s="1309" t="s">
        <v>5296</v>
      </c>
    </row>
    <row r="800" spans="1:1">
      <c r="A800" s="1309" t="s">
        <v>5297</v>
      </c>
    </row>
    <row r="801" spans="1:1">
      <c r="A801" s="1309" t="s">
        <v>5298</v>
      </c>
    </row>
    <row r="802" spans="1:1">
      <c r="A802" s="1309" t="s">
        <v>5299</v>
      </c>
    </row>
    <row r="803" spans="1:1">
      <c r="A803" s="1309" t="s">
        <v>5300</v>
      </c>
    </row>
    <row r="804" spans="1:1">
      <c r="A804" s="1309" t="s">
        <v>5301</v>
      </c>
    </row>
    <row r="805" spans="1:1">
      <c r="A805" s="1309" t="s">
        <v>5302</v>
      </c>
    </row>
    <row r="806" spans="1:1">
      <c r="A806" s="1309" t="s">
        <v>5303</v>
      </c>
    </row>
    <row r="807" spans="1:1">
      <c r="A807" s="1309" t="s">
        <v>5304</v>
      </c>
    </row>
    <row r="808" spans="1:1">
      <c r="A808" s="1309" t="s">
        <v>5305</v>
      </c>
    </row>
    <row r="809" spans="1:1">
      <c r="A809" s="1309" t="s">
        <v>5306</v>
      </c>
    </row>
    <row r="810" spans="1:1">
      <c r="A810" s="1309" t="s">
        <v>5307</v>
      </c>
    </row>
    <row r="811" spans="1:1">
      <c r="A811" s="1309" t="s">
        <v>5308</v>
      </c>
    </row>
    <row r="812" spans="1:1">
      <c r="A812" s="1309" t="s">
        <v>5309</v>
      </c>
    </row>
    <row r="813" spans="1:1">
      <c r="A813" s="1309" t="s">
        <v>5310</v>
      </c>
    </row>
    <row r="814" spans="1:1">
      <c r="A814" s="1309" t="s">
        <v>5311</v>
      </c>
    </row>
    <row r="815" spans="1:1">
      <c r="A815" s="1309" t="s">
        <v>5312</v>
      </c>
    </row>
    <row r="816" spans="1:1">
      <c r="A816" s="1309" t="s">
        <v>5313</v>
      </c>
    </row>
    <row r="817" spans="1:1">
      <c r="A817" s="1309" t="s">
        <v>5314</v>
      </c>
    </row>
    <row r="818" spans="1:1">
      <c r="A818" s="1309" t="s">
        <v>5315</v>
      </c>
    </row>
    <row r="819" spans="1:1">
      <c r="A819" s="1309" t="s">
        <v>5316</v>
      </c>
    </row>
    <row r="820" spans="1:1">
      <c r="A820" s="1309" t="s">
        <v>5317</v>
      </c>
    </row>
    <row r="821" spans="1:1">
      <c r="A821" s="1309" t="s">
        <v>5318</v>
      </c>
    </row>
    <row r="822" spans="1:1">
      <c r="A822" s="1309" t="s">
        <v>5319</v>
      </c>
    </row>
    <row r="823" spans="1:1">
      <c r="A823" s="1309" t="s">
        <v>5320</v>
      </c>
    </row>
    <row r="824" spans="1:1">
      <c r="A824" s="1309" t="s">
        <v>5321</v>
      </c>
    </row>
    <row r="825" spans="1:1">
      <c r="A825" s="1309" t="s">
        <v>5322</v>
      </c>
    </row>
    <row r="826" spans="1:1">
      <c r="A826" s="1309" t="s">
        <v>5323</v>
      </c>
    </row>
    <row r="827" spans="1:1">
      <c r="A827" s="1309" t="s">
        <v>5324</v>
      </c>
    </row>
    <row r="828" spans="1:1">
      <c r="A828" s="1309" t="s">
        <v>5325</v>
      </c>
    </row>
    <row r="829" spans="1:1">
      <c r="A829" s="1309" t="s">
        <v>5326</v>
      </c>
    </row>
    <row r="830" spans="1:1">
      <c r="A830" s="1309" t="s">
        <v>5327</v>
      </c>
    </row>
    <row r="831" spans="1:1">
      <c r="A831" s="1309" t="s">
        <v>5328</v>
      </c>
    </row>
    <row r="832" spans="1:1">
      <c r="A832" s="1309" t="s">
        <v>5329</v>
      </c>
    </row>
    <row r="833" spans="1:1">
      <c r="A833" s="1309" t="s">
        <v>5330</v>
      </c>
    </row>
    <row r="834" spans="1:1">
      <c r="A834" s="1309" t="s">
        <v>5331</v>
      </c>
    </row>
    <row r="835" spans="1:1">
      <c r="A835" s="1309" t="s">
        <v>5332</v>
      </c>
    </row>
    <row r="836" spans="1:1">
      <c r="A836" s="1309" t="s">
        <v>5333</v>
      </c>
    </row>
    <row r="837" spans="1:1">
      <c r="A837" s="1309" t="s">
        <v>5334</v>
      </c>
    </row>
    <row r="838" spans="1:1">
      <c r="A838" s="1309" t="s">
        <v>5335</v>
      </c>
    </row>
    <row r="839" spans="1:1">
      <c r="A839" s="1309" t="s">
        <v>5336</v>
      </c>
    </row>
    <row r="840" spans="1:1">
      <c r="A840" s="1309" t="s">
        <v>5337</v>
      </c>
    </row>
    <row r="841" spans="1:1">
      <c r="A841" s="1309" t="s">
        <v>5338</v>
      </c>
    </row>
    <row r="842" spans="1:1">
      <c r="A842" s="1309" t="s">
        <v>5339</v>
      </c>
    </row>
    <row r="843" spans="1:1">
      <c r="A843" s="1309" t="s">
        <v>5340</v>
      </c>
    </row>
    <row r="844" spans="1:1">
      <c r="A844" s="1309" t="s">
        <v>5341</v>
      </c>
    </row>
    <row r="845" spans="1:1">
      <c r="A845" s="1309" t="s">
        <v>5342</v>
      </c>
    </row>
    <row r="846" spans="1:1">
      <c r="A846" s="1309" t="s">
        <v>5343</v>
      </c>
    </row>
    <row r="847" spans="1:1">
      <c r="A847" s="1309" t="s">
        <v>5344</v>
      </c>
    </row>
    <row r="848" spans="1:1">
      <c r="A848" s="1309" t="s">
        <v>5345</v>
      </c>
    </row>
    <row r="849" spans="1:1">
      <c r="A849" s="1309" t="s">
        <v>5346</v>
      </c>
    </row>
    <row r="850" spans="1:1">
      <c r="A850" s="1309" t="s">
        <v>5347</v>
      </c>
    </row>
    <row r="851" spans="1:1">
      <c r="A851" s="1309" t="s">
        <v>5348</v>
      </c>
    </row>
    <row r="852" spans="1:1">
      <c r="A852" s="1309" t="s">
        <v>5349</v>
      </c>
    </row>
    <row r="853" spans="1:1">
      <c r="A853" s="1309" t="s">
        <v>5350</v>
      </c>
    </row>
    <row r="854" spans="1:1">
      <c r="A854" s="1309" t="s">
        <v>5351</v>
      </c>
    </row>
    <row r="855" spans="1:1">
      <c r="A855" s="1309" t="s">
        <v>5352</v>
      </c>
    </row>
    <row r="856" spans="1:1">
      <c r="A856" s="1309" t="s">
        <v>5353</v>
      </c>
    </row>
    <row r="857" spans="1:1">
      <c r="A857" s="1309" t="s">
        <v>5354</v>
      </c>
    </row>
    <row r="858" spans="1:1">
      <c r="A858" s="1309" t="s">
        <v>5355</v>
      </c>
    </row>
    <row r="859" spans="1:1">
      <c r="A859" s="1309" t="s">
        <v>5356</v>
      </c>
    </row>
    <row r="860" spans="1:1">
      <c r="A860" s="1309" t="s">
        <v>5357</v>
      </c>
    </row>
    <row r="861" spans="1:1">
      <c r="A861" s="1309" t="s">
        <v>5358</v>
      </c>
    </row>
    <row r="862" spans="1:1">
      <c r="A862" s="1309" t="s">
        <v>5359</v>
      </c>
    </row>
    <row r="863" spans="1:1">
      <c r="A863" s="1309" t="s">
        <v>5360</v>
      </c>
    </row>
    <row r="864" spans="1:1">
      <c r="A864" s="1309" t="s">
        <v>5361</v>
      </c>
    </row>
    <row r="865" spans="1:1">
      <c r="A865" s="1309" t="s">
        <v>5362</v>
      </c>
    </row>
    <row r="866" spans="1:1">
      <c r="A866" s="1309" t="s">
        <v>5363</v>
      </c>
    </row>
    <row r="867" spans="1:1">
      <c r="A867" s="1309" t="s">
        <v>5364</v>
      </c>
    </row>
    <row r="868" spans="1:1">
      <c r="A868" s="1309" t="s">
        <v>5365</v>
      </c>
    </row>
    <row r="869" spans="1:1">
      <c r="A869" s="1309" t="s">
        <v>5366</v>
      </c>
    </row>
    <row r="870" spans="1:1">
      <c r="A870" s="1309" t="s">
        <v>5367</v>
      </c>
    </row>
    <row r="871" spans="1:1">
      <c r="A871" s="1309" t="s">
        <v>5368</v>
      </c>
    </row>
    <row r="872" spans="1:1">
      <c r="A872" s="1309" t="s">
        <v>5369</v>
      </c>
    </row>
    <row r="873" spans="1:1">
      <c r="A873" s="1309" t="s">
        <v>5370</v>
      </c>
    </row>
    <row r="874" spans="1:1">
      <c r="A874" s="1309" t="s">
        <v>5371</v>
      </c>
    </row>
    <row r="875" spans="1:1">
      <c r="A875" s="1309" t="s">
        <v>5372</v>
      </c>
    </row>
    <row r="876" spans="1:1">
      <c r="A876" s="1309" t="s">
        <v>5373</v>
      </c>
    </row>
    <row r="877" spans="1:1">
      <c r="A877" s="1309" t="s">
        <v>5374</v>
      </c>
    </row>
    <row r="878" spans="1:1">
      <c r="A878" s="1309" t="s">
        <v>5375</v>
      </c>
    </row>
    <row r="879" spans="1:1">
      <c r="A879" s="1309" t="s">
        <v>5376</v>
      </c>
    </row>
    <row r="880" spans="1:1">
      <c r="A880" s="1309" t="s">
        <v>5377</v>
      </c>
    </row>
    <row r="881" spans="1:1">
      <c r="A881" s="1309" t="s">
        <v>5378</v>
      </c>
    </row>
    <row r="882" spans="1:1">
      <c r="A882" s="1309" t="s">
        <v>5379</v>
      </c>
    </row>
    <row r="883" spans="1:1">
      <c r="A883" s="1309" t="s">
        <v>5380</v>
      </c>
    </row>
    <row r="884" spans="1:1">
      <c r="A884" s="1309" t="s">
        <v>5381</v>
      </c>
    </row>
    <row r="885" spans="1:1">
      <c r="A885" s="1309" t="s">
        <v>5382</v>
      </c>
    </row>
    <row r="886" spans="1:1">
      <c r="A886" s="1309" t="s">
        <v>5383</v>
      </c>
    </row>
    <row r="887" spans="1:1">
      <c r="A887" s="1309" t="s">
        <v>5384</v>
      </c>
    </row>
    <row r="888" spans="1:1">
      <c r="A888" s="1309" t="s">
        <v>5385</v>
      </c>
    </row>
    <row r="889" spans="1:1">
      <c r="A889" s="1309" t="s">
        <v>5386</v>
      </c>
    </row>
    <row r="890" spans="1:1">
      <c r="A890" s="1309" t="s">
        <v>5387</v>
      </c>
    </row>
    <row r="891" spans="1:1">
      <c r="A891" s="1309" t="s">
        <v>5388</v>
      </c>
    </row>
    <row r="892" spans="1:1">
      <c r="A892" s="1309" t="s">
        <v>5389</v>
      </c>
    </row>
    <row r="893" spans="1:1">
      <c r="A893" s="1309" t="s">
        <v>5390</v>
      </c>
    </row>
    <row r="894" spans="1:1">
      <c r="A894" s="1309" t="s">
        <v>5391</v>
      </c>
    </row>
    <row r="895" spans="1:1">
      <c r="A895" s="1309" t="s">
        <v>5392</v>
      </c>
    </row>
    <row r="896" spans="1:1">
      <c r="A896" s="1309" t="s">
        <v>5393</v>
      </c>
    </row>
    <row r="897" spans="1:1">
      <c r="A897" s="1309" t="s">
        <v>5394</v>
      </c>
    </row>
    <row r="898" spans="1:1">
      <c r="A898" s="1309" t="s">
        <v>5395</v>
      </c>
    </row>
    <row r="899" spans="1:1">
      <c r="A899" s="1309" t="s">
        <v>5396</v>
      </c>
    </row>
    <row r="900" spans="1:1">
      <c r="A900" s="1309" t="s">
        <v>5397</v>
      </c>
    </row>
    <row r="901" spans="1:1">
      <c r="A901" s="1309" t="s">
        <v>5398</v>
      </c>
    </row>
    <row r="902" spans="1:1">
      <c r="A902" s="1309" t="s">
        <v>5399</v>
      </c>
    </row>
    <row r="903" spans="1:1">
      <c r="A903" s="1309" t="s">
        <v>5400</v>
      </c>
    </row>
    <row r="904" spans="1:1">
      <c r="A904" s="1309" t="s">
        <v>5401</v>
      </c>
    </row>
    <row r="905" spans="1:1">
      <c r="A905" s="1309" t="s">
        <v>5402</v>
      </c>
    </row>
    <row r="906" spans="1:1">
      <c r="A906" s="1309" t="s">
        <v>5403</v>
      </c>
    </row>
    <row r="907" spans="1:1">
      <c r="A907" s="1309" t="s">
        <v>5404</v>
      </c>
    </row>
    <row r="908" spans="1:1">
      <c r="A908" s="1309" t="s">
        <v>5405</v>
      </c>
    </row>
    <row r="909" spans="1:1">
      <c r="A909" s="1309" t="s">
        <v>5406</v>
      </c>
    </row>
    <row r="910" spans="1:1">
      <c r="A910" s="1309" t="s">
        <v>5407</v>
      </c>
    </row>
    <row r="911" spans="1:1">
      <c r="A911" s="1309" t="s">
        <v>5408</v>
      </c>
    </row>
    <row r="912" spans="1:1">
      <c r="A912" s="1309" t="s">
        <v>5409</v>
      </c>
    </row>
    <row r="913" spans="1:1">
      <c r="A913" s="1309" t="s">
        <v>5410</v>
      </c>
    </row>
    <row r="914" spans="1:1">
      <c r="A914" s="1309" t="s">
        <v>5411</v>
      </c>
    </row>
    <row r="915" spans="1:1">
      <c r="A915" s="1309" t="s">
        <v>5412</v>
      </c>
    </row>
    <row r="916" spans="1:1">
      <c r="A916" s="1309" t="s">
        <v>5413</v>
      </c>
    </row>
    <row r="917" spans="1:1">
      <c r="A917" s="1309" t="s">
        <v>5414</v>
      </c>
    </row>
    <row r="918" spans="1:1">
      <c r="A918" s="1309" t="s">
        <v>5415</v>
      </c>
    </row>
    <row r="919" spans="1:1">
      <c r="A919" s="1309" t="s">
        <v>5416</v>
      </c>
    </row>
    <row r="920" spans="1:1">
      <c r="A920" s="1309" t="s">
        <v>5417</v>
      </c>
    </row>
    <row r="921" spans="1:1">
      <c r="A921" s="1309" t="s">
        <v>5418</v>
      </c>
    </row>
    <row r="922" spans="1:1">
      <c r="A922" s="1309" t="s">
        <v>5419</v>
      </c>
    </row>
    <row r="923" spans="1:1">
      <c r="A923" s="1309" t="s">
        <v>5420</v>
      </c>
    </row>
    <row r="924" spans="1:1">
      <c r="A924" s="1309" t="s">
        <v>5421</v>
      </c>
    </row>
    <row r="925" spans="1:1">
      <c r="A925" s="1309" t="s">
        <v>5422</v>
      </c>
    </row>
    <row r="926" spans="1:1">
      <c r="A926" s="1309" t="s">
        <v>5423</v>
      </c>
    </row>
    <row r="927" spans="1:1">
      <c r="A927" s="1309" t="s">
        <v>5424</v>
      </c>
    </row>
    <row r="928" spans="1:1">
      <c r="A928" s="1309" t="s">
        <v>5425</v>
      </c>
    </row>
    <row r="929" spans="1:1">
      <c r="A929" s="1309" t="s">
        <v>5426</v>
      </c>
    </row>
    <row r="930" spans="1:1">
      <c r="A930" s="1309" t="s">
        <v>5427</v>
      </c>
    </row>
    <row r="931" spans="1:1">
      <c r="A931" s="1309" t="s">
        <v>5428</v>
      </c>
    </row>
    <row r="932" spans="1:1">
      <c r="A932" s="1309" t="s">
        <v>5429</v>
      </c>
    </row>
    <row r="933" spans="1:1">
      <c r="A933" s="1309" t="s">
        <v>5430</v>
      </c>
    </row>
    <row r="934" spans="1:1">
      <c r="A934" s="1309" t="s">
        <v>5431</v>
      </c>
    </row>
    <row r="935" spans="1:1">
      <c r="A935" s="1309" t="s">
        <v>5432</v>
      </c>
    </row>
    <row r="936" spans="1:1">
      <c r="A936" s="1309" t="s">
        <v>5433</v>
      </c>
    </row>
    <row r="937" spans="1:1">
      <c r="A937" s="1309" t="s">
        <v>5434</v>
      </c>
    </row>
    <row r="938" spans="1:1">
      <c r="A938" s="1309" t="s">
        <v>5435</v>
      </c>
    </row>
    <row r="939" spans="1:1">
      <c r="A939" s="1309" t="s">
        <v>5436</v>
      </c>
    </row>
    <row r="940" spans="1:1">
      <c r="A940" s="1309" t="s">
        <v>5437</v>
      </c>
    </row>
    <row r="941" spans="1:1">
      <c r="A941" s="1309" t="s">
        <v>5438</v>
      </c>
    </row>
    <row r="942" spans="1:1">
      <c r="A942" s="1309" t="s">
        <v>5439</v>
      </c>
    </row>
    <row r="943" spans="1:1">
      <c r="A943" s="1309" t="s">
        <v>5440</v>
      </c>
    </row>
    <row r="944" spans="1:1">
      <c r="A944" s="1309" t="s">
        <v>5441</v>
      </c>
    </row>
    <row r="945" spans="1:1">
      <c r="A945" s="1309" t="s">
        <v>5442</v>
      </c>
    </row>
    <row r="946" spans="1:1">
      <c r="A946" s="1309" t="s">
        <v>5443</v>
      </c>
    </row>
    <row r="947" spans="1:1">
      <c r="A947" s="1309" t="s">
        <v>5444</v>
      </c>
    </row>
    <row r="948" spans="1:1">
      <c r="A948" s="1309" t="s">
        <v>5445</v>
      </c>
    </row>
    <row r="949" spans="1:1">
      <c r="A949" s="1309" t="s">
        <v>5446</v>
      </c>
    </row>
    <row r="950" spans="1:1">
      <c r="A950" s="1309" t="s">
        <v>5447</v>
      </c>
    </row>
    <row r="951" spans="1:1">
      <c r="A951" s="1309" t="s">
        <v>5448</v>
      </c>
    </row>
    <row r="952" spans="1:1">
      <c r="A952" s="1309" t="s">
        <v>5449</v>
      </c>
    </row>
    <row r="953" spans="1:1">
      <c r="A953" s="1309" t="s">
        <v>5450</v>
      </c>
    </row>
    <row r="954" spans="1:1">
      <c r="A954" s="1309" t="s">
        <v>5451</v>
      </c>
    </row>
    <row r="955" spans="1:1">
      <c r="A955" s="1309" t="s">
        <v>5452</v>
      </c>
    </row>
    <row r="956" spans="1:1">
      <c r="A956" s="1309" t="s">
        <v>5453</v>
      </c>
    </row>
    <row r="957" spans="1:1">
      <c r="A957" s="1309" t="s">
        <v>5454</v>
      </c>
    </row>
    <row r="958" spans="1:1">
      <c r="A958" s="1309" t="s">
        <v>5455</v>
      </c>
    </row>
    <row r="959" spans="1:1">
      <c r="A959" s="1309" t="s">
        <v>5456</v>
      </c>
    </row>
    <row r="960" spans="1:1">
      <c r="A960" s="1309" t="s">
        <v>5457</v>
      </c>
    </row>
    <row r="961" spans="1:1">
      <c r="A961" s="1309" t="s">
        <v>5458</v>
      </c>
    </row>
    <row r="962" spans="1:1">
      <c r="A962" s="1309" t="s">
        <v>5459</v>
      </c>
    </row>
    <row r="963" spans="1:1">
      <c r="A963" s="1309" t="s">
        <v>5460</v>
      </c>
    </row>
    <row r="964" spans="1:1">
      <c r="A964" s="1309" t="s">
        <v>5461</v>
      </c>
    </row>
    <row r="965" spans="1:1">
      <c r="A965" s="1309" t="s">
        <v>5462</v>
      </c>
    </row>
    <row r="966" spans="1:1">
      <c r="A966" s="1309" t="s">
        <v>5463</v>
      </c>
    </row>
    <row r="967" spans="1:1">
      <c r="A967" s="1309" t="s">
        <v>5464</v>
      </c>
    </row>
    <row r="968" spans="1:1">
      <c r="A968" s="1309" t="s">
        <v>5465</v>
      </c>
    </row>
    <row r="969" spans="1:1">
      <c r="A969" s="1309" t="s">
        <v>5466</v>
      </c>
    </row>
    <row r="970" spans="1:1">
      <c r="A970" s="1309" t="s">
        <v>5467</v>
      </c>
    </row>
    <row r="971" spans="1:1">
      <c r="A971" s="1309" t="s">
        <v>5468</v>
      </c>
    </row>
    <row r="972" spans="1:1">
      <c r="A972" s="1309" t="s">
        <v>5469</v>
      </c>
    </row>
    <row r="973" spans="1:1">
      <c r="A973" s="1309" t="s">
        <v>5470</v>
      </c>
    </row>
    <row r="974" spans="1:1">
      <c r="A974" s="1309" t="s">
        <v>5471</v>
      </c>
    </row>
    <row r="975" spans="1:1">
      <c r="A975" s="1309" t="s">
        <v>5472</v>
      </c>
    </row>
    <row r="976" spans="1:1">
      <c r="A976" s="1309" t="s">
        <v>5473</v>
      </c>
    </row>
    <row r="977" spans="1:1">
      <c r="A977" s="1309" t="s">
        <v>5474</v>
      </c>
    </row>
    <row r="978" spans="1:1">
      <c r="A978" s="1309" t="s">
        <v>5475</v>
      </c>
    </row>
    <row r="979" spans="1:1">
      <c r="A979" s="1309" t="s">
        <v>5476</v>
      </c>
    </row>
    <row r="980" spans="1:1">
      <c r="A980" s="1309" t="s">
        <v>5477</v>
      </c>
    </row>
    <row r="981" spans="1:1">
      <c r="A981" s="1309" t="s">
        <v>5478</v>
      </c>
    </row>
    <row r="982" spans="1:1">
      <c r="A982" s="1309" t="s">
        <v>5479</v>
      </c>
    </row>
    <row r="983" spans="1:1">
      <c r="A983" s="1309" t="s">
        <v>5480</v>
      </c>
    </row>
    <row r="984" spans="1:1">
      <c r="A984" s="1309" t="s">
        <v>5481</v>
      </c>
    </row>
    <row r="985" spans="1:1">
      <c r="A985" s="1309" t="s">
        <v>5482</v>
      </c>
    </row>
    <row r="986" spans="1:1">
      <c r="A986" s="1309" t="s">
        <v>5483</v>
      </c>
    </row>
    <row r="987" spans="1:1">
      <c r="A987" s="1309" t="s">
        <v>5484</v>
      </c>
    </row>
    <row r="988" spans="1:1">
      <c r="A988" s="1309" t="s">
        <v>5485</v>
      </c>
    </row>
    <row r="989" spans="1:1">
      <c r="A989" s="1309" t="s">
        <v>5486</v>
      </c>
    </row>
    <row r="990" spans="1:1">
      <c r="A990" s="1309" t="s">
        <v>5487</v>
      </c>
    </row>
    <row r="991" spans="1:1">
      <c r="A991" s="1309" t="s">
        <v>5488</v>
      </c>
    </row>
    <row r="992" spans="1:1">
      <c r="A992" s="1309" t="s">
        <v>5489</v>
      </c>
    </row>
    <row r="993" spans="1:1">
      <c r="A993" s="1309" t="s">
        <v>5490</v>
      </c>
    </row>
    <row r="994" spans="1:1">
      <c r="A994" s="1309" t="s">
        <v>5491</v>
      </c>
    </row>
    <row r="995" spans="1:1">
      <c r="A995" s="1309" t="s">
        <v>5492</v>
      </c>
    </row>
    <row r="996" spans="1:1">
      <c r="A996" s="1309" t="s">
        <v>5493</v>
      </c>
    </row>
    <row r="997" spans="1:1">
      <c r="A997" s="1309" t="s">
        <v>5494</v>
      </c>
    </row>
    <row r="998" spans="1:1">
      <c r="A998" s="1309" t="s">
        <v>5495</v>
      </c>
    </row>
    <row r="999" spans="1:1">
      <c r="A999" s="1309" t="s">
        <v>5496</v>
      </c>
    </row>
    <row r="1000" spans="1:1">
      <c r="A1000" s="1309" t="s">
        <v>5497</v>
      </c>
    </row>
    <row r="1001" spans="1:1">
      <c r="A1001" s="1309" t="s">
        <v>5498</v>
      </c>
    </row>
    <row r="1002" spans="1:1">
      <c r="A1002" s="1309" t="s">
        <v>5499</v>
      </c>
    </row>
    <row r="1003" spans="1:1">
      <c r="A1003" s="1309" t="s">
        <v>5500</v>
      </c>
    </row>
    <row r="1004" spans="1:1">
      <c r="A1004" s="1309" t="s">
        <v>5501</v>
      </c>
    </row>
    <row r="1005" spans="1:1">
      <c r="A1005" s="1309" t="s">
        <v>5502</v>
      </c>
    </row>
    <row r="1006" spans="1:1">
      <c r="A1006" s="1309" t="s">
        <v>5503</v>
      </c>
    </row>
    <row r="1007" spans="1:1">
      <c r="A1007" s="1309" t="s">
        <v>5504</v>
      </c>
    </row>
    <row r="1008" spans="1:1">
      <c r="A1008" s="1309" t="s">
        <v>5505</v>
      </c>
    </row>
    <row r="1009" spans="1:1">
      <c r="A1009" s="1309" t="s">
        <v>5506</v>
      </c>
    </row>
    <row r="1010" spans="1:1">
      <c r="A1010" s="1309" t="s">
        <v>5507</v>
      </c>
    </row>
    <row r="1011" spans="1:1">
      <c r="A1011" s="1309" t="s">
        <v>5508</v>
      </c>
    </row>
    <row r="1012" spans="1:1">
      <c r="A1012" s="1309" t="s">
        <v>5509</v>
      </c>
    </row>
    <row r="1013" spans="1:1">
      <c r="A1013" s="1309" t="s">
        <v>5510</v>
      </c>
    </row>
    <row r="1014" spans="1:1">
      <c r="A1014" s="1309" t="s">
        <v>5511</v>
      </c>
    </row>
    <row r="1015" spans="1:1">
      <c r="A1015" s="1309" t="s">
        <v>5512</v>
      </c>
    </row>
    <row r="1016" spans="1:1">
      <c r="A1016" s="1309" t="s">
        <v>5513</v>
      </c>
    </row>
    <row r="1017" spans="1:1">
      <c r="A1017" s="1309" t="s">
        <v>5514</v>
      </c>
    </row>
    <row r="1018" spans="1:1">
      <c r="A1018" s="1309" t="s">
        <v>5515</v>
      </c>
    </row>
    <row r="1019" spans="1:1">
      <c r="A1019" s="1309" t="s">
        <v>5516</v>
      </c>
    </row>
    <row r="1020" spans="1:1">
      <c r="A1020" s="1309" t="s">
        <v>5517</v>
      </c>
    </row>
    <row r="1021" spans="1:1">
      <c r="A1021" s="1309" t="s">
        <v>5518</v>
      </c>
    </row>
    <row r="1022" spans="1:1">
      <c r="A1022" s="1309" t="s">
        <v>5519</v>
      </c>
    </row>
    <row r="1023" spans="1:1">
      <c r="A1023" s="1309" t="s">
        <v>5520</v>
      </c>
    </row>
    <row r="1024" spans="1:1">
      <c r="A1024" s="1309" t="s">
        <v>5521</v>
      </c>
    </row>
    <row r="1025" spans="1:1">
      <c r="A1025" s="1309" t="s">
        <v>5522</v>
      </c>
    </row>
    <row r="1026" spans="1:1">
      <c r="A1026" s="1309" t="s">
        <v>5523</v>
      </c>
    </row>
    <row r="1027" spans="1:1">
      <c r="A1027" s="1309" t="s">
        <v>5524</v>
      </c>
    </row>
    <row r="1028" spans="1:1">
      <c r="A1028" s="1309" t="s">
        <v>5525</v>
      </c>
    </row>
    <row r="1029" spans="1:1">
      <c r="A1029" s="1309" t="s">
        <v>5526</v>
      </c>
    </row>
    <row r="1030" spans="1:1">
      <c r="A1030" s="1309" t="s">
        <v>5527</v>
      </c>
    </row>
    <row r="1031" spans="1:1">
      <c r="A1031" s="1309" t="s">
        <v>5528</v>
      </c>
    </row>
    <row r="1032" spans="1:1">
      <c r="A1032" s="1309" t="s">
        <v>5529</v>
      </c>
    </row>
    <row r="1033" spans="1:1">
      <c r="A1033" s="1309" t="s">
        <v>5530</v>
      </c>
    </row>
    <row r="1034" spans="1:1">
      <c r="A1034" s="1309" t="s">
        <v>5531</v>
      </c>
    </row>
    <row r="1035" spans="1:1">
      <c r="A1035" s="1309" t="s">
        <v>5532</v>
      </c>
    </row>
    <row r="1036" spans="1:1">
      <c r="A1036" s="1309" t="s">
        <v>5533</v>
      </c>
    </row>
    <row r="1037" spans="1:1">
      <c r="A1037" s="1309" t="s">
        <v>5534</v>
      </c>
    </row>
    <row r="1038" spans="1:1">
      <c r="A1038" s="1309" t="s">
        <v>5535</v>
      </c>
    </row>
    <row r="1039" spans="1:1">
      <c r="A1039" s="1309" t="s">
        <v>5536</v>
      </c>
    </row>
    <row r="1040" spans="1:1">
      <c r="A1040" s="1309" t="s">
        <v>5537</v>
      </c>
    </row>
    <row r="1041" spans="1:1">
      <c r="A1041" s="1309" t="s">
        <v>5538</v>
      </c>
    </row>
    <row r="1042" spans="1:1">
      <c r="A1042" s="1309" t="s">
        <v>5539</v>
      </c>
    </row>
    <row r="1043" spans="1:1">
      <c r="A1043" s="1309" t="s">
        <v>5540</v>
      </c>
    </row>
    <row r="1044" spans="1:1">
      <c r="A1044" s="1309" t="s">
        <v>5541</v>
      </c>
    </row>
    <row r="1045" spans="1:1">
      <c r="A1045" s="1309" t="s">
        <v>5542</v>
      </c>
    </row>
    <row r="1046" spans="1:1">
      <c r="A1046" s="1309" t="s">
        <v>5543</v>
      </c>
    </row>
    <row r="1047" spans="1:1">
      <c r="A1047" s="1309" t="s">
        <v>5544</v>
      </c>
    </row>
    <row r="1048" spans="1:1">
      <c r="A1048" s="1309" t="s">
        <v>5545</v>
      </c>
    </row>
    <row r="1049" spans="1:1">
      <c r="A1049" s="1309" t="s">
        <v>5546</v>
      </c>
    </row>
    <row r="1050" spans="1:1">
      <c r="A1050" s="1309" t="s">
        <v>5547</v>
      </c>
    </row>
    <row r="1051" spans="1:1">
      <c r="A1051" s="1309" t="s">
        <v>5548</v>
      </c>
    </row>
    <row r="1052" spans="1:1">
      <c r="A1052" s="1309" t="s">
        <v>5549</v>
      </c>
    </row>
    <row r="1053" spans="1:1">
      <c r="A1053" s="1309" t="s">
        <v>5550</v>
      </c>
    </row>
    <row r="1054" spans="1:1">
      <c r="A1054" s="1309" t="s">
        <v>5551</v>
      </c>
    </row>
    <row r="1055" spans="1:1">
      <c r="A1055" s="1309" t="s">
        <v>5552</v>
      </c>
    </row>
    <row r="1056" spans="1:1">
      <c r="A1056" s="1309" t="s">
        <v>5553</v>
      </c>
    </row>
    <row r="1057" spans="1:1">
      <c r="A1057" s="1309" t="s">
        <v>5554</v>
      </c>
    </row>
    <row r="1058" spans="1:1">
      <c r="A1058" s="1309" t="s">
        <v>5555</v>
      </c>
    </row>
    <row r="1059" spans="1:1">
      <c r="A1059" s="1309" t="s">
        <v>5556</v>
      </c>
    </row>
    <row r="1060" spans="1:1">
      <c r="A1060" s="1309" t="s">
        <v>5557</v>
      </c>
    </row>
    <row r="1061" spans="1:1">
      <c r="A1061" s="1309" t="s">
        <v>5558</v>
      </c>
    </row>
    <row r="1062" spans="1:1">
      <c r="A1062" s="1309" t="s">
        <v>5559</v>
      </c>
    </row>
    <row r="1063" spans="1:1">
      <c r="A1063" s="1309" t="s">
        <v>5560</v>
      </c>
    </row>
    <row r="1064" spans="1:1">
      <c r="A1064" s="1309" t="s">
        <v>5561</v>
      </c>
    </row>
    <row r="1065" spans="1:1">
      <c r="A1065" s="1309" t="s">
        <v>5562</v>
      </c>
    </row>
    <row r="1066" spans="1:1">
      <c r="A1066" s="1309" t="s">
        <v>5563</v>
      </c>
    </row>
    <row r="1067" spans="1:1">
      <c r="A1067" s="1309" t="s">
        <v>5564</v>
      </c>
    </row>
    <row r="1068" spans="1:1">
      <c r="A1068" s="1309" t="s">
        <v>5565</v>
      </c>
    </row>
    <row r="1069" spans="1:1">
      <c r="A1069" s="1309" t="s">
        <v>5566</v>
      </c>
    </row>
    <row r="1070" spans="1:1">
      <c r="A1070" s="1309" t="s">
        <v>5567</v>
      </c>
    </row>
    <row r="1071" spans="1:1">
      <c r="A1071" s="1309" t="s">
        <v>5568</v>
      </c>
    </row>
    <row r="1072" spans="1:1">
      <c r="A1072" s="1309" t="s">
        <v>5569</v>
      </c>
    </row>
    <row r="1073" spans="1:1">
      <c r="A1073" s="1309" t="s">
        <v>5570</v>
      </c>
    </row>
    <row r="1074" spans="1:1">
      <c r="A1074" s="1309" t="s">
        <v>5571</v>
      </c>
    </row>
    <row r="1075" spans="1:1">
      <c r="A1075" s="1309" t="s">
        <v>5572</v>
      </c>
    </row>
    <row r="1076" spans="1:1">
      <c r="A1076" s="1309" t="s">
        <v>5573</v>
      </c>
    </row>
    <row r="1077" spans="1:1">
      <c r="A1077" s="1309" t="s">
        <v>5574</v>
      </c>
    </row>
    <row r="1078" spans="1:1">
      <c r="A1078" s="1309" t="s">
        <v>5575</v>
      </c>
    </row>
    <row r="1079" spans="1:1">
      <c r="A1079" s="1309" t="s">
        <v>5576</v>
      </c>
    </row>
    <row r="1080" spans="1:1">
      <c r="A1080" s="1309" t="s">
        <v>5577</v>
      </c>
    </row>
    <row r="1081" spans="1:1">
      <c r="A1081" s="1309" t="s">
        <v>5578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4:I331"/>
  <sheetViews>
    <sheetView tabSelected="1" topLeftCell="A218" workbookViewId="0">
      <selection activeCell="U320" sqref="U320"/>
    </sheetView>
  </sheetViews>
  <sheetFormatPr defaultRowHeight="15"/>
  <cols>
    <col min="1" max="2" width="9.33203125" style="1309"/>
    <col min="3" max="3" width="40.6640625" style="1309" customWidth="1"/>
    <col min="4" max="4" width="15.6640625" style="1309" customWidth="1"/>
    <col min="5" max="5" width="12" style="1309" customWidth="1"/>
    <col min="6" max="16384" width="9.33203125" style="1309"/>
  </cols>
  <sheetData>
    <row r="4" spans="3:4">
      <c r="C4" s="1309">
        <f>xxYear</f>
        <v>0</v>
      </c>
      <c r="D4" s="1309" t="s">
        <v>5579</v>
      </c>
    </row>
    <row r="22" spans="2:9">
      <c r="B22" s="1310" t="s">
        <v>3813</v>
      </c>
      <c r="C22" s="1309" t="str">
        <f>IF(NOT(ISBLANK($B22)),UPPER($B22)&amp;"_"&amp;$C$4,"")</f>
        <v>TLOUTPUTANALYTEAMNAMET1_0</v>
      </c>
      <c r="E22" s="1309" t="e">
        <f>IF(ISBLANK($B22), "", INDEX(RAWData!B:B,MATCH($C22,RAWData!$A:$A,0)))</f>
        <v>#N/A</v>
      </c>
      <c r="F22" s="1309" t="e">
        <f>IF(ISBLANK($B22), "", INDEX(RAWData!C:C,MATCH($C22,RAWData!$A:$A,0)))</f>
        <v>#N/A</v>
      </c>
      <c r="G22" s="1309" t="e">
        <f>IF(ISBLANK($B22), "", INDEX(RAWData!D:D,MATCH($C22,RAWData!$A:$A,0)))</f>
        <v>#N/A</v>
      </c>
      <c r="H22" s="1309" t="e">
        <f>IF(ISBLANK($B22), "", INDEX(RAWData!E:E,MATCH($C22,RAWData!$A:$A,0)))</f>
        <v>#N/A</v>
      </c>
      <c r="I22" s="1309" t="e">
        <f>IF(ISBLANK($B22), "", INDEX(RAWData!F:F,MATCH($C22,RAWData!$A:$A,0)))</f>
        <v>#N/A</v>
      </c>
    </row>
    <row r="23" spans="2:9">
      <c r="B23" s="1311" t="s">
        <v>3814</v>
      </c>
      <c r="C23" s="1309" t="str">
        <f t="shared" ref="C23:C86" si="0">IF(NOT(ISBLANK($B23)),UPPER($B23)&amp;"_"&amp;$C$4,"")</f>
        <v>TLOUTPUTANALYCSATT1_0</v>
      </c>
      <c r="E23" s="1309" t="e">
        <f>IF(ISBLANK($B23), "", INDEX(RAWData!B:B,MATCH($C23,RAWData!$A:$A,0)))</f>
        <v>#N/A</v>
      </c>
      <c r="F23" s="1309" t="e">
        <f>IF(ISBLANK($B23), "", INDEX(RAWData!C:C,MATCH($C23,RAWData!$A:$A,0)))</f>
        <v>#N/A</v>
      </c>
      <c r="G23" s="1309" t="e">
        <f>IF(ISBLANK($B23), "", INDEX(RAWData!D:D,MATCH($C23,RAWData!$A:$A,0)))</f>
        <v>#N/A</v>
      </c>
      <c r="H23" s="1309" t="e">
        <f>IF(ISBLANK($B23), "", INDEX(RAWData!E:E,MATCH($C23,RAWData!$A:$A,0)))</f>
        <v>#N/A</v>
      </c>
      <c r="I23" s="1309" t="e">
        <f>IF(ISBLANK($B23), "", INDEX(RAWData!F:F,MATCH($C23,RAWData!$A:$A,0)))</f>
        <v>#N/A</v>
      </c>
    </row>
    <row r="24" spans="2:9">
      <c r="B24" s="1311" t="s">
        <v>3815</v>
      </c>
      <c r="C24" s="1309" t="str">
        <f t="shared" si="0"/>
        <v>TLOUTPUTANALYESATT1_0</v>
      </c>
      <c r="E24" s="1309" t="e">
        <f>IF(ISBLANK($B24), "", INDEX(RAWData!B:B,MATCH($C24,RAWData!$A:$A,0)))</f>
        <v>#N/A</v>
      </c>
      <c r="F24" s="1309" t="e">
        <f>IF(ISBLANK($B24), "", INDEX(RAWData!C:C,MATCH($C24,RAWData!$A:$A,0)))</f>
        <v>#N/A</v>
      </c>
      <c r="G24" s="1309" t="e">
        <f>IF(ISBLANK($B24), "", INDEX(RAWData!D:D,MATCH($C24,RAWData!$A:$A,0)))</f>
        <v>#N/A</v>
      </c>
      <c r="H24" s="1309" t="e">
        <f>IF(ISBLANK($B24), "", INDEX(RAWData!E:E,MATCH($C24,RAWData!$A:$A,0)))</f>
        <v>#N/A</v>
      </c>
      <c r="I24" s="1309" t="e">
        <f>IF(ISBLANK($B24), "", INDEX(RAWData!F:F,MATCH($C24,RAWData!$A:$A,0)))</f>
        <v>#N/A</v>
      </c>
    </row>
    <row r="25" spans="2:9">
      <c r="B25" s="1310"/>
      <c r="C25" s="1309" t="str">
        <f t="shared" si="0"/>
        <v/>
      </c>
      <c r="E25" s="1309" t="str">
        <f>IF(ISBLANK($B25), "", INDEX(RAWData!B:B,MATCH($C25,RAWData!$A:$A,0)))</f>
        <v/>
      </c>
      <c r="F25" s="1309" t="str">
        <f>IF(ISBLANK($B25), "", INDEX(RAWData!C:C,MATCH($C25,RAWData!$A:$A,0)))</f>
        <v/>
      </c>
      <c r="G25" s="1309" t="str">
        <f>IF(ISBLANK($B25), "", INDEX(RAWData!D:D,MATCH($C25,RAWData!$A:$A,0)))</f>
        <v/>
      </c>
      <c r="H25" s="1309" t="str">
        <f>IF(ISBLANK($B25), "", INDEX(RAWData!E:E,MATCH($C25,RAWData!$A:$A,0)))</f>
        <v/>
      </c>
      <c r="I25" s="1309" t="str">
        <f>IF(ISBLANK($B25), "", INDEX(RAWData!F:F,MATCH($C25,RAWData!$A:$A,0)))</f>
        <v/>
      </c>
    </row>
    <row r="26" spans="2:9">
      <c r="B26" s="1312" t="s">
        <v>3816</v>
      </c>
      <c r="C26" s="1309" t="str">
        <f t="shared" si="0"/>
        <v>TLOUTPUTANALYREVENUET1_0</v>
      </c>
      <c r="E26" s="1309" t="e">
        <f>IF(ISBLANK($B26), "", INDEX(RAWData!B:B,MATCH($C26,RAWData!$A:$A,0)))</f>
        <v>#N/A</v>
      </c>
      <c r="F26" s="1309" t="e">
        <f>IF(ISBLANK($B26), "", INDEX(RAWData!C:C,MATCH($C26,RAWData!$A:$A,0)))</f>
        <v>#N/A</v>
      </c>
      <c r="G26" s="1309" t="e">
        <f>IF(ISBLANK($B26), "", INDEX(RAWData!D:D,MATCH($C26,RAWData!$A:$A,0)))</f>
        <v>#N/A</v>
      </c>
      <c r="H26" s="1309" t="e">
        <f>IF(ISBLANK($B26), "", INDEX(RAWData!E:E,MATCH($C26,RAWData!$A:$A,0)))</f>
        <v>#N/A</v>
      </c>
      <c r="I26" s="1309" t="e">
        <f>IF(ISBLANK($B26), "", INDEX(RAWData!F:F,MATCH($C26,RAWData!$A:$A,0)))</f>
        <v>#N/A</v>
      </c>
    </row>
    <row r="27" spans="2:9">
      <c r="B27" s="1313" t="s">
        <v>3817</v>
      </c>
      <c r="C27" s="1309" t="str">
        <f t="shared" si="0"/>
        <v>TLOUTPUTANALYCAGRT1_0</v>
      </c>
      <c r="E27" s="1309" t="e">
        <f>IF(ISBLANK($B27), "", INDEX(RAWData!B:B,MATCH($C27,RAWData!$A:$A,0)))</f>
        <v>#N/A</v>
      </c>
      <c r="F27" s="1309" t="e">
        <f>IF(ISBLANK($B27), "", INDEX(RAWData!C:C,MATCH($C27,RAWData!$A:$A,0)))</f>
        <v>#N/A</v>
      </c>
      <c r="G27" s="1309" t="e">
        <f>IF(ISBLANK($B27), "", INDEX(RAWData!D:D,MATCH($C27,RAWData!$A:$A,0)))</f>
        <v>#N/A</v>
      </c>
      <c r="H27" s="1309" t="e">
        <f>IF(ISBLANK($B27), "", INDEX(RAWData!E:E,MATCH($C27,RAWData!$A:$A,0)))</f>
        <v>#N/A</v>
      </c>
      <c r="I27" s="1309" t="e">
        <f>IF(ISBLANK($B27), "", INDEX(RAWData!F:F,MATCH($C27,RAWData!$A:$A,0)))</f>
        <v>#N/A</v>
      </c>
    </row>
    <row r="28" spans="2:9">
      <c r="B28" s="1312" t="s">
        <v>3818</v>
      </c>
      <c r="C28" s="1309" t="str">
        <f t="shared" si="0"/>
        <v>TLOUTPUTANALYOPERATINGINCOMET1_0</v>
      </c>
      <c r="E28" s="1309" t="e">
        <f>IF(ISBLANK($B28), "", INDEX(RAWData!B:B,MATCH($C28,RAWData!$A:$A,0)))</f>
        <v>#N/A</v>
      </c>
      <c r="F28" s="1309" t="e">
        <f>IF(ISBLANK($B28), "", INDEX(RAWData!C:C,MATCH($C28,RAWData!$A:$A,0)))</f>
        <v>#N/A</v>
      </c>
      <c r="G28" s="1309" t="e">
        <f>IF(ISBLANK($B28), "", INDEX(RAWData!D:D,MATCH($C28,RAWData!$A:$A,0)))</f>
        <v>#N/A</v>
      </c>
      <c r="H28" s="1309" t="e">
        <f>IF(ISBLANK($B28), "", INDEX(RAWData!E:E,MATCH($C28,RAWData!$A:$A,0)))</f>
        <v>#N/A</v>
      </c>
      <c r="I28" s="1309" t="e">
        <f>IF(ISBLANK($B28), "", INDEX(RAWData!F:F,MATCH($C28,RAWData!$A:$A,0)))</f>
        <v>#N/A</v>
      </c>
    </row>
    <row r="29" spans="2:9">
      <c r="B29" s="1313" t="s">
        <v>3819</v>
      </c>
      <c r="C29" s="1309" t="str">
        <f t="shared" si="0"/>
        <v>TLOUTPUTANALYOPERATINGMARGINT1_0</v>
      </c>
      <c r="E29" s="1309" t="e">
        <f>IF(ISBLANK($B29), "", INDEX(RAWData!B:B,MATCH($C29,RAWData!$A:$A,0)))</f>
        <v>#N/A</v>
      </c>
      <c r="F29" s="1309" t="e">
        <f>IF(ISBLANK($B29), "", INDEX(RAWData!C:C,MATCH($C29,RAWData!$A:$A,0)))</f>
        <v>#N/A</v>
      </c>
      <c r="G29" s="1309" t="e">
        <f>IF(ISBLANK($B29), "", INDEX(RAWData!D:D,MATCH($C29,RAWData!$A:$A,0)))</f>
        <v>#N/A</v>
      </c>
      <c r="H29" s="1309" t="e">
        <f>IF(ISBLANK($B29), "", INDEX(RAWData!E:E,MATCH($C29,RAWData!$A:$A,0)))</f>
        <v>#N/A</v>
      </c>
      <c r="I29" s="1309" t="e">
        <f>IF(ISBLANK($B29), "", INDEX(RAWData!F:F,MATCH($C29,RAWData!$A:$A,0)))</f>
        <v>#N/A</v>
      </c>
    </row>
    <row r="30" spans="2:9">
      <c r="B30" s="1312" t="s">
        <v>3820</v>
      </c>
      <c r="C30" s="1309" t="str">
        <f t="shared" si="0"/>
        <v>TLOUTPUTANALYCASHOIT1_0</v>
      </c>
      <c r="E30" s="1309" t="e">
        <f>IF(ISBLANK($B30), "", INDEX(RAWData!B:B,MATCH($C30,RAWData!$A:$A,0)))</f>
        <v>#N/A</v>
      </c>
      <c r="F30" s="1309" t="e">
        <f>IF(ISBLANK($B30), "", INDEX(RAWData!C:C,MATCH($C30,RAWData!$A:$A,0)))</f>
        <v>#N/A</v>
      </c>
      <c r="G30" s="1309" t="e">
        <f>IF(ISBLANK($B30), "", INDEX(RAWData!D:D,MATCH($C30,RAWData!$A:$A,0)))</f>
        <v>#N/A</v>
      </c>
      <c r="H30" s="1309" t="e">
        <f>IF(ISBLANK($B30), "", INDEX(RAWData!E:E,MATCH($C30,RAWData!$A:$A,0)))</f>
        <v>#N/A</v>
      </c>
      <c r="I30" s="1309" t="e">
        <f>IF(ISBLANK($B30), "", INDEX(RAWData!F:F,MATCH($C30,RAWData!$A:$A,0)))</f>
        <v>#N/A</v>
      </c>
    </row>
    <row r="31" spans="2:9">
      <c r="B31" s="1313" t="s">
        <v>3821</v>
      </c>
      <c r="C31" s="1309" t="str">
        <f t="shared" si="0"/>
        <v>TLOUTPUTANALYCASHOIMARGINT1_0</v>
      </c>
      <c r="E31" s="1309" t="e">
        <f>IF(ISBLANK($B31), "", INDEX(RAWData!B:B,MATCH($C31,RAWData!$A:$A,0)))</f>
        <v>#N/A</v>
      </c>
      <c r="F31" s="1309" t="e">
        <f>IF(ISBLANK($B31), "", INDEX(RAWData!C:C,MATCH($C31,RAWData!$A:$A,0)))</f>
        <v>#N/A</v>
      </c>
      <c r="G31" s="1309" t="e">
        <f>IF(ISBLANK($B31), "", INDEX(RAWData!D:D,MATCH($C31,RAWData!$A:$A,0)))</f>
        <v>#N/A</v>
      </c>
      <c r="H31" s="1309" t="e">
        <f>IF(ISBLANK($B31), "", INDEX(RAWData!E:E,MATCH($C31,RAWData!$A:$A,0)))</f>
        <v>#N/A</v>
      </c>
      <c r="I31" s="1309" t="e">
        <f>IF(ISBLANK($B31), "", INDEX(RAWData!F:F,MATCH($C31,RAWData!$A:$A,0)))</f>
        <v>#N/A</v>
      </c>
    </row>
    <row r="32" spans="2:9">
      <c r="B32" s="1310"/>
      <c r="C32" s="1309" t="str">
        <f t="shared" si="0"/>
        <v/>
      </c>
      <c r="E32" s="1309" t="str">
        <f>IF(ISBLANK($B32), "", INDEX(RAWData!B:B,MATCH($C32,RAWData!$A:$A,0)))</f>
        <v/>
      </c>
      <c r="F32" s="1309" t="str">
        <f>IF(ISBLANK($B32), "", INDEX(RAWData!C:C,MATCH($C32,RAWData!$A:$A,0)))</f>
        <v/>
      </c>
      <c r="G32" s="1309" t="str">
        <f>IF(ISBLANK($B32), "", INDEX(RAWData!D:D,MATCH($C32,RAWData!$A:$A,0)))</f>
        <v/>
      </c>
      <c r="H32" s="1309" t="str">
        <f>IF(ISBLANK($B32), "", INDEX(RAWData!E:E,MATCH($C32,RAWData!$A:$A,0)))</f>
        <v/>
      </c>
      <c r="I32" s="1309" t="str">
        <f>IF(ISBLANK($B32), "", INDEX(RAWData!F:F,MATCH($C32,RAWData!$A:$A,0)))</f>
        <v/>
      </c>
    </row>
    <row r="33" spans="2:9">
      <c r="B33" s="1314"/>
      <c r="C33" s="1309" t="str">
        <f t="shared" si="0"/>
        <v/>
      </c>
      <c r="E33" s="1309" t="str">
        <f>IF(ISBLANK($B33), "", INDEX(RAWData!B:B,MATCH($C33,RAWData!$A:$A,0)))</f>
        <v/>
      </c>
      <c r="F33" s="1309" t="str">
        <f>IF(ISBLANK($B33), "", INDEX(RAWData!C:C,MATCH($C33,RAWData!$A:$A,0)))</f>
        <v/>
      </c>
      <c r="G33" s="1309" t="str">
        <f>IF(ISBLANK($B33), "", INDEX(RAWData!D:D,MATCH($C33,RAWData!$A:$A,0)))</f>
        <v/>
      </c>
      <c r="H33" s="1309" t="str">
        <f>IF(ISBLANK($B33), "", INDEX(RAWData!E:E,MATCH($C33,RAWData!$A:$A,0)))</f>
        <v/>
      </c>
      <c r="I33" s="1309" t="str">
        <f>IF(ISBLANK($B33), "", INDEX(RAWData!F:F,MATCH($C33,RAWData!$A:$A,0)))</f>
        <v/>
      </c>
    </row>
    <row r="34" spans="2:9">
      <c r="B34" s="1314" t="s">
        <v>3822</v>
      </c>
      <c r="C34" s="1309" t="str">
        <f t="shared" si="0"/>
        <v>TLOUTPUTANALYEVENT1YR1T1_0</v>
      </c>
      <c r="E34" s="1309" t="e">
        <f>IF(ISBLANK($B34), "", INDEX(RAWData!B:B,MATCH($C34,RAWData!$A:$A,0)))</f>
        <v>#N/A</v>
      </c>
      <c r="F34" s="1309" t="e">
        <f>IF(ISBLANK($B34), "", INDEX(RAWData!C:C,MATCH($C34,RAWData!$A:$A,0)))</f>
        <v>#N/A</v>
      </c>
      <c r="G34" s="1309" t="e">
        <f>IF(ISBLANK($B34), "", INDEX(RAWData!D:D,MATCH($C34,RAWData!$A:$A,0)))</f>
        <v>#N/A</v>
      </c>
      <c r="H34" s="1309" t="e">
        <f>IF(ISBLANK($B34), "", INDEX(RAWData!E:E,MATCH($C34,RAWData!$A:$A,0)))</f>
        <v>#N/A</v>
      </c>
      <c r="I34" s="1309" t="e">
        <f>IF(ISBLANK($B34), "", INDEX(RAWData!F:F,MATCH($C34,RAWData!$A:$A,0)))</f>
        <v>#N/A</v>
      </c>
    </row>
    <row r="35" spans="2:9">
      <c r="B35" s="1314" t="s">
        <v>3823</v>
      </c>
      <c r="C35" s="1309" t="str">
        <f t="shared" si="0"/>
        <v>TLOUTPUTANALYEVENT2YR1T1_0</v>
      </c>
      <c r="E35" s="1309" t="e">
        <f>IF(ISBLANK($B35), "", INDEX(RAWData!B:B,MATCH($C35,RAWData!$A:$A,0)))</f>
        <v>#N/A</v>
      </c>
      <c r="F35" s="1309" t="e">
        <f>IF(ISBLANK($B35), "", INDEX(RAWData!C:C,MATCH($C35,RAWData!$A:$A,0)))</f>
        <v>#N/A</v>
      </c>
      <c r="G35" s="1309" t="e">
        <f>IF(ISBLANK($B35), "", INDEX(RAWData!D:D,MATCH($C35,RAWData!$A:$A,0)))</f>
        <v>#N/A</v>
      </c>
      <c r="H35" s="1309" t="e">
        <f>IF(ISBLANK($B35), "", INDEX(RAWData!E:E,MATCH($C35,RAWData!$A:$A,0)))</f>
        <v>#N/A</v>
      </c>
      <c r="I35" s="1309" t="e">
        <f>IF(ISBLANK($B35), "", INDEX(RAWData!F:F,MATCH($C35,RAWData!$A:$A,0)))</f>
        <v>#N/A</v>
      </c>
    </row>
    <row r="36" spans="2:9">
      <c r="B36" s="1314" t="s">
        <v>3824</v>
      </c>
      <c r="C36" s="1309" t="str">
        <f t="shared" si="0"/>
        <v>TLOUTPUTANALYEVENT3YR1T1_0</v>
      </c>
      <c r="E36" s="1309" t="e">
        <f>IF(ISBLANK($B36), "", INDEX(RAWData!B:B,MATCH($C36,RAWData!$A:$A,0)))</f>
        <v>#N/A</v>
      </c>
      <c r="F36" s="1309" t="e">
        <f>IF(ISBLANK($B36), "", INDEX(RAWData!C:C,MATCH($C36,RAWData!$A:$A,0)))</f>
        <v>#N/A</v>
      </c>
      <c r="G36" s="1309" t="e">
        <f>IF(ISBLANK($B36), "", INDEX(RAWData!D:D,MATCH($C36,RAWData!$A:$A,0)))</f>
        <v>#N/A</v>
      </c>
      <c r="H36" s="1309" t="e">
        <f>IF(ISBLANK($B36), "", INDEX(RAWData!E:E,MATCH($C36,RAWData!$A:$A,0)))</f>
        <v>#N/A</v>
      </c>
      <c r="I36" s="1309" t="e">
        <f>IF(ISBLANK($B36), "", INDEX(RAWData!F:F,MATCH($C36,RAWData!$A:$A,0)))</f>
        <v>#N/A</v>
      </c>
    </row>
    <row r="37" spans="2:9">
      <c r="B37" s="1314"/>
      <c r="C37" s="1309" t="str">
        <f t="shared" si="0"/>
        <v/>
      </c>
      <c r="E37" s="1309" t="str">
        <f>IF(ISBLANK($B37), "", INDEX(RAWData!B:B,MATCH($C37,RAWData!$A:$A,0)))</f>
        <v/>
      </c>
      <c r="F37" s="1309" t="str">
        <f>IF(ISBLANK($B37), "", INDEX(RAWData!C:C,MATCH($C37,RAWData!$A:$A,0)))</f>
        <v/>
      </c>
      <c r="G37" s="1309" t="str">
        <f>IF(ISBLANK($B37), "", INDEX(RAWData!D:D,MATCH($C37,RAWData!$A:$A,0)))</f>
        <v/>
      </c>
      <c r="H37" s="1309" t="str">
        <f>IF(ISBLANK($B37), "", INDEX(RAWData!E:E,MATCH($C37,RAWData!$A:$A,0)))</f>
        <v/>
      </c>
      <c r="I37" s="1309" t="str">
        <f>IF(ISBLANK($B37), "", INDEX(RAWData!F:F,MATCH($C37,RAWData!$A:$A,0)))</f>
        <v/>
      </c>
    </row>
    <row r="38" spans="2:9">
      <c r="B38" s="1314" t="s">
        <v>3825</v>
      </c>
      <c r="C38" s="1309" t="str">
        <f t="shared" si="0"/>
        <v>TLOUTPUTANALYEVENT1YR2T1_0</v>
      </c>
      <c r="E38" s="1309" t="e">
        <f>IF(ISBLANK($B38), "", INDEX(RAWData!B:B,MATCH($C38,RAWData!$A:$A,0)))</f>
        <v>#N/A</v>
      </c>
      <c r="F38" s="1309" t="e">
        <f>IF(ISBLANK($B38), "", INDEX(RAWData!C:C,MATCH($C38,RAWData!$A:$A,0)))</f>
        <v>#N/A</v>
      </c>
      <c r="G38" s="1309" t="e">
        <f>IF(ISBLANK($B38), "", INDEX(RAWData!D:D,MATCH($C38,RAWData!$A:$A,0)))</f>
        <v>#N/A</v>
      </c>
      <c r="H38" s="1309" t="e">
        <f>IF(ISBLANK($B38), "", INDEX(RAWData!E:E,MATCH($C38,RAWData!$A:$A,0)))</f>
        <v>#N/A</v>
      </c>
      <c r="I38" s="1309" t="e">
        <f>IF(ISBLANK($B38), "", INDEX(RAWData!F:F,MATCH($C38,RAWData!$A:$A,0)))</f>
        <v>#N/A</v>
      </c>
    </row>
    <row r="39" spans="2:9">
      <c r="B39" s="1314" t="s">
        <v>3826</v>
      </c>
      <c r="C39" s="1309" t="str">
        <f t="shared" si="0"/>
        <v>TLOUTPUTANALYEVENT2YR2T1_0</v>
      </c>
      <c r="E39" s="1309" t="e">
        <f>IF(ISBLANK($B39), "", INDEX(RAWData!B:B,MATCH($C39,RAWData!$A:$A,0)))</f>
        <v>#N/A</v>
      </c>
      <c r="F39" s="1309" t="e">
        <f>IF(ISBLANK($B39), "", INDEX(RAWData!C:C,MATCH($C39,RAWData!$A:$A,0)))</f>
        <v>#N/A</v>
      </c>
      <c r="G39" s="1309" t="e">
        <f>IF(ISBLANK($B39), "", INDEX(RAWData!D:D,MATCH($C39,RAWData!$A:$A,0)))</f>
        <v>#N/A</v>
      </c>
      <c r="H39" s="1309" t="e">
        <f>IF(ISBLANK($B39), "", INDEX(RAWData!E:E,MATCH($C39,RAWData!$A:$A,0)))</f>
        <v>#N/A</v>
      </c>
      <c r="I39" s="1309" t="e">
        <f>IF(ISBLANK($B39), "", INDEX(RAWData!F:F,MATCH($C39,RAWData!$A:$A,0)))</f>
        <v>#N/A</v>
      </c>
    </row>
    <row r="40" spans="2:9">
      <c r="B40" s="1314" t="s">
        <v>3827</v>
      </c>
      <c r="C40" s="1309" t="str">
        <f t="shared" si="0"/>
        <v>TLOUTPUTANALYEVENT3YR2T1_0</v>
      </c>
      <c r="E40" s="1309" t="e">
        <f>IF(ISBLANK($B40), "", INDEX(RAWData!B:B,MATCH($C40,RAWData!$A:$A,0)))</f>
        <v>#N/A</v>
      </c>
      <c r="F40" s="1309" t="e">
        <f>IF(ISBLANK($B40), "", INDEX(RAWData!C:C,MATCH($C40,RAWData!$A:$A,0)))</f>
        <v>#N/A</v>
      </c>
      <c r="G40" s="1309" t="e">
        <f>IF(ISBLANK($B40), "", INDEX(RAWData!D:D,MATCH($C40,RAWData!$A:$A,0)))</f>
        <v>#N/A</v>
      </c>
      <c r="H40" s="1309" t="e">
        <f>IF(ISBLANK($B40), "", INDEX(RAWData!E:E,MATCH($C40,RAWData!$A:$A,0)))</f>
        <v>#N/A</v>
      </c>
      <c r="I40" s="1309" t="e">
        <f>IF(ISBLANK($B40), "", INDEX(RAWData!F:F,MATCH($C40,RAWData!$A:$A,0)))</f>
        <v>#N/A</v>
      </c>
    </row>
    <row r="41" spans="2:9">
      <c r="B41" s="1314"/>
      <c r="C41" s="1309" t="str">
        <f t="shared" si="0"/>
        <v/>
      </c>
      <c r="E41" s="1309" t="str">
        <f>IF(ISBLANK($B41), "", INDEX(RAWData!B:B,MATCH($C41,RAWData!$A:$A,0)))</f>
        <v/>
      </c>
      <c r="F41" s="1309" t="str">
        <f>IF(ISBLANK($B41), "", INDEX(RAWData!C:C,MATCH($C41,RAWData!$A:$A,0)))</f>
        <v/>
      </c>
      <c r="G41" s="1309" t="str">
        <f>IF(ISBLANK($B41), "", INDEX(RAWData!D:D,MATCH($C41,RAWData!$A:$A,0)))</f>
        <v/>
      </c>
      <c r="H41" s="1309" t="str">
        <f>IF(ISBLANK($B41), "", INDEX(RAWData!E:E,MATCH($C41,RAWData!$A:$A,0)))</f>
        <v/>
      </c>
      <c r="I41" s="1309" t="str">
        <f>IF(ISBLANK($B41), "", INDEX(RAWData!F:F,MATCH($C41,RAWData!$A:$A,0)))</f>
        <v/>
      </c>
    </row>
    <row r="42" spans="2:9">
      <c r="B42" s="1314" t="s">
        <v>3828</v>
      </c>
      <c r="C42" s="1309" t="str">
        <f t="shared" si="0"/>
        <v>TLOUTPUTANALYEVENT1YR3T1_0</v>
      </c>
      <c r="E42" s="1309" t="e">
        <f>IF(ISBLANK($B42), "", INDEX(RAWData!B:B,MATCH($C42,RAWData!$A:$A,0)))</f>
        <v>#N/A</v>
      </c>
      <c r="F42" s="1309" t="e">
        <f>IF(ISBLANK($B42), "", INDEX(RAWData!C:C,MATCH($C42,RAWData!$A:$A,0)))</f>
        <v>#N/A</v>
      </c>
      <c r="G42" s="1309" t="e">
        <f>IF(ISBLANK($B42), "", INDEX(RAWData!D:D,MATCH($C42,RAWData!$A:$A,0)))</f>
        <v>#N/A</v>
      </c>
      <c r="H42" s="1309" t="e">
        <f>IF(ISBLANK($B42), "", INDEX(RAWData!E:E,MATCH($C42,RAWData!$A:$A,0)))</f>
        <v>#N/A</v>
      </c>
      <c r="I42" s="1309" t="e">
        <f>IF(ISBLANK($B42), "", INDEX(RAWData!F:F,MATCH($C42,RAWData!$A:$A,0)))</f>
        <v>#N/A</v>
      </c>
    </row>
    <row r="43" spans="2:9">
      <c r="B43" s="1314" t="s">
        <v>3829</v>
      </c>
      <c r="C43" s="1309" t="str">
        <f t="shared" si="0"/>
        <v>TLOUTPUTANALYEVENT2YR3T1_0</v>
      </c>
      <c r="E43" s="1309" t="e">
        <f>IF(ISBLANK($B43), "", INDEX(RAWData!B:B,MATCH($C43,RAWData!$A:$A,0)))</f>
        <v>#N/A</v>
      </c>
      <c r="F43" s="1309" t="e">
        <f>IF(ISBLANK($B43), "", INDEX(RAWData!C:C,MATCH($C43,RAWData!$A:$A,0)))</f>
        <v>#N/A</v>
      </c>
      <c r="G43" s="1309" t="e">
        <f>IF(ISBLANK($B43), "", INDEX(RAWData!D:D,MATCH($C43,RAWData!$A:$A,0)))</f>
        <v>#N/A</v>
      </c>
      <c r="H43" s="1309" t="e">
        <f>IF(ISBLANK($B43), "", INDEX(RAWData!E:E,MATCH($C43,RAWData!$A:$A,0)))</f>
        <v>#N/A</v>
      </c>
      <c r="I43" s="1309" t="e">
        <f>IF(ISBLANK($B43), "", INDEX(RAWData!F:F,MATCH($C43,RAWData!$A:$A,0)))</f>
        <v>#N/A</v>
      </c>
    </row>
    <row r="44" spans="2:9">
      <c r="B44" s="1314" t="s">
        <v>3830</v>
      </c>
      <c r="C44" s="1309" t="str">
        <f t="shared" si="0"/>
        <v>TLOUTPUTANALYEVENT3YR3T1_0</v>
      </c>
      <c r="E44" s="1309" t="e">
        <f>IF(ISBLANK($B44), "", INDEX(RAWData!B:B,MATCH($C44,RAWData!$A:$A,0)))</f>
        <v>#N/A</v>
      </c>
      <c r="F44" s="1309" t="e">
        <f>IF(ISBLANK($B44), "", INDEX(RAWData!C:C,MATCH($C44,RAWData!$A:$A,0)))</f>
        <v>#N/A</v>
      </c>
      <c r="G44" s="1309" t="e">
        <f>IF(ISBLANK($B44), "", INDEX(RAWData!D:D,MATCH($C44,RAWData!$A:$A,0)))</f>
        <v>#N/A</v>
      </c>
      <c r="H44" s="1309" t="e">
        <f>IF(ISBLANK($B44), "", INDEX(RAWData!E:E,MATCH($C44,RAWData!$A:$A,0)))</f>
        <v>#N/A</v>
      </c>
      <c r="I44" s="1309" t="e">
        <f>IF(ISBLANK($B44), "", INDEX(RAWData!F:F,MATCH($C44,RAWData!$A:$A,0)))</f>
        <v>#N/A</v>
      </c>
    </row>
    <row r="45" spans="2:9">
      <c r="B45" s="1310"/>
      <c r="C45" s="1309" t="str">
        <f t="shared" si="0"/>
        <v/>
      </c>
      <c r="E45" s="1309" t="str">
        <f>IF(ISBLANK($B45), "", INDEX(RAWData!B:B,MATCH($C45,RAWData!$A:$A,0)))</f>
        <v/>
      </c>
      <c r="F45" s="1309" t="str">
        <f>IF(ISBLANK($B45), "", INDEX(RAWData!C:C,MATCH($C45,RAWData!$A:$A,0)))</f>
        <v/>
      </c>
      <c r="G45" s="1309" t="str">
        <f>IF(ISBLANK($B45), "", INDEX(RAWData!D:D,MATCH($C45,RAWData!$A:$A,0)))</f>
        <v/>
      </c>
      <c r="H45" s="1309" t="str">
        <f>IF(ISBLANK($B45), "", INDEX(RAWData!E:E,MATCH($C45,RAWData!$A:$A,0)))</f>
        <v/>
      </c>
      <c r="I45" s="1309" t="str">
        <f>IF(ISBLANK($B45), "", INDEX(RAWData!F:F,MATCH($C45,RAWData!$A:$A,0)))</f>
        <v/>
      </c>
    </row>
    <row r="46" spans="2:9">
      <c r="B46" s="1314" t="s">
        <v>3831</v>
      </c>
      <c r="C46" s="1309" t="str">
        <f t="shared" si="0"/>
        <v>TLOUTPUTANALYINIT1YR1T1_0</v>
      </c>
      <c r="E46" s="1309" t="e">
        <f>IF(ISBLANK($B46), "", INDEX(RAWData!B:B,MATCH($C46,RAWData!$A:$A,0)))</f>
        <v>#N/A</v>
      </c>
      <c r="F46" s="1309" t="e">
        <f>IF(ISBLANK($B46), "", INDEX(RAWData!C:C,MATCH($C46,RAWData!$A:$A,0)))</f>
        <v>#N/A</v>
      </c>
      <c r="G46" s="1309" t="e">
        <f>IF(ISBLANK($B46), "", INDEX(RAWData!D:D,MATCH($C46,RAWData!$A:$A,0)))</f>
        <v>#N/A</v>
      </c>
      <c r="H46" s="1309" t="e">
        <f>IF(ISBLANK($B46), "", INDEX(RAWData!E:E,MATCH($C46,RAWData!$A:$A,0)))</f>
        <v>#N/A</v>
      </c>
      <c r="I46" s="1309" t="e">
        <f>IF(ISBLANK($B46), "", INDEX(RAWData!F:F,MATCH($C46,RAWData!$A:$A,0)))</f>
        <v>#N/A</v>
      </c>
    </row>
    <row r="47" spans="2:9">
      <c r="B47" s="1314" t="s">
        <v>3832</v>
      </c>
      <c r="C47" s="1309" t="str">
        <f t="shared" si="0"/>
        <v>TLOUTPUTANALYINIT2YR1T1_0</v>
      </c>
      <c r="E47" s="1309" t="e">
        <f>IF(ISBLANK($B47), "", INDEX(RAWData!B:B,MATCH($C47,RAWData!$A:$A,0)))</f>
        <v>#N/A</v>
      </c>
      <c r="F47" s="1309" t="e">
        <f>IF(ISBLANK($B47), "", INDEX(RAWData!C:C,MATCH($C47,RAWData!$A:$A,0)))</f>
        <v>#N/A</v>
      </c>
      <c r="G47" s="1309" t="e">
        <f>IF(ISBLANK($B47), "", INDEX(RAWData!D:D,MATCH($C47,RAWData!$A:$A,0)))</f>
        <v>#N/A</v>
      </c>
      <c r="H47" s="1309" t="e">
        <f>IF(ISBLANK($B47), "", INDEX(RAWData!E:E,MATCH($C47,RAWData!$A:$A,0)))</f>
        <v>#N/A</v>
      </c>
      <c r="I47" s="1309" t="e">
        <f>IF(ISBLANK($B47), "", INDEX(RAWData!F:F,MATCH($C47,RAWData!$A:$A,0)))</f>
        <v>#N/A</v>
      </c>
    </row>
    <row r="48" spans="2:9">
      <c r="B48" s="1314" t="s">
        <v>3833</v>
      </c>
      <c r="C48" s="1309" t="str">
        <f t="shared" si="0"/>
        <v>TLOUTPUTANALYINIT3YR1T1_0</v>
      </c>
      <c r="E48" s="1309" t="e">
        <f>IF(ISBLANK($B48), "", INDEX(RAWData!B:B,MATCH($C48,RAWData!$A:$A,0)))</f>
        <v>#N/A</v>
      </c>
      <c r="F48" s="1309" t="e">
        <f>IF(ISBLANK($B48), "", INDEX(RAWData!C:C,MATCH($C48,RAWData!$A:$A,0)))</f>
        <v>#N/A</v>
      </c>
      <c r="G48" s="1309" t="e">
        <f>IF(ISBLANK($B48), "", INDEX(RAWData!D:D,MATCH($C48,RAWData!$A:$A,0)))</f>
        <v>#N/A</v>
      </c>
      <c r="H48" s="1309" t="e">
        <f>IF(ISBLANK($B48), "", INDEX(RAWData!E:E,MATCH($C48,RAWData!$A:$A,0)))</f>
        <v>#N/A</v>
      </c>
      <c r="I48" s="1309" t="e">
        <f>IF(ISBLANK($B48), "", INDEX(RAWData!F:F,MATCH($C48,RAWData!$A:$A,0)))</f>
        <v>#N/A</v>
      </c>
    </row>
    <row r="49" spans="2:9">
      <c r="B49" s="1314" t="s">
        <v>3834</v>
      </c>
      <c r="C49" s="1309" t="str">
        <f t="shared" si="0"/>
        <v>TLOUTPUTANALYINIT1YR2T1_0</v>
      </c>
      <c r="E49" s="1309" t="e">
        <f>IF(ISBLANK($B49), "", INDEX(RAWData!B:B,MATCH($C49,RAWData!$A:$A,0)))</f>
        <v>#N/A</v>
      </c>
      <c r="F49" s="1309" t="e">
        <f>IF(ISBLANK($B49), "", INDEX(RAWData!C:C,MATCH($C49,RAWData!$A:$A,0)))</f>
        <v>#N/A</v>
      </c>
      <c r="G49" s="1309" t="e">
        <f>IF(ISBLANK($B49), "", INDEX(RAWData!D:D,MATCH($C49,RAWData!$A:$A,0)))</f>
        <v>#N/A</v>
      </c>
      <c r="H49" s="1309" t="e">
        <f>IF(ISBLANK($B49), "", INDEX(RAWData!E:E,MATCH($C49,RAWData!$A:$A,0)))</f>
        <v>#N/A</v>
      </c>
      <c r="I49" s="1309" t="e">
        <f>IF(ISBLANK($B49), "", INDEX(RAWData!F:F,MATCH($C49,RAWData!$A:$A,0)))</f>
        <v>#N/A</v>
      </c>
    </row>
    <row r="50" spans="2:9">
      <c r="B50" s="1314" t="s">
        <v>3835</v>
      </c>
      <c r="C50" s="1309" t="str">
        <f t="shared" si="0"/>
        <v>TLOUTPUTANALYINIT2YR2T1_0</v>
      </c>
      <c r="E50" s="1309" t="e">
        <f>IF(ISBLANK($B50), "", INDEX(RAWData!B:B,MATCH($C50,RAWData!$A:$A,0)))</f>
        <v>#N/A</v>
      </c>
      <c r="F50" s="1309" t="e">
        <f>IF(ISBLANK($B50), "", INDEX(RAWData!C:C,MATCH($C50,RAWData!$A:$A,0)))</f>
        <v>#N/A</v>
      </c>
      <c r="G50" s="1309" t="e">
        <f>IF(ISBLANK($B50), "", INDEX(RAWData!D:D,MATCH($C50,RAWData!$A:$A,0)))</f>
        <v>#N/A</v>
      </c>
      <c r="H50" s="1309" t="e">
        <f>IF(ISBLANK($B50), "", INDEX(RAWData!E:E,MATCH($C50,RAWData!$A:$A,0)))</f>
        <v>#N/A</v>
      </c>
      <c r="I50" s="1309" t="e">
        <f>IF(ISBLANK($B50), "", INDEX(RAWData!F:F,MATCH($C50,RAWData!$A:$A,0)))</f>
        <v>#N/A</v>
      </c>
    </row>
    <row r="51" spans="2:9">
      <c r="B51" s="1314" t="s">
        <v>3836</v>
      </c>
      <c r="C51" s="1309" t="str">
        <f t="shared" si="0"/>
        <v>TLOUTPUTANALYINIT3YR2T1_0</v>
      </c>
      <c r="E51" s="1309" t="e">
        <f>IF(ISBLANK($B51), "", INDEX(RAWData!B:B,MATCH($C51,RAWData!$A:$A,0)))</f>
        <v>#N/A</v>
      </c>
      <c r="F51" s="1309" t="e">
        <f>IF(ISBLANK($B51), "", INDEX(RAWData!C:C,MATCH($C51,RAWData!$A:$A,0)))</f>
        <v>#N/A</v>
      </c>
      <c r="G51" s="1309" t="e">
        <f>IF(ISBLANK($B51), "", INDEX(RAWData!D:D,MATCH($C51,RAWData!$A:$A,0)))</f>
        <v>#N/A</v>
      </c>
      <c r="H51" s="1309" t="e">
        <f>IF(ISBLANK($B51), "", INDEX(RAWData!E:E,MATCH($C51,RAWData!$A:$A,0)))</f>
        <v>#N/A</v>
      </c>
      <c r="I51" s="1309" t="e">
        <f>IF(ISBLANK($B51), "", INDEX(RAWData!F:F,MATCH($C51,RAWData!$A:$A,0)))</f>
        <v>#N/A</v>
      </c>
    </row>
    <row r="52" spans="2:9">
      <c r="B52" s="1314" t="s">
        <v>3837</v>
      </c>
      <c r="C52" s="1309" t="str">
        <f t="shared" si="0"/>
        <v>TLOUTPUTANALYINIT1YR3T1_0</v>
      </c>
      <c r="E52" s="1309" t="e">
        <f>IF(ISBLANK($B52), "", INDEX(RAWData!B:B,MATCH($C52,RAWData!$A:$A,0)))</f>
        <v>#N/A</v>
      </c>
      <c r="F52" s="1309" t="e">
        <f>IF(ISBLANK($B52), "", INDEX(RAWData!C:C,MATCH($C52,RAWData!$A:$A,0)))</f>
        <v>#N/A</v>
      </c>
      <c r="G52" s="1309" t="e">
        <f>IF(ISBLANK($B52), "", INDEX(RAWData!D:D,MATCH($C52,RAWData!$A:$A,0)))</f>
        <v>#N/A</v>
      </c>
      <c r="H52" s="1309" t="e">
        <f>IF(ISBLANK($B52), "", INDEX(RAWData!E:E,MATCH($C52,RAWData!$A:$A,0)))</f>
        <v>#N/A</v>
      </c>
      <c r="I52" s="1309" t="e">
        <f>IF(ISBLANK($B52), "", INDEX(RAWData!F:F,MATCH($C52,RAWData!$A:$A,0)))</f>
        <v>#N/A</v>
      </c>
    </row>
    <row r="53" spans="2:9">
      <c r="B53" s="1314" t="s">
        <v>3838</v>
      </c>
      <c r="C53" s="1309" t="str">
        <f t="shared" si="0"/>
        <v>TLOUTPUTANALYINIT2YR3T1_0</v>
      </c>
      <c r="E53" s="1309" t="e">
        <f>IF(ISBLANK($B53), "", INDEX(RAWData!B:B,MATCH($C53,RAWData!$A:$A,0)))</f>
        <v>#N/A</v>
      </c>
      <c r="F53" s="1309" t="e">
        <f>IF(ISBLANK($B53), "", INDEX(RAWData!C:C,MATCH($C53,RAWData!$A:$A,0)))</f>
        <v>#N/A</v>
      </c>
      <c r="G53" s="1309" t="e">
        <f>IF(ISBLANK($B53), "", INDEX(RAWData!D:D,MATCH($C53,RAWData!$A:$A,0)))</f>
        <v>#N/A</v>
      </c>
      <c r="H53" s="1309" t="e">
        <f>IF(ISBLANK($B53), "", INDEX(RAWData!E:E,MATCH($C53,RAWData!$A:$A,0)))</f>
        <v>#N/A</v>
      </c>
      <c r="I53" s="1309" t="e">
        <f>IF(ISBLANK($B53), "", INDEX(RAWData!F:F,MATCH($C53,RAWData!$A:$A,0)))</f>
        <v>#N/A</v>
      </c>
    </row>
    <row r="54" spans="2:9">
      <c r="B54" s="1314" t="s">
        <v>3839</v>
      </c>
      <c r="C54" s="1309" t="str">
        <f t="shared" si="0"/>
        <v>TLOUTPUTANALYINIT3YR3T1_0</v>
      </c>
      <c r="E54" s="1309" t="e">
        <f>IF(ISBLANK($B54), "", INDEX(RAWData!B:B,MATCH($C54,RAWData!$A:$A,0)))</f>
        <v>#N/A</v>
      </c>
      <c r="F54" s="1309" t="e">
        <f>IF(ISBLANK($B54), "", INDEX(RAWData!C:C,MATCH($C54,RAWData!$A:$A,0)))</f>
        <v>#N/A</v>
      </c>
      <c r="G54" s="1309" t="e">
        <f>IF(ISBLANK($B54), "", INDEX(RAWData!D:D,MATCH($C54,RAWData!$A:$A,0)))</f>
        <v>#N/A</v>
      </c>
      <c r="H54" s="1309" t="e">
        <f>IF(ISBLANK($B54), "", INDEX(RAWData!E:E,MATCH($C54,RAWData!$A:$A,0)))</f>
        <v>#N/A</v>
      </c>
      <c r="I54" s="1309" t="e">
        <f>IF(ISBLANK($B54), "", INDEX(RAWData!F:F,MATCH($C54,RAWData!$A:$A,0)))</f>
        <v>#N/A</v>
      </c>
    </row>
    <row r="55" spans="2:9">
      <c r="B55" s="1310"/>
      <c r="C55" s="1309" t="str">
        <f t="shared" si="0"/>
        <v/>
      </c>
      <c r="E55" s="1309" t="str">
        <f>IF(ISBLANK($B55), "", INDEX(RAWData!B:B,MATCH($C55,RAWData!$A:$A,0)))</f>
        <v/>
      </c>
      <c r="F55" s="1309" t="str">
        <f>IF(ISBLANK($B55), "", INDEX(RAWData!C:C,MATCH($C55,RAWData!$A:$A,0)))</f>
        <v/>
      </c>
      <c r="G55" s="1309" t="str">
        <f>IF(ISBLANK($B55), "", INDEX(RAWData!D:D,MATCH($C55,RAWData!$A:$A,0)))</f>
        <v/>
      </c>
      <c r="H55" s="1309" t="str">
        <f>IF(ISBLANK($B55), "", INDEX(RAWData!E:E,MATCH($C55,RAWData!$A:$A,0)))</f>
        <v/>
      </c>
      <c r="I55" s="1309" t="str">
        <f>IF(ISBLANK($B55), "", INDEX(RAWData!F:F,MATCH($C55,RAWData!$A:$A,0)))</f>
        <v/>
      </c>
    </row>
    <row r="56" spans="2:9">
      <c r="B56" s="1314"/>
      <c r="C56" s="1309" t="str">
        <f t="shared" si="0"/>
        <v/>
      </c>
      <c r="E56" s="1309" t="str">
        <f>IF(ISBLANK($B56), "", INDEX(RAWData!B:B,MATCH($C56,RAWData!$A:$A,0)))</f>
        <v/>
      </c>
      <c r="F56" s="1309" t="str">
        <f>IF(ISBLANK($B56), "", INDEX(RAWData!C:C,MATCH($C56,RAWData!$A:$A,0)))</f>
        <v/>
      </c>
      <c r="G56" s="1309" t="str">
        <f>IF(ISBLANK($B56), "", INDEX(RAWData!D:D,MATCH($C56,RAWData!$A:$A,0)))</f>
        <v/>
      </c>
      <c r="H56" s="1309" t="str">
        <f>IF(ISBLANK($B56), "", INDEX(RAWData!E:E,MATCH($C56,RAWData!$A:$A,0)))</f>
        <v/>
      </c>
      <c r="I56" s="1309" t="str">
        <f>IF(ISBLANK($B56), "", INDEX(RAWData!F:F,MATCH($C56,RAWData!$A:$A,0)))</f>
        <v/>
      </c>
    </row>
    <row r="57" spans="2:9">
      <c r="B57" s="1315" t="s">
        <v>3840</v>
      </c>
      <c r="C57" s="1309" t="str">
        <f t="shared" si="0"/>
        <v>TLOUTPUTANALYPARAMSP3T1_0</v>
      </c>
      <c r="E57" s="1309" t="e">
        <f>IF(ISBLANK($B57), "", INDEX(RAWData!B:B,MATCH($C57,RAWData!$A:$A,0)))</f>
        <v>#N/A</v>
      </c>
      <c r="F57" s="1309" t="e">
        <f>IF(ISBLANK($B57), "", INDEX(RAWData!C:C,MATCH($C57,RAWData!$A:$A,0)))</f>
        <v>#N/A</v>
      </c>
      <c r="G57" s="1309" t="e">
        <f>IF(ISBLANK($B57), "", INDEX(RAWData!D:D,MATCH($C57,RAWData!$A:$A,0)))</f>
        <v>#N/A</v>
      </c>
      <c r="H57" s="1309" t="e">
        <f>IF(ISBLANK($B57), "", INDEX(RAWData!E:E,MATCH($C57,RAWData!$A:$A,0)))</f>
        <v>#N/A</v>
      </c>
      <c r="I57" s="1309" t="e">
        <f>IF(ISBLANK($B57), "", INDEX(RAWData!F:F,MATCH($C57,RAWData!$A:$A,0)))</f>
        <v>#N/A</v>
      </c>
    </row>
    <row r="58" spans="2:9">
      <c r="B58" s="1316" t="s">
        <v>3841</v>
      </c>
      <c r="C58" s="1309" t="str">
        <f t="shared" si="0"/>
        <v>TLOUTPUTANALYPARAMSP4T1_0</v>
      </c>
      <c r="E58" s="1309" t="e">
        <f>IF(ISBLANK($B58), "", INDEX(RAWData!B:B,MATCH($C58,RAWData!$A:$A,0)))</f>
        <v>#N/A</v>
      </c>
      <c r="F58" s="1309" t="e">
        <f>IF(ISBLANK($B58), "", INDEX(RAWData!C:C,MATCH($C58,RAWData!$A:$A,0)))</f>
        <v>#N/A</v>
      </c>
      <c r="G58" s="1309" t="e">
        <f>IF(ISBLANK($B58), "", INDEX(RAWData!D:D,MATCH($C58,RAWData!$A:$A,0)))</f>
        <v>#N/A</v>
      </c>
      <c r="H58" s="1309" t="e">
        <f>IF(ISBLANK($B58), "", INDEX(RAWData!E:E,MATCH($C58,RAWData!$A:$A,0)))</f>
        <v>#N/A</v>
      </c>
      <c r="I58" s="1309" t="e">
        <f>IF(ISBLANK($B58), "", INDEX(RAWData!F:F,MATCH($C58,RAWData!$A:$A,0)))</f>
        <v>#N/A</v>
      </c>
    </row>
    <row r="59" spans="2:9">
      <c r="B59" s="1315" t="s">
        <v>3842</v>
      </c>
      <c r="C59" s="1309" t="str">
        <f t="shared" si="0"/>
        <v>TLOUTPUTANALYPARAMSP5T1_0</v>
      </c>
      <c r="E59" s="1309" t="e">
        <f>IF(ISBLANK($B59), "", INDEX(RAWData!B:B,MATCH($C59,RAWData!$A:$A,0)))</f>
        <v>#N/A</v>
      </c>
      <c r="F59" s="1309" t="e">
        <f>IF(ISBLANK($B59), "", INDEX(RAWData!C:C,MATCH($C59,RAWData!$A:$A,0)))</f>
        <v>#N/A</v>
      </c>
      <c r="G59" s="1309" t="e">
        <f>IF(ISBLANK($B59), "", INDEX(RAWData!D:D,MATCH($C59,RAWData!$A:$A,0)))</f>
        <v>#N/A</v>
      </c>
      <c r="H59" s="1309" t="e">
        <f>IF(ISBLANK($B59), "", INDEX(RAWData!E:E,MATCH($C59,RAWData!$A:$A,0)))</f>
        <v>#N/A</v>
      </c>
      <c r="I59" s="1309" t="e">
        <f>IF(ISBLANK($B59), "", INDEX(RAWData!F:F,MATCH($C59,RAWData!$A:$A,0)))</f>
        <v>#N/A</v>
      </c>
    </row>
    <row r="60" spans="2:9">
      <c r="B60" s="1315" t="s">
        <v>3843</v>
      </c>
      <c r="C60" s="1309" t="str">
        <f t="shared" si="0"/>
        <v>TLOUTPUTANALYPARAMSP2T1_0</v>
      </c>
      <c r="E60" s="1309" t="e">
        <f>IF(ISBLANK($B60), "", INDEX(RAWData!B:B,MATCH($C60,RAWData!$A:$A,0)))</f>
        <v>#N/A</v>
      </c>
      <c r="F60" s="1309" t="e">
        <f>IF(ISBLANK($B60), "", INDEX(RAWData!C:C,MATCH($C60,RAWData!$A:$A,0)))</f>
        <v>#N/A</v>
      </c>
      <c r="G60" s="1309" t="e">
        <f>IF(ISBLANK($B60), "", INDEX(RAWData!D:D,MATCH($C60,RAWData!$A:$A,0)))</f>
        <v>#N/A</v>
      </c>
      <c r="H60" s="1309" t="e">
        <f>IF(ISBLANK($B60), "", INDEX(RAWData!E:E,MATCH($C60,RAWData!$A:$A,0)))</f>
        <v>#N/A</v>
      </c>
      <c r="I60" s="1309" t="e">
        <f>IF(ISBLANK($B60), "", INDEX(RAWData!F:F,MATCH($C60,RAWData!$A:$A,0)))</f>
        <v>#N/A</v>
      </c>
    </row>
    <row r="61" spans="2:9">
      <c r="B61" s="1312"/>
      <c r="C61" s="1309" t="str">
        <f t="shared" si="0"/>
        <v/>
      </c>
      <c r="E61" s="1309" t="str">
        <f>IF(ISBLANK($B61), "", INDEX(RAWData!B:B,MATCH($C61,RAWData!$A:$A,0)))</f>
        <v/>
      </c>
      <c r="F61" s="1309" t="str">
        <f>IF(ISBLANK($B61), "", INDEX(RAWData!C:C,MATCH($C61,RAWData!$A:$A,0)))</f>
        <v/>
      </c>
      <c r="G61" s="1309" t="str">
        <f>IF(ISBLANK($B61), "", INDEX(RAWData!D:D,MATCH($C61,RAWData!$A:$A,0)))</f>
        <v/>
      </c>
      <c r="H61" s="1309" t="str">
        <f>IF(ISBLANK($B61), "", INDEX(RAWData!E:E,MATCH($C61,RAWData!$A:$A,0)))</f>
        <v/>
      </c>
      <c r="I61" s="1309" t="str">
        <f>IF(ISBLANK($B61), "", INDEX(RAWData!F:F,MATCH($C61,RAWData!$A:$A,0)))</f>
        <v/>
      </c>
    </row>
    <row r="62" spans="2:9">
      <c r="B62" s="1316" t="s">
        <v>3844</v>
      </c>
      <c r="C62" s="1309" t="str">
        <f t="shared" si="0"/>
        <v>TLOUTPUTANALYPARAMGRW16T1_0</v>
      </c>
      <c r="E62" s="1309" t="e">
        <f>IF(ISBLANK($B62), "", INDEX(RAWData!B:B,MATCH($C62,RAWData!$A:$A,0)))</f>
        <v>#N/A</v>
      </c>
      <c r="F62" s="1309" t="e">
        <f>IF(ISBLANK($B62), "", INDEX(RAWData!C:C,MATCH($C62,RAWData!$A:$A,0)))</f>
        <v>#N/A</v>
      </c>
      <c r="G62" s="1309" t="e">
        <f>IF(ISBLANK($B62), "", INDEX(RAWData!D:D,MATCH($C62,RAWData!$A:$A,0)))</f>
        <v>#N/A</v>
      </c>
      <c r="H62" s="1309" t="e">
        <f>IF(ISBLANK($B62), "", INDEX(RAWData!E:E,MATCH($C62,RAWData!$A:$A,0)))</f>
        <v>#N/A</v>
      </c>
      <c r="I62" s="1309" t="e">
        <f>IF(ISBLANK($B62), "", INDEX(RAWData!F:F,MATCH($C62,RAWData!$A:$A,0)))</f>
        <v>#N/A</v>
      </c>
    </row>
    <row r="63" spans="2:9">
      <c r="B63" s="1316" t="s">
        <v>3845</v>
      </c>
      <c r="C63" s="1309" t="str">
        <f t="shared" si="0"/>
        <v>TLOUTPUTANALYPARAMTRNS16T1_0</v>
      </c>
      <c r="E63" s="1309" t="e">
        <f>IF(ISBLANK($B63), "", INDEX(RAWData!B:B,MATCH($C63,RAWData!$A:$A,0)))</f>
        <v>#N/A</v>
      </c>
      <c r="F63" s="1309" t="e">
        <f>IF(ISBLANK($B63), "", INDEX(RAWData!C:C,MATCH($C63,RAWData!$A:$A,0)))</f>
        <v>#N/A</v>
      </c>
      <c r="G63" s="1309" t="e">
        <f>IF(ISBLANK($B63), "", INDEX(RAWData!D:D,MATCH($C63,RAWData!$A:$A,0)))</f>
        <v>#N/A</v>
      </c>
      <c r="H63" s="1309" t="e">
        <f>IF(ISBLANK($B63), "", INDEX(RAWData!E:E,MATCH($C63,RAWData!$A:$A,0)))</f>
        <v>#N/A</v>
      </c>
      <c r="I63" s="1309" t="e">
        <f>IF(ISBLANK($B63), "", INDEX(RAWData!F:F,MATCH($C63,RAWData!$A:$A,0)))</f>
        <v>#N/A</v>
      </c>
    </row>
    <row r="64" spans="2:9">
      <c r="B64" s="1316" t="s">
        <v>3846</v>
      </c>
      <c r="C64" s="1309" t="str">
        <f t="shared" si="0"/>
        <v>TLOUTPUTANALYPARAMGRW17T1_0</v>
      </c>
      <c r="E64" s="1309" t="e">
        <f>IF(ISBLANK($B64), "", INDEX(RAWData!B:B,MATCH($C64,RAWData!$A:$A,0)))</f>
        <v>#N/A</v>
      </c>
      <c r="F64" s="1309" t="e">
        <f>IF(ISBLANK($B64), "", INDEX(RAWData!C:C,MATCH($C64,RAWData!$A:$A,0)))</f>
        <v>#N/A</v>
      </c>
      <c r="G64" s="1309" t="e">
        <f>IF(ISBLANK($B64), "", INDEX(RAWData!D:D,MATCH($C64,RAWData!$A:$A,0)))</f>
        <v>#N/A</v>
      </c>
      <c r="H64" s="1309" t="e">
        <f>IF(ISBLANK($B64), "", INDEX(RAWData!E:E,MATCH($C64,RAWData!$A:$A,0)))</f>
        <v>#N/A</v>
      </c>
      <c r="I64" s="1309" t="e">
        <f>IF(ISBLANK($B64), "", INDEX(RAWData!F:F,MATCH($C64,RAWData!$A:$A,0)))</f>
        <v>#N/A</v>
      </c>
    </row>
    <row r="65" spans="2:9">
      <c r="B65" s="1316" t="s">
        <v>3847</v>
      </c>
      <c r="C65" s="1309" t="str">
        <f t="shared" si="0"/>
        <v>TLOUTPUTANALYPARAMTRNS17T1_0</v>
      </c>
      <c r="E65" s="1309" t="e">
        <f>IF(ISBLANK($B65), "", INDEX(RAWData!B:B,MATCH($C65,RAWData!$A:$A,0)))</f>
        <v>#N/A</v>
      </c>
      <c r="F65" s="1309" t="e">
        <f>IF(ISBLANK($B65), "", INDEX(RAWData!C:C,MATCH($C65,RAWData!$A:$A,0)))</f>
        <v>#N/A</v>
      </c>
      <c r="G65" s="1309" t="e">
        <f>IF(ISBLANK($B65), "", INDEX(RAWData!D:D,MATCH($C65,RAWData!$A:$A,0)))</f>
        <v>#N/A</v>
      </c>
      <c r="H65" s="1309" t="e">
        <f>IF(ISBLANK($B65), "", INDEX(RAWData!E:E,MATCH($C65,RAWData!$A:$A,0)))</f>
        <v>#N/A</v>
      </c>
      <c r="I65" s="1309" t="e">
        <f>IF(ISBLANK($B65), "", INDEX(RAWData!F:F,MATCH($C65,RAWData!$A:$A,0)))</f>
        <v>#N/A</v>
      </c>
    </row>
    <row r="66" spans="2:9">
      <c r="B66" s="1316" t="s">
        <v>3848</v>
      </c>
      <c r="C66" s="1309" t="str">
        <f t="shared" si="0"/>
        <v>TLOUTPUTANALYPARAMGRW2T1_0</v>
      </c>
      <c r="E66" s="1309" t="e">
        <f>IF(ISBLANK($B66), "", INDEX(RAWData!B:B,MATCH($C66,RAWData!$A:$A,0)))</f>
        <v>#N/A</v>
      </c>
      <c r="F66" s="1309" t="e">
        <f>IF(ISBLANK($B66), "", INDEX(RAWData!C:C,MATCH($C66,RAWData!$A:$A,0)))</f>
        <v>#N/A</v>
      </c>
      <c r="G66" s="1309" t="e">
        <f>IF(ISBLANK($B66), "", INDEX(RAWData!D:D,MATCH($C66,RAWData!$A:$A,0)))</f>
        <v>#N/A</v>
      </c>
      <c r="H66" s="1309" t="e">
        <f>IF(ISBLANK($B66), "", INDEX(RAWData!E:E,MATCH($C66,RAWData!$A:$A,0)))</f>
        <v>#N/A</v>
      </c>
      <c r="I66" s="1309" t="e">
        <f>IF(ISBLANK($B66), "", INDEX(RAWData!F:F,MATCH($C66,RAWData!$A:$A,0)))</f>
        <v>#N/A</v>
      </c>
    </row>
    <row r="67" spans="2:9">
      <c r="B67" s="1316" t="s">
        <v>3849</v>
      </c>
      <c r="C67" s="1309" t="str">
        <f t="shared" si="0"/>
        <v>TLOUTPUTANALYPARAMTRNS2T1_0</v>
      </c>
      <c r="E67" s="1309" t="e">
        <f>IF(ISBLANK($B67), "", INDEX(RAWData!B:B,MATCH($C67,RAWData!$A:$A,0)))</f>
        <v>#N/A</v>
      </c>
      <c r="F67" s="1309" t="e">
        <f>IF(ISBLANK($B67), "", INDEX(RAWData!C:C,MATCH($C67,RAWData!$A:$A,0)))</f>
        <v>#N/A</v>
      </c>
      <c r="G67" s="1309" t="e">
        <f>IF(ISBLANK($B67), "", INDEX(RAWData!D:D,MATCH($C67,RAWData!$A:$A,0)))</f>
        <v>#N/A</v>
      </c>
      <c r="H67" s="1309" t="e">
        <f>IF(ISBLANK($B67), "", INDEX(RAWData!E:E,MATCH($C67,RAWData!$A:$A,0)))</f>
        <v>#N/A</v>
      </c>
      <c r="I67" s="1309" t="e">
        <f>IF(ISBLANK($B67), "", INDEX(RAWData!F:F,MATCH($C67,RAWData!$A:$A,0)))</f>
        <v>#N/A</v>
      </c>
    </row>
    <row r="68" spans="2:9">
      <c r="B68" s="1317" t="s">
        <v>3850</v>
      </c>
      <c r="C68" s="1309" t="str">
        <f t="shared" si="0"/>
        <v>TLOUTPUTANALYPARAMGRW3T1_0</v>
      </c>
      <c r="E68" s="1309" t="e">
        <f>IF(ISBLANK($B68), "", INDEX(RAWData!B:B,MATCH($C68,RAWData!$A:$A,0)))</f>
        <v>#N/A</v>
      </c>
      <c r="F68" s="1309" t="e">
        <f>IF(ISBLANK($B68), "", INDEX(RAWData!C:C,MATCH($C68,RAWData!$A:$A,0)))</f>
        <v>#N/A</v>
      </c>
      <c r="G68" s="1309" t="e">
        <f>IF(ISBLANK($B68), "", INDEX(RAWData!D:D,MATCH($C68,RAWData!$A:$A,0)))</f>
        <v>#N/A</v>
      </c>
      <c r="H68" s="1309" t="e">
        <f>IF(ISBLANK($B68), "", INDEX(RAWData!E:E,MATCH($C68,RAWData!$A:$A,0)))</f>
        <v>#N/A</v>
      </c>
      <c r="I68" s="1309" t="e">
        <f>IF(ISBLANK($B68), "", INDEX(RAWData!F:F,MATCH($C68,RAWData!$A:$A,0)))</f>
        <v>#N/A</v>
      </c>
    </row>
    <row r="69" spans="2:9">
      <c r="B69" s="1317" t="s">
        <v>3851</v>
      </c>
      <c r="C69" s="1309" t="str">
        <f t="shared" si="0"/>
        <v>TLOUTPUTANALYPARAMTRNS3T1_0</v>
      </c>
      <c r="E69" s="1309" t="e">
        <f>IF(ISBLANK($B69), "", INDEX(RAWData!B:B,MATCH($C69,RAWData!$A:$A,0)))</f>
        <v>#N/A</v>
      </c>
      <c r="F69" s="1309" t="e">
        <f>IF(ISBLANK($B69), "", INDEX(RAWData!C:C,MATCH($C69,RAWData!$A:$A,0)))</f>
        <v>#N/A</v>
      </c>
      <c r="G69" s="1309" t="e">
        <f>IF(ISBLANK($B69), "", INDEX(RAWData!D:D,MATCH($C69,RAWData!$A:$A,0)))</f>
        <v>#N/A</v>
      </c>
      <c r="H69" s="1309" t="e">
        <f>IF(ISBLANK($B69), "", INDEX(RAWData!E:E,MATCH($C69,RAWData!$A:$A,0)))</f>
        <v>#N/A</v>
      </c>
      <c r="I69" s="1309" t="e">
        <f>IF(ISBLANK($B69), "", INDEX(RAWData!F:F,MATCH($C69,RAWData!$A:$A,0)))</f>
        <v>#N/A</v>
      </c>
    </row>
    <row r="70" spans="2:9">
      <c r="B70" s="1312"/>
      <c r="C70" s="1309" t="str">
        <f t="shared" si="0"/>
        <v/>
      </c>
      <c r="E70" s="1309" t="str">
        <f>IF(ISBLANK($B70), "", INDEX(RAWData!B:B,MATCH($C70,RAWData!$A:$A,0)))</f>
        <v/>
      </c>
      <c r="F70" s="1309" t="str">
        <f>IF(ISBLANK($B70), "", INDEX(RAWData!C:C,MATCH($C70,RAWData!$A:$A,0)))</f>
        <v/>
      </c>
      <c r="G70" s="1309" t="str">
        <f>IF(ISBLANK($B70), "", INDEX(RAWData!D:D,MATCH($C70,RAWData!$A:$A,0)))</f>
        <v/>
      </c>
      <c r="H70" s="1309" t="str">
        <f>IF(ISBLANK($B70), "", INDEX(RAWData!E:E,MATCH($C70,RAWData!$A:$A,0)))</f>
        <v/>
      </c>
      <c r="I70" s="1309" t="str">
        <f>IF(ISBLANK($B70), "", INDEX(RAWData!F:F,MATCH($C70,RAWData!$A:$A,0)))</f>
        <v/>
      </c>
    </row>
    <row r="71" spans="2:9">
      <c r="B71" s="1317" t="s">
        <v>3852</v>
      </c>
      <c r="C71" s="1309" t="str">
        <f t="shared" si="0"/>
        <v>TLOUTPUTANALYPARAMGRW1T1_0</v>
      </c>
      <c r="E71" s="1309" t="e">
        <f>IF(ISBLANK($B71), "", INDEX(RAWData!B:B,MATCH($C71,RAWData!$A:$A,0)))</f>
        <v>#N/A</v>
      </c>
      <c r="F71" s="1309" t="e">
        <f>IF(ISBLANK($B71), "", INDEX(RAWData!C:C,MATCH($C71,RAWData!$A:$A,0)))</f>
        <v>#N/A</v>
      </c>
      <c r="G71" s="1309" t="e">
        <f>IF(ISBLANK($B71), "", INDEX(RAWData!D:D,MATCH($C71,RAWData!$A:$A,0)))</f>
        <v>#N/A</v>
      </c>
      <c r="H71" s="1309" t="e">
        <f>IF(ISBLANK($B71), "", INDEX(RAWData!E:E,MATCH($C71,RAWData!$A:$A,0)))</f>
        <v>#N/A</v>
      </c>
      <c r="I71" s="1309" t="e">
        <f>IF(ISBLANK($B71), "", INDEX(RAWData!F:F,MATCH($C71,RAWData!$A:$A,0)))</f>
        <v>#N/A</v>
      </c>
    </row>
    <row r="72" spans="2:9">
      <c r="B72" s="1317" t="s">
        <v>3853</v>
      </c>
      <c r="C72" s="1309" t="str">
        <f t="shared" si="0"/>
        <v>TLOUTPUTANALYPARAMTRNS1T1_0</v>
      </c>
      <c r="E72" s="1309" t="e">
        <f>IF(ISBLANK($B72), "", INDEX(RAWData!B:B,MATCH($C72,RAWData!$A:$A,0)))</f>
        <v>#N/A</v>
      </c>
      <c r="F72" s="1309" t="e">
        <f>IF(ISBLANK($B72), "", INDEX(RAWData!C:C,MATCH($C72,RAWData!$A:$A,0)))</f>
        <v>#N/A</v>
      </c>
      <c r="G72" s="1309" t="e">
        <f>IF(ISBLANK($B72), "", INDEX(RAWData!D:D,MATCH($C72,RAWData!$A:$A,0)))</f>
        <v>#N/A</v>
      </c>
      <c r="H72" s="1309" t="e">
        <f>IF(ISBLANK($B72), "", INDEX(RAWData!E:E,MATCH($C72,RAWData!$A:$A,0)))</f>
        <v>#N/A</v>
      </c>
      <c r="I72" s="1309" t="e">
        <f>IF(ISBLANK($B72), "", INDEX(RAWData!F:F,MATCH($C72,RAWData!$A:$A,0)))</f>
        <v>#N/A</v>
      </c>
    </row>
    <row r="73" spans="2:9">
      <c r="B73" s="1312"/>
      <c r="C73" s="1309" t="str">
        <f t="shared" si="0"/>
        <v/>
      </c>
      <c r="E73" s="1309" t="str">
        <f>IF(ISBLANK($B73), "", INDEX(RAWData!B:B,MATCH($C73,RAWData!$A:$A,0)))</f>
        <v/>
      </c>
      <c r="F73" s="1309" t="str">
        <f>IF(ISBLANK($B73), "", INDEX(RAWData!C:C,MATCH($C73,RAWData!$A:$A,0)))</f>
        <v/>
      </c>
      <c r="G73" s="1309" t="str">
        <f>IF(ISBLANK($B73), "", INDEX(RAWData!D:D,MATCH($C73,RAWData!$A:$A,0)))</f>
        <v/>
      </c>
      <c r="H73" s="1309" t="str">
        <f>IF(ISBLANK($B73), "", INDEX(RAWData!E:E,MATCH($C73,RAWData!$A:$A,0)))</f>
        <v/>
      </c>
      <c r="I73" s="1309" t="str">
        <f>IF(ISBLANK($B73), "", INDEX(RAWData!F:F,MATCH($C73,RAWData!$A:$A,0)))</f>
        <v/>
      </c>
    </row>
    <row r="74" spans="2:9">
      <c r="B74" s="1318" t="s">
        <v>3854</v>
      </c>
      <c r="C74" s="1309" t="str">
        <f t="shared" si="0"/>
        <v>TLOUTPUTANALYPARAMSP10T1_0</v>
      </c>
      <c r="E74" s="1309" t="e">
        <f>IF(ISBLANK($B74), "", INDEX(RAWData!B:B,MATCH($C74,RAWData!$A:$A,0)))</f>
        <v>#N/A</v>
      </c>
      <c r="F74" s="1309" t="e">
        <f>IF(ISBLANK($B74), "", INDEX(RAWData!C:C,MATCH($C74,RAWData!$A:$A,0)))</f>
        <v>#N/A</v>
      </c>
      <c r="G74" s="1309" t="e">
        <f>IF(ISBLANK($B74), "", INDEX(RAWData!D:D,MATCH($C74,RAWData!$A:$A,0)))</f>
        <v>#N/A</v>
      </c>
      <c r="H74" s="1309" t="e">
        <f>IF(ISBLANK($B74), "", INDEX(RAWData!E:E,MATCH($C74,RAWData!$A:$A,0)))</f>
        <v>#N/A</v>
      </c>
      <c r="I74" s="1309" t="e">
        <f>IF(ISBLANK($B74), "", INDEX(RAWData!F:F,MATCH($C74,RAWData!$A:$A,0)))</f>
        <v>#N/A</v>
      </c>
    </row>
    <row r="75" spans="2:9">
      <c r="B75" s="1318" t="s">
        <v>3855</v>
      </c>
      <c r="C75" s="1309" t="str">
        <f t="shared" si="0"/>
        <v>TLOUTPUTANALYPARAMSP11T1_0</v>
      </c>
      <c r="E75" s="1309" t="e">
        <f>IF(ISBLANK($B75), "", INDEX(RAWData!B:B,MATCH($C75,RAWData!$A:$A,0)))</f>
        <v>#N/A</v>
      </c>
      <c r="F75" s="1309" t="e">
        <f>IF(ISBLANK($B75), "", INDEX(RAWData!C:C,MATCH($C75,RAWData!$A:$A,0)))</f>
        <v>#N/A</v>
      </c>
      <c r="G75" s="1309" t="e">
        <f>IF(ISBLANK($B75), "", INDEX(RAWData!D:D,MATCH($C75,RAWData!$A:$A,0)))</f>
        <v>#N/A</v>
      </c>
      <c r="H75" s="1309" t="e">
        <f>IF(ISBLANK($B75), "", INDEX(RAWData!E:E,MATCH($C75,RAWData!$A:$A,0)))</f>
        <v>#N/A</v>
      </c>
      <c r="I75" s="1309" t="e">
        <f>IF(ISBLANK($B75), "", INDEX(RAWData!F:F,MATCH($C75,RAWData!$A:$A,0)))</f>
        <v>#N/A</v>
      </c>
    </row>
    <row r="76" spans="2:9">
      <c r="B76" s="1312"/>
      <c r="C76" s="1309" t="str">
        <f t="shared" si="0"/>
        <v/>
      </c>
      <c r="E76" s="1309" t="str">
        <f>IF(ISBLANK($B76), "", INDEX(RAWData!B:B,MATCH($C76,RAWData!$A:$A,0)))</f>
        <v/>
      </c>
      <c r="F76" s="1309" t="str">
        <f>IF(ISBLANK($B76), "", INDEX(RAWData!C:C,MATCH($C76,RAWData!$A:$A,0)))</f>
        <v/>
      </c>
      <c r="G76" s="1309" t="str">
        <f>IF(ISBLANK($B76), "", INDEX(RAWData!D:D,MATCH($C76,RAWData!$A:$A,0)))</f>
        <v/>
      </c>
      <c r="H76" s="1309" t="str">
        <f>IF(ISBLANK($B76), "", INDEX(RAWData!E:E,MATCH($C76,RAWData!$A:$A,0)))</f>
        <v/>
      </c>
      <c r="I76" s="1309" t="str">
        <f>IF(ISBLANK($B76), "", INDEX(RAWData!F:F,MATCH($C76,RAWData!$A:$A,0)))</f>
        <v/>
      </c>
    </row>
    <row r="77" spans="2:9">
      <c r="B77" s="1317" t="s">
        <v>3856</v>
      </c>
      <c r="C77" s="1309" t="str">
        <f t="shared" si="0"/>
        <v>TLOUTPUTANALYPARAMTSGRW3T1_0</v>
      </c>
      <c r="E77" s="1309" t="e">
        <f>IF(ISBLANK($B77), "", INDEX(RAWData!B:B,MATCH($C77,RAWData!$A:$A,0)))</f>
        <v>#N/A</v>
      </c>
      <c r="F77" s="1309" t="e">
        <f>IF(ISBLANK($B77), "", INDEX(RAWData!C:C,MATCH($C77,RAWData!$A:$A,0)))</f>
        <v>#N/A</v>
      </c>
      <c r="G77" s="1309" t="e">
        <f>IF(ISBLANK($B77), "", INDEX(RAWData!D:D,MATCH($C77,RAWData!$A:$A,0)))</f>
        <v>#N/A</v>
      </c>
      <c r="H77" s="1309" t="e">
        <f>IF(ISBLANK($B77), "", INDEX(RAWData!E:E,MATCH($C77,RAWData!$A:$A,0)))</f>
        <v>#N/A</v>
      </c>
      <c r="I77" s="1309" t="e">
        <f>IF(ISBLANK($B77), "", INDEX(RAWData!F:F,MATCH($C77,RAWData!$A:$A,0)))</f>
        <v>#N/A</v>
      </c>
    </row>
    <row r="78" spans="2:9">
      <c r="B78" s="1317" t="s">
        <v>3857</v>
      </c>
      <c r="C78" s="1309" t="str">
        <f t="shared" si="0"/>
        <v>TLOUTPUTANALYPARAMTSTRNS3T1_0</v>
      </c>
      <c r="E78" s="1309" t="e">
        <f>IF(ISBLANK($B78), "", INDEX(RAWData!B:B,MATCH($C78,RAWData!$A:$A,0)))</f>
        <v>#N/A</v>
      </c>
      <c r="F78" s="1309" t="e">
        <f>IF(ISBLANK($B78), "", INDEX(RAWData!C:C,MATCH($C78,RAWData!$A:$A,0)))</f>
        <v>#N/A</v>
      </c>
      <c r="G78" s="1309" t="e">
        <f>IF(ISBLANK($B78), "", INDEX(RAWData!D:D,MATCH($C78,RAWData!$A:$A,0)))</f>
        <v>#N/A</v>
      </c>
      <c r="H78" s="1309" t="e">
        <f>IF(ISBLANK($B78), "", INDEX(RAWData!E:E,MATCH($C78,RAWData!$A:$A,0)))</f>
        <v>#N/A</v>
      </c>
      <c r="I78" s="1309" t="e">
        <f>IF(ISBLANK($B78), "", INDEX(RAWData!F:F,MATCH($C78,RAWData!$A:$A,0)))</f>
        <v>#N/A</v>
      </c>
    </row>
    <row r="79" spans="2:9">
      <c r="B79" s="1319"/>
      <c r="C79" s="1309" t="str">
        <f t="shared" si="0"/>
        <v/>
      </c>
      <c r="E79" s="1309" t="str">
        <f>IF(ISBLANK($B79), "", INDEX(RAWData!B:B,MATCH($C79,RAWData!$A:$A,0)))</f>
        <v/>
      </c>
      <c r="F79" s="1309" t="str">
        <f>IF(ISBLANK($B79), "", INDEX(RAWData!C:C,MATCH($C79,RAWData!$A:$A,0)))</f>
        <v/>
      </c>
      <c r="G79" s="1309" t="str">
        <f>IF(ISBLANK($B79), "", INDEX(RAWData!D:D,MATCH($C79,RAWData!$A:$A,0)))</f>
        <v/>
      </c>
      <c r="H79" s="1309" t="str">
        <f>IF(ISBLANK($B79), "", INDEX(RAWData!E:E,MATCH($C79,RAWData!$A:$A,0)))</f>
        <v/>
      </c>
      <c r="I79" s="1309" t="str">
        <f>IF(ISBLANK($B79), "", INDEX(RAWData!F:F,MATCH($C79,RAWData!$A:$A,0)))</f>
        <v/>
      </c>
    </row>
    <row r="80" spans="2:9">
      <c r="B80" s="1312"/>
      <c r="C80" s="1309" t="str">
        <f t="shared" si="0"/>
        <v/>
      </c>
      <c r="E80" s="1309" t="str">
        <f>IF(ISBLANK($B80), "", INDEX(RAWData!B:B,MATCH($C80,RAWData!$A:$A,0)))</f>
        <v/>
      </c>
      <c r="F80" s="1309" t="str">
        <f>IF(ISBLANK($B80), "", INDEX(RAWData!C:C,MATCH($C80,RAWData!$A:$A,0)))</f>
        <v/>
      </c>
      <c r="G80" s="1309" t="str">
        <f>IF(ISBLANK($B80), "", INDEX(RAWData!D:D,MATCH($C80,RAWData!$A:$A,0)))</f>
        <v/>
      </c>
      <c r="H80" s="1309" t="str">
        <f>IF(ISBLANK($B80), "", INDEX(RAWData!E:E,MATCH($C80,RAWData!$A:$A,0)))</f>
        <v/>
      </c>
      <c r="I80" s="1309" t="str">
        <f>IF(ISBLANK($B80), "", INDEX(RAWData!F:F,MATCH($C80,RAWData!$A:$A,0)))</f>
        <v/>
      </c>
    </row>
    <row r="81" spans="2:9">
      <c r="B81" s="1318" t="s">
        <v>3858</v>
      </c>
      <c r="C81" s="1309" t="str">
        <f t="shared" si="0"/>
        <v>TLOUTPUTANALYPARAMOTHER2T1_0</v>
      </c>
      <c r="E81" s="1309" t="e">
        <f>IF(ISBLANK($B81), "", INDEX(RAWData!B:B,MATCH($C81,RAWData!$A:$A,0)))</f>
        <v>#N/A</v>
      </c>
      <c r="F81" s="1309" t="e">
        <f>IF(ISBLANK($B81), "", INDEX(RAWData!C:C,MATCH($C81,RAWData!$A:$A,0)))</f>
        <v>#N/A</v>
      </c>
      <c r="G81" s="1309" t="e">
        <f>IF(ISBLANK($B81), "", INDEX(RAWData!D:D,MATCH($C81,RAWData!$A:$A,0)))</f>
        <v>#N/A</v>
      </c>
      <c r="H81" s="1309" t="e">
        <f>IF(ISBLANK($B81), "", INDEX(RAWData!E:E,MATCH($C81,RAWData!$A:$A,0)))</f>
        <v>#N/A</v>
      </c>
      <c r="I81" s="1309" t="e">
        <f>IF(ISBLANK($B81), "", INDEX(RAWData!F:F,MATCH($C81,RAWData!$A:$A,0)))</f>
        <v>#N/A</v>
      </c>
    </row>
    <row r="82" spans="2:9">
      <c r="B82" s="1318" t="s">
        <v>3859</v>
      </c>
      <c r="C82" s="1309" t="str">
        <f t="shared" si="0"/>
        <v>TLOUTPUTANALYPARAMOTHER1T1_0</v>
      </c>
      <c r="E82" s="1309" t="e">
        <f>IF(ISBLANK($B82), "", INDEX(RAWData!B:B,MATCH($C82,RAWData!$A:$A,0)))</f>
        <v>#N/A</v>
      </c>
      <c r="F82" s="1309" t="e">
        <f>IF(ISBLANK($B82), "", INDEX(RAWData!C:C,MATCH($C82,RAWData!$A:$A,0)))</f>
        <v>#N/A</v>
      </c>
      <c r="G82" s="1309" t="e">
        <f>IF(ISBLANK($B82), "", INDEX(RAWData!D:D,MATCH($C82,RAWData!$A:$A,0)))</f>
        <v>#N/A</v>
      </c>
      <c r="H82" s="1309" t="e">
        <f>IF(ISBLANK($B82), "", INDEX(RAWData!E:E,MATCH($C82,RAWData!$A:$A,0)))</f>
        <v>#N/A</v>
      </c>
      <c r="I82" s="1309" t="e">
        <f>IF(ISBLANK($B82), "", INDEX(RAWData!F:F,MATCH($C82,RAWData!$A:$A,0)))</f>
        <v>#N/A</v>
      </c>
    </row>
    <row r="83" spans="2:9">
      <c r="B83" s="1312"/>
      <c r="C83" s="1309" t="str">
        <f t="shared" si="0"/>
        <v/>
      </c>
      <c r="E83" s="1309" t="str">
        <f>IF(ISBLANK($B83), "", INDEX(RAWData!B:B,MATCH($C83,RAWData!$A:$A,0)))</f>
        <v/>
      </c>
      <c r="F83" s="1309" t="str">
        <f>IF(ISBLANK($B83), "", INDEX(RAWData!C:C,MATCH($C83,RAWData!$A:$A,0)))</f>
        <v/>
      </c>
      <c r="G83" s="1309" t="str">
        <f>IF(ISBLANK($B83), "", INDEX(RAWData!D:D,MATCH($C83,RAWData!$A:$A,0)))</f>
        <v/>
      </c>
      <c r="H83" s="1309" t="str">
        <f>IF(ISBLANK($B83), "", INDEX(RAWData!E:E,MATCH($C83,RAWData!$A:$A,0)))</f>
        <v/>
      </c>
      <c r="I83" s="1309" t="str">
        <f>IF(ISBLANK($B83), "", INDEX(RAWData!F:F,MATCH($C83,RAWData!$A:$A,0)))</f>
        <v/>
      </c>
    </row>
    <row r="84" spans="2:9">
      <c r="B84" s="1320" t="s">
        <v>3860</v>
      </c>
      <c r="C84" s="1309" t="str">
        <f t="shared" si="0"/>
        <v>TLOUTPUTANALYPARAMGRW7T1_0</v>
      </c>
      <c r="E84" s="1309" t="e">
        <f>IF(ISBLANK($B84), "", INDEX(RAWData!B:B,MATCH($C84,RAWData!$A:$A,0)))</f>
        <v>#N/A</v>
      </c>
      <c r="F84" s="1309" t="e">
        <f>IF(ISBLANK($B84), "", INDEX(RAWData!C:C,MATCH($C84,RAWData!$A:$A,0)))</f>
        <v>#N/A</v>
      </c>
      <c r="G84" s="1309" t="e">
        <f>IF(ISBLANK($B84), "", INDEX(RAWData!D:D,MATCH($C84,RAWData!$A:$A,0)))</f>
        <v>#N/A</v>
      </c>
      <c r="H84" s="1309" t="e">
        <f>IF(ISBLANK($B84), "", INDEX(RAWData!E:E,MATCH($C84,RAWData!$A:$A,0)))</f>
        <v>#N/A</v>
      </c>
      <c r="I84" s="1309" t="e">
        <f>IF(ISBLANK($B84), "", INDEX(RAWData!F:F,MATCH($C84,RAWData!$A:$A,0)))</f>
        <v>#N/A</v>
      </c>
    </row>
    <row r="85" spans="2:9">
      <c r="B85" s="1315" t="s">
        <v>3861</v>
      </c>
      <c r="C85" s="1309" t="str">
        <f t="shared" si="0"/>
        <v>TLOUTPUTANALYPARAMGRW13T1_0</v>
      </c>
      <c r="E85" s="1309" t="e">
        <f>IF(ISBLANK($B85), "", INDEX(RAWData!B:B,MATCH($C85,RAWData!$A:$A,0)))</f>
        <v>#N/A</v>
      </c>
      <c r="F85" s="1309" t="e">
        <f>IF(ISBLANK($B85), "", INDEX(RAWData!C:C,MATCH($C85,RAWData!$A:$A,0)))</f>
        <v>#N/A</v>
      </c>
      <c r="G85" s="1309" t="e">
        <f>IF(ISBLANK($B85), "", INDEX(RAWData!D:D,MATCH($C85,RAWData!$A:$A,0)))</f>
        <v>#N/A</v>
      </c>
      <c r="H85" s="1309" t="e">
        <f>IF(ISBLANK($B85), "", INDEX(RAWData!E:E,MATCH($C85,RAWData!$A:$A,0)))</f>
        <v>#N/A</v>
      </c>
      <c r="I85" s="1309" t="e">
        <f>IF(ISBLANK($B85), "", INDEX(RAWData!F:F,MATCH($C85,RAWData!$A:$A,0)))</f>
        <v>#N/A</v>
      </c>
    </row>
    <row r="86" spans="2:9">
      <c r="B86" s="1320" t="s">
        <v>3862</v>
      </c>
      <c r="C86" s="1309" t="str">
        <f t="shared" si="0"/>
        <v>TLOUTPUTANALYPARAMTRNS7T1_0</v>
      </c>
      <c r="E86" s="1309" t="e">
        <f>IF(ISBLANK($B86), "", INDEX(RAWData!B:B,MATCH($C86,RAWData!$A:$A,0)))</f>
        <v>#N/A</v>
      </c>
      <c r="F86" s="1309" t="e">
        <f>IF(ISBLANK($B86), "", INDEX(RAWData!C:C,MATCH($C86,RAWData!$A:$A,0)))</f>
        <v>#N/A</v>
      </c>
      <c r="G86" s="1309" t="e">
        <f>IF(ISBLANK($B86), "", INDEX(RAWData!D:D,MATCH($C86,RAWData!$A:$A,0)))</f>
        <v>#N/A</v>
      </c>
      <c r="H86" s="1309" t="e">
        <f>IF(ISBLANK($B86), "", INDEX(RAWData!E:E,MATCH($C86,RAWData!$A:$A,0)))</f>
        <v>#N/A</v>
      </c>
      <c r="I86" s="1309" t="e">
        <f>IF(ISBLANK($B86), "", INDEX(RAWData!F:F,MATCH($C86,RAWData!$A:$A,0)))</f>
        <v>#N/A</v>
      </c>
    </row>
    <row r="87" spans="2:9">
      <c r="B87" s="1316" t="s">
        <v>3863</v>
      </c>
      <c r="C87" s="1309" t="str">
        <f t="shared" ref="C87:C150" si="1">IF(NOT(ISBLANK($B87)),UPPER($B87)&amp;"_"&amp;$C$4,"")</f>
        <v>TLOUTPUTANALYPARAMTRNS13T1_0</v>
      </c>
      <c r="E87" s="1309" t="e">
        <f>IF(ISBLANK($B87), "", INDEX(RAWData!B:B,MATCH($C87,RAWData!$A:$A,0)))</f>
        <v>#N/A</v>
      </c>
      <c r="F87" s="1309" t="e">
        <f>IF(ISBLANK($B87), "", INDEX(RAWData!C:C,MATCH($C87,RAWData!$A:$A,0)))</f>
        <v>#N/A</v>
      </c>
      <c r="G87" s="1309" t="e">
        <f>IF(ISBLANK($B87), "", INDEX(RAWData!D:D,MATCH($C87,RAWData!$A:$A,0)))</f>
        <v>#N/A</v>
      </c>
      <c r="H87" s="1309" t="e">
        <f>IF(ISBLANK($B87), "", INDEX(RAWData!E:E,MATCH($C87,RAWData!$A:$A,0)))</f>
        <v>#N/A</v>
      </c>
      <c r="I87" s="1309" t="e">
        <f>IF(ISBLANK($B87), "", INDEX(RAWData!F:F,MATCH($C87,RAWData!$A:$A,0)))</f>
        <v>#N/A</v>
      </c>
    </row>
    <row r="88" spans="2:9">
      <c r="B88" s="1316" t="s">
        <v>3864</v>
      </c>
      <c r="C88" s="1309" t="str">
        <f t="shared" si="1"/>
        <v>TLOUTPUTANALYPARAMMISC4T1_0</v>
      </c>
      <c r="E88" s="1309" t="e">
        <f>IF(ISBLANK($B88), "", INDEX(RAWData!B:B,MATCH($C88,RAWData!$A:$A,0)))</f>
        <v>#N/A</v>
      </c>
      <c r="F88" s="1309" t="e">
        <f>IF(ISBLANK($B88), "", INDEX(RAWData!C:C,MATCH($C88,RAWData!$A:$A,0)))</f>
        <v>#N/A</v>
      </c>
      <c r="G88" s="1309" t="e">
        <f>IF(ISBLANK($B88), "", INDEX(RAWData!D:D,MATCH($C88,RAWData!$A:$A,0)))</f>
        <v>#N/A</v>
      </c>
      <c r="H88" s="1309" t="e">
        <f>IF(ISBLANK($B88), "", INDEX(RAWData!E:E,MATCH($C88,RAWData!$A:$A,0)))</f>
        <v>#N/A</v>
      </c>
      <c r="I88" s="1309" t="e">
        <f>IF(ISBLANK($B88), "", INDEX(RAWData!F:F,MATCH($C88,RAWData!$A:$A,0)))</f>
        <v>#N/A</v>
      </c>
    </row>
    <row r="89" spans="2:9">
      <c r="B89" s="1316" t="s">
        <v>3865</v>
      </c>
      <c r="C89" s="1309" t="str">
        <f t="shared" si="1"/>
        <v>TLOUTPUTANALYPARAMMISC5T1_0</v>
      </c>
      <c r="E89" s="1309" t="e">
        <f>IF(ISBLANK($B89), "", INDEX(RAWData!B:B,MATCH($C89,RAWData!$A:$A,0)))</f>
        <v>#N/A</v>
      </c>
      <c r="F89" s="1309" t="e">
        <f>IF(ISBLANK($B89), "", INDEX(RAWData!C:C,MATCH($C89,RAWData!$A:$A,0)))</f>
        <v>#N/A</v>
      </c>
      <c r="G89" s="1309" t="e">
        <f>IF(ISBLANK($B89), "", INDEX(RAWData!D:D,MATCH($C89,RAWData!$A:$A,0)))</f>
        <v>#N/A</v>
      </c>
      <c r="H89" s="1309" t="e">
        <f>IF(ISBLANK($B89), "", INDEX(RAWData!E:E,MATCH($C89,RAWData!$A:$A,0)))</f>
        <v>#N/A</v>
      </c>
      <c r="I89" s="1309" t="e">
        <f>IF(ISBLANK($B89), "", INDEX(RAWData!F:F,MATCH($C89,RAWData!$A:$A,0)))</f>
        <v>#N/A</v>
      </c>
    </row>
    <row r="90" spans="2:9">
      <c r="B90" s="1312"/>
      <c r="C90" s="1309" t="str">
        <f t="shared" si="1"/>
        <v/>
      </c>
      <c r="E90" s="1309" t="str">
        <f>IF(ISBLANK($B90), "", INDEX(RAWData!B:B,MATCH($C90,RAWData!$A:$A,0)))</f>
        <v/>
      </c>
      <c r="F90" s="1309" t="str">
        <f>IF(ISBLANK($B90), "", INDEX(RAWData!C:C,MATCH($C90,RAWData!$A:$A,0)))</f>
        <v/>
      </c>
      <c r="G90" s="1309" t="str">
        <f>IF(ISBLANK($B90), "", INDEX(RAWData!D:D,MATCH($C90,RAWData!$A:$A,0)))</f>
        <v/>
      </c>
      <c r="H90" s="1309" t="str">
        <f>IF(ISBLANK($B90), "", INDEX(RAWData!E:E,MATCH($C90,RAWData!$A:$A,0)))</f>
        <v/>
      </c>
      <c r="I90" s="1309" t="str">
        <f>IF(ISBLANK($B90), "", INDEX(RAWData!F:F,MATCH($C90,RAWData!$A:$A,0)))</f>
        <v/>
      </c>
    </row>
    <row r="91" spans="2:9">
      <c r="B91" s="1321" t="s">
        <v>3866</v>
      </c>
      <c r="C91" s="1309" t="str">
        <f t="shared" si="1"/>
        <v>TLOUTPUTANALYPARAMGRW5T1_0</v>
      </c>
      <c r="E91" s="1309" t="e">
        <f>IF(ISBLANK($B91), "", INDEX(RAWData!B:B,MATCH($C91,RAWData!$A:$A,0)))</f>
        <v>#N/A</v>
      </c>
      <c r="F91" s="1309" t="e">
        <f>IF(ISBLANK($B91), "", INDEX(RAWData!C:C,MATCH($C91,RAWData!$A:$A,0)))</f>
        <v>#N/A</v>
      </c>
      <c r="G91" s="1309" t="e">
        <f>IF(ISBLANK($B91), "", INDEX(RAWData!D:D,MATCH($C91,RAWData!$A:$A,0)))</f>
        <v>#N/A</v>
      </c>
      <c r="H91" s="1309" t="e">
        <f>IF(ISBLANK($B91), "", INDEX(RAWData!E:E,MATCH($C91,RAWData!$A:$A,0)))</f>
        <v>#N/A</v>
      </c>
      <c r="I91" s="1309" t="e">
        <f>IF(ISBLANK($B91), "", INDEX(RAWData!F:F,MATCH($C91,RAWData!$A:$A,0)))</f>
        <v>#N/A</v>
      </c>
    </row>
    <row r="92" spans="2:9">
      <c r="B92" s="1321" t="s">
        <v>3867</v>
      </c>
      <c r="C92" s="1309" t="str">
        <f t="shared" si="1"/>
        <v>TLOUTPUTANALYPARAMTRNS5T1_0</v>
      </c>
      <c r="E92" s="1309" t="e">
        <f>IF(ISBLANK($B92), "", INDEX(RAWData!B:B,MATCH($C92,RAWData!$A:$A,0)))</f>
        <v>#N/A</v>
      </c>
      <c r="F92" s="1309" t="e">
        <f>IF(ISBLANK($B92), "", INDEX(RAWData!C:C,MATCH($C92,RAWData!$A:$A,0)))</f>
        <v>#N/A</v>
      </c>
      <c r="G92" s="1309" t="e">
        <f>IF(ISBLANK($B92), "", INDEX(RAWData!D:D,MATCH($C92,RAWData!$A:$A,0)))</f>
        <v>#N/A</v>
      </c>
      <c r="H92" s="1309" t="e">
        <f>IF(ISBLANK($B92), "", INDEX(RAWData!E:E,MATCH($C92,RAWData!$A:$A,0)))</f>
        <v>#N/A</v>
      </c>
      <c r="I92" s="1309" t="e">
        <f>IF(ISBLANK($B92), "", INDEX(RAWData!F:F,MATCH($C92,RAWData!$A:$A,0)))</f>
        <v>#N/A</v>
      </c>
    </row>
    <row r="93" spans="2:9">
      <c r="B93" s="1312"/>
      <c r="C93" s="1309" t="str">
        <f t="shared" si="1"/>
        <v/>
      </c>
      <c r="E93" s="1309" t="str">
        <f>IF(ISBLANK($B93), "", INDEX(RAWData!B:B,MATCH($C93,RAWData!$A:$A,0)))</f>
        <v/>
      </c>
      <c r="F93" s="1309" t="str">
        <f>IF(ISBLANK($B93), "", INDEX(RAWData!C:C,MATCH($C93,RAWData!$A:$A,0)))</f>
        <v/>
      </c>
      <c r="G93" s="1309" t="str">
        <f>IF(ISBLANK($B93), "", INDEX(RAWData!D:D,MATCH($C93,RAWData!$A:$A,0)))</f>
        <v/>
      </c>
      <c r="H93" s="1309" t="str">
        <f>IF(ISBLANK($B93), "", INDEX(RAWData!E:E,MATCH($C93,RAWData!$A:$A,0)))</f>
        <v/>
      </c>
      <c r="I93" s="1309" t="str">
        <f>IF(ISBLANK($B93), "", INDEX(RAWData!F:F,MATCH($C93,RAWData!$A:$A,0)))</f>
        <v/>
      </c>
    </row>
    <row r="94" spans="2:9">
      <c r="B94" s="1318" t="s">
        <v>3868</v>
      </c>
      <c r="C94" s="1309" t="str">
        <f t="shared" si="1"/>
        <v>TLOUTPUTANALYPARAMFTE8T1_0</v>
      </c>
      <c r="E94" s="1309" t="e">
        <f>IF(ISBLANK($B94), "", INDEX(RAWData!B:B,MATCH($C94,RAWData!$A:$A,0)))</f>
        <v>#N/A</v>
      </c>
      <c r="F94" s="1309" t="e">
        <f>IF(ISBLANK($B94), "", INDEX(RAWData!C:C,MATCH($C94,RAWData!$A:$A,0)))</f>
        <v>#N/A</v>
      </c>
      <c r="G94" s="1309" t="e">
        <f>IF(ISBLANK($B94), "", INDEX(RAWData!D:D,MATCH($C94,RAWData!$A:$A,0)))</f>
        <v>#N/A</v>
      </c>
      <c r="H94" s="1309" t="e">
        <f>IF(ISBLANK($B94), "", INDEX(RAWData!E:E,MATCH($C94,RAWData!$A:$A,0)))</f>
        <v>#N/A</v>
      </c>
      <c r="I94" s="1309" t="e">
        <f>IF(ISBLANK($B94), "", INDEX(RAWData!F:F,MATCH($C94,RAWData!$A:$A,0)))</f>
        <v>#N/A</v>
      </c>
    </row>
    <row r="95" spans="2:9">
      <c r="B95" s="1317" t="s">
        <v>3869</v>
      </c>
      <c r="C95" s="1309" t="str">
        <f t="shared" si="1"/>
        <v>TLOUTPUTANALYPARAMMISC26T1_0</v>
      </c>
      <c r="E95" s="1309" t="e">
        <f>IF(ISBLANK($B95), "", INDEX(RAWData!B:B,MATCH($C95,RAWData!$A:$A,0)))</f>
        <v>#N/A</v>
      </c>
      <c r="F95" s="1309" t="e">
        <f>IF(ISBLANK($B95), "", INDEX(RAWData!C:C,MATCH($C95,RAWData!$A:$A,0)))</f>
        <v>#N/A</v>
      </c>
      <c r="G95" s="1309" t="e">
        <f>IF(ISBLANK($B95), "", INDEX(RAWData!D:D,MATCH($C95,RAWData!$A:$A,0)))</f>
        <v>#N/A</v>
      </c>
      <c r="H95" s="1309" t="e">
        <f>IF(ISBLANK($B95), "", INDEX(RAWData!E:E,MATCH($C95,RAWData!$A:$A,0)))</f>
        <v>#N/A</v>
      </c>
      <c r="I95" s="1309" t="e">
        <f>IF(ISBLANK($B95), "", INDEX(RAWData!F:F,MATCH($C95,RAWData!$A:$A,0)))</f>
        <v>#N/A</v>
      </c>
    </row>
    <row r="96" spans="2:9">
      <c r="B96" s="1314"/>
      <c r="C96" s="1309" t="str">
        <f t="shared" si="1"/>
        <v/>
      </c>
      <c r="E96" s="1309" t="str">
        <f>IF(ISBLANK($B96), "", INDEX(RAWData!B:B,MATCH($C96,RAWData!$A:$A,0)))</f>
        <v/>
      </c>
      <c r="F96" s="1309" t="str">
        <f>IF(ISBLANK($B96), "", INDEX(RAWData!C:C,MATCH($C96,RAWData!$A:$A,0)))</f>
        <v/>
      </c>
      <c r="G96" s="1309" t="str">
        <f>IF(ISBLANK($B96), "", INDEX(RAWData!D:D,MATCH($C96,RAWData!$A:$A,0)))</f>
        <v/>
      </c>
      <c r="H96" s="1309" t="str">
        <f>IF(ISBLANK($B96), "", INDEX(RAWData!E:E,MATCH($C96,RAWData!$A:$A,0)))</f>
        <v/>
      </c>
      <c r="I96" s="1309" t="str">
        <f>IF(ISBLANK($B96), "", INDEX(RAWData!F:F,MATCH($C96,RAWData!$A:$A,0)))</f>
        <v/>
      </c>
    </row>
    <row r="97" spans="2:9">
      <c r="B97" s="1310"/>
      <c r="C97" s="1309" t="str">
        <f t="shared" si="1"/>
        <v/>
      </c>
      <c r="E97" s="1309" t="str">
        <f>IF(ISBLANK($B97), "", INDEX(RAWData!B:B,MATCH($C97,RAWData!$A:$A,0)))</f>
        <v/>
      </c>
      <c r="F97" s="1309" t="str">
        <f>IF(ISBLANK($B97), "", INDEX(RAWData!C:C,MATCH($C97,RAWData!$A:$A,0)))</f>
        <v/>
      </c>
      <c r="G97" s="1309" t="str">
        <f>IF(ISBLANK($B97), "", INDEX(RAWData!D:D,MATCH($C97,RAWData!$A:$A,0)))</f>
        <v/>
      </c>
      <c r="H97" s="1309" t="str">
        <f>IF(ISBLANK($B97), "", INDEX(RAWData!E:E,MATCH($C97,RAWData!$A:$A,0)))</f>
        <v/>
      </c>
      <c r="I97" s="1309" t="str">
        <f>IF(ISBLANK($B97), "", INDEX(RAWData!F:F,MATCH($C97,RAWData!$A:$A,0)))</f>
        <v/>
      </c>
    </row>
    <row r="98" spans="2:9">
      <c r="B98" s="1322" t="s">
        <v>3870</v>
      </c>
      <c r="C98" s="1309" t="str">
        <f t="shared" si="1"/>
        <v>TLOUTPUTANALYMSIMPACT1T1_0</v>
      </c>
      <c r="E98" s="1309" t="e">
        <f>IF(ISBLANK($B98), "", INDEX(RAWData!B:B,MATCH($C98,RAWData!$A:$A,0)))</f>
        <v>#N/A</v>
      </c>
      <c r="F98" s="1309" t="e">
        <f>IF(ISBLANK($B98), "", INDEX(RAWData!C:C,MATCH($C98,RAWData!$A:$A,0)))</f>
        <v>#N/A</v>
      </c>
      <c r="G98" s="1309" t="e">
        <f>IF(ISBLANK($B98), "", INDEX(RAWData!D:D,MATCH($C98,RAWData!$A:$A,0)))</f>
        <v>#N/A</v>
      </c>
      <c r="H98" s="1309" t="e">
        <f>IF(ISBLANK($B98), "", INDEX(RAWData!E:E,MATCH($C98,RAWData!$A:$A,0)))</f>
        <v>#N/A</v>
      </c>
      <c r="I98" s="1309" t="e">
        <f>IF(ISBLANK($B98), "", INDEX(RAWData!F:F,MATCH($C98,RAWData!$A:$A,0)))</f>
        <v>#N/A</v>
      </c>
    </row>
    <row r="99" spans="2:9">
      <c r="B99" s="1314" t="s">
        <v>3871</v>
      </c>
      <c r="C99" s="1309" t="str">
        <f t="shared" si="1"/>
        <v>TLOUTPUTANALYMSIMPACT2T1_0</v>
      </c>
      <c r="E99" s="1309" t="e">
        <f>IF(ISBLANK($B99), "", INDEX(RAWData!B:B,MATCH($C99,RAWData!$A:$A,0)))</f>
        <v>#N/A</v>
      </c>
      <c r="F99" s="1309" t="e">
        <f>IF(ISBLANK($B99), "", INDEX(RAWData!C:C,MATCH($C99,RAWData!$A:$A,0)))</f>
        <v>#N/A</v>
      </c>
      <c r="G99" s="1309" t="e">
        <f>IF(ISBLANK($B99), "", INDEX(RAWData!D:D,MATCH($C99,RAWData!$A:$A,0)))</f>
        <v>#N/A</v>
      </c>
      <c r="H99" s="1309" t="e">
        <f>IF(ISBLANK($B99), "", INDEX(RAWData!E:E,MATCH($C99,RAWData!$A:$A,0)))</f>
        <v>#N/A</v>
      </c>
      <c r="I99" s="1309" t="e">
        <f>IF(ISBLANK($B99), "", INDEX(RAWData!F:F,MATCH($C99,RAWData!$A:$A,0)))</f>
        <v>#N/A</v>
      </c>
    </row>
    <row r="100" spans="2:9">
      <c r="B100" s="1314" t="s">
        <v>3872</v>
      </c>
      <c r="C100" s="1309" t="str">
        <f t="shared" si="1"/>
        <v>TLOUTPUTANALYMSIMPACT3T1_0</v>
      </c>
      <c r="E100" s="1309" t="e">
        <f>IF(ISBLANK($B100), "", INDEX(RAWData!B:B,MATCH($C100,RAWData!$A:$A,0)))</f>
        <v>#N/A</v>
      </c>
      <c r="F100" s="1309" t="e">
        <f>IF(ISBLANK($B100), "", INDEX(RAWData!C:C,MATCH($C100,RAWData!$A:$A,0)))</f>
        <v>#N/A</v>
      </c>
      <c r="G100" s="1309" t="e">
        <f>IF(ISBLANK($B100), "", INDEX(RAWData!D:D,MATCH($C100,RAWData!$A:$A,0)))</f>
        <v>#N/A</v>
      </c>
      <c r="H100" s="1309" t="e">
        <f>IF(ISBLANK($B100), "", INDEX(RAWData!E:E,MATCH($C100,RAWData!$A:$A,0)))</f>
        <v>#N/A</v>
      </c>
      <c r="I100" s="1309" t="e">
        <f>IF(ISBLANK($B100), "", INDEX(RAWData!F:F,MATCH($C100,RAWData!$A:$A,0)))</f>
        <v>#N/A</v>
      </c>
    </row>
    <row r="101" spans="2:9">
      <c r="B101" s="1314" t="s">
        <v>3873</v>
      </c>
      <c r="C101" s="1309" t="str">
        <f t="shared" si="1"/>
        <v>TLOUTPUTANALYMSIMPACT4T1_0</v>
      </c>
      <c r="E101" s="1309" t="e">
        <f>IF(ISBLANK($B101), "", INDEX(RAWData!B:B,MATCH($C101,RAWData!$A:$A,0)))</f>
        <v>#N/A</v>
      </c>
      <c r="F101" s="1309" t="e">
        <f>IF(ISBLANK($B101), "", INDEX(RAWData!C:C,MATCH($C101,RAWData!$A:$A,0)))</f>
        <v>#N/A</v>
      </c>
      <c r="G101" s="1309" t="e">
        <f>IF(ISBLANK($B101), "", INDEX(RAWData!D:D,MATCH($C101,RAWData!$A:$A,0)))</f>
        <v>#N/A</v>
      </c>
      <c r="H101" s="1309" t="e">
        <f>IF(ISBLANK($B101), "", INDEX(RAWData!E:E,MATCH($C101,RAWData!$A:$A,0)))</f>
        <v>#N/A</v>
      </c>
      <c r="I101" s="1309" t="e">
        <f>IF(ISBLANK($B101), "", INDEX(RAWData!F:F,MATCH($C101,RAWData!$A:$A,0)))</f>
        <v>#N/A</v>
      </c>
    </row>
    <row r="102" spans="2:9">
      <c r="B102" s="1314" t="s">
        <v>3874</v>
      </c>
      <c r="C102" s="1309" t="str">
        <f t="shared" si="1"/>
        <v>TLOUTPUTANALYMSIMPACT5T1_0</v>
      </c>
      <c r="E102" s="1309" t="e">
        <f>IF(ISBLANK($B102), "", INDEX(RAWData!B:B,MATCH($C102,RAWData!$A:$A,0)))</f>
        <v>#N/A</v>
      </c>
      <c r="F102" s="1309" t="e">
        <f>IF(ISBLANK($B102), "", INDEX(RAWData!C:C,MATCH($C102,RAWData!$A:$A,0)))</f>
        <v>#N/A</v>
      </c>
      <c r="G102" s="1309" t="e">
        <f>IF(ISBLANK($B102), "", INDEX(RAWData!D:D,MATCH($C102,RAWData!$A:$A,0)))</f>
        <v>#N/A</v>
      </c>
      <c r="H102" s="1309" t="e">
        <f>IF(ISBLANK($B102), "", INDEX(RAWData!E:E,MATCH($C102,RAWData!$A:$A,0)))</f>
        <v>#N/A</v>
      </c>
      <c r="I102" s="1309" t="e">
        <f>IF(ISBLANK($B102), "", INDEX(RAWData!F:F,MATCH($C102,RAWData!$A:$A,0)))</f>
        <v>#N/A</v>
      </c>
    </row>
    <row r="103" spans="2:9">
      <c r="B103" s="1314" t="s">
        <v>3875</v>
      </c>
      <c r="C103" s="1309" t="str">
        <f t="shared" si="1"/>
        <v>TLOUTPUTANALYMSIMPACT6T1_0</v>
      </c>
      <c r="E103" s="1309" t="e">
        <f>IF(ISBLANK($B103), "", INDEX(RAWData!B:B,MATCH($C103,RAWData!$A:$A,0)))</f>
        <v>#N/A</v>
      </c>
      <c r="F103" s="1309" t="e">
        <f>IF(ISBLANK($B103), "", INDEX(RAWData!C:C,MATCH($C103,RAWData!$A:$A,0)))</f>
        <v>#N/A</v>
      </c>
      <c r="G103" s="1309" t="e">
        <f>IF(ISBLANK($B103), "", INDEX(RAWData!D:D,MATCH($C103,RAWData!$A:$A,0)))</f>
        <v>#N/A</v>
      </c>
      <c r="H103" s="1309" t="e">
        <f>IF(ISBLANK($B103), "", INDEX(RAWData!E:E,MATCH($C103,RAWData!$A:$A,0)))</f>
        <v>#N/A</v>
      </c>
      <c r="I103" s="1309" t="e">
        <f>IF(ISBLANK($B103), "", INDEX(RAWData!F:F,MATCH($C103,RAWData!$A:$A,0)))</f>
        <v>#N/A</v>
      </c>
    </row>
    <row r="104" spans="2:9">
      <c r="B104" s="1314" t="s">
        <v>3876</v>
      </c>
      <c r="C104" s="1309" t="str">
        <f t="shared" si="1"/>
        <v>TLOUTPUTANALYMSIMPACT7T1_0</v>
      </c>
      <c r="E104" s="1309" t="e">
        <f>IF(ISBLANK($B104), "", INDEX(RAWData!B:B,MATCH($C104,RAWData!$A:$A,0)))</f>
        <v>#N/A</v>
      </c>
      <c r="F104" s="1309" t="e">
        <f>IF(ISBLANK($B104), "", INDEX(RAWData!C:C,MATCH($C104,RAWData!$A:$A,0)))</f>
        <v>#N/A</v>
      </c>
      <c r="G104" s="1309" t="e">
        <f>IF(ISBLANK($B104), "", INDEX(RAWData!D:D,MATCH($C104,RAWData!$A:$A,0)))</f>
        <v>#N/A</v>
      </c>
      <c r="H104" s="1309" t="e">
        <f>IF(ISBLANK($B104), "", INDEX(RAWData!E:E,MATCH($C104,RAWData!$A:$A,0)))</f>
        <v>#N/A</v>
      </c>
      <c r="I104" s="1309" t="e">
        <f>IF(ISBLANK($B104), "", INDEX(RAWData!F:F,MATCH($C104,RAWData!$A:$A,0)))</f>
        <v>#N/A</v>
      </c>
    </row>
    <row r="105" spans="2:9">
      <c r="B105" s="1314" t="s">
        <v>3877</v>
      </c>
      <c r="C105" s="1309" t="str">
        <f t="shared" si="1"/>
        <v>TLOUTPUTANALYMSIMPACT8T1_0</v>
      </c>
      <c r="E105" s="1309" t="e">
        <f>IF(ISBLANK($B105), "", INDEX(RAWData!B:B,MATCH($C105,RAWData!$A:$A,0)))</f>
        <v>#N/A</v>
      </c>
      <c r="F105" s="1309" t="e">
        <f>IF(ISBLANK($B105), "", INDEX(RAWData!C:C,MATCH($C105,RAWData!$A:$A,0)))</f>
        <v>#N/A</v>
      </c>
      <c r="G105" s="1309" t="e">
        <f>IF(ISBLANK($B105), "", INDEX(RAWData!D:D,MATCH($C105,RAWData!$A:$A,0)))</f>
        <v>#N/A</v>
      </c>
      <c r="H105" s="1309" t="e">
        <f>IF(ISBLANK($B105), "", INDEX(RAWData!E:E,MATCH($C105,RAWData!$A:$A,0)))</f>
        <v>#N/A</v>
      </c>
      <c r="I105" s="1309" t="e">
        <f>IF(ISBLANK($B105), "", INDEX(RAWData!F:F,MATCH($C105,RAWData!$A:$A,0)))</f>
        <v>#N/A</v>
      </c>
    </row>
    <row r="106" spans="2:9">
      <c r="B106" s="1314" t="s">
        <v>3878</v>
      </c>
      <c r="C106" s="1309" t="str">
        <f t="shared" si="1"/>
        <v>TLOUTPUTANALYMSIMPACT9T1_0</v>
      </c>
      <c r="E106" s="1309" t="e">
        <f>IF(ISBLANK($B106), "", INDEX(RAWData!B:B,MATCH($C106,RAWData!$A:$A,0)))</f>
        <v>#N/A</v>
      </c>
      <c r="F106" s="1309" t="e">
        <f>IF(ISBLANK($B106), "", INDEX(RAWData!C:C,MATCH($C106,RAWData!$A:$A,0)))</f>
        <v>#N/A</v>
      </c>
      <c r="G106" s="1309" t="e">
        <f>IF(ISBLANK($B106), "", INDEX(RAWData!D:D,MATCH($C106,RAWData!$A:$A,0)))</f>
        <v>#N/A</v>
      </c>
      <c r="H106" s="1309" t="e">
        <f>IF(ISBLANK($B106), "", INDEX(RAWData!E:E,MATCH($C106,RAWData!$A:$A,0)))</f>
        <v>#N/A</v>
      </c>
      <c r="I106" s="1309" t="e">
        <f>IF(ISBLANK($B106), "", INDEX(RAWData!F:F,MATCH($C106,RAWData!$A:$A,0)))</f>
        <v>#N/A</v>
      </c>
    </row>
    <row r="107" spans="2:9">
      <c r="B107" s="1314" t="s">
        <v>3879</v>
      </c>
      <c r="C107" s="1309" t="str">
        <f t="shared" si="1"/>
        <v>TLOUTPUTANALYMSIMPACT10T1_0</v>
      </c>
      <c r="E107" s="1309" t="e">
        <f>IF(ISBLANK($B107), "", INDEX(RAWData!B:B,MATCH($C107,RAWData!$A:$A,0)))</f>
        <v>#N/A</v>
      </c>
      <c r="F107" s="1309" t="e">
        <f>IF(ISBLANK($B107), "", INDEX(RAWData!C:C,MATCH($C107,RAWData!$A:$A,0)))</f>
        <v>#N/A</v>
      </c>
      <c r="G107" s="1309" t="e">
        <f>IF(ISBLANK($B107), "", INDEX(RAWData!D:D,MATCH($C107,RAWData!$A:$A,0)))</f>
        <v>#N/A</v>
      </c>
      <c r="H107" s="1309" t="e">
        <f>IF(ISBLANK($B107), "", INDEX(RAWData!E:E,MATCH($C107,RAWData!$A:$A,0)))</f>
        <v>#N/A</v>
      </c>
      <c r="I107" s="1309" t="e">
        <f>IF(ISBLANK($B107), "", INDEX(RAWData!F:F,MATCH($C107,RAWData!$A:$A,0)))</f>
        <v>#N/A</v>
      </c>
    </row>
    <row r="108" spans="2:9">
      <c r="B108" s="1314" t="s">
        <v>3880</v>
      </c>
      <c r="C108" s="1309" t="str">
        <f t="shared" si="1"/>
        <v>TLOUTPUTANALYMSIMPACT11T1_0</v>
      </c>
      <c r="E108" s="1309" t="e">
        <f>IF(ISBLANK($B108), "", INDEX(RAWData!B:B,MATCH($C108,RAWData!$A:$A,0)))</f>
        <v>#N/A</v>
      </c>
      <c r="F108" s="1309" t="e">
        <f>IF(ISBLANK($B108), "", INDEX(RAWData!C:C,MATCH($C108,RAWData!$A:$A,0)))</f>
        <v>#N/A</v>
      </c>
      <c r="G108" s="1309" t="e">
        <f>IF(ISBLANK($B108), "", INDEX(RAWData!D:D,MATCH($C108,RAWData!$A:$A,0)))</f>
        <v>#N/A</v>
      </c>
      <c r="H108" s="1309" t="e">
        <f>IF(ISBLANK($B108), "", INDEX(RAWData!E:E,MATCH($C108,RAWData!$A:$A,0)))</f>
        <v>#N/A</v>
      </c>
      <c r="I108" s="1309" t="e">
        <f>IF(ISBLANK($B108), "", INDEX(RAWData!F:F,MATCH($C108,RAWData!$A:$A,0)))</f>
        <v>#N/A</v>
      </c>
    </row>
    <row r="109" spans="2:9">
      <c r="B109" s="1314" t="s">
        <v>3881</v>
      </c>
      <c r="C109" s="1309" t="str">
        <f t="shared" si="1"/>
        <v>TLOUTPUTANALYMSIMPACT12T1_0</v>
      </c>
      <c r="E109" s="1309" t="e">
        <f>IF(ISBLANK($B109), "", INDEX(RAWData!B:B,MATCH($C109,RAWData!$A:$A,0)))</f>
        <v>#N/A</v>
      </c>
      <c r="F109" s="1309" t="e">
        <f>IF(ISBLANK($B109), "", INDEX(RAWData!C:C,MATCH($C109,RAWData!$A:$A,0)))</f>
        <v>#N/A</v>
      </c>
      <c r="G109" s="1309" t="e">
        <f>IF(ISBLANK($B109), "", INDEX(RAWData!D:D,MATCH($C109,RAWData!$A:$A,0)))</f>
        <v>#N/A</v>
      </c>
      <c r="H109" s="1309" t="e">
        <f>IF(ISBLANK($B109), "", INDEX(RAWData!E:E,MATCH($C109,RAWData!$A:$A,0)))</f>
        <v>#N/A</v>
      </c>
      <c r="I109" s="1309" t="e">
        <f>IF(ISBLANK($B109), "", INDEX(RAWData!F:F,MATCH($C109,RAWData!$A:$A,0)))</f>
        <v>#N/A</v>
      </c>
    </row>
    <row r="110" spans="2:9">
      <c r="B110" s="1314" t="s">
        <v>3882</v>
      </c>
      <c r="C110" s="1309" t="str">
        <f t="shared" si="1"/>
        <v>TLOUTPUTANALYMSIMPACT13T1_0</v>
      </c>
      <c r="E110" s="1309" t="e">
        <f>IF(ISBLANK($B110), "", INDEX(RAWData!B:B,MATCH($C110,RAWData!$A:$A,0)))</f>
        <v>#N/A</v>
      </c>
      <c r="F110" s="1309" t="e">
        <f>IF(ISBLANK($B110), "", INDEX(RAWData!C:C,MATCH($C110,RAWData!$A:$A,0)))</f>
        <v>#N/A</v>
      </c>
      <c r="G110" s="1309" t="e">
        <f>IF(ISBLANK($B110), "", INDEX(RAWData!D:D,MATCH($C110,RAWData!$A:$A,0)))</f>
        <v>#N/A</v>
      </c>
      <c r="H110" s="1309" t="e">
        <f>IF(ISBLANK($B110), "", INDEX(RAWData!E:E,MATCH($C110,RAWData!$A:$A,0)))</f>
        <v>#N/A</v>
      </c>
      <c r="I110" s="1309" t="e">
        <f>IF(ISBLANK($B110), "", INDEX(RAWData!F:F,MATCH($C110,RAWData!$A:$A,0)))</f>
        <v>#N/A</v>
      </c>
    </row>
    <row r="111" spans="2:9">
      <c r="B111" s="1314" t="s">
        <v>3883</v>
      </c>
      <c r="C111" s="1309" t="str">
        <f t="shared" si="1"/>
        <v>TLOUTPUTANALYMSIMPACT14T1_0</v>
      </c>
      <c r="E111" s="1309" t="e">
        <f>IF(ISBLANK($B111), "", INDEX(RAWData!B:B,MATCH($C111,RAWData!$A:$A,0)))</f>
        <v>#N/A</v>
      </c>
      <c r="F111" s="1309" t="e">
        <f>IF(ISBLANK($B111), "", INDEX(RAWData!C:C,MATCH($C111,RAWData!$A:$A,0)))</f>
        <v>#N/A</v>
      </c>
      <c r="G111" s="1309" t="e">
        <f>IF(ISBLANK($B111), "", INDEX(RAWData!D:D,MATCH($C111,RAWData!$A:$A,0)))</f>
        <v>#N/A</v>
      </c>
      <c r="H111" s="1309" t="e">
        <f>IF(ISBLANK($B111), "", INDEX(RAWData!E:E,MATCH($C111,RAWData!$A:$A,0)))</f>
        <v>#N/A</v>
      </c>
      <c r="I111" s="1309" t="e">
        <f>IF(ISBLANK($B111), "", INDEX(RAWData!F:F,MATCH($C111,RAWData!$A:$A,0)))</f>
        <v>#N/A</v>
      </c>
    </row>
    <row r="112" spans="2:9">
      <c r="B112" s="1314" t="s">
        <v>3884</v>
      </c>
      <c r="C112" s="1309" t="str">
        <f t="shared" si="1"/>
        <v>TLOUTPUTANALYMSIMPACT15T1_0</v>
      </c>
      <c r="E112" s="1309" t="e">
        <f>IF(ISBLANK($B112), "", INDEX(RAWData!B:B,MATCH($C112,RAWData!$A:$A,0)))</f>
        <v>#N/A</v>
      </c>
      <c r="F112" s="1309" t="e">
        <f>IF(ISBLANK($B112), "", INDEX(RAWData!C:C,MATCH($C112,RAWData!$A:$A,0)))</f>
        <v>#N/A</v>
      </c>
      <c r="G112" s="1309" t="e">
        <f>IF(ISBLANK($B112), "", INDEX(RAWData!D:D,MATCH($C112,RAWData!$A:$A,0)))</f>
        <v>#N/A</v>
      </c>
      <c r="H112" s="1309" t="e">
        <f>IF(ISBLANK($B112), "", INDEX(RAWData!E:E,MATCH($C112,RAWData!$A:$A,0)))</f>
        <v>#N/A</v>
      </c>
      <c r="I112" s="1309" t="e">
        <f>IF(ISBLANK($B112), "", INDEX(RAWData!F:F,MATCH($C112,RAWData!$A:$A,0)))</f>
        <v>#N/A</v>
      </c>
    </row>
    <row r="113" spans="2:9">
      <c r="B113" s="1314" t="s">
        <v>3885</v>
      </c>
      <c r="C113" s="1309" t="str">
        <f t="shared" si="1"/>
        <v>TLOUTPUTANALYMSIMPACT16T1_0</v>
      </c>
      <c r="E113" s="1309" t="e">
        <f>IF(ISBLANK($B113), "", INDEX(RAWData!B:B,MATCH($C113,RAWData!$A:$A,0)))</f>
        <v>#N/A</v>
      </c>
      <c r="F113" s="1309" t="e">
        <f>IF(ISBLANK($B113), "", INDEX(RAWData!C:C,MATCH($C113,RAWData!$A:$A,0)))</f>
        <v>#N/A</v>
      </c>
      <c r="G113" s="1309" t="e">
        <f>IF(ISBLANK($B113), "", INDEX(RAWData!D:D,MATCH($C113,RAWData!$A:$A,0)))</f>
        <v>#N/A</v>
      </c>
      <c r="H113" s="1309" t="e">
        <f>IF(ISBLANK($B113), "", INDEX(RAWData!E:E,MATCH($C113,RAWData!$A:$A,0)))</f>
        <v>#N/A</v>
      </c>
      <c r="I113" s="1309" t="e">
        <f>IF(ISBLANK($B113), "", INDEX(RAWData!F:F,MATCH($C113,RAWData!$A:$A,0)))</f>
        <v>#N/A</v>
      </c>
    </row>
    <row r="114" spans="2:9">
      <c r="B114" s="1314" t="s">
        <v>3886</v>
      </c>
      <c r="C114" s="1309" t="str">
        <f t="shared" si="1"/>
        <v>TLOUTPUTANALYMSIMPACT17T1_0</v>
      </c>
      <c r="E114" s="1309" t="e">
        <f>IF(ISBLANK($B114), "", INDEX(RAWData!B:B,MATCH($C114,RAWData!$A:$A,0)))</f>
        <v>#N/A</v>
      </c>
      <c r="F114" s="1309" t="e">
        <f>IF(ISBLANK($B114), "", INDEX(RAWData!C:C,MATCH($C114,RAWData!$A:$A,0)))</f>
        <v>#N/A</v>
      </c>
      <c r="G114" s="1309" t="e">
        <f>IF(ISBLANK($B114), "", INDEX(RAWData!D:D,MATCH($C114,RAWData!$A:$A,0)))</f>
        <v>#N/A</v>
      </c>
      <c r="H114" s="1309" t="e">
        <f>IF(ISBLANK($B114), "", INDEX(RAWData!E:E,MATCH($C114,RAWData!$A:$A,0)))</f>
        <v>#N/A</v>
      </c>
      <c r="I114" s="1309" t="e">
        <f>IF(ISBLANK($B114), "", INDEX(RAWData!F:F,MATCH($C114,RAWData!$A:$A,0)))</f>
        <v>#N/A</v>
      </c>
    </row>
    <row r="115" spans="2:9">
      <c r="B115" s="1314" t="s">
        <v>3887</v>
      </c>
      <c r="C115" s="1309" t="str">
        <f t="shared" si="1"/>
        <v>TLOUTPUTANALYMSIMPACT18T1_0</v>
      </c>
      <c r="E115" s="1309" t="e">
        <f>IF(ISBLANK($B115), "", INDEX(RAWData!B:B,MATCH($C115,RAWData!$A:$A,0)))</f>
        <v>#N/A</v>
      </c>
      <c r="F115" s="1309" t="e">
        <f>IF(ISBLANK($B115), "", INDEX(RAWData!C:C,MATCH($C115,RAWData!$A:$A,0)))</f>
        <v>#N/A</v>
      </c>
      <c r="G115" s="1309" t="e">
        <f>IF(ISBLANK($B115), "", INDEX(RAWData!D:D,MATCH($C115,RAWData!$A:$A,0)))</f>
        <v>#N/A</v>
      </c>
      <c r="H115" s="1309" t="e">
        <f>IF(ISBLANK($B115), "", INDEX(RAWData!E:E,MATCH($C115,RAWData!$A:$A,0)))</f>
        <v>#N/A</v>
      </c>
      <c r="I115" s="1309" t="e">
        <f>IF(ISBLANK($B115), "", INDEX(RAWData!F:F,MATCH($C115,RAWData!$A:$A,0)))</f>
        <v>#N/A</v>
      </c>
    </row>
    <row r="116" spans="2:9">
      <c r="B116" s="1314" t="s">
        <v>3888</v>
      </c>
      <c r="C116" s="1309" t="str">
        <f t="shared" si="1"/>
        <v>TLOUTPUTANALYMSIMPACT19T1_0</v>
      </c>
      <c r="E116" s="1309" t="e">
        <f>IF(ISBLANK($B116), "", INDEX(RAWData!B:B,MATCH($C116,RAWData!$A:$A,0)))</f>
        <v>#N/A</v>
      </c>
      <c r="F116" s="1309" t="e">
        <f>IF(ISBLANK($B116), "", INDEX(RAWData!C:C,MATCH($C116,RAWData!$A:$A,0)))</f>
        <v>#N/A</v>
      </c>
      <c r="G116" s="1309" t="e">
        <f>IF(ISBLANK($B116), "", INDEX(RAWData!D:D,MATCH($C116,RAWData!$A:$A,0)))</f>
        <v>#N/A</v>
      </c>
      <c r="H116" s="1309" t="e">
        <f>IF(ISBLANK($B116), "", INDEX(RAWData!E:E,MATCH($C116,RAWData!$A:$A,0)))</f>
        <v>#N/A</v>
      </c>
      <c r="I116" s="1309" t="e">
        <f>IF(ISBLANK($B116), "", INDEX(RAWData!F:F,MATCH($C116,RAWData!$A:$A,0)))</f>
        <v>#N/A</v>
      </c>
    </row>
    <row r="117" spans="2:9">
      <c r="B117" s="1314" t="s">
        <v>3889</v>
      </c>
      <c r="C117" s="1309" t="str">
        <f t="shared" si="1"/>
        <v>TLOUTPUTANALYMSIMPACT20T1_0</v>
      </c>
      <c r="E117" s="1309" t="e">
        <f>IF(ISBLANK($B117), "", INDEX(RAWData!B:B,MATCH($C117,RAWData!$A:$A,0)))</f>
        <v>#N/A</v>
      </c>
      <c r="F117" s="1309" t="e">
        <f>IF(ISBLANK($B117), "", INDEX(RAWData!C:C,MATCH($C117,RAWData!$A:$A,0)))</f>
        <v>#N/A</v>
      </c>
      <c r="G117" s="1309" t="e">
        <f>IF(ISBLANK($B117), "", INDEX(RAWData!D:D,MATCH($C117,RAWData!$A:$A,0)))</f>
        <v>#N/A</v>
      </c>
      <c r="H117" s="1309" t="e">
        <f>IF(ISBLANK($B117), "", INDEX(RAWData!E:E,MATCH($C117,RAWData!$A:$A,0)))</f>
        <v>#N/A</v>
      </c>
      <c r="I117" s="1309" t="e">
        <f>IF(ISBLANK($B117), "", INDEX(RAWData!F:F,MATCH($C117,RAWData!$A:$A,0)))</f>
        <v>#N/A</v>
      </c>
    </row>
    <row r="118" spans="2:9">
      <c r="B118" s="1314" t="s">
        <v>3890</v>
      </c>
      <c r="C118" s="1309" t="str">
        <f t="shared" si="1"/>
        <v>TLOUTPUTANALYMSIMPACT21T1_0</v>
      </c>
      <c r="E118" s="1309" t="e">
        <f>IF(ISBLANK($B118), "", INDEX(RAWData!B:B,MATCH($C118,RAWData!$A:$A,0)))</f>
        <v>#N/A</v>
      </c>
      <c r="F118" s="1309" t="e">
        <f>IF(ISBLANK($B118), "", INDEX(RAWData!C:C,MATCH($C118,RAWData!$A:$A,0)))</f>
        <v>#N/A</v>
      </c>
      <c r="G118" s="1309" t="e">
        <f>IF(ISBLANK($B118), "", INDEX(RAWData!D:D,MATCH($C118,RAWData!$A:$A,0)))</f>
        <v>#N/A</v>
      </c>
      <c r="H118" s="1309" t="e">
        <f>IF(ISBLANK($B118), "", INDEX(RAWData!E:E,MATCH($C118,RAWData!$A:$A,0)))</f>
        <v>#N/A</v>
      </c>
      <c r="I118" s="1309" t="e">
        <f>IF(ISBLANK($B118), "", INDEX(RAWData!F:F,MATCH($C118,RAWData!$A:$A,0)))</f>
        <v>#N/A</v>
      </c>
    </row>
    <row r="119" spans="2:9">
      <c r="B119" s="1310"/>
      <c r="C119" s="1309" t="str">
        <f t="shared" si="1"/>
        <v/>
      </c>
      <c r="E119" s="1309" t="str">
        <f>IF(ISBLANK($B119), "", INDEX(RAWData!B:B,MATCH($C119,RAWData!$A:$A,0)))</f>
        <v/>
      </c>
      <c r="F119" s="1309" t="str">
        <f>IF(ISBLANK($B119), "", INDEX(RAWData!C:C,MATCH($C119,RAWData!$A:$A,0)))</f>
        <v/>
      </c>
      <c r="G119" s="1309" t="str">
        <f>IF(ISBLANK($B119), "", INDEX(RAWData!D:D,MATCH($C119,RAWData!$A:$A,0)))</f>
        <v/>
      </c>
      <c r="H119" s="1309" t="str">
        <f>IF(ISBLANK($B119), "", INDEX(RAWData!E:E,MATCH($C119,RAWData!$A:$A,0)))</f>
        <v/>
      </c>
      <c r="I119" s="1309" t="str">
        <f>IF(ISBLANK($B119), "", INDEX(RAWData!F:F,MATCH($C119,RAWData!$A:$A,0)))</f>
        <v/>
      </c>
    </row>
    <row r="120" spans="2:9">
      <c r="B120" s="1314" t="s">
        <v>3891</v>
      </c>
      <c r="C120" s="1309" t="str">
        <f t="shared" si="1"/>
        <v>TLOUTPUTANALYRGIMPACT1T1_0</v>
      </c>
      <c r="E120" s="1309" t="e">
        <f>IF(ISBLANK($B120), "", INDEX(RAWData!B:B,MATCH($C120,RAWData!$A:$A,0)))</f>
        <v>#N/A</v>
      </c>
      <c r="F120" s="1309" t="e">
        <f>IF(ISBLANK($B120), "", INDEX(RAWData!C:C,MATCH($C120,RAWData!$A:$A,0)))</f>
        <v>#N/A</v>
      </c>
      <c r="G120" s="1309" t="e">
        <f>IF(ISBLANK($B120), "", INDEX(RAWData!D:D,MATCH($C120,RAWData!$A:$A,0)))</f>
        <v>#N/A</v>
      </c>
      <c r="H120" s="1309" t="e">
        <f>IF(ISBLANK($B120), "", INDEX(RAWData!E:E,MATCH($C120,RAWData!$A:$A,0)))</f>
        <v>#N/A</v>
      </c>
      <c r="I120" s="1309" t="e">
        <f>IF(ISBLANK($B120), "", INDEX(RAWData!F:F,MATCH($C120,RAWData!$A:$A,0)))</f>
        <v>#N/A</v>
      </c>
    </row>
    <row r="121" spans="2:9">
      <c r="B121" s="1314" t="s">
        <v>3892</v>
      </c>
      <c r="C121" s="1309" t="str">
        <f t="shared" si="1"/>
        <v>TLOUTPUTANALYRGIMPACT2T1_0</v>
      </c>
      <c r="E121" s="1309" t="e">
        <f>IF(ISBLANK($B121), "", INDEX(RAWData!B:B,MATCH($C121,RAWData!$A:$A,0)))</f>
        <v>#N/A</v>
      </c>
      <c r="F121" s="1309" t="e">
        <f>IF(ISBLANK($B121), "", INDEX(RAWData!C:C,MATCH($C121,RAWData!$A:$A,0)))</f>
        <v>#N/A</v>
      </c>
      <c r="G121" s="1309" t="e">
        <f>IF(ISBLANK($B121), "", INDEX(RAWData!D:D,MATCH($C121,RAWData!$A:$A,0)))</f>
        <v>#N/A</v>
      </c>
      <c r="H121" s="1309" t="e">
        <f>IF(ISBLANK($B121), "", INDEX(RAWData!E:E,MATCH($C121,RAWData!$A:$A,0)))</f>
        <v>#N/A</v>
      </c>
      <c r="I121" s="1309" t="e">
        <f>IF(ISBLANK($B121), "", INDEX(RAWData!F:F,MATCH($C121,RAWData!$A:$A,0)))</f>
        <v>#N/A</v>
      </c>
    </row>
    <row r="122" spans="2:9">
      <c r="B122" s="1314" t="s">
        <v>3893</v>
      </c>
      <c r="C122" s="1309" t="str">
        <f t="shared" si="1"/>
        <v>TLOUTPUTANALYRGIMPACT3T1_0</v>
      </c>
      <c r="E122" s="1309" t="e">
        <f>IF(ISBLANK($B122), "", INDEX(RAWData!B:B,MATCH($C122,RAWData!$A:$A,0)))</f>
        <v>#N/A</v>
      </c>
      <c r="F122" s="1309" t="e">
        <f>IF(ISBLANK($B122), "", INDEX(RAWData!C:C,MATCH($C122,RAWData!$A:$A,0)))</f>
        <v>#N/A</v>
      </c>
      <c r="G122" s="1309" t="e">
        <f>IF(ISBLANK($B122), "", INDEX(RAWData!D:D,MATCH($C122,RAWData!$A:$A,0)))</f>
        <v>#N/A</v>
      </c>
      <c r="H122" s="1309" t="e">
        <f>IF(ISBLANK($B122), "", INDEX(RAWData!E:E,MATCH($C122,RAWData!$A:$A,0)))</f>
        <v>#N/A</v>
      </c>
      <c r="I122" s="1309" t="e">
        <f>IF(ISBLANK($B122), "", INDEX(RAWData!F:F,MATCH($C122,RAWData!$A:$A,0)))</f>
        <v>#N/A</v>
      </c>
    </row>
    <row r="123" spans="2:9">
      <c r="B123" s="1314" t="s">
        <v>3894</v>
      </c>
      <c r="C123" s="1309" t="str">
        <f t="shared" si="1"/>
        <v>TLOUTPUTANALYRGIMPACT4T1_0</v>
      </c>
      <c r="E123" s="1309" t="e">
        <f>IF(ISBLANK($B123), "", INDEX(RAWData!B:B,MATCH($C123,RAWData!$A:$A,0)))</f>
        <v>#N/A</v>
      </c>
      <c r="F123" s="1309" t="e">
        <f>IF(ISBLANK($B123), "", INDEX(RAWData!C:C,MATCH($C123,RAWData!$A:$A,0)))</f>
        <v>#N/A</v>
      </c>
      <c r="G123" s="1309" t="e">
        <f>IF(ISBLANK($B123), "", INDEX(RAWData!D:D,MATCH($C123,RAWData!$A:$A,0)))</f>
        <v>#N/A</v>
      </c>
      <c r="H123" s="1309" t="e">
        <f>IF(ISBLANK($B123), "", INDEX(RAWData!E:E,MATCH($C123,RAWData!$A:$A,0)))</f>
        <v>#N/A</v>
      </c>
      <c r="I123" s="1309" t="e">
        <f>IF(ISBLANK($B123), "", INDEX(RAWData!F:F,MATCH($C123,RAWData!$A:$A,0)))</f>
        <v>#N/A</v>
      </c>
    </row>
    <row r="124" spans="2:9">
      <c r="B124" s="1314" t="s">
        <v>3895</v>
      </c>
      <c r="C124" s="1309" t="str">
        <f t="shared" si="1"/>
        <v>TLOUTPUTANALYRGIMPACT5T1_0</v>
      </c>
      <c r="E124" s="1309" t="e">
        <f>IF(ISBLANK($B124), "", INDEX(RAWData!B:B,MATCH($C124,RAWData!$A:$A,0)))</f>
        <v>#N/A</v>
      </c>
      <c r="F124" s="1309" t="e">
        <f>IF(ISBLANK($B124), "", INDEX(RAWData!C:C,MATCH($C124,RAWData!$A:$A,0)))</f>
        <v>#N/A</v>
      </c>
      <c r="G124" s="1309" t="e">
        <f>IF(ISBLANK($B124), "", INDEX(RAWData!D:D,MATCH($C124,RAWData!$A:$A,0)))</f>
        <v>#N/A</v>
      </c>
      <c r="H124" s="1309" t="e">
        <f>IF(ISBLANK($B124), "", INDEX(RAWData!E:E,MATCH($C124,RAWData!$A:$A,0)))</f>
        <v>#N/A</v>
      </c>
      <c r="I124" s="1309" t="e">
        <f>IF(ISBLANK($B124), "", INDEX(RAWData!F:F,MATCH($C124,RAWData!$A:$A,0)))</f>
        <v>#N/A</v>
      </c>
    </row>
    <row r="125" spans="2:9">
      <c r="B125" s="1314" t="s">
        <v>3896</v>
      </c>
      <c r="C125" s="1309" t="str">
        <f t="shared" si="1"/>
        <v>TLOUTPUTANALYRGIMPACT6T1_0</v>
      </c>
      <c r="E125" s="1309" t="e">
        <f>IF(ISBLANK($B125), "", INDEX(RAWData!B:B,MATCH($C125,RAWData!$A:$A,0)))</f>
        <v>#N/A</v>
      </c>
      <c r="F125" s="1309" t="e">
        <f>IF(ISBLANK($B125), "", INDEX(RAWData!C:C,MATCH($C125,RAWData!$A:$A,0)))</f>
        <v>#N/A</v>
      </c>
      <c r="G125" s="1309" t="e">
        <f>IF(ISBLANK($B125), "", INDEX(RAWData!D:D,MATCH($C125,RAWData!$A:$A,0)))</f>
        <v>#N/A</v>
      </c>
      <c r="H125" s="1309" t="e">
        <f>IF(ISBLANK($B125), "", INDEX(RAWData!E:E,MATCH($C125,RAWData!$A:$A,0)))</f>
        <v>#N/A</v>
      </c>
      <c r="I125" s="1309" t="e">
        <f>IF(ISBLANK($B125), "", INDEX(RAWData!F:F,MATCH($C125,RAWData!$A:$A,0)))</f>
        <v>#N/A</v>
      </c>
    </row>
    <row r="126" spans="2:9">
      <c r="B126" s="1314" t="s">
        <v>3897</v>
      </c>
      <c r="C126" s="1309" t="str">
        <f t="shared" si="1"/>
        <v>TLOUTPUTANALYRGIMPACT7T1_0</v>
      </c>
      <c r="E126" s="1309" t="e">
        <f>IF(ISBLANK($B126), "", INDEX(RAWData!B:B,MATCH($C126,RAWData!$A:$A,0)))</f>
        <v>#N/A</v>
      </c>
      <c r="F126" s="1309" t="e">
        <f>IF(ISBLANK($B126), "", INDEX(RAWData!C:C,MATCH($C126,RAWData!$A:$A,0)))</f>
        <v>#N/A</v>
      </c>
      <c r="G126" s="1309" t="e">
        <f>IF(ISBLANK($B126), "", INDEX(RAWData!D:D,MATCH($C126,RAWData!$A:$A,0)))</f>
        <v>#N/A</v>
      </c>
      <c r="H126" s="1309" t="e">
        <f>IF(ISBLANK($B126), "", INDEX(RAWData!E:E,MATCH($C126,RAWData!$A:$A,0)))</f>
        <v>#N/A</v>
      </c>
      <c r="I126" s="1309" t="e">
        <f>IF(ISBLANK($B126), "", INDEX(RAWData!F:F,MATCH($C126,RAWData!$A:$A,0)))</f>
        <v>#N/A</v>
      </c>
    </row>
    <row r="127" spans="2:9">
      <c r="B127" s="1314" t="s">
        <v>3898</v>
      </c>
      <c r="C127" s="1309" t="str">
        <f t="shared" si="1"/>
        <v>TLOUTPUTANALYRGIMPACT8T1_0</v>
      </c>
      <c r="E127" s="1309" t="e">
        <f>IF(ISBLANK($B127), "", INDEX(RAWData!B:B,MATCH($C127,RAWData!$A:$A,0)))</f>
        <v>#N/A</v>
      </c>
      <c r="F127" s="1309" t="e">
        <f>IF(ISBLANK($B127), "", INDEX(RAWData!C:C,MATCH($C127,RAWData!$A:$A,0)))</f>
        <v>#N/A</v>
      </c>
      <c r="G127" s="1309" t="e">
        <f>IF(ISBLANK($B127), "", INDEX(RAWData!D:D,MATCH($C127,RAWData!$A:$A,0)))</f>
        <v>#N/A</v>
      </c>
      <c r="H127" s="1309" t="e">
        <f>IF(ISBLANK($B127), "", INDEX(RAWData!E:E,MATCH($C127,RAWData!$A:$A,0)))</f>
        <v>#N/A</v>
      </c>
      <c r="I127" s="1309" t="e">
        <f>IF(ISBLANK($B127), "", INDEX(RAWData!F:F,MATCH($C127,RAWData!$A:$A,0)))</f>
        <v>#N/A</v>
      </c>
    </row>
    <row r="128" spans="2:9">
      <c r="B128" s="1314" t="s">
        <v>3899</v>
      </c>
      <c r="C128" s="1309" t="str">
        <f t="shared" si="1"/>
        <v>TLOUTPUTANALYRGIMPACT9T1_0</v>
      </c>
      <c r="E128" s="1309" t="e">
        <f>IF(ISBLANK($B128), "", INDEX(RAWData!B:B,MATCH($C128,RAWData!$A:$A,0)))</f>
        <v>#N/A</v>
      </c>
      <c r="F128" s="1309" t="e">
        <f>IF(ISBLANK($B128), "", INDEX(RAWData!C:C,MATCH($C128,RAWData!$A:$A,0)))</f>
        <v>#N/A</v>
      </c>
      <c r="G128" s="1309" t="e">
        <f>IF(ISBLANK($B128), "", INDEX(RAWData!D:D,MATCH($C128,RAWData!$A:$A,0)))</f>
        <v>#N/A</v>
      </c>
      <c r="H128" s="1309" t="e">
        <f>IF(ISBLANK($B128), "", INDEX(RAWData!E:E,MATCH($C128,RAWData!$A:$A,0)))</f>
        <v>#N/A</v>
      </c>
      <c r="I128" s="1309" t="e">
        <f>IF(ISBLANK($B128), "", INDEX(RAWData!F:F,MATCH($C128,RAWData!$A:$A,0)))</f>
        <v>#N/A</v>
      </c>
    </row>
    <row r="129" spans="2:9">
      <c r="B129" s="1314" t="s">
        <v>3900</v>
      </c>
      <c r="C129" s="1309" t="str">
        <f t="shared" si="1"/>
        <v>TLOUTPUTANALYRGIMPACT10T1_0</v>
      </c>
      <c r="E129" s="1309" t="e">
        <f>IF(ISBLANK($B129), "", INDEX(RAWData!B:B,MATCH($C129,RAWData!$A:$A,0)))</f>
        <v>#N/A</v>
      </c>
      <c r="F129" s="1309" t="e">
        <f>IF(ISBLANK($B129), "", INDEX(RAWData!C:C,MATCH($C129,RAWData!$A:$A,0)))</f>
        <v>#N/A</v>
      </c>
      <c r="G129" s="1309" t="e">
        <f>IF(ISBLANK($B129), "", INDEX(RAWData!D:D,MATCH($C129,RAWData!$A:$A,0)))</f>
        <v>#N/A</v>
      </c>
      <c r="H129" s="1309" t="e">
        <f>IF(ISBLANK($B129), "", INDEX(RAWData!E:E,MATCH($C129,RAWData!$A:$A,0)))</f>
        <v>#N/A</v>
      </c>
      <c r="I129" s="1309" t="e">
        <f>IF(ISBLANK($B129), "", INDEX(RAWData!F:F,MATCH($C129,RAWData!$A:$A,0)))</f>
        <v>#N/A</v>
      </c>
    </row>
    <row r="130" spans="2:9">
      <c r="B130" s="1314" t="s">
        <v>3901</v>
      </c>
      <c r="C130" s="1309" t="str">
        <f t="shared" si="1"/>
        <v>TLOUTPUTANALYRGIMPACT11T1_0</v>
      </c>
      <c r="E130" s="1309" t="e">
        <f>IF(ISBLANK($B130), "", INDEX(RAWData!B:B,MATCH($C130,RAWData!$A:$A,0)))</f>
        <v>#N/A</v>
      </c>
      <c r="F130" s="1309" t="e">
        <f>IF(ISBLANK($B130), "", INDEX(RAWData!C:C,MATCH($C130,RAWData!$A:$A,0)))</f>
        <v>#N/A</v>
      </c>
      <c r="G130" s="1309" t="e">
        <f>IF(ISBLANK($B130), "", INDEX(RAWData!D:D,MATCH($C130,RAWData!$A:$A,0)))</f>
        <v>#N/A</v>
      </c>
      <c r="H130" s="1309" t="e">
        <f>IF(ISBLANK($B130), "", INDEX(RAWData!E:E,MATCH($C130,RAWData!$A:$A,0)))</f>
        <v>#N/A</v>
      </c>
      <c r="I130" s="1309" t="e">
        <f>IF(ISBLANK($B130), "", INDEX(RAWData!F:F,MATCH($C130,RAWData!$A:$A,0)))</f>
        <v>#N/A</v>
      </c>
    </row>
    <row r="131" spans="2:9">
      <c r="B131" s="1314" t="s">
        <v>3902</v>
      </c>
      <c r="C131" s="1309" t="str">
        <f t="shared" si="1"/>
        <v>TLOUTPUTANALYRGIMPACT12T1_0</v>
      </c>
      <c r="E131" s="1309" t="e">
        <f>IF(ISBLANK($B131), "", INDEX(RAWData!B:B,MATCH($C131,RAWData!$A:$A,0)))</f>
        <v>#N/A</v>
      </c>
      <c r="F131" s="1309" t="e">
        <f>IF(ISBLANK($B131), "", INDEX(RAWData!C:C,MATCH($C131,RAWData!$A:$A,0)))</f>
        <v>#N/A</v>
      </c>
      <c r="G131" s="1309" t="e">
        <f>IF(ISBLANK($B131), "", INDEX(RAWData!D:D,MATCH($C131,RAWData!$A:$A,0)))</f>
        <v>#N/A</v>
      </c>
      <c r="H131" s="1309" t="e">
        <f>IF(ISBLANK($B131), "", INDEX(RAWData!E:E,MATCH($C131,RAWData!$A:$A,0)))</f>
        <v>#N/A</v>
      </c>
      <c r="I131" s="1309" t="e">
        <f>IF(ISBLANK($B131), "", INDEX(RAWData!F:F,MATCH($C131,RAWData!$A:$A,0)))</f>
        <v>#N/A</v>
      </c>
    </row>
    <row r="132" spans="2:9">
      <c r="B132" s="1314" t="s">
        <v>3903</v>
      </c>
      <c r="C132" s="1309" t="str">
        <f t="shared" si="1"/>
        <v>TLOUTPUTANALYRGIMPACT13T1_0</v>
      </c>
      <c r="E132" s="1309" t="e">
        <f>IF(ISBLANK($B132), "", INDEX(RAWData!B:B,MATCH($C132,RAWData!$A:$A,0)))</f>
        <v>#N/A</v>
      </c>
      <c r="F132" s="1309" t="e">
        <f>IF(ISBLANK($B132), "", INDEX(RAWData!C:C,MATCH($C132,RAWData!$A:$A,0)))</f>
        <v>#N/A</v>
      </c>
      <c r="G132" s="1309" t="e">
        <f>IF(ISBLANK($B132), "", INDEX(RAWData!D:D,MATCH($C132,RAWData!$A:$A,0)))</f>
        <v>#N/A</v>
      </c>
      <c r="H132" s="1309" t="e">
        <f>IF(ISBLANK($B132), "", INDEX(RAWData!E:E,MATCH($C132,RAWData!$A:$A,0)))</f>
        <v>#N/A</v>
      </c>
      <c r="I132" s="1309" t="e">
        <f>IF(ISBLANK($B132), "", INDEX(RAWData!F:F,MATCH($C132,RAWData!$A:$A,0)))</f>
        <v>#N/A</v>
      </c>
    </row>
    <row r="133" spans="2:9">
      <c r="B133" s="1314" t="s">
        <v>3904</v>
      </c>
      <c r="C133" s="1309" t="str">
        <f t="shared" si="1"/>
        <v>TLOUTPUTANALYRGIMPACT14T1_0</v>
      </c>
      <c r="E133" s="1309" t="e">
        <f>IF(ISBLANK($B133), "", INDEX(RAWData!B:B,MATCH($C133,RAWData!$A:$A,0)))</f>
        <v>#N/A</v>
      </c>
      <c r="F133" s="1309" t="e">
        <f>IF(ISBLANK($B133), "", INDEX(RAWData!C:C,MATCH($C133,RAWData!$A:$A,0)))</f>
        <v>#N/A</v>
      </c>
      <c r="G133" s="1309" t="e">
        <f>IF(ISBLANK($B133), "", INDEX(RAWData!D:D,MATCH($C133,RAWData!$A:$A,0)))</f>
        <v>#N/A</v>
      </c>
      <c r="H133" s="1309" t="e">
        <f>IF(ISBLANK($B133), "", INDEX(RAWData!E:E,MATCH($C133,RAWData!$A:$A,0)))</f>
        <v>#N/A</v>
      </c>
      <c r="I133" s="1309" t="e">
        <f>IF(ISBLANK($B133), "", INDEX(RAWData!F:F,MATCH($C133,RAWData!$A:$A,0)))</f>
        <v>#N/A</v>
      </c>
    </row>
    <row r="134" spans="2:9">
      <c r="B134" s="1314" t="s">
        <v>3905</v>
      </c>
      <c r="C134" s="1309" t="str">
        <f t="shared" si="1"/>
        <v>TLOUTPUTANALYRGIMPACT15T1_0</v>
      </c>
      <c r="E134" s="1309" t="e">
        <f>IF(ISBLANK($B134), "", INDEX(RAWData!B:B,MATCH($C134,RAWData!$A:$A,0)))</f>
        <v>#N/A</v>
      </c>
      <c r="F134" s="1309" t="e">
        <f>IF(ISBLANK($B134), "", INDEX(RAWData!C:C,MATCH($C134,RAWData!$A:$A,0)))</f>
        <v>#N/A</v>
      </c>
      <c r="G134" s="1309" t="e">
        <f>IF(ISBLANK($B134), "", INDEX(RAWData!D:D,MATCH($C134,RAWData!$A:$A,0)))</f>
        <v>#N/A</v>
      </c>
      <c r="H134" s="1309" t="e">
        <f>IF(ISBLANK($B134), "", INDEX(RAWData!E:E,MATCH($C134,RAWData!$A:$A,0)))</f>
        <v>#N/A</v>
      </c>
      <c r="I134" s="1309" t="e">
        <f>IF(ISBLANK($B134), "", INDEX(RAWData!F:F,MATCH($C134,RAWData!$A:$A,0)))</f>
        <v>#N/A</v>
      </c>
    </row>
    <row r="135" spans="2:9">
      <c r="B135" s="1314" t="s">
        <v>3906</v>
      </c>
      <c r="C135" s="1309" t="str">
        <f t="shared" si="1"/>
        <v>TLOUTPUTANALYRGIMPACT16T1_0</v>
      </c>
      <c r="E135" s="1309" t="e">
        <f>IF(ISBLANK($B135), "", INDEX(RAWData!B:B,MATCH($C135,RAWData!$A:$A,0)))</f>
        <v>#N/A</v>
      </c>
      <c r="F135" s="1309" t="e">
        <f>IF(ISBLANK($B135), "", INDEX(RAWData!C:C,MATCH($C135,RAWData!$A:$A,0)))</f>
        <v>#N/A</v>
      </c>
      <c r="G135" s="1309" t="e">
        <f>IF(ISBLANK($B135), "", INDEX(RAWData!D:D,MATCH($C135,RAWData!$A:$A,0)))</f>
        <v>#N/A</v>
      </c>
      <c r="H135" s="1309" t="e">
        <f>IF(ISBLANK($B135), "", INDEX(RAWData!E:E,MATCH($C135,RAWData!$A:$A,0)))</f>
        <v>#N/A</v>
      </c>
      <c r="I135" s="1309" t="e">
        <f>IF(ISBLANK($B135), "", INDEX(RAWData!F:F,MATCH($C135,RAWData!$A:$A,0)))</f>
        <v>#N/A</v>
      </c>
    </row>
    <row r="136" spans="2:9">
      <c r="B136" s="1314" t="s">
        <v>3907</v>
      </c>
      <c r="C136" s="1309" t="str">
        <f t="shared" si="1"/>
        <v>TLOUTPUTANALYRGIMPACT17T1_0</v>
      </c>
      <c r="E136" s="1309" t="e">
        <f>IF(ISBLANK($B136), "", INDEX(RAWData!B:B,MATCH($C136,RAWData!$A:$A,0)))</f>
        <v>#N/A</v>
      </c>
      <c r="F136" s="1309" t="e">
        <f>IF(ISBLANK($B136), "", INDEX(RAWData!C:C,MATCH($C136,RAWData!$A:$A,0)))</f>
        <v>#N/A</v>
      </c>
      <c r="G136" s="1309" t="e">
        <f>IF(ISBLANK($B136), "", INDEX(RAWData!D:D,MATCH($C136,RAWData!$A:$A,0)))</f>
        <v>#N/A</v>
      </c>
      <c r="H136" s="1309" t="e">
        <f>IF(ISBLANK($B136), "", INDEX(RAWData!E:E,MATCH($C136,RAWData!$A:$A,0)))</f>
        <v>#N/A</v>
      </c>
      <c r="I136" s="1309" t="e">
        <f>IF(ISBLANK($B136), "", INDEX(RAWData!F:F,MATCH($C136,RAWData!$A:$A,0)))</f>
        <v>#N/A</v>
      </c>
    </row>
    <row r="137" spans="2:9">
      <c r="B137" s="1314" t="s">
        <v>3908</v>
      </c>
      <c r="C137" s="1309" t="str">
        <f t="shared" si="1"/>
        <v>TLOUTPUTANALYRGIMPACT18T1_0</v>
      </c>
      <c r="E137" s="1309" t="e">
        <f>IF(ISBLANK($B137), "", INDEX(RAWData!B:B,MATCH($C137,RAWData!$A:$A,0)))</f>
        <v>#N/A</v>
      </c>
      <c r="F137" s="1309" t="e">
        <f>IF(ISBLANK($B137), "", INDEX(RAWData!C:C,MATCH($C137,RAWData!$A:$A,0)))</f>
        <v>#N/A</v>
      </c>
      <c r="G137" s="1309" t="e">
        <f>IF(ISBLANK($B137), "", INDEX(RAWData!D:D,MATCH($C137,RAWData!$A:$A,0)))</f>
        <v>#N/A</v>
      </c>
      <c r="H137" s="1309" t="e">
        <f>IF(ISBLANK($B137), "", INDEX(RAWData!E:E,MATCH($C137,RAWData!$A:$A,0)))</f>
        <v>#N/A</v>
      </c>
      <c r="I137" s="1309" t="e">
        <f>IF(ISBLANK($B137), "", INDEX(RAWData!F:F,MATCH($C137,RAWData!$A:$A,0)))</f>
        <v>#N/A</v>
      </c>
    </row>
    <row r="138" spans="2:9">
      <c r="B138" s="1314" t="s">
        <v>3909</v>
      </c>
      <c r="C138" s="1309" t="str">
        <f t="shared" si="1"/>
        <v>TLOUTPUTANALYRGIMPACT19T1_0</v>
      </c>
      <c r="E138" s="1309" t="e">
        <f>IF(ISBLANK($B138), "", INDEX(RAWData!B:B,MATCH($C138,RAWData!$A:$A,0)))</f>
        <v>#N/A</v>
      </c>
      <c r="F138" s="1309" t="e">
        <f>IF(ISBLANK($B138), "", INDEX(RAWData!C:C,MATCH($C138,RAWData!$A:$A,0)))</f>
        <v>#N/A</v>
      </c>
      <c r="G138" s="1309" t="e">
        <f>IF(ISBLANK($B138), "", INDEX(RAWData!D:D,MATCH($C138,RAWData!$A:$A,0)))</f>
        <v>#N/A</v>
      </c>
      <c r="H138" s="1309" t="e">
        <f>IF(ISBLANK($B138), "", INDEX(RAWData!E:E,MATCH($C138,RAWData!$A:$A,0)))</f>
        <v>#N/A</v>
      </c>
      <c r="I138" s="1309" t="e">
        <f>IF(ISBLANK($B138), "", INDEX(RAWData!F:F,MATCH($C138,RAWData!$A:$A,0)))</f>
        <v>#N/A</v>
      </c>
    </row>
    <row r="139" spans="2:9">
      <c r="B139" s="1314" t="s">
        <v>3910</v>
      </c>
      <c r="C139" s="1309" t="str">
        <f t="shared" si="1"/>
        <v>TLOUTPUTANALYRGIMPACT20T1_0</v>
      </c>
      <c r="E139" s="1309" t="e">
        <f>IF(ISBLANK($B139), "", INDEX(RAWData!B:B,MATCH($C139,RAWData!$A:$A,0)))</f>
        <v>#N/A</v>
      </c>
      <c r="F139" s="1309" t="e">
        <f>IF(ISBLANK($B139), "", INDEX(RAWData!C:C,MATCH($C139,RAWData!$A:$A,0)))</f>
        <v>#N/A</v>
      </c>
      <c r="G139" s="1309" t="e">
        <f>IF(ISBLANK($B139), "", INDEX(RAWData!D:D,MATCH($C139,RAWData!$A:$A,0)))</f>
        <v>#N/A</v>
      </c>
      <c r="H139" s="1309" t="e">
        <f>IF(ISBLANK($B139), "", INDEX(RAWData!E:E,MATCH($C139,RAWData!$A:$A,0)))</f>
        <v>#N/A</v>
      </c>
      <c r="I139" s="1309" t="e">
        <f>IF(ISBLANK($B139), "", INDEX(RAWData!F:F,MATCH($C139,RAWData!$A:$A,0)))</f>
        <v>#N/A</v>
      </c>
    </row>
    <row r="140" spans="2:9">
      <c r="B140" s="1314"/>
      <c r="C140" s="1309" t="str">
        <f t="shared" si="1"/>
        <v/>
      </c>
      <c r="E140" s="1309" t="str">
        <f>IF(ISBLANK($B140), "", INDEX(RAWData!B:B,MATCH($C140,RAWData!$A:$A,0)))</f>
        <v/>
      </c>
      <c r="F140" s="1309" t="str">
        <f>IF(ISBLANK($B140), "", INDEX(RAWData!C:C,MATCH($C140,RAWData!$A:$A,0)))</f>
        <v/>
      </c>
      <c r="G140" s="1309" t="str">
        <f>IF(ISBLANK($B140), "", INDEX(RAWData!D:D,MATCH($C140,RAWData!$A:$A,0)))</f>
        <v/>
      </c>
      <c r="H140" s="1309" t="str">
        <f>IF(ISBLANK($B140), "", INDEX(RAWData!E:E,MATCH($C140,RAWData!$A:$A,0)))</f>
        <v/>
      </c>
      <c r="I140" s="1309" t="str">
        <f>IF(ISBLANK($B140), "", INDEX(RAWData!F:F,MATCH($C140,RAWData!$A:$A,0)))</f>
        <v/>
      </c>
    </row>
    <row r="141" spans="2:9">
      <c r="B141" s="1310"/>
      <c r="C141" s="1309" t="str">
        <f t="shared" si="1"/>
        <v/>
      </c>
      <c r="E141" s="1309" t="str">
        <f>IF(ISBLANK($B141), "", INDEX(RAWData!B:B,MATCH($C141,RAWData!$A:$A,0)))</f>
        <v/>
      </c>
      <c r="F141" s="1309" t="str">
        <f>IF(ISBLANK($B141), "", INDEX(RAWData!C:C,MATCH($C141,RAWData!$A:$A,0)))</f>
        <v/>
      </c>
      <c r="G141" s="1309" t="str">
        <f>IF(ISBLANK($B141), "", INDEX(RAWData!D:D,MATCH($C141,RAWData!$A:$A,0)))</f>
        <v/>
      </c>
      <c r="H141" s="1309" t="str">
        <f>IF(ISBLANK($B141), "", INDEX(RAWData!E:E,MATCH($C141,RAWData!$A:$A,0)))</f>
        <v/>
      </c>
      <c r="I141" s="1309" t="str">
        <f>IF(ISBLANK($B141), "", INDEX(RAWData!F:F,MATCH($C141,RAWData!$A:$A,0)))</f>
        <v/>
      </c>
    </row>
    <row r="142" spans="2:9">
      <c r="B142" s="1314" t="s">
        <v>3911</v>
      </c>
      <c r="C142" s="1309" t="str">
        <f t="shared" si="1"/>
        <v>TLOUTPUTANALYCRIMPACT1T1_0</v>
      </c>
      <c r="E142" s="1309" t="e">
        <f>IF(ISBLANK($B142), "", INDEX(RAWData!B:B,MATCH($C142,RAWData!$A:$A,0)))</f>
        <v>#N/A</v>
      </c>
      <c r="F142" s="1309" t="e">
        <f>IF(ISBLANK($B142), "", INDEX(RAWData!C:C,MATCH($C142,RAWData!$A:$A,0)))</f>
        <v>#N/A</v>
      </c>
      <c r="G142" s="1309" t="e">
        <f>IF(ISBLANK($B142), "", INDEX(RAWData!D:D,MATCH($C142,RAWData!$A:$A,0)))</f>
        <v>#N/A</v>
      </c>
      <c r="H142" s="1309" t="e">
        <f>IF(ISBLANK($B142), "", INDEX(RAWData!E:E,MATCH($C142,RAWData!$A:$A,0)))</f>
        <v>#N/A</v>
      </c>
      <c r="I142" s="1309" t="e">
        <f>IF(ISBLANK($B142), "", INDEX(RAWData!F:F,MATCH($C142,RAWData!$A:$A,0)))</f>
        <v>#N/A</v>
      </c>
    </row>
    <row r="143" spans="2:9">
      <c r="B143" s="1314" t="s">
        <v>3912</v>
      </c>
      <c r="C143" s="1309" t="str">
        <f t="shared" si="1"/>
        <v>TLOUTPUTANALYCRIMPACT2T1_0</v>
      </c>
      <c r="E143" s="1309" t="e">
        <f>IF(ISBLANK($B143), "", INDEX(RAWData!B:B,MATCH($C143,RAWData!$A:$A,0)))</f>
        <v>#N/A</v>
      </c>
      <c r="F143" s="1309" t="e">
        <f>IF(ISBLANK($B143), "", INDEX(RAWData!C:C,MATCH($C143,RAWData!$A:$A,0)))</f>
        <v>#N/A</v>
      </c>
      <c r="G143" s="1309" t="e">
        <f>IF(ISBLANK($B143), "", INDEX(RAWData!D:D,MATCH($C143,RAWData!$A:$A,0)))</f>
        <v>#N/A</v>
      </c>
      <c r="H143" s="1309" t="e">
        <f>IF(ISBLANK($B143), "", INDEX(RAWData!E:E,MATCH($C143,RAWData!$A:$A,0)))</f>
        <v>#N/A</v>
      </c>
      <c r="I143" s="1309" t="e">
        <f>IF(ISBLANK($B143), "", INDEX(RAWData!F:F,MATCH($C143,RAWData!$A:$A,0)))</f>
        <v>#N/A</v>
      </c>
    </row>
    <row r="144" spans="2:9">
      <c r="B144" s="1314" t="s">
        <v>3913</v>
      </c>
      <c r="C144" s="1309" t="str">
        <f t="shared" si="1"/>
        <v>TLOUTPUTANALYCRIMPACT3T1_0</v>
      </c>
      <c r="E144" s="1309" t="e">
        <f>IF(ISBLANK($B144), "", INDEX(RAWData!B:B,MATCH($C144,RAWData!$A:$A,0)))</f>
        <v>#N/A</v>
      </c>
      <c r="F144" s="1309" t="e">
        <f>IF(ISBLANK($B144), "", INDEX(RAWData!C:C,MATCH($C144,RAWData!$A:$A,0)))</f>
        <v>#N/A</v>
      </c>
      <c r="G144" s="1309" t="e">
        <f>IF(ISBLANK($B144), "", INDEX(RAWData!D:D,MATCH($C144,RAWData!$A:$A,0)))</f>
        <v>#N/A</v>
      </c>
      <c r="H144" s="1309" t="e">
        <f>IF(ISBLANK($B144), "", INDEX(RAWData!E:E,MATCH($C144,RAWData!$A:$A,0)))</f>
        <v>#N/A</v>
      </c>
      <c r="I144" s="1309" t="e">
        <f>IF(ISBLANK($B144), "", INDEX(RAWData!F:F,MATCH($C144,RAWData!$A:$A,0)))</f>
        <v>#N/A</v>
      </c>
    </row>
    <row r="145" spans="2:9">
      <c r="B145" s="1314" t="s">
        <v>3914</v>
      </c>
      <c r="C145" s="1309" t="str">
        <f t="shared" si="1"/>
        <v>TLOUTPUTANALYCRIMPACT4T1_0</v>
      </c>
      <c r="E145" s="1309" t="e">
        <f>IF(ISBLANK($B145), "", INDEX(RAWData!B:B,MATCH($C145,RAWData!$A:$A,0)))</f>
        <v>#N/A</v>
      </c>
      <c r="F145" s="1309" t="e">
        <f>IF(ISBLANK($B145), "", INDEX(RAWData!C:C,MATCH($C145,RAWData!$A:$A,0)))</f>
        <v>#N/A</v>
      </c>
      <c r="G145" s="1309" t="e">
        <f>IF(ISBLANK($B145), "", INDEX(RAWData!D:D,MATCH($C145,RAWData!$A:$A,0)))</f>
        <v>#N/A</v>
      </c>
      <c r="H145" s="1309" t="e">
        <f>IF(ISBLANK($B145), "", INDEX(RAWData!E:E,MATCH($C145,RAWData!$A:$A,0)))</f>
        <v>#N/A</v>
      </c>
      <c r="I145" s="1309" t="e">
        <f>IF(ISBLANK($B145), "", INDEX(RAWData!F:F,MATCH($C145,RAWData!$A:$A,0)))</f>
        <v>#N/A</v>
      </c>
    </row>
    <row r="146" spans="2:9">
      <c r="B146" s="1314" t="s">
        <v>3915</v>
      </c>
      <c r="C146" s="1309" t="str">
        <f t="shared" si="1"/>
        <v>TLOUTPUTANALYCRIMPACT5T1_0</v>
      </c>
      <c r="E146" s="1309" t="e">
        <f>IF(ISBLANK($B146), "", INDEX(RAWData!B:B,MATCH($C146,RAWData!$A:$A,0)))</f>
        <v>#N/A</v>
      </c>
      <c r="F146" s="1309" t="e">
        <f>IF(ISBLANK($B146), "", INDEX(RAWData!C:C,MATCH($C146,RAWData!$A:$A,0)))</f>
        <v>#N/A</v>
      </c>
      <c r="G146" s="1309" t="e">
        <f>IF(ISBLANK($B146), "", INDEX(RAWData!D:D,MATCH($C146,RAWData!$A:$A,0)))</f>
        <v>#N/A</v>
      </c>
      <c r="H146" s="1309" t="e">
        <f>IF(ISBLANK($B146), "", INDEX(RAWData!E:E,MATCH($C146,RAWData!$A:$A,0)))</f>
        <v>#N/A</v>
      </c>
      <c r="I146" s="1309" t="e">
        <f>IF(ISBLANK($B146), "", INDEX(RAWData!F:F,MATCH($C146,RAWData!$A:$A,0)))</f>
        <v>#N/A</v>
      </c>
    </row>
    <row r="147" spans="2:9">
      <c r="B147" s="1314" t="s">
        <v>3916</v>
      </c>
      <c r="C147" s="1309" t="str">
        <f t="shared" si="1"/>
        <v>TLOUTPUTANALYCRIMPACT6T1_0</v>
      </c>
      <c r="E147" s="1309" t="e">
        <f>IF(ISBLANK($B147), "", INDEX(RAWData!B:B,MATCH($C147,RAWData!$A:$A,0)))</f>
        <v>#N/A</v>
      </c>
      <c r="F147" s="1309" t="e">
        <f>IF(ISBLANK($B147), "", INDEX(RAWData!C:C,MATCH($C147,RAWData!$A:$A,0)))</f>
        <v>#N/A</v>
      </c>
      <c r="G147" s="1309" t="e">
        <f>IF(ISBLANK($B147), "", INDEX(RAWData!D:D,MATCH($C147,RAWData!$A:$A,0)))</f>
        <v>#N/A</v>
      </c>
      <c r="H147" s="1309" t="e">
        <f>IF(ISBLANK($B147), "", INDEX(RAWData!E:E,MATCH($C147,RAWData!$A:$A,0)))</f>
        <v>#N/A</v>
      </c>
      <c r="I147" s="1309" t="e">
        <f>IF(ISBLANK($B147), "", INDEX(RAWData!F:F,MATCH($C147,RAWData!$A:$A,0)))</f>
        <v>#N/A</v>
      </c>
    </row>
    <row r="148" spans="2:9">
      <c r="B148" s="1314" t="s">
        <v>3917</v>
      </c>
      <c r="C148" s="1309" t="str">
        <f t="shared" si="1"/>
        <v>TLOUTPUTANALYCRIMPACT7T1_0</v>
      </c>
      <c r="E148" s="1309" t="e">
        <f>IF(ISBLANK($B148), "", INDEX(RAWData!B:B,MATCH($C148,RAWData!$A:$A,0)))</f>
        <v>#N/A</v>
      </c>
      <c r="F148" s="1309" t="e">
        <f>IF(ISBLANK($B148), "", INDEX(RAWData!C:C,MATCH($C148,RAWData!$A:$A,0)))</f>
        <v>#N/A</v>
      </c>
      <c r="G148" s="1309" t="e">
        <f>IF(ISBLANK($B148), "", INDEX(RAWData!D:D,MATCH($C148,RAWData!$A:$A,0)))</f>
        <v>#N/A</v>
      </c>
      <c r="H148" s="1309" t="e">
        <f>IF(ISBLANK($B148), "", INDEX(RAWData!E:E,MATCH($C148,RAWData!$A:$A,0)))</f>
        <v>#N/A</v>
      </c>
      <c r="I148" s="1309" t="e">
        <f>IF(ISBLANK($B148), "", INDEX(RAWData!F:F,MATCH($C148,RAWData!$A:$A,0)))</f>
        <v>#N/A</v>
      </c>
    </row>
    <row r="149" spans="2:9">
      <c r="B149" s="1314" t="s">
        <v>3918</v>
      </c>
      <c r="C149" s="1309" t="str">
        <f t="shared" si="1"/>
        <v>TLOUTPUTANALYCRIMPACT8T1_0</v>
      </c>
      <c r="E149" s="1309" t="e">
        <f>IF(ISBLANK($B149), "", INDEX(RAWData!B:B,MATCH($C149,RAWData!$A:$A,0)))</f>
        <v>#N/A</v>
      </c>
      <c r="F149" s="1309" t="e">
        <f>IF(ISBLANK($B149), "", INDEX(RAWData!C:C,MATCH($C149,RAWData!$A:$A,0)))</f>
        <v>#N/A</v>
      </c>
      <c r="G149" s="1309" t="e">
        <f>IF(ISBLANK($B149), "", INDEX(RAWData!D:D,MATCH($C149,RAWData!$A:$A,0)))</f>
        <v>#N/A</v>
      </c>
      <c r="H149" s="1309" t="e">
        <f>IF(ISBLANK($B149), "", INDEX(RAWData!E:E,MATCH($C149,RAWData!$A:$A,0)))</f>
        <v>#N/A</v>
      </c>
      <c r="I149" s="1309" t="e">
        <f>IF(ISBLANK($B149), "", INDEX(RAWData!F:F,MATCH($C149,RAWData!$A:$A,0)))</f>
        <v>#N/A</v>
      </c>
    </row>
    <row r="150" spans="2:9">
      <c r="B150" s="1314" t="s">
        <v>3919</v>
      </c>
      <c r="C150" s="1309" t="str">
        <f t="shared" si="1"/>
        <v>TLOUTPUTANALYCRIMPACT9T1_0</v>
      </c>
      <c r="E150" s="1309" t="e">
        <f>IF(ISBLANK($B150), "", INDEX(RAWData!B:B,MATCH($C150,RAWData!$A:$A,0)))</f>
        <v>#N/A</v>
      </c>
      <c r="F150" s="1309" t="e">
        <f>IF(ISBLANK($B150), "", INDEX(RAWData!C:C,MATCH($C150,RAWData!$A:$A,0)))</f>
        <v>#N/A</v>
      </c>
      <c r="G150" s="1309" t="e">
        <f>IF(ISBLANK($B150), "", INDEX(RAWData!D:D,MATCH($C150,RAWData!$A:$A,0)))</f>
        <v>#N/A</v>
      </c>
      <c r="H150" s="1309" t="e">
        <f>IF(ISBLANK($B150), "", INDEX(RAWData!E:E,MATCH($C150,RAWData!$A:$A,0)))</f>
        <v>#N/A</v>
      </c>
      <c r="I150" s="1309" t="e">
        <f>IF(ISBLANK($B150), "", INDEX(RAWData!F:F,MATCH($C150,RAWData!$A:$A,0)))</f>
        <v>#N/A</v>
      </c>
    </row>
    <row r="151" spans="2:9">
      <c r="B151" s="1314" t="s">
        <v>3920</v>
      </c>
      <c r="C151" s="1309" t="str">
        <f t="shared" ref="C151:C214" si="2">IF(NOT(ISBLANK($B151)),UPPER($B151)&amp;"_"&amp;$C$4,"")</f>
        <v>TLOUTPUTANALYCRIMPACT10T1_0</v>
      </c>
      <c r="E151" s="1309" t="e">
        <f>IF(ISBLANK($B151), "", INDEX(RAWData!B:B,MATCH($C151,RAWData!$A:$A,0)))</f>
        <v>#N/A</v>
      </c>
      <c r="F151" s="1309" t="e">
        <f>IF(ISBLANK($B151), "", INDEX(RAWData!C:C,MATCH($C151,RAWData!$A:$A,0)))</f>
        <v>#N/A</v>
      </c>
      <c r="G151" s="1309" t="e">
        <f>IF(ISBLANK($B151), "", INDEX(RAWData!D:D,MATCH($C151,RAWData!$A:$A,0)))</f>
        <v>#N/A</v>
      </c>
      <c r="H151" s="1309" t="e">
        <f>IF(ISBLANK($B151), "", INDEX(RAWData!E:E,MATCH($C151,RAWData!$A:$A,0)))</f>
        <v>#N/A</v>
      </c>
      <c r="I151" s="1309" t="e">
        <f>IF(ISBLANK($B151), "", INDEX(RAWData!F:F,MATCH($C151,RAWData!$A:$A,0)))</f>
        <v>#N/A</v>
      </c>
    </row>
    <row r="152" spans="2:9">
      <c r="B152" s="1314" t="s">
        <v>3921</v>
      </c>
      <c r="C152" s="1309" t="str">
        <f t="shared" si="2"/>
        <v>TLOUTPUTANALYCRIMPACT11T1_0</v>
      </c>
      <c r="E152" s="1309" t="e">
        <f>IF(ISBLANK($B152), "", INDEX(RAWData!B:B,MATCH($C152,RAWData!$A:$A,0)))</f>
        <v>#N/A</v>
      </c>
      <c r="F152" s="1309" t="e">
        <f>IF(ISBLANK($B152), "", INDEX(RAWData!C:C,MATCH($C152,RAWData!$A:$A,0)))</f>
        <v>#N/A</v>
      </c>
      <c r="G152" s="1309" t="e">
        <f>IF(ISBLANK($B152), "", INDEX(RAWData!D:D,MATCH($C152,RAWData!$A:$A,0)))</f>
        <v>#N/A</v>
      </c>
      <c r="H152" s="1309" t="e">
        <f>IF(ISBLANK($B152), "", INDEX(RAWData!E:E,MATCH($C152,RAWData!$A:$A,0)))</f>
        <v>#N/A</v>
      </c>
      <c r="I152" s="1309" t="e">
        <f>IF(ISBLANK($B152), "", INDEX(RAWData!F:F,MATCH($C152,RAWData!$A:$A,0)))</f>
        <v>#N/A</v>
      </c>
    </row>
    <row r="153" spans="2:9">
      <c r="B153" s="1314" t="s">
        <v>3922</v>
      </c>
      <c r="C153" s="1309" t="str">
        <f t="shared" si="2"/>
        <v>TLOUTPUTANALYCRIMPACT12T1_0</v>
      </c>
      <c r="E153" s="1309" t="e">
        <f>IF(ISBLANK($B153), "", INDEX(RAWData!B:B,MATCH($C153,RAWData!$A:$A,0)))</f>
        <v>#N/A</v>
      </c>
      <c r="F153" s="1309" t="e">
        <f>IF(ISBLANK($B153), "", INDEX(RAWData!C:C,MATCH($C153,RAWData!$A:$A,0)))</f>
        <v>#N/A</v>
      </c>
      <c r="G153" s="1309" t="e">
        <f>IF(ISBLANK($B153), "", INDEX(RAWData!D:D,MATCH($C153,RAWData!$A:$A,0)))</f>
        <v>#N/A</v>
      </c>
      <c r="H153" s="1309" t="e">
        <f>IF(ISBLANK($B153), "", INDEX(RAWData!E:E,MATCH($C153,RAWData!$A:$A,0)))</f>
        <v>#N/A</v>
      </c>
      <c r="I153" s="1309" t="e">
        <f>IF(ISBLANK($B153), "", INDEX(RAWData!F:F,MATCH($C153,RAWData!$A:$A,0)))</f>
        <v>#N/A</v>
      </c>
    </row>
    <row r="154" spans="2:9">
      <c r="B154" s="1314" t="s">
        <v>3923</v>
      </c>
      <c r="C154" s="1309" t="str">
        <f t="shared" si="2"/>
        <v>TLOUTPUTANALYCRIMPACT13T1_0</v>
      </c>
      <c r="E154" s="1309" t="e">
        <f>IF(ISBLANK($B154), "", INDEX(RAWData!B:B,MATCH($C154,RAWData!$A:$A,0)))</f>
        <v>#N/A</v>
      </c>
      <c r="F154" s="1309" t="e">
        <f>IF(ISBLANK($B154), "", INDEX(RAWData!C:C,MATCH($C154,RAWData!$A:$A,0)))</f>
        <v>#N/A</v>
      </c>
      <c r="G154" s="1309" t="e">
        <f>IF(ISBLANK($B154), "", INDEX(RAWData!D:D,MATCH($C154,RAWData!$A:$A,0)))</f>
        <v>#N/A</v>
      </c>
      <c r="H154" s="1309" t="e">
        <f>IF(ISBLANK($B154), "", INDEX(RAWData!E:E,MATCH($C154,RAWData!$A:$A,0)))</f>
        <v>#N/A</v>
      </c>
      <c r="I154" s="1309" t="e">
        <f>IF(ISBLANK($B154), "", INDEX(RAWData!F:F,MATCH($C154,RAWData!$A:$A,0)))</f>
        <v>#N/A</v>
      </c>
    </row>
    <row r="155" spans="2:9">
      <c r="B155" s="1314" t="s">
        <v>3924</v>
      </c>
      <c r="C155" s="1309" t="str">
        <f t="shared" si="2"/>
        <v>TLOUTPUTANALYCRIMPACT14T1_0</v>
      </c>
      <c r="E155" s="1309" t="e">
        <f>IF(ISBLANK($B155), "", INDEX(RAWData!B:B,MATCH($C155,RAWData!$A:$A,0)))</f>
        <v>#N/A</v>
      </c>
      <c r="F155" s="1309" t="e">
        <f>IF(ISBLANK($B155), "", INDEX(RAWData!C:C,MATCH($C155,RAWData!$A:$A,0)))</f>
        <v>#N/A</v>
      </c>
      <c r="G155" s="1309" t="e">
        <f>IF(ISBLANK($B155), "", INDEX(RAWData!D:D,MATCH($C155,RAWData!$A:$A,0)))</f>
        <v>#N/A</v>
      </c>
      <c r="H155" s="1309" t="e">
        <f>IF(ISBLANK($B155), "", INDEX(RAWData!E:E,MATCH($C155,RAWData!$A:$A,0)))</f>
        <v>#N/A</v>
      </c>
      <c r="I155" s="1309" t="e">
        <f>IF(ISBLANK($B155), "", INDEX(RAWData!F:F,MATCH($C155,RAWData!$A:$A,0)))</f>
        <v>#N/A</v>
      </c>
    </row>
    <row r="156" spans="2:9">
      <c r="B156" s="1314"/>
      <c r="C156" s="1309" t="str">
        <f t="shared" si="2"/>
        <v/>
      </c>
      <c r="E156" s="1309" t="str">
        <f>IF(ISBLANK($B156), "", INDEX(RAWData!B:B,MATCH($C156,RAWData!$A:$A,0)))</f>
        <v/>
      </c>
      <c r="F156" s="1309" t="str">
        <f>IF(ISBLANK($B156), "", INDEX(RAWData!C:C,MATCH($C156,RAWData!$A:$A,0)))</f>
        <v/>
      </c>
      <c r="G156" s="1309" t="str">
        <f>IF(ISBLANK($B156), "", INDEX(RAWData!D:D,MATCH($C156,RAWData!$A:$A,0)))</f>
        <v/>
      </c>
      <c r="H156" s="1309" t="str">
        <f>IF(ISBLANK($B156), "", INDEX(RAWData!E:E,MATCH($C156,RAWData!$A:$A,0)))</f>
        <v/>
      </c>
      <c r="I156" s="1309" t="str">
        <f>IF(ISBLANK($B156), "", INDEX(RAWData!F:F,MATCH($C156,RAWData!$A:$A,0)))</f>
        <v/>
      </c>
    </row>
    <row r="157" spans="2:9">
      <c r="B157" s="1310"/>
      <c r="C157" s="1309" t="str">
        <f t="shared" si="2"/>
        <v/>
      </c>
      <c r="E157" s="1309" t="str">
        <f>IF(ISBLANK($B157), "", INDEX(RAWData!B:B,MATCH($C157,RAWData!$A:$A,0)))</f>
        <v/>
      </c>
      <c r="F157" s="1309" t="str">
        <f>IF(ISBLANK($B157), "", INDEX(RAWData!C:C,MATCH($C157,RAWData!$A:$A,0)))</f>
        <v/>
      </c>
      <c r="G157" s="1309" t="str">
        <f>IF(ISBLANK($B157), "", INDEX(RAWData!D:D,MATCH($C157,RAWData!$A:$A,0)))</f>
        <v/>
      </c>
      <c r="H157" s="1309" t="str">
        <f>IF(ISBLANK($B157), "", INDEX(RAWData!E:E,MATCH($C157,RAWData!$A:$A,0)))</f>
        <v/>
      </c>
      <c r="I157" s="1309" t="str">
        <f>IF(ISBLANK($B157), "", INDEX(RAWData!F:F,MATCH($C157,RAWData!$A:$A,0)))</f>
        <v/>
      </c>
    </row>
    <row r="158" spans="2:9">
      <c r="B158" s="1314" t="s">
        <v>3925</v>
      </c>
      <c r="C158" s="1309" t="str">
        <f t="shared" si="2"/>
        <v>TLOUTPUTANALYSBIMPACT1T1_0</v>
      </c>
      <c r="E158" s="1309" t="e">
        <f>IF(ISBLANK($B158), "", INDEX(RAWData!B:B,MATCH($C158,RAWData!$A:$A,0)))</f>
        <v>#N/A</v>
      </c>
      <c r="F158" s="1309" t="e">
        <f>IF(ISBLANK($B158), "", INDEX(RAWData!C:C,MATCH($C158,RAWData!$A:$A,0)))</f>
        <v>#N/A</v>
      </c>
      <c r="G158" s="1309" t="e">
        <f>IF(ISBLANK($B158), "", INDEX(RAWData!D:D,MATCH($C158,RAWData!$A:$A,0)))</f>
        <v>#N/A</v>
      </c>
      <c r="H158" s="1309" t="e">
        <f>IF(ISBLANK($B158), "", INDEX(RAWData!E:E,MATCH($C158,RAWData!$A:$A,0)))</f>
        <v>#N/A</v>
      </c>
      <c r="I158" s="1309" t="e">
        <f>IF(ISBLANK($B158), "", INDEX(RAWData!F:F,MATCH($C158,RAWData!$A:$A,0)))</f>
        <v>#N/A</v>
      </c>
    </row>
    <row r="159" spans="2:9">
      <c r="B159" s="1314" t="s">
        <v>3926</v>
      </c>
      <c r="C159" s="1309" t="str">
        <f t="shared" si="2"/>
        <v>TLOUTPUTANALYSBIMPACT2T1_0</v>
      </c>
      <c r="E159" s="1309" t="e">
        <f>IF(ISBLANK($B159), "", INDEX(RAWData!B:B,MATCH($C159,RAWData!$A:$A,0)))</f>
        <v>#N/A</v>
      </c>
      <c r="F159" s="1309" t="e">
        <f>IF(ISBLANK($B159), "", INDEX(RAWData!C:C,MATCH($C159,RAWData!$A:$A,0)))</f>
        <v>#N/A</v>
      </c>
      <c r="G159" s="1309" t="e">
        <f>IF(ISBLANK($B159), "", INDEX(RAWData!D:D,MATCH($C159,RAWData!$A:$A,0)))</f>
        <v>#N/A</v>
      </c>
      <c r="H159" s="1309" t="e">
        <f>IF(ISBLANK($B159), "", INDEX(RAWData!E:E,MATCH($C159,RAWData!$A:$A,0)))</f>
        <v>#N/A</v>
      </c>
      <c r="I159" s="1309" t="e">
        <f>IF(ISBLANK($B159), "", INDEX(RAWData!F:F,MATCH($C159,RAWData!$A:$A,0)))</f>
        <v>#N/A</v>
      </c>
    </row>
    <row r="160" spans="2:9">
      <c r="B160" s="1314" t="s">
        <v>3927</v>
      </c>
      <c r="C160" s="1309" t="str">
        <f t="shared" si="2"/>
        <v>TLOUTPUTANALYSBIMPACT3T1_0</v>
      </c>
      <c r="E160" s="1309" t="e">
        <f>IF(ISBLANK($B160), "", INDEX(RAWData!B:B,MATCH($C160,RAWData!$A:$A,0)))</f>
        <v>#N/A</v>
      </c>
      <c r="F160" s="1309" t="e">
        <f>IF(ISBLANK($B160), "", INDEX(RAWData!C:C,MATCH($C160,RAWData!$A:$A,0)))</f>
        <v>#N/A</v>
      </c>
      <c r="G160" s="1309" t="e">
        <f>IF(ISBLANK($B160), "", INDEX(RAWData!D:D,MATCH($C160,RAWData!$A:$A,0)))</f>
        <v>#N/A</v>
      </c>
      <c r="H160" s="1309" t="e">
        <f>IF(ISBLANK($B160), "", INDEX(RAWData!E:E,MATCH($C160,RAWData!$A:$A,0)))</f>
        <v>#N/A</v>
      </c>
      <c r="I160" s="1309" t="e">
        <f>IF(ISBLANK($B160), "", INDEX(RAWData!F:F,MATCH($C160,RAWData!$A:$A,0)))</f>
        <v>#N/A</v>
      </c>
    </row>
    <row r="161" spans="2:9">
      <c r="B161" s="1314" t="s">
        <v>3928</v>
      </c>
      <c r="C161" s="1309" t="str">
        <f t="shared" si="2"/>
        <v>TLOUTPUTANALYSBIMPACT4T1_0</v>
      </c>
      <c r="E161" s="1309" t="e">
        <f>IF(ISBLANK($B161), "", INDEX(RAWData!B:B,MATCH($C161,RAWData!$A:$A,0)))</f>
        <v>#N/A</v>
      </c>
      <c r="F161" s="1309" t="e">
        <f>IF(ISBLANK($B161), "", INDEX(RAWData!C:C,MATCH($C161,RAWData!$A:$A,0)))</f>
        <v>#N/A</v>
      </c>
      <c r="G161" s="1309" t="e">
        <f>IF(ISBLANK($B161), "", INDEX(RAWData!D:D,MATCH($C161,RAWData!$A:$A,0)))</f>
        <v>#N/A</v>
      </c>
      <c r="H161" s="1309" t="e">
        <f>IF(ISBLANK($B161), "", INDEX(RAWData!E:E,MATCH($C161,RAWData!$A:$A,0)))</f>
        <v>#N/A</v>
      </c>
      <c r="I161" s="1309" t="e">
        <f>IF(ISBLANK($B161), "", INDEX(RAWData!F:F,MATCH($C161,RAWData!$A:$A,0)))</f>
        <v>#N/A</v>
      </c>
    </row>
    <row r="162" spans="2:9">
      <c r="B162" s="1314" t="s">
        <v>3929</v>
      </c>
      <c r="C162" s="1309" t="str">
        <f t="shared" si="2"/>
        <v>TLOUTPUTANALYSBIMPACT5T1_0</v>
      </c>
      <c r="E162" s="1309" t="e">
        <f>IF(ISBLANK($B162), "", INDEX(RAWData!B:B,MATCH($C162,RAWData!$A:$A,0)))</f>
        <v>#N/A</v>
      </c>
      <c r="F162" s="1309" t="e">
        <f>IF(ISBLANK($B162), "", INDEX(RAWData!C:C,MATCH($C162,RAWData!$A:$A,0)))</f>
        <v>#N/A</v>
      </c>
      <c r="G162" s="1309" t="e">
        <f>IF(ISBLANK($B162), "", INDEX(RAWData!D:D,MATCH($C162,RAWData!$A:$A,0)))</f>
        <v>#N/A</v>
      </c>
      <c r="H162" s="1309" t="e">
        <f>IF(ISBLANK($B162), "", INDEX(RAWData!E:E,MATCH($C162,RAWData!$A:$A,0)))</f>
        <v>#N/A</v>
      </c>
      <c r="I162" s="1309" t="e">
        <f>IF(ISBLANK($B162), "", INDEX(RAWData!F:F,MATCH($C162,RAWData!$A:$A,0)))</f>
        <v>#N/A</v>
      </c>
    </row>
    <row r="163" spans="2:9">
      <c r="B163" s="1314" t="s">
        <v>3930</v>
      </c>
      <c r="C163" s="1309" t="str">
        <f t="shared" si="2"/>
        <v>TLOUTPUTANALYSBIMPACT6T1_0</v>
      </c>
      <c r="E163" s="1309" t="e">
        <f>IF(ISBLANK($B163), "", INDEX(RAWData!B:B,MATCH($C163,RAWData!$A:$A,0)))</f>
        <v>#N/A</v>
      </c>
      <c r="F163" s="1309" t="e">
        <f>IF(ISBLANK($B163), "", INDEX(RAWData!C:C,MATCH($C163,RAWData!$A:$A,0)))</f>
        <v>#N/A</v>
      </c>
      <c r="G163" s="1309" t="e">
        <f>IF(ISBLANK($B163), "", INDEX(RAWData!D:D,MATCH($C163,RAWData!$A:$A,0)))</f>
        <v>#N/A</v>
      </c>
      <c r="H163" s="1309" t="e">
        <f>IF(ISBLANK($B163), "", INDEX(RAWData!E:E,MATCH($C163,RAWData!$A:$A,0)))</f>
        <v>#N/A</v>
      </c>
      <c r="I163" s="1309" t="e">
        <f>IF(ISBLANK($B163), "", INDEX(RAWData!F:F,MATCH($C163,RAWData!$A:$A,0)))</f>
        <v>#N/A</v>
      </c>
    </row>
    <row r="164" spans="2:9">
      <c r="B164" s="1314" t="s">
        <v>3931</v>
      </c>
      <c r="C164" s="1309" t="str">
        <f t="shared" si="2"/>
        <v>TLOUTPUTANALYSBIMPACT7T1_0</v>
      </c>
      <c r="E164" s="1309" t="e">
        <f>IF(ISBLANK($B164), "", INDEX(RAWData!B:B,MATCH($C164,RAWData!$A:$A,0)))</f>
        <v>#N/A</v>
      </c>
      <c r="F164" s="1309" t="e">
        <f>IF(ISBLANK($B164), "", INDEX(RAWData!C:C,MATCH($C164,RAWData!$A:$A,0)))</f>
        <v>#N/A</v>
      </c>
      <c r="G164" s="1309" t="e">
        <f>IF(ISBLANK($B164), "", INDEX(RAWData!D:D,MATCH($C164,RAWData!$A:$A,0)))</f>
        <v>#N/A</v>
      </c>
      <c r="H164" s="1309" t="e">
        <f>IF(ISBLANK($B164), "", INDEX(RAWData!E:E,MATCH($C164,RAWData!$A:$A,0)))</f>
        <v>#N/A</v>
      </c>
      <c r="I164" s="1309" t="e">
        <f>IF(ISBLANK($B164), "", INDEX(RAWData!F:F,MATCH($C164,RAWData!$A:$A,0)))</f>
        <v>#N/A</v>
      </c>
    </row>
    <row r="165" spans="2:9">
      <c r="B165" s="1314" t="s">
        <v>3932</v>
      </c>
      <c r="C165" s="1309" t="str">
        <f t="shared" si="2"/>
        <v>TLOUTPUTANALYSBIMPACT8T1_0</v>
      </c>
      <c r="E165" s="1309" t="e">
        <f>IF(ISBLANK($B165), "", INDEX(RAWData!B:B,MATCH($C165,RAWData!$A:$A,0)))</f>
        <v>#N/A</v>
      </c>
      <c r="F165" s="1309" t="e">
        <f>IF(ISBLANK($B165), "", INDEX(RAWData!C:C,MATCH($C165,RAWData!$A:$A,0)))</f>
        <v>#N/A</v>
      </c>
      <c r="G165" s="1309" t="e">
        <f>IF(ISBLANK($B165), "", INDEX(RAWData!D:D,MATCH($C165,RAWData!$A:$A,0)))</f>
        <v>#N/A</v>
      </c>
      <c r="H165" s="1309" t="e">
        <f>IF(ISBLANK($B165), "", INDEX(RAWData!E:E,MATCH($C165,RAWData!$A:$A,0)))</f>
        <v>#N/A</v>
      </c>
      <c r="I165" s="1309" t="e">
        <f>IF(ISBLANK($B165), "", INDEX(RAWData!F:F,MATCH($C165,RAWData!$A:$A,0)))</f>
        <v>#N/A</v>
      </c>
    </row>
    <row r="166" spans="2:9">
      <c r="B166" s="1314" t="s">
        <v>3933</v>
      </c>
      <c r="C166" s="1309" t="str">
        <f t="shared" si="2"/>
        <v>TLOUTPUTANALYSBIMPACT9T1_0</v>
      </c>
      <c r="E166" s="1309" t="e">
        <f>IF(ISBLANK($B166), "", INDEX(RAWData!B:B,MATCH($C166,RAWData!$A:$A,0)))</f>
        <v>#N/A</v>
      </c>
      <c r="F166" s="1309" t="e">
        <f>IF(ISBLANK($B166), "", INDEX(RAWData!C:C,MATCH($C166,RAWData!$A:$A,0)))</f>
        <v>#N/A</v>
      </c>
      <c r="G166" s="1309" t="e">
        <f>IF(ISBLANK($B166), "", INDEX(RAWData!D:D,MATCH($C166,RAWData!$A:$A,0)))</f>
        <v>#N/A</v>
      </c>
      <c r="H166" s="1309" t="e">
        <f>IF(ISBLANK($B166), "", INDEX(RAWData!E:E,MATCH($C166,RAWData!$A:$A,0)))</f>
        <v>#N/A</v>
      </c>
      <c r="I166" s="1309" t="e">
        <f>IF(ISBLANK($B166), "", INDEX(RAWData!F:F,MATCH($C166,RAWData!$A:$A,0)))</f>
        <v>#N/A</v>
      </c>
    </row>
    <row r="167" spans="2:9">
      <c r="B167" s="1314" t="s">
        <v>3934</v>
      </c>
      <c r="C167" s="1309" t="str">
        <f t="shared" si="2"/>
        <v>TLOUTPUTANALYSBIMPACT10T1_0</v>
      </c>
      <c r="E167" s="1309" t="e">
        <f>IF(ISBLANK($B167), "", INDEX(RAWData!B:B,MATCH($C167,RAWData!$A:$A,0)))</f>
        <v>#N/A</v>
      </c>
      <c r="F167" s="1309" t="e">
        <f>IF(ISBLANK($B167), "", INDEX(RAWData!C:C,MATCH($C167,RAWData!$A:$A,0)))</f>
        <v>#N/A</v>
      </c>
      <c r="G167" s="1309" t="e">
        <f>IF(ISBLANK($B167), "", INDEX(RAWData!D:D,MATCH($C167,RAWData!$A:$A,0)))</f>
        <v>#N/A</v>
      </c>
      <c r="H167" s="1309" t="e">
        <f>IF(ISBLANK($B167), "", INDEX(RAWData!E:E,MATCH($C167,RAWData!$A:$A,0)))</f>
        <v>#N/A</v>
      </c>
      <c r="I167" s="1309" t="e">
        <f>IF(ISBLANK($B167), "", INDEX(RAWData!F:F,MATCH($C167,RAWData!$A:$A,0)))</f>
        <v>#N/A</v>
      </c>
    </row>
    <row r="168" spans="2:9">
      <c r="B168" s="1314" t="s">
        <v>3935</v>
      </c>
      <c r="C168" s="1309" t="str">
        <f t="shared" si="2"/>
        <v>TLOUTPUTANALYSBIMPACT11T1_0</v>
      </c>
      <c r="E168" s="1309" t="e">
        <f>IF(ISBLANK($B168), "", INDEX(RAWData!B:B,MATCH($C168,RAWData!$A:$A,0)))</f>
        <v>#N/A</v>
      </c>
      <c r="F168" s="1309" t="e">
        <f>IF(ISBLANK($B168), "", INDEX(RAWData!C:C,MATCH($C168,RAWData!$A:$A,0)))</f>
        <v>#N/A</v>
      </c>
      <c r="G168" s="1309" t="e">
        <f>IF(ISBLANK($B168), "", INDEX(RAWData!D:D,MATCH($C168,RAWData!$A:$A,0)))</f>
        <v>#N/A</v>
      </c>
      <c r="H168" s="1309" t="e">
        <f>IF(ISBLANK($B168), "", INDEX(RAWData!E:E,MATCH($C168,RAWData!$A:$A,0)))</f>
        <v>#N/A</v>
      </c>
      <c r="I168" s="1309" t="e">
        <f>IF(ISBLANK($B168), "", INDEX(RAWData!F:F,MATCH($C168,RAWData!$A:$A,0)))</f>
        <v>#N/A</v>
      </c>
    </row>
    <row r="169" spans="2:9">
      <c r="B169" s="1314" t="s">
        <v>3936</v>
      </c>
      <c r="C169" s="1309" t="str">
        <f t="shared" si="2"/>
        <v>TLOUTPUTANALYSBIMPACT12T1_0</v>
      </c>
      <c r="E169" s="1309" t="e">
        <f>IF(ISBLANK($B169), "", INDEX(RAWData!B:B,MATCH($C169,RAWData!$A:$A,0)))</f>
        <v>#N/A</v>
      </c>
      <c r="F169" s="1309" t="e">
        <f>IF(ISBLANK($B169), "", INDEX(RAWData!C:C,MATCH($C169,RAWData!$A:$A,0)))</f>
        <v>#N/A</v>
      </c>
      <c r="G169" s="1309" t="e">
        <f>IF(ISBLANK($B169), "", INDEX(RAWData!D:D,MATCH($C169,RAWData!$A:$A,0)))</f>
        <v>#N/A</v>
      </c>
      <c r="H169" s="1309" t="e">
        <f>IF(ISBLANK($B169), "", INDEX(RAWData!E:E,MATCH($C169,RAWData!$A:$A,0)))</f>
        <v>#N/A</v>
      </c>
      <c r="I169" s="1309" t="e">
        <f>IF(ISBLANK($B169), "", INDEX(RAWData!F:F,MATCH($C169,RAWData!$A:$A,0)))</f>
        <v>#N/A</v>
      </c>
    </row>
    <row r="170" spans="2:9">
      <c r="B170" s="1314" t="s">
        <v>3937</v>
      </c>
      <c r="C170" s="1309" t="str">
        <f t="shared" si="2"/>
        <v>TLOUTPUTANALYSBIMPACT13T1_0</v>
      </c>
      <c r="E170" s="1309" t="e">
        <f>IF(ISBLANK($B170), "", INDEX(RAWData!B:B,MATCH($C170,RAWData!$A:$A,0)))</f>
        <v>#N/A</v>
      </c>
      <c r="F170" s="1309" t="e">
        <f>IF(ISBLANK($B170), "", INDEX(RAWData!C:C,MATCH($C170,RAWData!$A:$A,0)))</f>
        <v>#N/A</v>
      </c>
      <c r="G170" s="1309" t="e">
        <f>IF(ISBLANK($B170), "", INDEX(RAWData!D:D,MATCH($C170,RAWData!$A:$A,0)))</f>
        <v>#N/A</v>
      </c>
      <c r="H170" s="1309" t="e">
        <f>IF(ISBLANK($B170), "", INDEX(RAWData!E:E,MATCH($C170,RAWData!$A:$A,0)))</f>
        <v>#N/A</v>
      </c>
      <c r="I170" s="1309" t="e">
        <f>IF(ISBLANK($B170), "", INDEX(RAWData!F:F,MATCH($C170,RAWData!$A:$A,0)))</f>
        <v>#N/A</v>
      </c>
    </row>
    <row r="171" spans="2:9">
      <c r="B171" s="1314" t="s">
        <v>3938</v>
      </c>
      <c r="C171" s="1309" t="str">
        <f t="shared" si="2"/>
        <v>TLOUTPUTANALYSBIMPACT14T1_0</v>
      </c>
      <c r="E171" s="1309" t="e">
        <f>IF(ISBLANK($B171), "", INDEX(RAWData!B:B,MATCH($C171,RAWData!$A:$A,0)))</f>
        <v>#N/A</v>
      </c>
      <c r="F171" s="1309" t="e">
        <f>IF(ISBLANK($B171), "", INDEX(RAWData!C:C,MATCH($C171,RAWData!$A:$A,0)))</f>
        <v>#N/A</v>
      </c>
      <c r="G171" s="1309" t="e">
        <f>IF(ISBLANK($B171), "", INDEX(RAWData!D:D,MATCH($C171,RAWData!$A:$A,0)))</f>
        <v>#N/A</v>
      </c>
      <c r="H171" s="1309" t="e">
        <f>IF(ISBLANK($B171), "", INDEX(RAWData!E:E,MATCH($C171,RAWData!$A:$A,0)))</f>
        <v>#N/A</v>
      </c>
      <c r="I171" s="1309" t="e">
        <f>IF(ISBLANK($B171), "", INDEX(RAWData!F:F,MATCH($C171,RAWData!$A:$A,0)))</f>
        <v>#N/A</v>
      </c>
    </row>
    <row r="172" spans="2:9">
      <c r="B172" s="1314"/>
      <c r="C172" s="1309" t="str">
        <f t="shared" si="2"/>
        <v/>
      </c>
      <c r="E172" s="1309" t="str">
        <f>IF(ISBLANK($B172), "", INDEX(RAWData!B:B,MATCH($C172,RAWData!$A:$A,0)))</f>
        <v/>
      </c>
      <c r="F172" s="1309" t="str">
        <f>IF(ISBLANK($B172), "", INDEX(RAWData!C:C,MATCH($C172,RAWData!$A:$A,0)))</f>
        <v/>
      </c>
      <c r="G172" s="1309" t="str">
        <f>IF(ISBLANK($B172), "", INDEX(RAWData!D:D,MATCH($C172,RAWData!$A:$A,0)))</f>
        <v/>
      </c>
      <c r="H172" s="1309" t="str">
        <f>IF(ISBLANK($B172), "", INDEX(RAWData!E:E,MATCH($C172,RAWData!$A:$A,0)))</f>
        <v/>
      </c>
      <c r="I172" s="1309" t="str">
        <f>IF(ISBLANK($B172), "", INDEX(RAWData!F:F,MATCH($C172,RAWData!$A:$A,0)))</f>
        <v/>
      </c>
    </row>
    <row r="173" spans="2:9">
      <c r="B173" s="1310"/>
      <c r="C173" s="1309" t="str">
        <f t="shared" si="2"/>
        <v/>
      </c>
      <c r="E173" s="1309" t="str">
        <f>IF(ISBLANK($B173), "", INDEX(RAWData!B:B,MATCH($C173,RAWData!$A:$A,0)))</f>
        <v/>
      </c>
      <c r="F173" s="1309" t="str">
        <f>IF(ISBLANK($B173), "", INDEX(RAWData!C:C,MATCH($C173,RAWData!$A:$A,0)))</f>
        <v/>
      </c>
      <c r="G173" s="1309" t="str">
        <f>IF(ISBLANK($B173), "", INDEX(RAWData!D:D,MATCH($C173,RAWData!$A:$A,0)))</f>
        <v/>
      </c>
      <c r="H173" s="1309" t="str">
        <f>IF(ISBLANK($B173), "", INDEX(RAWData!E:E,MATCH($C173,RAWData!$A:$A,0)))</f>
        <v/>
      </c>
      <c r="I173" s="1309" t="str">
        <f>IF(ISBLANK($B173), "", INDEX(RAWData!F:F,MATCH($C173,RAWData!$A:$A,0)))</f>
        <v/>
      </c>
    </row>
    <row r="174" spans="2:9">
      <c r="B174" s="1314" t="s">
        <v>3939</v>
      </c>
      <c r="C174" s="1309" t="str">
        <f t="shared" si="2"/>
        <v>TLOUTPUTANALYEEIMPACT1T1_0</v>
      </c>
      <c r="E174" s="1309" t="e">
        <f>IF(ISBLANK($B174), "", INDEX(RAWData!B:B,MATCH($C174,RAWData!$A:$A,0)))</f>
        <v>#N/A</v>
      </c>
      <c r="F174" s="1309" t="e">
        <f>IF(ISBLANK($B174), "", INDEX(RAWData!C:C,MATCH($C174,RAWData!$A:$A,0)))</f>
        <v>#N/A</v>
      </c>
      <c r="G174" s="1309" t="e">
        <f>IF(ISBLANK($B174), "", INDEX(RAWData!D:D,MATCH($C174,RAWData!$A:$A,0)))</f>
        <v>#N/A</v>
      </c>
      <c r="H174" s="1309" t="e">
        <f>IF(ISBLANK($B174), "", INDEX(RAWData!E:E,MATCH($C174,RAWData!$A:$A,0)))</f>
        <v>#N/A</v>
      </c>
      <c r="I174" s="1309" t="e">
        <f>IF(ISBLANK($B174), "", INDEX(RAWData!F:F,MATCH($C174,RAWData!$A:$A,0)))</f>
        <v>#N/A</v>
      </c>
    </row>
    <row r="175" spans="2:9">
      <c r="B175" s="1314" t="s">
        <v>3940</v>
      </c>
      <c r="C175" s="1309" t="str">
        <f t="shared" si="2"/>
        <v>TLOUTPUTANALYEEIMPACT2T1_0</v>
      </c>
      <c r="E175" s="1309" t="e">
        <f>IF(ISBLANK($B175), "", INDEX(RAWData!B:B,MATCH($C175,RAWData!$A:$A,0)))</f>
        <v>#N/A</v>
      </c>
      <c r="F175" s="1309" t="e">
        <f>IF(ISBLANK($B175), "", INDEX(RAWData!C:C,MATCH($C175,RAWData!$A:$A,0)))</f>
        <v>#N/A</v>
      </c>
      <c r="G175" s="1309" t="e">
        <f>IF(ISBLANK($B175), "", INDEX(RAWData!D:D,MATCH($C175,RAWData!$A:$A,0)))</f>
        <v>#N/A</v>
      </c>
      <c r="H175" s="1309" t="e">
        <f>IF(ISBLANK($B175), "", INDEX(RAWData!E:E,MATCH($C175,RAWData!$A:$A,0)))</f>
        <v>#N/A</v>
      </c>
      <c r="I175" s="1309" t="e">
        <f>IF(ISBLANK($B175), "", INDEX(RAWData!F:F,MATCH($C175,RAWData!$A:$A,0)))</f>
        <v>#N/A</v>
      </c>
    </row>
    <row r="176" spans="2:9">
      <c r="B176" s="1314" t="s">
        <v>3941</v>
      </c>
      <c r="C176" s="1309" t="str">
        <f t="shared" si="2"/>
        <v>TLOUTPUTANALYEEIMPACT3T1_0</v>
      </c>
      <c r="E176" s="1309" t="e">
        <f>IF(ISBLANK($B176), "", INDEX(RAWData!B:B,MATCH($C176,RAWData!$A:$A,0)))</f>
        <v>#N/A</v>
      </c>
      <c r="F176" s="1309" t="e">
        <f>IF(ISBLANK($B176), "", INDEX(RAWData!C:C,MATCH($C176,RAWData!$A:$A,0)))</f>
        <v>#N/A</v>
      </c>
      <c r="G176" s="1309" t="e">
        <f>IF(ISBLANK($B176), "", INDEX(RAWData!D:D,MATCH($C176,RAWData!$A:$A,0)))</f>
        <v>#N/A</v>
      </c>
      <c r="H176" s="1309" t="e">
        <f>IF(ISBLANK($B176), "", INDEX(RAWData!E:E,MATCH($C176,RAWData!$A:$A,0)))</f>
        <v>#N/A</v>
      </c>
      <c r="I176" s="1309" t="e">
        <f>IF(ISBLANK($B176), "", INDEX(RAWData!F:F,MATCH($C176,RAWData!$A:$A,0)))</f>
        <v>#N/A</v>
      </c>
    </row>
    <row r="177" spans="2:9">
      <c r="B177" s="1314" t="s">
        <v>3942</v>
      </c>
      <c r="C177" s="1309" t="str">
        <f t="shared" si="2"/>
        <v>TLOUTPUTANALYEEIMPACT4T1_0</v>
      </c>
      <c r="E177" s="1309" t="e">
        <f>IF(ISBLANK($B177), "", INDEX(RAWData!B:B,MATCH($C177,RAWData!$A:$A,0)))</f>
        <v>#N/A</v>
      </c>
      <c r="F177" s="1309" t="e">
        <f>IF(ISBLANK($B177), "", INDEX(RAWData!C:C,MATCH($C177,RAWData!$A:$A,0)))</f>
        <v>#N/A</v>
      </c>
      <c r="G177" s="1309" t="e">
        <f>IF(ISBLANK($B177), "", INDEX(RAWData!D:D,MATCH($C177,RAWData!$A:$A,0)))</f>
        <v>#N/A</v>
      </c>
      <c r="H177" s="1309" t="e">
        <f>IF(ISBLANK($B177), "", INDEX(RAWData!E:E,MATCH($C177,RAWData!$A:$A,0)))</f>
        <v>#N/A</v>
      </c>
      <c r="I177" s="1309" t="e">
        <f>IF(ISBLANK($B177), "", INDEX(RAWData!F:F,MATCH($C177,RAWData!$A:$A,0)))</f>
        <v>#N/A</v>
      </c>
    </row>
    <row r="178" spans="2:9">
      <c r="B178" s="1314" t="s">
        <v>3943</v>
      </c>
      <c r="C178" s="1309" t="str">
        <f t="shared" si="2"/>
        <v>TLOUTPUTANALYEEIMPACT5T1_0</v>
      </c>
      <c r="E178" s="1309" t="e">
        <f>IF(ISBLANK($B178), "", INDEX(RAWData!B:B,MATCH($C178,RAWData!$A:$A,0)))</f>
        <v>#N/A</v>
      </c>
      <c r="F178" s="1309" t="e">
        <f>IF(ISBLANK($B178), "", INDEX(RAWData!C:C,MATCH($C178,RAWData!$A:$A,0)))</f>
        <v>#N/A</v>
      </c>
      <c r="G178" s="1309" t="e">
        <f>IF(ISBLANK($B178), "", INDEX(RAWData!D:D,MATCH($C178,RAWData!$A:$A,0)))</f>
        <v>#N/A</v>
      </c>
      <c r="H178" s="1309" t="e">
        <f>IF(ISBLANK($B178), "", INDEX(RAWData!E:E,MATCH($C178,RAWData!$A:$A,0)))</f>
        <v>#N/A</v>
      </c>
      <c r="I178" s="1309" t="e">
        <f>IF(ISBLANK($B178), "", INDEX(RAWData!F:F,MATCH($C178,RAWData!$A:$A,0)))</f>
        <v>#N/A</v>
      </c>
    </row>
    <row r="179" spans="2:9">
      <c r="B179" s="1314" t="s">
        <v>3944</v>
      </c>
      <c r="C179" s="1309" t="str">
        <f t="shared" si="2"/>
        <v>TLOUTPUTANALYEEIMPACT6T1_0</v>
      </c>
      <c r="E179" s="1309" t="e">
        <f>IF(ISBLANK($B179), "", INDEX(RAWData!B:B,MATCH($C179,RAWData!$A:$A,0)))</f>
        <v>#N/A</v>
      </c>
      <c r="F179" s="1309" t="e">
        <f>IF(ISBLANK($B179), "", INDEX(RAWData!C:C,MATCH($C179,RAWData!$A:$A,0)))</f>
        <v>#N/A</v>
      </c>
      <c r="G179" s="1309" t="e">
        <f>IF(ISBLANK($B179), "", INDEX(RAWData!D:D,MATCH($C179,RAWData!$A:$A,0)))</f>
        <v>#N/A</v>
      </c>
      <c r="H179" s="1309" t="e">
        <f>IF(ISBLANK($B179), "", INDEX(RAWData!E:E,MATCH($C179,RAWData!$A:$A,0)))</f>
        <v>#N/A</v>
      </c>
      <c r="I179" s="1309" t="e">
        <f>IF(ISBLANK($B179), "", INDEX(RAWData!F:F,MATCH($C179,RAWData!$A:$A,0)))</f>
        <v>#N/A</v>
      </c>
    </row>
    <row r="180" spans="2:9">
      <c r="B180" s="1314" t="s">
        <v>3945</v>
      </c>
      <c r="C180" s="1309" t="str">
        <f t="shared" si="2"/>
        <v>TLOUTPUTANALYEEIMPACT7T1_0</v>
      </c>
      <c r="E180" s="1309" t="e">
        <f>IF(ISBLANK($B180), "", INDEX(RAWData!B:B,MATCH($C180,RAWData!$A:$A,0)))</f>
        <v>#N/A</v>
      </c>
      <c r="F180" s="1309" t="e">
        <f>IF(ISBLANK($B180), "", INDEX(RAWData!C:C,MATCH($C180,RAWData!$A:$A,0)))</f>
        <v>#N/A</v>
      </c>
      <c r="G180" s="1309" t="e">
        <f>IF(ISBLANK($B180), "", INDEX(RAWData!D:D,MATCH($C180,RAWData!$A:$A,0)))</f>
        <v>#N/A</v>
      </c>
      <c r="H180" s="1309" t="e">
        <f>IF(ISBLANK($B180), "", INDEX(RAWData!E:E,MATCH($C180,RAWData!$A:$A,0)))</f>
        <v>#N/A</v>
      </c>
      <c r="I180" s="1309" t="e">
        <f>IF(ISBLANK($B180), "", INDEX(RAWData!F:F,MATCH($C180,RAWData!$A:$A,0)))</f>
        <v>#N/A</v>
      </c>
    </row>
    <row r="181" spans="2:9">
      <c r="B181" s="1314" t="s">
        <v>3946</v>
      </c>
      <c r="C181" s="1309" t="str">
        <f t="shared" si="2"/>
        <v>TLOUTPUTANALYEEIMPACT8T1_0</v>
      </c>
      <c r="E181" s="1309" t="e">
        <f>IF(ISBLANK($B181), "", INDEX(RAWData!B:B,MATCH($C181,RAWData!$A:$A,0)))</f>
        <v>#N/A</v>
      </c>
      <c r="F181" s="1309" t="e">
        <f>IF(ISBLANK($B181), "", INDEX(RAWData!C:C,MATCH($C181,RAWData!$A:$A,0)))</f>
        <v>#N/A</v>
      </c>
      <c r="G181" s="1309" t="e">
        <f>IF(ISBLANK($B181), "", INDEX(RAWData!D:D,MATCH($C181,RAWData!$A:$A,0)))</f>
        <v>#N/A</v>
      </c>
      <c r="H181" s="1309" t="e">
        <f>IF(ISBLANK($B181), "", INDEX(RAWData!E:E,MATCH($C181,RAWData!$A:$A,0)))</f>
        <v>#N/A</v>
      </c>
      <c r="I181" s="1309" t="e">
        <f>IF(ISBLANK($B181), "", INDEX(RAWData!F:F,MATCH($C181,RAWData!$A:$A,0)))</f>
        <v>#N/A</v>
      </c>
    </row>
    <row r="182" spans="2:9">
      <c r="B182" s="1314" t="s">
        <v>3947</v>
      </c>
      <c r="C182" s="1309" t="str">
        <f t="shared" si="2"/>
        <v>TLOUTPUTANALYEEIMPACT9T1_0</v>
      </c>
      <c r="E182" s="1309" t="e">
        <f>IF(ISBLANK($B182), "", INDEX(RAWData!B:B,MATCH($C182,RAWData!$A:$A,0)))</f>
        <v>#N/A</v>
      </c>
      <c r="F182" s="1309" t="e">
        <f>IF(ISBLANK($B182), "", INDEX(RAWData!C:C,MATCH($C182,RAWData!$A:$A,0)))</f>
        <v>#N/A</v>
      </c>
      <c r="G182" s="1309" t="e">
        <f>IF(ISBLANK($B182), "", INDEX(RAWData!D:D,MATCH($C182,RAWData!$A:$A,0)))</f>
        <v>#N/A</v>
      </c>
      <c r="H182" s="1309" t="e">
        <f>IF(ISBLANK($B182), "", INDEX(RAWData!E:E,MATCH($C182,RAWData!$A:$A,0)))</f>
        <v>#N/A</v>
      </c>
      <c r="I182" s="1309" t="e">
        <f>IF(ISBLANK($B182), "", INDEX(RAWData!F:F,MATCH($C182,RAWData!$A:$A,0)))</f>
        <v>#N/A</v>
      </c>
    </row>
    <row r="183" spans="2:9">
      <c r="B183" s="1314" t="s">
        <v>3948</v>
      </c>
      <c r="C183" s="1309" t="str">
        <f t="shared" si="2"/>
        <v>TLOUTPUTANALYEEIMPACT10T1_0</v>
      </c>
      <c r="E183" s="1309" t="e">
        <f>IF(ISBLANK($B183), "", INDEX(RAWData!B:B,MATCH($C183,RAWData!$A:$A,0)))</f>
        <v>#N/A</v>
      </c>
      <c r="F183" s="1309" t="e">
        <f>IF(ISBLANK($B183), "", INDEX(RAWData!C:C,MATCH($C183,RAWData!$A:$A,0)))</f>
        <v>#N/A</v>
      </c>
      <c r="G183" s="1309" t="e">
        <f>IF(ISBLANK($B183), "", INDEX(RAWData!D:D,MATCH($C183,RAWData!$A:$A,0)))</f>
        <v>#N/A</v>
      </c>
      <c r="H183" s="1309" t="e">
        <f>IF(ISBLANK($B183), "", INDEX(RAWData!E:E,MATCH($C183,RAWData!$A:$A,0)))</f>
        <v>#N/A</v>
      </c>
      <c r="I183" s="1309" t="e">
        <f>IF(ISBLANK($B183), "", INDEX(RAWData!F:F,MATCH($C183,RAWData!$A:$A,0)))</f>
        <v>#N/A</v>
      </c>
    </row>
    <row r="184" spans="2:9">
      <c r="B184" s="1314" t="s">
        <v>3949</v>
      </c>
      <c r="C184" s="1309" t="str">
        <f t="shared" si="2"/>
        <v>TLOUTPUTANALYEEIMPACT11T1_0</v>
      </c>
      <c r="E184" s="1309" t="e">
        <f>IF(ISBLANK($B184), "", INDEX(RAWData!B:B,MATCH($C184,RAWData!$A:$A,0)))</f>
        <v>#N/A</v>
      </c>
      <c r="F184" s="1309" t="e">
        <f>IF(ISBLANK($B184), "", INDEX(RAWData!C:C,MATCH($C184,RAWData!$A:$A,0)))</f>
        <v>#N/A</v>
      </c>
      <c r="G184" s="1309" t="e">
        <f>IF(ISBLANK($B184), "", INDEX(RAWData!D:D,MATCH($C184,RAWData!$A:$A,0)))</f>
        <v>#N/A</v>
      </c>
      <c r="H184" s="1309" t="e">
        <f>IF(ISBLANK($B184), "", INDEX(RAWData!E:E,MATCH($C184,RAWData!$A:$A,0)))</f>
        <v>#N/A</v>
      </c>
      <c r="I184" s="1309" t="e">
        <f>IF(ISBLANK($B184), "", INDEX(RAWData!F:F,MATCH($C184,RAWData!$A:$A,0)))</f>
        <v>#N/A</v>
      </c>
    </row>
    <row r="185" spans="2:9">
      <c r="B185" s="1314" t="s">
        <v>3950</v>
      </c>
      <c r="C185" s="1309" t="str">
        <f t="shared" si="2"/>
        <v>TLOUTPUTANALYEEIMPACT12T1_0</v>
      </c>
      <c r="E185" s="1309" t="e">
        <f>IF(ISBLANK($B185), "", INDEX(RAWData!B:B,MATCH($C185,RAWData!$A:$A,0)))</f>
        <v>#N/A</v>
      </c>
      <c r="F185" s="1309" t="e">
        <f>IF(ISBLANK($B185), "", INDEX(RAWData!C:C,MATCH($C185,RAWData!$A:$A,0)))</f>
        <v>#N/A</v>
      </c>
      <c r="G185" s="1309" t="e">
        <f>IF(ISBLANK($B185), "", INDEX(RAWData!D:D,MATCH($C185,RAWData!$A:$A,0)))</f>
        <v>#N/A</v>
      </c>
      <c r="H185" s="1309" t="e">
        <f>IF(ISBLANK($B185), "", INDEX(RAWData!E:E,MATCH($C185,RAWData!$A:$A,0)))</f>
        <v>#N/A</v>
      </c>
      <c r="I185" s="1309" t="e">
        <f>IF(ISBLANK($B185), "", INDEX(RAWData!F:F,MATCH($C185,RAWData!$A:$A,0)))</f>
        <v>#N/A</v>
      </c>
    </row>
    <row r="186" spans="2:9">
      <c r="B186" s="1314" t="s">
        <v>3951</v>
      </c>
      <c r="C186" s="1309" t="str">
        <f t="shared" si="2"/>
        <v>TLOUTPUTANALYEEIMPACT13T1_0</v>
      </c>
      <c r="E186" s="1309" t="e">
        <f>IF(ISBLANK($B186), "", INDEX(RAWData!B:B,MATCH($C186,RAWData!$A:$A,0)))</f>
        <v>#N/A</v>
      </c>
      <c r="F186" s="1309" t="e">
        <f>IF(ISBLANK($B186), "", INDEX(RAWData!C:C,MATCH($C186,RAWData!$A:$A,0)))</f>
        <v>#N/A</v>
      </c>
      <c r="G186" s="1309" t="e">
        <f>IF(ISBLANK($B186), "", INDEX(RAWData!D:D,MATCH($C186,RAWData!$A:$A,0)))</f>
        <v>#N/A</v>
      </c>
      <c r="H186" s="1309" t="e">
        <f>IF(ISBLANK($B186), "", INDEX(RAWData!E:E,MATCH($C186,RAWData!$A:$A,0)))</f>
        <v>#N/A</v>
      </c>
      <c r="I186" s="1309" t="e">
        <f>IF(ISBLANK($B186), "", INDEX(RAWData!F:F,MATCH($C186,RAWData!$A:$A,0)))</f>
        <v>#N/A</v>
      </c>
    </row>
    <row r="187" spans="2:9">
      <c r="B187" s="1314" t="s">
        <v>3952</v>
      </c>
      <c r="C187" s="1309" t="str">
        <f t="shared" si="2"/>
        <v>TLOUTPUTANALYEEIMPACT14T1_0</v>
      </c>
      <c r="E187" s="1309" t="e">
        <f>IF(ISBLANK($B187), "", INDEX(RAWData!B:B,MATCH($C187,RAWData!$A:$A,0)))</f>
        <v>#N/A</v>
      </c>
      <c r="F187" s="1309" t="e">
        <f>IF(ISBLANK($B187), "", INDEX(RAWData!C:C,MATCH($C187,RAWData!$A:$A,0)))</f>
        <v>#N/A</v>
      </c>
      <c r="G187" s="1309" t="e">
        <f>IF(ISBLANK($B187), "", INDEX(RAWData!D:D,MATCH($C187,RAWData!$A:$A,0)))</f>
        <v>#N/A</v>
      </c>
      <c r="H187" s="1309" t="e">
        <f>IF(ISBLANK($B187), "", INDEX(RAWData!E:E,MATCH($C187,RAWData!$A:$A,0)))</f>
        <v>#N/A</v>
      </c>
      <c r="I187" s="1309" t="e">
        <f>IF(ISBLANK($B187), "", INDEX(RAWData!F:F,MATCH($C187,RAWData!$A:$A,0)))</f>
        <v>#N/A</v>
      </c>
    </row>
    <row r="188" spans="2:9">
      <c r="B188" s="1314" t="s">
        <v>3953</v>
      </c>
      <c r="C188" s="1309" t="str">
        <f t="shared" si="2"/>
        <v>TLOUTPUTANALYEEIMPACT15T1_0</v>
      </c>
      <c r="E188" s="1309" t="e">
        <f>IF(ISBLANK($B188), "", INDEX(RAWData!B:B,MATCH($C188,RAWData!$A:$A,0)))</f>
        <v>#N/A</v>
      </c>
      <c r="F188" s="1309" t="e">
        <f>IF(ISBLANK($B188), "", INDEX(RAWData!C:C,MATCH($C188,RAWData!$A:$A,0)))</f>
        <v>#N/A</v>
      </c>
      <c r="G188" s="1309" t="e">
        <f>IF(ISBLANK($B188), "", INDEX(RAWData!D:D,MATCH($C188,RAWData!$A:$A,0)))</f>
        <v>#N/A</v>
      </c>
      <c r="H188" s="1309" t="e">
        <f>IF(ISBLANK($B188), "", INDEX(RAWData!E:E,MATCH($C188,RAWData!$A:$A,0)))</f>
        <v>#N/A</v>
      </c>
      <c r="I188" s="1309" t="e">
        <f>IF(ISBLANK($B188), "", INDEX(RAWData!F:F,MATCH($C188,RAWData!$A:$A,0)))</f>
        <v>#N/A</v>
      </c>
    </row>
    <row r="189" spans="2:9">
      <c r="B189" s="1314" t="s">
        <v>3954</v>
      </c>
      <c r="C189" s="1309" t="str">
        <f t="shared" si="2"/>
        <v>TLOUTPUTANALYEEIMPACT16T1_0</v>
      </c>
      <c r="E189" s="1309" t="e">
        <f>IF(ISBLANK($B189), "", INDEX(RAWData!B:B,MATCH($C189,RAWData!$A:$A,0)))</f>
        <v>#N/A</v>
      </c>
      <c r="F189" s="1309" t="e">
        <f>IF(ISBLANK($B189), "", INDEX(RAWData!C:C,MATCH($C189,RAWData!$A:$A,0)))</f>
        <v>#N/A</v>
      </c>
      <c r="G189" s="1309" t="e">
        <f>IF(ISBLANK($B189), "", INDEX(RAWData!D:D,MATCH($C189,RAWData!$A:$A,0)))</f>
        <v>#N/A</v>
      </c>
      <c r="H189" s="1309" t="e">
        <f>IF(ISBLANK($B189), "", INDEX(RAWData!E:E,MATCH($C189,RAWData!$A:$A,0)))</f>
        <v>#N/A</v>
      </c>
      <c r="I189" s="1309" t="e">
        <f>IF(ISBLANK($B189), "", INDEX(RAWData!F:F,MATCH($C189,RAWData!$A:$A,0)))</f>
        <v>#N/A</v>
      </c>
    </row>
    <row r="190" spans="2:9">
      <c r="B190" s="1314" t="s">
        <v>3955</v>
      </c>
      <c r="C190" s="1309" t="str">
        <f t="shared" si="2"/>
        <v>TLOUTPUTANALYEEIMPACT17T1_0</v>
      </c>
      <c r="E190" s="1309" t="e">
        <f>IF(ISBLANK($B190), "", INDEX(RAWData!B:B,MATCH($C190,RAWData!$A:$A,0)))</f>
        <v>#N/A</v>
      </c>
      <c r="F190" s="1309" t="e">
        <f>IF(ISBLANK($B190), "", INDEX(RAWData!C:C,MATCH($C190,RAWData!$A:$A,0)))</f>
        <v>#N/A</v>
      </c>
      <c r="G190" s="1309" t="e">
        <f>IF(ISBLANK($B190), "", INDEX(RAWData!D:D,MATCH($C190,RAWData!$A:$A,0)))</f>
        <v>#N/A</v>
      </c>
      <c r="H190" s="1309" t="e">
        <f>IF(ISBLANK($B190), "", INDEX(RAWData!E:E,MATCH($C190,RAWData!$A:$A,0)))</f>
        <v>#N/A</v>
      </c>
      <c r="I190" s="1309" t="e">
        <f>IF(ISBLANK($B190), "", INDEX(RAWData!F:F,MATCH($C190,RAWData!$A:$A,0)))</f>
        <v>#N/A</v>
      </c>
    </row>
    <row r="191" spans="2:9">
      <c r="B191" s="1310"/>
      <c r="C191" s="1309" t="str">
        <f t="shared" si="2"/>
        <v/>
      </c>
      <c r="E191" s="1309" t="str">
        <f>IF(ISBLANK($B191), "", INDEX(RAWData!B:B,MATCH($C191,RAWData!$A:$A,0)))</f>
        <v/>
      </c>
      <c r="F191" s="1309" t="str">
        <f>IF(ISBLANK($B191), "", INDEX(RAWData!C:C,MATCH($C191,RAWData!$A:$A,0)))</f>
        <v/>
      </c>
      <c r="G191" s="1309" t="str">
        <f>IF(ISBLANK($B191), "", INDEX(RAWData!D:D,MATCH($C191,RAWData!$A:$A,0)))</f>
        <v/>
      </c>
      <c r="H191" s="1309" t="str">
        <f>IF(ISBLANK($B191), "", INDEX(RAWData!E:E,MATCH($C191,RAWData!$A:$A,0)))</f>
        <v/>
      </c>
      <c r="I191" s="1309" t="str">
        <f>IF(ISBLANK($B191), "", INDEX(RAWData!F:F,MATCH($C191,RAWData!$A:$A,0)))</f>
        <v/>
      </c>
    </row>
    <row r="192" spans="2:9">
      <c r="B192" s="1314" t="s">
        <v>3956</v>
      </c>
      <c r="C192" s="1309" t="str">
        <f t="shared" si="2"/>
        <v>TLOUTPUTANALYFTEPRODIMPACT1T1_0</v>
      </c>
      <c r="E192" s="1309" t="e">
        <f>IF(ISBLANK($B192), "", INDEX(RAWData!B:B,MATCH($C192,RAWData!$A:$A,0)))</f>
        <v>#N/A</v>
      </c>
      <c r="F192" s="1309" t="e">
        <f>IF(ISBLANK($B192), "", INDEX(RAWData!C:C,MATCH($C192,RAWData!$A:$A,0)))</f>
        <v>#N/A</v>
      </c>
      <c r="G192" s="1309" t="e">
        <f>IF(ISBLANK($B192), "", INDEX(RAWData!D:D,MATCH($C192,RAWData!$A:$A,0)))</f>
        <v>#N/A</v>
      </c>
      <c r="H192" s="1309" t="e">
        <f>IF(ISBLANK($B192), "", INDEX(RAWData!E:E,MATCH($C192,RAWData!$A:$A,0)))</f>
        <v>#N/A</v>
      </c>
      <c r="I192" s="1309" t="e">
        <f>IF(ISBLANK($B192), "", INDEX(RAWData!F:F,MATCH($C192,RAWData!$A:$A,0)))</f>
        <v>#N/A</v>
      </c>
    </row>
    <row r="193" spans="2:9">
      <c r="B193" s="1314" t="s">
        <v>3957</v>
      </c>
      <c r="C193" s="1309" t="str">
        <f t="shared" si="2"/>
        <v>TLOUTPUTANALYFTEPRODIMPACT2T1_0</v>
      </c>
      <c r="E193" s="1309" t="e">
        <f>IF(ISBLANK($B193), "", INDEX(RAWData!B:B,MATCH($C193,RAWData!$A:$A,0)))</f>
        <v>#N/A</v>
      </c>
      <c r="F193" s="1309" t="e">
        <f>IF(ISBLANK($B193), "", INDEX(RAWData!C:C,MATCH($C193,RAWData!$A:$A,0)))</f>
        <v>#N/A</v>
      </c>
      <c r="G193" s="1309" t="e">
        <f>IF(ISBLANK($B193), "", INDEX(RAWData!D:D,MATCH($C193,RAWData!$A:$A,0)))</f>
        <v>#N/A</v>
      </c>
      <c r="H193" s="1309" t="e">
        <f>IF(ISBLANK($B193), "", INDEX(RAWData!E:E,MATCH($C193,RAWData!$A:$A,0)))</f>
        <v>#N/A</v>
      </c>
      <c r="I193" s="1309" t="e">
        <f>IF(ISBLANK($B193), "", INDEX(RAWData!F:F,MATCH($C193,RAWData!$A:$A,0)))</f>
        <v>#N/A</v>
      </c>
    </row>
    <row r="194" spans="2:9">
      <c r="B194" s="1314" t="s">
        <v>3958</v>
      </c>
      <c r="C194" s="1309" t="str">
        <f t="shared" si="2"/>
        <v>TLOUTPUTANALYFTEPRODIMPACT3T1_0</v>
      </c>
      <c r="E194" s="1309" t="e">
        <f>IF(ISBLANK($B194), "", INDEX(RAWData!B:B,MATCH($C194,RAWData!$A:$A,0)))</f>
        <v>#N/A</v>
      </c>
      <c r="F194" s="1309" t="e">
        <f>IF(ISBLANK($B194), "", INDEX(RAWData!C:C,MATCH($C194,RAWData!$A:$A,0)))</f>
        <v>#N/A</v>
      </c>
      <c r="G194" s="1309" t="e">
        <f>IF(ISBLANK($B194), "", INDEX(RAWData!D:D,MATCH($C194,RAWData!$A:$A,0)))</f>
        <v>#N/A</v>
      </c>
      <c r="H194" s="1309" t="e">
        <f>IF(ISBLANK($B194), "", INDEX(RAWData!E:E,MATCH($C194,RAWData!$A:$A,0)))</f>
        <v>#N/A</v>
      </c>
      <c r="I194" s="1309" t="e">
        <f>IF(ISBLANK($B194), "", INDEX(RAWData!F:F,MATCH($C194,RAWData!$A:$A,0)))</f>
        <v>#N/A</v>
      </c>
    </row>
    <row r="195" spans="2:9">
      <c r="B195" s="1314" t="s">
        <v>3959</v>
      </c>
      <c r="C195" s="1309" t="str">
        <f t="shared" si="2"/>
        <v>TLOUTPUTANALYFTEPRODIMPACT4T1_0</v>
      </c>
      <c r="E195" s="1309" t="e">
        <f>IF(ISBLANK($B195), "", INDEX(RAWData!B:B,MATCH($C195,RAWData!$A:$A,0)))</f>
        <v>#N/A</v>
      </c>
      <c r="F195" s="1309" t="e">
        <f>IF(ISBLANK($B195), "", INDEX(RAWData!C:C,MATCH($C195,RAWData!$A:$A,0)))</f>
        <v>#N/A</v>
      </c>
      <c r="G195" s="1309" t="e">
        <f>IF(ISBLANK($B195), "", INDEX(RAWData!D:D,MATCH($C195,RAWData!$A:$A,0)))</f>
        <v>#N/A</v>
      </c>
      <c r="H195" s="1309" t="e">
        <f>IF(ISBLANK($B195), "", INDEX(RAWData!E:E,MATCH($C195,RAWData!$A:$A,0)))</f>
        <v>#N/A</v>
      </c>
      <c r="I195" s="1309" t="e">
        <f>IF(ISBLANK($B195), "", INDEX(RAWData!F:F,MATCH($C195,RAWData!$A:$A,0)))</f>
        <v>#N/A</v>
      </c>
    </row>
    <row r="196" spans="2:9">
      <c r="B196" s="1314" t="s">
        <v>3960</v>
      </c>
      <c r="C196" s="1309" t="str">
        <f t="shared" si="2"/>
        <v>TLOUTPUTANALYFTEPRODIMPACT5T1_0</v>
      </c>
      <c r="E196" s="1309" t="e">
        <f>IF(ISBLANK($B196), "", INDEX(RAWData!B:B,MATCH($C196,RAWData!$A:$A,0)))</f>
        <v>#N/A</v>
      </c>
      <c r="F196" s="1309" t="e">
        <f>IF(ISBLANK($B196), "", INDEX(RAWData!C:C,MATCH($C196,RAWData!$A:$A,0)))</f>
        <v>#N/A</v>
      </c>
      <c r="G196" s="1309" t="e">
        <f>IF(ISBLANK($B196), "", INDEX(RAWData!D:D,MATCH($C196,RAWData!$A:$A,0)))</f>
        <v>#N/A</v>
      </c>
      <c r="H196" s="1309" t="e">
        <f>IF(ISBLANK($B196), "", INDEX(RAWData!E:E,MATCH($C196,RAWData!$A:$A,0)))</f>
        <v>#N/A</v>
      </c>
      <c r="I196" s="1309" t="e">
        <f>IF(ISBLANK($B196), "", INDEX(RAWData!F:F,MATCH($C196,RAWData!$A:$A,0)))</f>
        <v>#N/A</v>
      </c>
    </row>
    <row r="197" spans="2:9">
      <c r="B197" s="1314" t="s">
        <v>3961</v>
      </c>
      <c r="C197" s="1309" t="str">
        <f t="shared" si="2"/>
        <v>TLOUTPUTANALYFTEPRODIMPACT6T1_0</v>
      </c>
      <c r="E197" s="1309" t="e">
        <f>IF(ISBLANK($B197), "", INDEX(RAWData!B:B,MATCH($C197,RAWData!$A:$A,0)))</f>
        <v>#N/A</v>
      </c>
      <c r="F197" s="1309" t="e">
        <f>IF(ISBLANK($B197), "", INDEX(RAWData!C:C,MATCH($C197,RAWData!$A:$A,0)))</f>
        <v>#N/A</v>
      </c>
      <c r="G197" s="1309" t="e">
        <f>IF(ISBLANK($B197), "", INDEX(RAWData!D:D,MATCH($C197,RAWData!$A:$A,0)))</f>
        <v>#N/A</v>
      </c>
      <c r="H197" s="1309" t="e">
        <f>IF(ISBLANK($B197), "", INDEX(RAWData!E:E,MATCH($C197,RAWData!$A:$A,0)))</f>
        <v>#N/A</v>
      </c>
      <c r="I197" s="1309" t="e">
        <f>IF(ISBLANK($B197), "", INDEX(RAWData!F:F,MATCH($C197,RAWData!$A:$A,0)))</f>
        <v>#N/A</v>
      </c>
    </row>
    <row r="198" spans="2:9">
      <c r="B198" s="1314" t="s">
        <v>3962</v>
      </c>
      <c r="C198" s="1309" t="str">
        <f t="shared" si="2"/>
        <v>TLOUTPUTANALYFTEPRODIMPACT7T1_0</v>
      </c>
      <c r="E198" s="1309" t="e">
        <f>IF(ISBLANK($B198), "", INDEX(RAWData!B:B,MATCH($C198,RAWData!$A:$A,0)))</f>
        <v>#N/A</v>
      </c>
      <c r="F198" s="1309" t="e">
        <f>IF(ISBLANK($B198), "", INDEX(RAWData!C:C,MATCH($C198,RAWData!$A:$A,0)))</f>
        <v>#N/A</v>
      </c>
      <c r="G198" s="1309" t="e">
        <f>IF(ISBLANK($B198), "", INDEX(RAWData!D:D,MATCH($C198,RAWData!$A:$A,0)))</f>
        <v>#N/A</v>
      </c>
      <c r="H198" s="1309" t="e">
        <f>IF(ISBLANK($B198), "", INDEX(RAWData!E:E,MATCH($C198,RAWData!$A:$A,0)))</f>
        <v>#N/A</v>
      </c>
      <c r="I198" s="1309" t="e">
        <f>IF(ISBLANK($B198), "", INDEX(RAWData!F:F,MATCH($C198,RAWData!$A:$A,0)))</f>
        <v>#N/A</v>
      </c>
    </row>
    <row r="199" spans="2:9">
      <c r="B199" s="1314"/>
      <c r="C199" s="1309" t="str">
        <f t="shared" si="2"/>
        <v/>
      </c>
      <c r="E199" s="1309" t="str">
        <f>IF(ISBLANK($B199), "", INDEX(RAWData!B:B,MATCH($C199,RAWData!$A:$A,0)))</f>
        <v/>
      </c>
      <c r="F199" s="1309" t="str">
        <f>IF(ISBLANK($B199), "", INDEX(RAWData!C:C,MATCH($C199,RAWData!$A:$A,0)))</f>
        <v/>
      </c>
      <c r="G199" s="1309" t="str">
        <f>IF(ISBLANK($B199), "", INDEX(RAWData!D:D,MATCH($C199,RAWData!$A:$A,0)))</f>
        <v/>
      </c>
      <c r="H199" s="1309" t="str">
        <f>IF(ISBLANK($B199), "", INDEX(RAWData!E:E,MATCH($C199,RAWData!$A:$A,0)))</f>
        <v/>
      </c>
      <c r="I199" s="1309" t="str">
        <f>IF(ISBLANK($B199), "", INDEX(RAWData!F:F,MATCH($C199,RAWData!$A:$A,0)))</f>
        <v/>
      </c>
    </row>
    <row r="200" spans="2:9">
      <c r="B200" s="1310"/>
      <c r="C200" s="1309" t="str">
        <f t="shared" si="2"/>
        <v/>
      </c>
      <c r="E200" s="1309" t="str">
        <f>IF(ISBLANK($B200), "", INDEX(RAWData!B:B,MATCH($C200,RAWData!$A:$A,0)))</f>
        <v/>
      </c>
      <c r="F200" s="1309" t="str">
        <f>IF(ISBLANK($B200), "", INDEX(RAWData!C:C,MATCH($C200,RAWData!$A:$A,0)))</f>
        <v/>
      </c>
      <c r="G200" s="1309" t="str">
        <f>IF(ISBLANK($B200), "", INDEX(RAWData!D:D,MATCH($C200,RAWData!$A:$A,0)))</f>
        <v/>
      </c>
      <c r="H200" s="1309" t="str">
        <f>IF(ISBLANK($B200), "", INDEX(RAWData!E:E,MATCH($C200,RAWData!$A:$A,0)))</f>
        <v/>
      </c>
      <c r="I200" s="1309" t="str">
        <f>IF(ISBLANK($B200), "", INDEX(RAWData!F:F,MATCH($C200,RAWData!$A:$A,0)))</f>
        <v/>
      </c>
    </row>
    <row r="201" spans="2:9">
      <c r="B201" s="1314" t="s">
        <v>3963</v>
      </c>
      <c r="C201" s="1309" t="str">
        <f t="shared" si="2"/>
        <v>TLOUTPUTANALYCSATIMPACT1T1_0</v>
      </c>
      <c r="E201" s="1309" t="e">
        <f>IF(ISBLANK($B201), "", INDEX(RAWData!B:B,MATCH($C201,RAWData!$A:$A,0)))</f>
        <v>#N/A</v>
      </c>
      <c r="F201" s="1309" t="e">
        <f>IF(ISBLANK($B201), "", INDEX(RAWData!C:C,MATCH($C201,RAWData!$A:$A,0)))</f>
        <v>#N/A</v>
      </c>
      <c r="G201" s="1309" t="e">
        <f>IF(ISBLANK($B201), "", INDEX(RAWData!D:D,MATCH($C201,RAWData!$A:$A,0)))</f>
        <v>#N/A</v>
      </c>
      <c r="H201" s="1309" t="e">
        <f>IF(ISBLANK($B201), "", INDEX(RAWData!E:E,MATCH($C201,RAWData!$A:$A,0)))</f>
        <v>#N/A</v>
      </c>
      <c r="I201" s="1309" t="e">
        <f>IF(ISBLANK($B201), "", INDEX(RAWData!F:F,MATCH($C201,RAWData!$A:$A,0)))</f>
        <v>#N/A</v>
      </c>
    </row>
    <row r="202" spans="2:9">
      <c r="B202" s="1314" t="s">
        <v>3964</v>
      </c>
      <c r="C202" s="1309" t="str">
        <f t="shared" si="2"/>
        <v>TLOUTPUTANALYCSATIMPACT2T1_0</v>
      </c>
      <c r="E202" s="1309" t="e">
        <f>IF(ISBLANK($B202), "", INDEX(RAWData!B:B,MATCH($C202,RAWData!$A:$A,0)))</f>
        <v>#N/A</v>
      </c>
      <c r="F202" s="1309" t="e">
        <f>IF(ISBLANK($B202), "", INDEX(RAWData!C:C,MATCH($C202,RAWData!$A:$A,0)))</f>
        <v>#N/A</v>
      </c>
      <c r="G202" s="1309" t="e">
        <f>IF(ISBLANK($B202), "", INDEX(RAWData!D:D,MATCH($C202,RAWData!$A:$A,0)))</f>
        <v>#N/A</v>
      </c>
      <c r="H202" s="1309" t="e">
        <f>IF(ISBLANK($B202), "", INDEX(RAWData!E:E,MATCH($C202,RAWData!$A:$A,0)))</f>
        <v>#N/A</v>
      </c>
      <c r="I202" s="1309" t="e">
        <f>IF(ISBLANK($B202), "", INDEX(RAWData!F:F,MATCH($C202,RAWData!$A:$A,0)))</f>
        <v>#N/A</v>
      </c>
    </row>
    <row r="203" spans="2:9">
      <c r="B203" s="1314" t="s">
        <v>3965</v>
      </c>
      <c r="C203" s="1309" t="str">
        <f t="shared" si="2"/>
        <v>TLOUTPUTANALYCSATIMPACT3T1_0</v>
      </c>
      <c r="E203" s="1309" t="e">
        <f>IF(ISBLANK($B203), "", INDEX(RAWData!B:B,MATCH($C203,RAWData!$A:$A,0)))</f>
        <v>#N/A</v>
      </c>
      <c r="F203" s="1309" t="e">
        <f>IF(ISBLANK($B203), "", INDEX(RAWData!C:C,MATCH($C203,RAWData!$A:$A,0)))</f>
        <v>#N/A</v>
      </c>
      <c r="G203" s="1309" t="e">
        <f>IF(ISBLANK($B203), "", INDEX(RAWData!D:D,MATCH($C203,RAWData!$A:$A,0)))</f>
        <v>#N/A</v>
      </c>
      <c r="H203" s="1309" t="e">
        <f>IF(ISBLANK($B203), "", INDEX(RAWData!E:E,MATCH($C203,RAWData!$A:$A,0)))</f>
        <v>#N/A</v>
      </c>
      <c r="I203" s="1309" t="e">
        <f>IF(ISBLANK($B203), "", INDEX(RAWData!F:F,MATCH($C203,RAWData!$A:$A,0)))</f>
        <v>#N/A</v>
      </c>
    </row>
    <row r="204" spans="2:9">
      <c r="B204" s="1314" t="s">
        <v>3966</v>
      </c>
      <c r="C204" s="1309" t="str">
        <f t="shared" si="2"/>
        <v>TLOUTPUTANALYCSATIMPACT4T1_0</v>
      </c>
      <c r="E204" s="1309" t="e">
        <f>IF(ISBLANK($B204), "", INDEX(RAWData!B:B,MATCH($C204,RAWData!$A:$A,0)))</f>
        <v>#N/A</v>
      </c>
      <c r="F204" s="1309" t="e">
        <f>IF(ISBLANK($B204), "", INDEX(RAWData!C:C,MATCH($C204,RAWData!$A:$A,0)))</f>
        <v>#N/A</v>
      </c>
      <c r="G204" s="1309" t="e">
        <f>IF(ISBLANK($B204), "", INDEX(RAWData!D:D,MATCH($C204,RAWData!$A:$A,0)))</f>
        <v>#N/A</v>
      </c>
      <c r="H204" s="1309" t="e">
        <f>IF(ISBLANK($B204), "", INDEX(RAWData!E:E,MATCH($C204,RAWData!$A:$A,0)))</f>
        <v>#N/A</v>
      </c>
      <c r="I204" s="1309" t="e">
        <f>IF(ISBLANK($B204), "", INDEX(RAWData!F:F,MATCH($C204,RAWData!$A:$A,0)))</f>
        <v>#N/A</v>
      </c>
    </row>
    <row r="205" spans="2:9">
      <c r="B205" s="1314" t="s">
        <v>3967</v>
      </c>
      <c r="C205" s="1309" t="str">
        <f t="shared" si="2"/>
        <v>TLOUTPUTANALYCSATIMPACT5T1_0</v>
      </c>
      <c r="E205" s="1309" t="e">
        <f>IF(ISBLANK($B205), "", INDEX(RAWData!B:B,MATCH($C205,RAWData!$A:$A,0)))</f>
        <v>#N/A</v>
      </c>
      <c r="F205" s="1309" t="e">
        <f>IF(ISBLANK($B205), "", INDEX(RAWData!C:C,MATCH($C205,RAWData!$A:$A,0)))</f>
        <v>#N/A</v>
      </c>
      <c r="G205" s="1309" t="e">
        <f>IF(ISBLANK($B205), "", INDEX(RAWData!D:D,MATCH($C205,RAWData!$A:$A,0)))</f>
        <v>#N/A</v>
      </c>
      <c r="H205" s="1309" t="e">
        <f>IF(ISBLANK($B205), "", INDEX(RAWData!E:E,MATCH($C205,RAWData!$A:$A,0)))</f>
        <v>#N/A</v>
      </c>
      <c r="I205" s="1309" t="e">
        <f>IF(ISBLANK($B205), "", INDEX(RAWData!F:F,MATCH($C205,RAWData!$A:$A,0)))</f>
        <v>#N/A</v>
      </c>
    </row>
    <row r="206" spans="2:9">
      <c r="B206" s="1314" t="s">
        <v>3968</v>
      </c>
      <c r="C206" s="1309" t="str">
        <f t="shared" si="2"/>
        <v>TLOUTPUTANALYCSATIMPACT6T1_0</v>
      </c>
      <c r="E206" s="1309" t="e">
        <f>IF(ISBLANK($B206), "", INDEX(RAWData!B:B,MATCH($C206,RAWData!$A:$A,0)))</f>
        <v>#N/A</v>
      </c>
      <c r="F206" s="1309" t="e">
        <f>IF(ISBLANK($B206), "", INDEX(RAWData!C:C,MATCH($C206,RAWData!$A:$A,0)))</f>
        <v>#N/A</v>
      </c>
      <c r="G206" s="1309" t="e">
        <f>IF(ISBLANK($B206), "", INDEX(RAWData!D:D,MATCH($C206,RAWData!$A:$A,0)))</f>
        <v>#N/A</v>
      </c>
      <c r="H206" s="1309" t="e">
        <f>IF(ISBLANK($B206), "", INDEX(RAWData!E:E,MATCH($C206,RAWData!$A:$A,0)))</f>
        <v>#N/A</v>
      </c>
      <c r="I206" s="1309" t="e">
        <f>IF(ISBLANK($B206), "", INDEX(RAWData!F:F,MATCH($C206,RAWData!$A:$A,0)))</f>
        <v>#N/A</v>
      </c>
    </row>
    <row r="207" spans="2:9">
      <c r="B207" s="1314" t="s">
        <v>3969</v>
      </c>
      <c r="C207" s="1309" t="str">
        <f t="shared" si="2"/>
        <v>TLOUTPUTANALYCSATIMPACT7T1_0</v>
      </c>
      <c r="E207" s="1309" t="e">
        <f>IF(ISBLANK($B207), "", INDEX(RAWData!B:B,MATCH($C207,RAWData!$A:$A,0)))</f>
        <v>#N/A</v>
      </c>
      <c r="F207" s="1309" t="e">
        <f>IF(ISBLANK($B207), "", INDEX(RAWData!C:C,MATCH($C207,RAWData!$A:$A,0)))</f>
        <v>#N/A</v>
      </c>
      <c r="G207" s="1309" t="e">
        <f>IF(ISBLANK($B207), "", INDEX(RAWData!D:D,MATCH($C207,RAWData!$A:$A,0)))</f>
        <v>#N/A</v>
      </c>
      <c r="H207" s="1309" t="e">
        <f>IF(ISBLANK($B207), "", INDEX(RAWData!E:E,MATCH($C207,RAWData!$A:$A,0)))</f>
        <v>#N/A</v>
      </c>
      <c r="I207" s="1309" t="e">
        <f>IF(ISBLANK($B207), "", INDEX(RAWData!F:F,MATCH($C207,RAWData!$A:$A,0)))</f>
        <v>#N/A</v>
      </c>
    </row>
    <row r="208" spans="2:9">
      <c r="B208" s="1314" t="s">
        <v>3970</v>
      </c>
      <c r="C208" s="1309" t="str">
        <f t="shared" si="2"/>
        <v>TLOUTPUTANALYCSATIMPACT8T1_0</v>
      </c>
      <c r="E208" s="1309" t="e">
        <f>IF(ISBLANK($B208), "", INDEX(RAWData!B:B,MATCH($C208,RAWData!$A:$A,0)))</f>
        <v>#N/A</v>
      </c>
      <c r="F208" s="1309" t="e">
        <f>IF(ISBLANK($B208), "", INDEX(RAWData!C:C,MATCH($C208,RAWData!$A:$A,0)))</f>
        <v>#N/A</v>
      </c>
      <c r="G208" s="1309" t="e">
        <f>IF(ISBLANK($B208), "", INDEX(RAWData!D:D,MATCH($C208,RAWData!$A:$A,0)))</f>
        <v>#N/A</v>
      </c>
      <c r="H208" s="1309" t="e">
        <f>IF(ISBLANK($B208), "", INDEX(RAWData!E:E,MATCH($C208,RAWData!$A:$A,0)))</f>
        <v>#N/A</v>
      </c>
      <c r="I208" s="1309" t="e">
        <f>IF(ISBLANK($B208), "", INDEX(RAWData!F:F,MATCH($C208,RAWData!$A:$A,0)))</f>
        <v>#N/A</v>
      </c>
    </row>
    <row r="209" spans="2:9">
      <c r="B209" s="1314" t="s">
        <v>3971</v>
      </c>
      <c r="C209" s="1309" t="str">
        <f t="shared" si="2"/>
        <v>TLOUTPUTANALYCSATIMPACT9T1_0</v>
      </c>
      <c r="E209" s="1309" t="e">
        <f>IF(ISBLANK($B209), "", INDEX(RAWData!B:B,MATCH($C209,RAWData!$A:$A,0)))</f>
        <v>#N/A</v>
      </c>
      <c r="F209" s="1309" t="e">
        <f>IF(ISBLANK($B209), "", INDEX(RAWData!C:C,MATCH($C209,RAWData!$A:$A,0)))</f>
        <v>#N/A</v>
      </c>
      <c r="G209" s="1309" t="e">
        <f>IF(ISBLANK($B209), "", INDEX(RAWData!D:D,MATCH($C209,RAWData!$A:$A,0)))</f>
        <v>#N/A</v>
      </c>
      <c r="H209" s="1309" t="e">
        <f>IF(ISBLANK($B209), "", INDEX(RAWData!E:E,MATCH($C209,RAWData!$A:$A,0)))</f>
        <v>#N/A</v>
      </c>
      <c r="I209" s="1309" t="e">
        <f>IF(ISBLANK($B209), "", INDEX(RAWData!F:F,MATCH($C209,RAWData!$A:$A,0)))</f>
        <v>#N/A</v>
      </c>
    </row>
    <row r="210" spans="2:9">
      <c r="B210" s="1314" t="s">
        <v>3972</v>
      </c>
      <c r="C210" s="1309" t="str">
        <f t="shared" si="2"/>
        <v>TLOUTPUTANALYCSATIMPACT10T1_0</v>
      </c>
      <c r="E210" s="1309" t="e">
        <f>IF(ISBLANK($B210), "", INDEX(RAWData!B:B,MATCH($C210,RAWData!$A:$A,0)))</f>
        <v>#N/A</v>
      </c>
      <c r="F210" s="1309" t="e">
        <f>IF(ISBLANK($B210), "", INDEX(RAWData!C:C,MATCH($C210,RAWData!$A:$A,0)))</f>
        <v>#N/A</v>
      </c>
      <c r="G210" s="1309" t="e">
        <f>IF(ISBLANK($B210), "", INDEX(RAWData!D:D,MATCH($C210,RAWData!$A:$A,0)))</f>
        <v>#N/A</v>
      </c>
      <c r="H210" s="1309" t="e">
        <f>IF(ISBLANK($B210), "", INDEX(RAWData!E:E,MATCH($C210,RAWData!$A:$A,0)))</f>
        <v>#N/A</v>
      </c>
      <c r="I210" s="1309" t="e">
        <f>IF(ISBLANK($B210), "", INDEX(RAWData!F:F,MATCH($C210,RAWData!$A:$A,0)))</f>
        <v>#N/A</v>
      </c>
    </row>
    <row r="211" spans="2:9">
      <c r="B211" s="1314" t="s">
        <v>3973</v>
      </c>
      <c r="C211" s="1309" t="str">
        <f t="shared" si="2"/>
        <v>TLOUTPUTANALYCSATIMPACT11T1_0</v>
      </c>
      <c r="E211" s="1309" t="e">
        <f>IF(ISBLANK($B211), "", INDEX(RAWData!B:B,MATCH($C211,RAWData!$A:$A,0)))</f>
        <v>#N/A</v>
      </c>
      <c r="F211" s="1309" t="e">
        <f>IF(ISBLANK($B211), "", INDEX(RAWData!C:C,MATCH($C211,RAWData!$A:$A,0)))</f>
        <v>#N/A</v>
      </c>
      <c r="G211" s="1309" t="e">
        <f>IF(ISBLANK($B211), "", INDEX(RAWData!D:D,MATCH($C211,RAWData!$A:$A,0)))</f>
        <v>#N/A</v>
      </c>
      <c r="H211" s="1309" t="e">
        <f>IF(ISBLANK($B211), "", INDEX(RAWData!E:E,MATCH($C211,RAWData!$A:$A,0)))</f>
        <v>#N/A</v>
      </c>
      <c r="I211" s="1309" t="e">
        <f>IF(ISBLANK($B211), "", INDEX(RAWData!F:F,MATCH($C211,RAWData!$A:$A,0)))</f>
        <v>#N/A</v>
      </c>
    </row>
    <row r="212" spans="2:9">
      <c r="B212" s="1314" t="s">
        <v>3974</v>
      </c>
      <c r="C212" s="1309" t="str">
        <f t="shared" si="2"/>
        <v>TLOUTPUTANALYCSATIMPACT12T1_0</v>
      </c>
      <c r="E212" s="1309" t="e">
        <f>IF(ISBLANK($B212), "", INDEX(RAWData!B:B,MATCH($C212,RAWData!$A:$A,0)))</f>
        <v>#N/A</v>
      </c>
      <c r="F212" s="1309" t="e">
        <f>IF(ISBLANK($B212), "", INDEX(RAWData!C:C,MATCH($C212,RAWData!$A:$A,0)))</f>
        <v>#N/A</v>
      </c>
      <c r="G212" s="1309" t="e">
        <f>IF(ISBLANK($B212), "", INDEX(RAWData!D:D,MATCH($C212,RAWData!$A:$A,0)))</f>
        <v>#N/A</v>
      </c>
      <c r="H212" s="1309" t="e">
        <f>IF(ISBLANK($B212), "", INDEX(RAWData!E:E,MATCH($C212,RAWData!$A:$A,0)))</f>
        <v>#N/A</v>
      </c>
      <c r="I212" s="1309" t="e">
        <f>IF(ISBLANK($B212), "", INDEX(RAWData!F:F,MATCH($C212,RAWData!$A:$A,0)))</f>
        <v>#N/A</v>
      </c>
    </row>
    <row r="213" spans="2:9">
      <c r="B213" s="1314" t="s">
        <v>3975</v>
      </c>
      <c r="C213" s="1309" t="str">
        <f t="shared" si="2"/>
        <v>TLOUTPUTANALYCSATIMPACT13T1_0</v>
      </c>
      <c r="E213" s="1309" t="e">
        <f>IF(ISBLANK($B213), "", INDEX(RAWData!B:B,MATCH($C213,RAWData!$A:$A,0)))</f>
        <v>#N/A</v>
      </c>
      <c r="F213" s="1309" t="e">
        <f>IF(ISBLANK($B213), "", INDEX(RAWData!C:C,MATCH($C213,RAWData!$A:$A,0)))</f>
        <v>#N/A</v>
      </c>
      <c r="G213" s="1309" t="e">
        <f>IF(ISBLANK($B213), "", INDEX(RAWData!D:D,MATCH($C213,RAWData!$A:$A,0)))</f>
        <v>#N/A</v>
      </c>
      <c r="H213" s="1309" t="e">
        <f>IF(ISBLANK($B213), "", INDEX(RAWData!E:E,MATCH($C213,RAWData!$A:$A,0)))</f>
        <v>#N/A</v>
      </c>
      <c r="I213" s="1309" t="e">
        <f>IF(ISBLANK($B213), "", INDEX(RAWData!F:F,MATCH($C213,RAWData!$A:$A,0)))</f>
        <v>#N/A</v>
      </c>
    </row>
    <row r="214" spans="2:9">
      <c r="B214" s="1314" t="s">
        <v>3976</v>
      </c>
      <c r="C214" s="1309" t="str">
        <f t="shared" si="2"/>
        <v>TLOUTPUTANALYCSATIMPACT14T1_0</v>
      </c>
      <c r="E214" s="1309" t="e">
        <f>IF(ISBLANK($B214), "", INDEX(RAWData!B:B,MATCH($C214,RAWData!$A:$A,0)))</f>
        <v>#N/A</v>
      </c>
      <c r="F214" s="1309" t="e">
        <f>IF(ISBLANK($B214), "", INDEX(RAWData!C:C,MATCH($C214,RAWData!$A:$A,0)))</f>
        <v>#N/A</v>
      </c>
      <c r="G214" s="1309" t="e">
        <f>IF(ISBLANK($B214), "", INDEX(RAWData!D:D,MATCH($C214,RAWData!$A:$A,0)))</f>
        <v>#N/A</v>
      </c>
      <c r="H214" s="1309" t="e">
        <f>IF(ISBLANK($B214), "", INDEX(RAWData!E:E,MATCH($C214,RAWData!$A:$A,0)))</f>
        <v>#N/A</v>
      </c>
      <c r="I214" s="1309" t="e">
        <f>IF(ISBLANK($B214), "", INDEX(RAWData!F:F,MATCH($C214,RAWData!$A:$A,0)))</f>
        <v>#N/A</v>
      </c>
    </row>
    <row r="215" spans="2:9">
      <c r="B215" s="1314" t="s">
        <v>3977</v>
      </c>
      <c r="C215" s="1309" t="str">
        <f t="shared" ref="C215:C278" si="3">IF(NOT(ISBLANK($B215)),UPPER($B215)&amp;"_"&amp;$C$4,"")</f>
        <v>TLOUTPUTANALYCSATIMPACT15T1_0</v>
      </c>
      <c r="E215" s="1309" t="e">
        <f>IF(ISBLANK($B215), "", INDEX(RAWData!B:B,MATCH($C215,RAWData!$A:$A,0)))</f>
        <v>#N/A</v>
      </c>
      <c r="F215" s="1309" t="e">
        <f>IF(ISBLANK($B215), "", INDEX(RAWData!C:C,MATCH($C215,RAWData!$A:$A,0)))</f>
        <v>#N/A</v>
      </c>
      <c r="G215" s="1309" t="e">
        <f>IF(ISBLANK($B215), "", INDEX(RAWData!D:D,MATCH($C215,RAWData!$A:$A,0)))</f>
        <v>#N/A</v>
      </c>
      <c r="H215" s="1309" t="e">
        <f>IF(ISBLANK($B215), "", INDEX(RAWData!E:E,MATCH($C215,RAWData!$A:$A,0)))</f>
        <v>#N/A</v>
      </c>
      <c r="I215" s="1309" t="e">
        <f>IF(ISBLANK($B215), "", INDEX(RAWData!F:F,MATCH($C215,RAWData!$A:$A,0)))</f>
        <v>#N/A</v>
      </c>
    </row>
    <row r="216" spans="2:9">
      <c r="B216" s="1314" t="s">
        <v>3978</v>
      </c>
      <c r="C216" s="1309" t="str">
        <f t="shared" si="3"/>
        <v>TLOUTPUTANALYCSATIMPACT16T1_0</v>
      </c>
      <c r="E216" s="1309" t="e">
        <f>IF(ISBLANK($B216), "", INDEX(RAWData!B:B,MATCH($C216,RAWData!$A:$A,0)))</f>
        <v>#N/A</v>
      </c>
      <c r="F216" s="1309" t="e">
        <f>IF(ISBLANK($B216), "", INDEX(RAWData!C:C,MATCH($C216,RAWData!$A:$A,0)))</f>
        <v>#N/A</v>
      </c>
      <c r="G216" s="1309" t="e">
        <f>IF(ISBLANK($B216), "", INDEX(RAWData!D:D,MATCH($C216,RAWData!$A:$A,0)))</f>
        <v>#N/A</v>
      </c>
      <c r="H216" s="1309" t="e">
        <f>IF(ISBLANK($B216), "", INDEX(RAWData!E:E,MATCH($C216,RAWData!$A:$A,0)))</f>
        <v>#N/A</v>
      </c>
      <c r="I216" s="1309" t="e">
        <f>IF(ISBLANK($B216), "", INDEX(RAWData!F:F,MATCH($C216,RAWData!$A:$A,0)))</f>
        <v>#N/A</v>
      </c>
    </row>
    <row r="217" spans="2:9">
      <c r="B217" s="1314"/>
      <c r="C217" s="1309" t="str">
        <f t="shared" si="3"/>
        <v/>
      </c>
      <c r="E217" s="1309" t="str">
        <f>IF(ISBLANK($B217), "", INDEX(RAWData!B:B,MATCH($C217,RAWData!$A:$A,0)))</f>
        <v/>
      </c>
      <c r="F217" s="1309" t="str">
        <f>IF(ISBLANK($B217), "", INDEX(RAWData!C:C,MATCH($C217,RAWData!$A:$A,0)))</f>
        <v/>
      </c>
      <c r="G217" s="1309" t="str">
        <f>IF(ISBLANK($B217), "", INDEX(RAWData!D:D,MATCH($C217,RAWData!$A:$A,0)))</f>
        <v/>
      </c>
      <c r="H217" s="1309" t="str">
        <f>IF(ISBLANK($B217), "", INDEX(RAWData!E:E,MATCH($C217,RAWData!$A:$A,0)))</f>
        <v/>
      </c>
      <c r="I217" s="1309" t="str">
        <f>IF(ISBLANK($B217), "", INDEX(RAWData!F:F,MATCH($C217,RAWData!$A:$A,0)))</f>
        <v/>
      </c>
    </row>
    <row r="218" spans="2:9">
      <c r="B218" s="1310"/>
      <c r="C218" s="1309" t="str">
        <f t="shared" si="3"/>
        <v/>
      </c>
      <c r="E218" s="1309" t="str">
        <f>IF(ISBLANK($B218), "", INDEX(RAWData!B:B,MATCH($C218,RAWData!$A:$A,0)))</f>
        <v/>
      </c>
      <c r="F218" s="1309" t="str">
        <f>IF(ISBLANK($B218), "", INDEX(RAWData!C:C,MATCH($C218,RAWData!$A:$A,0)))</f>
        <v/>
      </c>
      <c r="G218" s="1309" t="str">
        <f>IF(ISBLANK($B218), "", INDEX(RAWData!D:D,MATCH($C218,RAWData!$A:$A,0)))</f>
        <v/>
      </c>
      <c r="H218" s="1309" t="str">
        <f>IF(ISBLANK($B218), "", INDEX(RAWData!E:E,MATCH($C218,RAWData!$A:$A,0)))</f>
        <v/>
      </c>
      <c r="I218" s="1309" t="str">
        <f>IF(ISBLANK($B218), "", INDEX(RAWData!F:F,MATCH($C218,RAWData!$A:$A,0)))</f>
        <v/>
      </c>
    </row>
    <row r="219" spans="2:9">
      <c r="B219" s="1314"/>
      <c r="C219" s="1309" t="str">
        <f t="shared" si="3"/>
        <v/>
      </c>
      <c r="E219" s="1309" t="str">
        <f>IF(ISBLANK($B219), "", INDEX(RAWData!B:B,MATCH($C219,RAWData!$A:$A,0)))</f>
        <v/>
      </c>
      <c r="F219" s="1309" t="str">
        <f>IF(ISBLANK($B219), "", INDEX(RAWData!C:C,MATCH($C219,RAWData!$A:$A,0)))</f>
        <v/>
      </c>
      <c r="G219" s="1309" t="str">
        <f>IF(ISBLANK($B219), "", INDEX(RAWData!D:D,MATCH($C219,RAWData!$A:$A,0)))</f>
        <v/>
      </c>
      <c r="H219" s="1309" t="str">
        <f>IF(ISBLANK($B219), "", INDEX(RAWData!E:E,MATCH($C219,RAWData!$A:$A,0)))</f>
        <v/>
      </c>
      <c r="I219" s="1309" t="str">
        <f>IF(ISBLANK($B219), "", INDEX(RAWData!F:F,MATCH($C219,RAWData!$A:$A,0)))</f>
        <v/>
      </c>
    </row>
    <row r="220" spans="2:9">
      <c r="B220" s="1312" t="s">
        <v>3979</v>
      </c>
      <c r="C220" s="1309" t="str">
        <f t="shared" si="3"/>
        <v>TLOUTPUTANALYPROD1RREVT1_0</v>
      </c>
      <c r="E220" s="1309" t="e">
        <f>IF(ISBLANK($B220), "", INDEX(RAWData!B:B,MATCH($C220,RAWData!$A:$A,0)))</f>
        <v>#N/A</v>
      </c>
      <c r="F220" s="1309" t="e">
        <f>IF(ISBLANK($B220), "", INDEX(RAWData!C:C,MATCH($C220,RAWData!$A:$A,0)))</f>
        <v>#N/A</v>
      </c>
      <c r="G220" s="1309" t="e">
        <f>IF(ISBLANK($B220), "", INDEX(RAWData!D:D,MATCH($C220,RAWData!$A:$A,0)))</f>
        <v>#N/A</v>
      </c>
      <c r="H220" s="1309" t="e">
        <f>IF(ISBLANK($B220), "", INDEX(RAWData!E:E,MATCH($C220,RAWData!$A:$A,0)))</f>
        <v>#N/A</v>
      </c>
      <c r="I220" s="1309" t="e">
        <f>IF(ISBLANK($B220), "", INDEX(RAWData!F:F,MATCH($C220,RAWData!$A:$A,0)))</f>
        <v>#N/A</v>
      </c>
    </row>
    <row r="221" spans="2:9">
      <c r="B221" s="1312" t="s">
        <v>3980</v>
      </c>
      <c r="C221" s="1309" t="str">
        <f t="shared" si="3"/>
        <v>TLOUTPUTANALYPROD1NREVT1_0</v>
      </c>
      <c r="E221" s="1309" t="e">
        <f>IF(ISBLANK($B221), "", INDEX(RAWData!B:B,MATCH($C221,RAWData!$A:$A,0)))</f>
        <v>#N/A</v>
      </c>
      <c r="F221" s="1309" t="e">
        <f>IF(ISBLANK($B221), "", INDEX(RAWData!C:C,MATCH($C221,RAWData!$A:$A,0)))</f>
        <v>#N/A</v>
      </c>
      <c r="G221" s="1309" t="e">
        <f>IF(ISBLANK($B221), "", INDEX(RAWData!D:D,MATCH($C221,RAWData!$A:$A,0)))</f>
        <v>#N/A</v>
      </c>
      <c r="H221" s="1309" t="e">
        <f>IF(ISBLANK($B221), "", INDEX(RAWData!E:E,MATCH($C221,RAWData!$A:$A,0)))</f>
        <v>#N/A</v>
      </c>
      <c r="I221" s="1309" t="e">
        <f>IF(ISBLANK($B221), "", INDEX(RAWData!F:F,MATCH($C221,RAWData!$A:$A,0)))</f>
        <v>#N/A</v>
      </c>
    </row>
    <row r="222" spans="2:9">
      <c r="B222" s="1312" t="s">
        <v>3981</v>
      </c>
      <c r="C222" s="1309" t="str">
        <f t="shared" si="3"/>
        <v>TLOUTPUTANALYPROD1TREVT1_0</v>
      </c>
      <c r="E222" s="1309" t="e">
        <f>IF(ISBLANK($B222), "", INDEX(RAWData!B:B,MATCH($C222,RAWData!$A:$A,0)))</f>
        <v>#N/A</v>
      </c>
      <c r="F222" s="1309" t="e">
        <f>IF(ISBLANK($B222), "", INDEX(RAWData!C:C,MATCH($C222,RAWData!$A:$A,0)))</f>
        <v>#N/A</v>
      </c>
      <c r="G222" s="1309" t="e">
        <f>IF(ISBLANK($B222), "", INDEX(RAWData!D:D,MATCH($C222,RAWData!$A:$A,0)))</f>
        <v>#N/A</v>
      </c>
      <c r="H222" s="1309" t="e">
        <f>IF(ISBLANK($B222), "", INDEX(RAWData!E:E,MATCH($C222,RAWData!$A:$A,0)))</f>
        <v>#N/A</v>
      </c>
      <c r="I222" s="1309" t="e">
        <f>IF(ISBLANK($B222), "", INDEX(RAWData!F:F,MATCH($C222,RAWData!$A:$A,0)))</f>
        <v>#N/A</v>
      </c>
    </row>
    <row r="223" spans="2:9">
      <c r="B223" s="1312" t="s">
        <v>3982</v>
      </c>
      <c r="C223" s="1309" t="str">
        <f t="shared" si="3"/>
        <v>TLOUTPUTANALYPROD1REVT1_0</v>
      </c>
      <c r="E223" s="1309" t="e">
        <f>IF(ISBLANK($B223), "", INDEX(RAWData!B:B,MATCH($C223,RAWData!$A:$A,0)))</f>
        <v>#N/A</v>
      </c>
      <c r="F223" s="1309" t="e">
        <f>IF(ISBLANK($B223), "", INDEX(RAWData!C:C,MATCH($C223,RAWData!$A:$A,0)))</f>
        <v>#N/A</v>
      </c>
      <c r="G223" s="1309" t="e">
        <f>IF(ISBLANK($B223), "", INDEX(RAWData!D:D,MATCH($C223,RAWData!$A:$A,0)))</f>
        <v>#N/A</v>
      </c>
      <c r="H223" s="1309" t="e">
        <f>IF(ISBLANK($B223), "", INDEX(RAWData!E:E,MATCH($C223,RAWData!$A:$A,0)))</f>
        <v>#N/A</v>
      </c>
      <c r="I223" s="1309" t="e">
        <f>IF(ISBLANK($B223), "", INDEX(RAWData!F:F,MATCH($C223,RAWData!$A:$A,0)))</f>
        <v>#N/A</v>
      </c>
    </row>
    <row r="224" spans="2:9">
      <c r="B224" s="1312" t="s">
        <v>3983</v>
      </c>
      <c r="C224" s="1309" t="str">
        <f t="shared" si="3"/>
        <v>TLOUTPUTANALYPROD1EBITDAT1_0</v>
      </c>
      <c r="E224" s="1309" t="e">
        <f>IF(ISBLANK($B224), "", INDEX(RAWData!B:B,MATCH($C224,RAWData!$A:$A,0)))</f>
        <v>#N/A</v>
      </c>
      <c r="F224" s="1309" t="e">
        <f>IF(ISBLANK($B224), "", INDEX(RAWData!C:C,MATCH($C224,RAWData!$A:$A,0)))</f>
        <v>#N/A</v>
      </c>
      <c r="G224" s="1309" t="e">
        <f>IF(ISBLANK($B224), "", INDEX(RAWData!D:D,MATCH($C224,RAWData!$A:$A,0)))</f>
        <v>#N/A</v>
      </c>
      <c r="H224" s="1309" t="e">
        <f>IF(ISBLANK($B224), "", INDEX(RAWData!E:E,MATCH($C224,RAWData!$A:$A,0)))</f>
        <v>#N/A</v>
      </c>
      <c r="I224" s="1309" t="e">
        <f>IF(ISBLANK($B224), "", INDEX(RAWData!F:F,MATCH($C224,RAWData!$A:$A,0)))</f>
        <v>#N/A</v>
      </c>
    </row>
    <row r="225" spans="2:9">
      <c r="B225" s="1313" t="s">
        <v>3984</v>
      </c>
      <c r="C225" s="1309" t="str">
        <f t="shared" si="3"/>
        <v>TLOUTPUTANALYPROD1EBITDAMARGINT1_0</v>
      </c>
      <c r="E225" s="1309" t="e">
        <f>IF(ISBLANK($B225), "", INDEX(RAWData!B:B,MATCH($C225,RAWData!$A:$A,0)))</f>
        <v>#N/A</v>
      </c>
      <c r="F225" s="1309" t="e">
        <f>IF(ISBLANK($B225), "", INDEX(RAWData!C:C,MATCH($C225,RAWData!$A:$A,0)))</f>
        <v>#N/A</v>
      </c>
      <c r="G225" s="1309" t="e">
        <f>IF(ISBLANK($B225), "", INDEX(RAWData!D:D,MATCH($C225,RAWData!$A:$A,0)))</f>
        <v>#N/A</v>
      </c>
      <c r="H225" s="1309" t="e">
        <f>IF(ISBLANK($B225), "", INDEX(RAWData!E:E,MATCH($C225,RAWData!$A:$A,0)))</f>
        <v>#N/A</v>
      </c>
      <c r="I225" s="1309" t="e">
        <f>IF(ISBLANK($B225), "", INDEX(RAWData!F:F,MATCH($C225,RAWData!$A:$A,0)))</f>
        <v>#N/A</v>
      </c>
    </row>
    <row r="226" spans="2:9">
      <c r="B226" s="1312" t="s">
        <v>3985</v>
      </c>
      <c r="C226" s="1309" t="str">
        <f t="shared" si="3"/>
        <v>TLOUTPUTANALYPROD1OPERATINGINCOMET1_0</v>
      </c>
      <c r="E226" s="1309" t="e">
        <f>IF(ISBLANK($B226), "", INDEX(RAWData!B:B,MATCH($C226,RAWData!$A:$A,0)))</f>
        <v>#N/A</v>
      </c>
      <c r="F226" s="1309" t="e">
        <f>IF(ISBLANK($B226), "", INDEX(RAWData!C:C,MATCH($C226,RAWData!$A:$A,0)))</f>
        <v>#N/A</v>
      </c>
      <c r="G226" s="1309" t="e">
        <f>IF(ISBLANK($B226), "", INDEX(RAWData!D:D,MATCH($C226,RAWData!$A:$A,0)))</f>
        <v>#N/A</v>
      </c>
      <c r="H226" s="1309" t="e">
        <f>IF(ISBLANK($B226), "", INDEX(RAWData!E:E,MATCH($C226,RAWData!$A:$A,0)))</f>
        <v>#N/A</v>
      </c>
      <c r="I226" s="1309" t="e">
        <f>IF(ISBLANK($B226), "", INDEX(RAWData!F:F,MATCH($C226,RAWData!$A:$A,0)))</f>
        <v>#N/A</v>
      </c>
    </row>
    <row r="227" spans="2:9">
      <c r="B227" s="1313" t="s">
        <v>3986</v>
      </c>
      <c r="C227" s="1309" t="str">
        <f t="shared" si="3"/>
        <v>TLOUTPUTANALYPROD1OPERATINGMARGINT1_0</v>
      </c>
      <c r="E227" s="1309" t="e">
        <f>IF(ISBLANK($B227), "", INDEX(RAWData!B:B,MATCH($C227,RAWData!$A:$A,0)))</f>
        <v>#N/A</v>
      </c>
      <c r="F227" s="1309" t="e">
        <f>IF(ISBLANK($B227), "", INDEX(RAWData!C:C,MATCH($C227,RAWData!$A:$A,0)))</f>
        <v>#N/A</v>
      </c>
      <c r="G227" s="1309" t="e">
        <f>IF(ISBLANK($B227), "", INDEX(RAWData!D:D,MATCH($C227,RAWData!$A:$A,0)))</f>
        <v>#N/A</v>
      </c>
      <c r="H227" s="1309" t="e">
        <f>IF(ISBLANK($B227), "", INDEX(RAWData!E:E,MATCH($C227,RAWData!$A:$A,0)))</f>
        <v>#N/A</v>
      </c>
      <c r="I227" s="1309" t="e">
        <f>IF(ISBLANK($B227), "", INDEX(RAWData!F:F,MATCH($C227,RAWData!$A:$A,0)))</f>
        <v>#N/A</v>
      </c>
    </row>
    <row r="228" spans="2:9">
      <c r="B228" s="1313" t="s">
        <v>3987</v>
      </c>
      <c r="C228" s="1309" t="str">
        <f t="shared" si="3"/>
        <v>TLOUTPUTANALYPROD1SUBGROWTHT1_0</v>
      </c>
      <c r="E228" s="1309" t="e">
        <f>IF(ISBLANK($B228), "", INDEX(RAWData!B:B,MATCH($C228,RAWData!$A:$A,0)))</f>
        <v>#N/A</v>
      </c>
      <c r="F228" s="1309" t="e">
        <f>IF(ISBLANK($B228), "", INDEX(RAWData!C:C,MATCH($C228,RAWData!$A:$A,0)))</f>
        <v>#N/A</v>
      </c>
      <c r="G228" s="1309" t="e">
        <f>IF(ISBLANK($B228), "", INDEX(RAWData!D:D,MATCH($C228,RAWData!$A:$A,0)))</f>
        <v>#N/A</v>
      </c>
      <c r="H228" s="1309" t="e">
        <f>IF(ISBLANK($B228), "", INDEX(RAWData!E:E,MATCH($C228,RAWData!$A:$A,0)))</f>
        <v>#N/A</v>
      </c>
      <c r="I228" s="1309" t="e">
        <f>IF(ISBLANK($B228), "", INDEX(RAWData!F:F,MATCH($C228,RAWData!$A:$A,0)))</f>
        <v>#N/A</v>
      </c>
    </row>
    <row r="229" spans="2:9">
      <c r="B229" s="1313" t="s">
        <v>3988</v>
      </c>
      <c r="C229" s="1309" t="str">
        <f t="shared" si="3"/>
        <v>TLOUTPUTANALYPROD1CANCELLATIONT1_0</v>
      </c>
      <c r="E229" s="1309" t="e">
        <f>IF(ISBLANK($B229), "", INDEX(RAWData!B:B,MATCH($C229,RAWData!$A:$A,0)))</f>
        <v>#N/A</v>
      </c>
      <c r="F229" s="1309" t="e">
        <f>IF(ISBLANK($B229), "", INDEX(RAWData!C:C,MATCH($C229,RAWData!$A:$A,0)))</f>
        <v>#N/A</v>
      </c>
      <c r="G229" s="1309" t="e">
        <f>IF(ISBLANK($B229), "", INDEX(RAWData!D:D,MATCH($C229,RAWData!$A:$A,0)))</f>
        <v>#N/A</v>
      </c>
      <c r="H229" s="1309" t="e">
        <f>IF(ISBLANK($B229), "", INDEX(RAWData!E:E,MATCH($C229,RAWData!$A:$A,0)))</f>
        <v>#N/A</v>
      </c>
      <c r="I229" s="1309" t="e">
        <f>IF(ISBLANK($B229), "", INDEX(RAWData!F:F,MATCH($C229,RAWData!$A:$A,0)))</f>
        <v>#N/A</v>
      </c>
    </row>
    <row r="230" spans="2:9">
      <c r="B230" s="1313" t="s">
        <v>3989</v>
      </c>
      <c r="C230" s="1309" t="str">
        <f t="shared" si="3"/>
        <v>TLOUTPUTANALYPROD1ATTACHRATET1_0</v>
      </c>
      <c r="E230" s="1309" t="e">
        <f>IF(ISBLANK($B230), "", INDEX(RAWData!B:B,MATCH($C230,RAWData!$A:$A,0)))</f>
        <v>#N/A</v>
      </c>
      <c r="F230" s="1309" t="e">
        <f>IF(ISBLANK($B230), "", INDEX(RAWData!C:C,MATCH($C230,RAWData!$A:$A,0)))</f>
        <v>#N/A</v>
      </c>
      <c r="G230" s="1309" t="e">
        <f>IF(ISBLANK($B230), "", INDEX(RAWData!D:D,MATCH($C230,RAWData!$A:$A,0)))</f>
        <v>#N/A</v>
      </c>
      <c r="H230" s="1309" t="e">
        <f>IF(ISBLANK($B230), "", INDEX(RAWData!E:E,MATCH($C230,RAWData!$A:$A,0)))</f>
        <v>#N/A</v>
      </c>
      <c r="I230" s="1309" t="e">
        <f>IF(ISBLANK($B230), "", INDEX(RAWData!F:F,MATCH($C230,RAWData!$A:$A,0)))</f>
        <v>#N/A</v>
      </c>
    </row>
    <row r="231" spans="2:9">
      <c r="B231" s="1313"/>
      <c r="C231" s="1309" t="str">
        <f t="shared" si="3"/>
        <v/>
      </c>
      <c r="E231" s="1309" t="str">
        <f>IF(ISBLANK($B231), "", INDEX(RAWData!B:B,MATCH($C231,RAWData!$A:$A,0)))</f>
        <v/>
      </c>
      <c r="F231" s="1309" t="str">
        <f>IF(ISBLANK($B231), "", INDEX(RAWData!C:C,MATCH($C231,RAWData!$A:$A,0)))</f>
        <v/>
      </c>
      <c r="G231" s="1309" t="str">
        <f>IF(ISBLANK($B231), "", INDEX(RAWData!D:D,MATCH($C231,RAWData!$A:$A,0)))</f>
        <v/>
      </c>
      <c r="H231" s="1309" t="str">
        <f>IF(ISBLANK($B231), "", INDEX(RAWData!E:E,MATCH($C231,RAWData!$A:$A,0)))</f>
        <v/>
      </c>
      <c r="I231" s="1309" t="str">
        <f>IF(ISBLANK($B231), "", INDEX(RAWData!F:F,MATCH($C231,RAWData!$A:$A,0)))</f>
        <v/>
      </c>
    </row>
    <row r="232" spans="2:9">
      <c r="B232" s="1314"/>
      <c r="C232" s="1309" t="str">
        <f t="shared" si="3"/>
        <v/>
      </c>
      <c r="E232" s="1309" t="str">
        <f>IF(ISBLANK($B232), "", INDEX(RAWData!B:B,MATCH($C232,RAWData!$A:$A,0)))</f>
        <v/>
      </c>
      <c r="F232" s="1309" t="str">
        <f>IF(ISBLANK($B232), "", INDEX(RAWData!C:C,MATCH($C232,RAWData!$A:$A,0)))</f>
        <v/>
      </c>
      <c r="G232" s="1309" t="str">
        <f>IF(ISBLANK($B232), "", INDEX(RAWData!D:D,MATCH($C232,RAWData!$A:$A,0)))</f>
        <v/>
      </c>
      <c r="H232" s="1309" t="str">
        <f>IF(ISBLANK($B232), "", INDEX(RAWData!E:E,MATCH($C232,RAWData!$A:$A,0)))</f>
        <v/>
      </c>
      <c r="I232" s="1309" t="str">
        <f>IF(ISBLANK($B232), "", INDEX(RAWData!F:F,MATCH($C232,RAWData!$A:$A,0)))</f>
        <v/>
      </c>
    </row>
    <row r="233" spans="2:9">
      <c r="B233" s="1323" t="s">
        <v>3990</v>
      </c>
      <c r="C233" s="1309" t="str">
        <f t="shared" si="3"/>
        <v>TLOUTPUTANALYPROD1TECHT1_0</v>
      </c>
      <c r="E233" s="1309" t="e">
        <f>IF(ISBLANK($B233), "", INDEX(RAWData!B:B,MATCH($C233,RAWData!$A:$A,0)))</f>
        <v>#N/A</v>
      </c>
      <c r="F233" s="1309" t="e">
        <f>IF(ISBLANK($B233), "", INDEX(RAWData!C:C,MATCH($C233,RAWData!$A:$A,0)))</f>
        <v>#N/A</v>
      </c>
      <c r="G233" s="1309" t="e">
        <f>IF(ISBLANK($B233), "", INDEX(RAWData!D:D,MATCH($C233,RAWData!$A:$A,0)))</f>
        <v>#N/A</v>
      </c>
      <c r="H233" s="1309" t="e">
        <f>IF(ISBLANK($B233), "", INDEX(RAWData!E:E,MATCH($C233,RAWData!$A:$A,0)))</f>
        <v>#N/A</v>
      </c>
      <c r="I233" s="1309" t="e">
        <f>IF(ISBLANK($B233), "", INDEX(RAWData!F:F,MATCH($C233,RAWData!$A:$A,0)))</f>
        <v>#N/A</v>
      </c>
    </row>
    <row r="234" spans="2:9">
      <c r="B234" s="1324" t="s">
        <v>3991</v>
      </c>
      <c r="C234" s="1309" t="str">
        <f t="shared" si="3"/>
        <v>TLOUTPUTANALYPROD1TTMT1_0</v>
      </c>
      <c r="E234" s="1309" t="e">
        <f>IF(ISBLANK($B234), "", INDEX(RAWData!B:B,MATCH($C234,RAWData!$A:$A,0)))</f>
        <v>#N/A</v>
      </c>
      <c r="F234" s="1309" t="e">
        <f>IF(ISBLANK($B234), "", INDEX(RAWData!C:C,MATCH($C234,RAWData!$A:$A,0)))</f>
        <v>#N/A</v>
      </c>
      <c r="G234" s="1309" t="e">
        <f>IF(ISBLANK($B234), "", INDEX(RAWData!D:D,MATCH($C234,RAWData!$A:$A,0)))</f>
        <v>#N/A</v>
      </c>
      <c r="H234" s="1309" t="e">
        <f>IF(ISBLANK($B234), "", INDEX(RAWData!E:E,MATCH($C234,RAWData!$A:$A,0)))</f>
        <v>#N/A</v>
      </c>
      <c r="I234" s="1309" t="e">
        <f>IF(ISBLANK($B234), "", INDEX(RAWData!F:F,MATCH($C234,RAWData!$A:$A,0)))</f>
        <v>#N/A</v>
      </c>
    </row>
    <row r="235" spans="2:9">
      <c r="B235" s="1325" t="s">
        <v>3992</v>
      </c>
      <c r="C235" s="1309" t="str">
        <f t="shared" si="3"/>
        <v>TLOUTPUTANALYPROD1IFTEST1_0</v>
      </c>
      <c r="E235" s="1309" t="e">
        <f>IF(ISBLANK($B235), "", INDEX(RAWData!B:B,MATCH($C235,RAWData!$A:$A,0)))</f>
        <v>#N/A</v>
      </c>
      <c r="F235" s="1309" t="e">
        <f>IF(ISBLANK($B235), "", INDEX(RAWData!C:C,MATCH($C235,RAWData!$A:$A,0)))</f>
        <v>#N/A</v>
      </c>
      <c r="G235" s="1309" t="e">
        <f>IF(ISBLANK($B235), "", INDEX(RAWData!D:D,MATCH($C235,RAWData!$A:$A,0)))</f>
        <v>#N/A</v>
      </c>
      <c r="H235" s="1309" t="e">
        <f>IF(ISBLANK($B235), "", INDEX(RAWData!E:E,MATCH($C235,RAWData!$A:$A,0)))</f>
        <v>#N/A</v>
      </c>
      <c r="I235" s="1309" t="e">
        <f>IF(ISBLANK($B235), "", INDEX(RAWData!F:F,MATCH($C235,RAWData!$A:$A,0)))</f>
        <v>#N/A</v>
      </c>
    </row>
    <row r="236" spans="2:9">
      <c r="B236" s="1325" t="s">
        <v>3993</v>
      </c>
      <c r="C236" s="1309" t="str">
        <f t="shared" si="3"/>
        <v>TLOUTPUTANALYPROD1EIFTEST1_0</v>
      </c>
      <c r="E236" s="1309" t="e">
        <f>IF(ISBLANK($B236), "", INDEX(RAWData!B:B,MATCH($C236,RAWData!$A:$A,0)))</f>
        <v>#N/A</v>
      </c>
      <c r="F236" s="1309" t="e">
        <f>IF(ISBLANK($B236), "", INDEX(RAWData!C:C,MATCH($C236,RAWData!$A:$A,0)))</f>
        <v>#N/A</v>
      </c>
      <c r="G236" s="1309" t="e">
        <f>IF(ISBLANK($B236), "", INDEX(RAWData!D:D,MATCH($C236,RAWData!$A:$A,0)))</f>
        <v>#N/A</v>
      </c>
      <c r="H236" s="1309" t="e">
        <f>IF(ISBLANK($B236), "", INDEX(RAWData!E:E,MATCH($C236,RAWData!$A:$A,0)))</f>
        <v>#N/A</v>
      </c>
      <c r="I236" s="1309" t="e">
        <f>IF(ISBLANK($B236), "", INDEX(RAWData!F:F,MATCH($C236,RAWData!$A:$A,0)))</f>
        <v>#N/A</v>
      </c>
    </row>
    <row r="237" spans="2:9">
      <c r="B237" s="1313" t="s">
        <v>3994</v>
      </c>
      <c r="C237" s="1309" t="str">
        <f t="shared" si="3"/>
        <v>TLOUTPUTANALYPROD1SALESFORCET1_0</v>
      </c>
      <c r="E237" s="1309" t="e">
        <f>IF(ISBLANK($B237), "", INDEX(RAWData!B:B,MATCH($C237,RAWData!$A:$A,0)))</f>
        <v>#N/A</v>
      </c>
      <c r="F237" s="1309" t="e">
        <f>IF(ISBLANK($B237), "", INDEX(RAWData!C:C,MATCH($C237,RAWData!$A:$A,0)))</f>
        <v>#N/A</v>
      </c>
      <c r="G237" s="1309" t="e">
        <f>IF(ISBLANK($B237), "", INDEX(RAWData!D:D,MATCH($C237,RAWData!$A:$A,0)))</f>
        <v>#N/A</v>
      </c>
      <c r="H237" s="1309" t="e">
        <f>IF(ISBLANK($B237), "", INDEX(RAWData!E:E,MATCH($C237,RAWData!$A:$A,0)))</f>
        <v>#N/A</v>
      </c>
      <c r="I237" s="1309" t="e">
        <f>IF(ISBLANK($B237), "", INDEX(RAWData!F:F,MATCH($C237,RAWData!$A:$A,0)))</f>
        <v>#N/A</v>
      </c>
    </row>
    <row r="238" spans="2:9">
      <c r="B238" s="1313" t="s">
        <v>3995</v>
      </c>
      <c r="C238" s="1309" t="str">
        <f t="shared" si="3"/>
        <v>TLOUTPUTANALYPROD1PERCNEWT1_0</v>
      </c>
      <c r="E238" s="1309" t="e">
        <f>IF(ISBLANK($B238), "", INDEX(RAWData!B:B,MATCH($C238,RAWData!$A:$A,0)))</f>
        <v>#N/A</v>
      </c>
      <c r="F238" s="1309" t="e">
        <f>IF(ISBLANK($B238), "", INDEX(RAWData!C:C,MATCH($C238,RAWData!$A:$A,0)))</f>
        <v>#N/A</v>
      </c>
      <c r="G238" s="1309" t="e">
        <f>IF(ISBLANK($B238), "", INDEX(RAWData!D:D,MATCH($C238,RAWData!$A:$A,0)))</f>
        <v>#N/A</v>
      </c>
      <c r="H238" s="1309" t="e">
        <f>IF(ISBLANK($B238), "", INDEX(RAWData!E:E,MATCH($C238,RAWData!$A:$A,0)))</f>
        <v>#N/A</v>
      </c>
      <c r="I238" s="1309" t="e">
        <f>IF(ISBLANK($B238), "", INDEX(RAWData!F:F,MATCH($C238,RAWData!$A:$A,0)))</f>
        <v>#N/A</v>
      </c>
    </row>
    <row r="239" spans="2:9">
      <c r="B239" s="1326" t="s">
        <v>3996</v>
      </c>
      <c r="C239" s="1309" t="str">
        <f t="shared" si="3"/>
        <v>TLOUTPUTANALYPROD1SALESINITST1_0</v>
      </c>
      <c r="E239" s="1309" t="e">
        <f>IF(ISBLANK($B239), "", INDEX(RAWData!B:B,MATCH($C239,RAWData!$A:$A,0)))</f>
        <v>#N/A</v>
      </c>
      <c r="F239" s="1309" t="e">
        <f>IF(ISBLANK($B239), "", INDEX(RAWData!C:C,MATCH($C239,RAWData!$A:$A,0)))</f>
        <v>#N/A</v>
      </c>
      <c r="G239" s="1309" t="e">
        <f>IF(ISBLANK($B239), "", INDEX(RAWData!D:D,MATCH($C239,RAWData!$A:$A,0)))</f>
        <v>#N/A</v>
      </c>
      <c r="H239" s="1309" t="e">
        <f>IF(ISBLANK($B239), "", INDEX(RAWData!E:E,MATCH($C239,RAWData!$A:$A,0)))</f>
        <v>#N/A</v>
      </c>
      <c r="I239" s="1309" t="e">
        <f>IF(ISBLANK($B239), "", INDEX(RAWData!F:F,MATCH($C239,RAWData!$A:$A,0)))</f>
        <v>#N/A</v>
      </c>
    </row>
    <row r="240" spans="2:9">
      <c r="B240" s="1326" t="s">
        <v>3997</v>
      </c>
      <c r="C240" s="1309" t="str">
        <f t="shared" si="3"/>
        <v>TLOUTPUTANALYPROD1TRAININGT1_0</v>
      </c>
      <c r="E240" s="1309" t="e">
        <f>IF(ISBLANK($B240), "", INDEX(RAWData!B:B,MATCH($C240,RAWData!$A:$A,0)))</f>
        <v>#N/A</v>
      </c>
      <c r="F240" s="1309" t="e">
        <f>IF(ISBLANK($B240), "", INDEX(RAWData!C:C,MATCH($C240,RAWData!$A:$A,0)))</f>
        <v>#N/A</v>
      </c>
      <c r="G240" s="1309" t="e">
        <f>IF(ISBLANK($B240), "", INDEX(RAWData!D:D,MATCH($C240,RAWData!$A:$A,0)))</f>
        <v>#N/A</v>
      </c>
      <c r="H240" s="1309" t="e">
        <f>IF(ISBLANK($B240), "", INDEX(RAWData!E:E,MATCH($C240,RAWData!$A:$A,0)))</f>
        <v>#N/A</v>
      </c>
      <c r="I240" s="1309" t="e">
        <f>IF(ISBLANK($B240), "", INDEX(RAWData!F:F,MATCH($C240,RAWData!$A:$A,0)))</f>
        <v>#N/A</v>
      </c>
    </row>
    <row r="241" spans="2:9">
      <c r="B241" s="1312" t="s">
        <v>3998</v>
      </c>
      <c r="C241" s="1309" t="str">
        <f t="shared" si="3"/>
        <v>TLOUTPUTANALYPROD1MKTT1_0</v>
      </c>
      <c r="E241" s="1309" t="e">
        <f>IF(ISBLANK($B241), "", INDEX(RAWData!B:B,MATCH($C241,RAWData!$A:$A,0)))</f>
        <v>#N/A</v>
      </c>
      <c r="F241" s="1309" t="e">
        <f>IF(ISBLANK($B241), "", INDEX(RAWData!C:C,MATCH($C241,RAWData!$A:$A,0)))</f>
        <v>#N/A</v>
      </c>
      <c r="G241" s="1309" t="e">
        <f>IF(ISBLANK($B241), "", INDEX(RAWData!D:D,MATCH($C241,RAWData!$A:$A,0)))</f>
        <v>#N/A</v>
      </c>
      <c r="H241" s="1309" t="e">
        <f>IF(ISBLANK($B241), "", INDEX(RAWData!E:E,MATCH($C241,RAWData!$A:$A,0)))</f>
        <v>#N/A</v>
      </c>
      <c r="I241" s="1309" t="e">
        <f>IF(ISBLANK($B241), "", INDEX(RAWData!F:F,MATCH($C241,RAWData!$A:$A,0)))</f>
        <v>#N/A</v>
      </c>
    </row>
    <row r="242" spans="2:9">
      <c r="B242" s="1323" t="s">
        <v>3999</v>
      </c>
      <c r="C242" s="1309" t="str">
        <f t="shared" si="3"/>
        <v>TLOUTPUTANALYPROD1CONTENTT1_0</v>
      </c>
      <c r="E242" s="1309" t="e">
        <f>IF(ISBLANK($B242), "", INDEX(RAWData!B:B,MATCH($C242,RAWData!$A:$A,0)))</f>
        <v>#N/A</v>
      </c>
      <c r="F242" s="1309" t="e">
        <f>IF(ISBLANK($B242), "", INDEX(RAWData!C:C,MATCH($C242,RAWData!$A:$A,0)))</f>
        <v>#N/A</v>
      </c>
      <c r="G242" s="1309" t="e">
        <f>IF(ISBLANK($B242), "", INDEX(RAWData!D:D,MATCH($C242,RAWData!$A:$A,0)))</f>
        <v>#N/A</v>
      </c>
      <c r="H242" s="1309" t="e">
        <f>IF(ISBLANK($B242), "", INDEX(RAWData!E:E,MATCH($C242,RAWData!$A:$A,0)))</f>
        <v>#N/A</v>
      </c>
      <c r="I242" s="1309" t="e">
        <f>IF(ISBLANK($B242), "", INDEX(RAWData!F:F,MATCH($C242,RAWData!$A:$A,0)))</f>
        <v>#N/A</v>
      </c>
    </row>
    <row r="243" spans="2:9">
      <c r="B243" s="1327" t="s">
        <v>4000</v>
      </c>
      <c r="C243" s="1309" t="str">
        <f t="shared" si="3"/>
        <v>TLOUTPUTANALYPROD1PERCINTT1_0</v>
      </c>
      <c r="E243" s="1309" t="e">
        <f>IF(ISBLANK($B243), "", INDEX(RAWData!B:B,MATCH($C243,RAWData!$A:$A,0)))</f>
        <v>#N/A</v>
      </c>
      <c r="F243" s="1309" t="e">
        <f>IF(ISBLANK($B243), "", INDEX(RAWData!C:C,MATCH($C243,RAWData!$A:$A,0)))</f>
        <v>#N/A</v>
      </c>
      <c r="G243" s="1309" t="e">
        <f>IF(ISBLANK($B243), "", INDEX(RAWData!D:D,MATCH($C243,RAWData!$A:$A,0)))</f>
        <v>#N/A</v>
      </c>
      <c r="H243" s="1309" t="e">
        <f>IF(ISBLANK($B243), "", INDEX(RAWData!E:E,MATCH($C243,RAWData!$A:$A,0)))</f>
        <v>#N/A</v>
      </c>
      <c r="I243" s="1309" t="e">
        <f>IF(ISBLANK($B243), "", INDEX(RAWData!F:F,MATCH($C243,RAWData!$A:$A,0)))</f>
        <v>#N/A</v>
      </c>
    </row>
    <row r="244" spans="2:9">
      <c r="B244" s="1312" t="s">
        <v>4001</v>
      </c>
      <c r="C244" s="1309" t="str">
        <f t="shared" si="3"/>
        <v>TLOUTPUTANALYPROD1PRICET1_0</v>
      </c>
      <c r="E244" s="1309" t="e">
        <f>IF(ISBLANK($B244), "", INDEX(RAWData!B:B,MATCH($C244,RAWData!$A:$A,0)))</f>
        <v>#N/A</v>
      </c>
      <c r="F244" s="1309" t="e">
        <f>IF(ISBLANK($B244), "", INDEX(RAWData!C:C,MATCH($C244,RAWData!$A:$A,0)))</f>
        <v>#N/A</v>
      </c>
      <c r="G244" s="1309" t="e">
        <f>IF(ISBLANK($B244), "", INDEX(RAWData!D:D,MATCH($C244,RAWData!$A:$A,0)))</f>
        <v>#N/A</v>
      </c>
      <c r="H244" s="1309" t="e">
        <f>IF(ISBLANK($B244), "", INDEX(RAWData!E:E,MATCH($C244,RAWData!$A:$A,0)))</f>
        <v>#N/A</v>
      </c>
      <c r="I244" s="1309" t="e">
        <f>IF(ISBLANK($B244), "", INDEX(RAWData!F:F,MATCH($C244,RAWData!$A:$A,0)))</f>
        <v>#N/A</v>
      </c>
    </row>
    <row r="245" spans="2:9">
      <c r="B245" s="1311" t="s">
        <v>4002</v>
      </c>
      <c r="C245" s="1309" t="str">
        <f t="shared" si="3"/>
        <v>TLOUTPUTANALYPROD1CUSTOMERSERVICET1_0</v>
      </c>
      <c r="E245" s="1309" t="e">
        <f>IF(ISBLANK($B245), "", INDEX(RAWData!B:B,MATCH($C245,RAWData!$A:$A,0)))</f>
        <v>#N/A</v>
      </c>
      <c r="F245" s="1309" t="e">
        <f>IF(ISBLANK($B245), "", INDEX(RAWData!C:C,MATCH($C245,RAWData!$A:$A,0)))</f>
        <v>#N/A</v>
      </c>
      <c r="G245" s="1309" t="e">
        <f>IF(ISBLANK($B245), "", INDEX(RAWData!D:D,MATCH($C245,RAWData!$A:$A,0)))</f>
        <v>#N/A</v>
      </c>
      <c r="H245" s="1309" t="e">
        <f>IF(ISBLANK($B245), "", INDEX(RAWData!E:E,MATCH($C245,RAWData!$A:$A,0)))</f>
        <v>#N/A</v>
      </c>
      <c r="I245" s="1309" t="e">
        <f>IF(ISBLANK($B245), "", INDEX(RAWData!F:F,MATCH($C245,RAWData!$A:$A,0)))</f>
        <v>#N/A</v>
      </c>
    </row>
    <row r="246" spans="2:9">
      <c r="B246" s="1311" t="s">
        <v>4003</v>
      </c>
      <c r="C246" s="1309" t="str">
        <f t="shared" si="3"/>
        <v>TLOUTPUTANALYPROD1CSATTRAININGT1_0</v>
      </c>
      <c r="E246" s="1309" t="e">
        <f>IF(ISBLANK($B246), "", INDEX(RAWData!B:B,MATCH($C246,RAWData!$A:$A,0)))</f>
        <v>#N/A</v>
      </c>
      <c r="F246" s="1309" t="e">
        <f>IF(ISBLANK($B246), "", INDEX(RAWData!C:C,MATCH($C246,RAWData!$A:$A,0)))</f>
        <v>#N/A</v>
      </c>
      <c r="G246" s="1309" t="e">
        <f>IF(ISBLANK($B246), "", INDEX(RAWData!D:D,MATCH($C246,RAWData!$A:$A,0)))</f>
        <v>#N/A</v>
      </c>
      <c r="H246" s="1309" t="e">
        <f>IF(ISBLANK($B246), "", INDEX(RAWData!E:E,MATCH($C246,RAWData!$A:$A,0)))</f>
        <v>#N/A</v>
      </c>
      <c r="I246" s="1309" t="e">
        <f>IF(ISBLANK($B246), "", INDEX(RAWData!F:F,MATCH($C246,RAWData!$A:$A,0)))</f>
        <v>#N/A</v>
      </c>
    </row>
    <row r="247" spans="2:9">
      <c r="B247" s="1328" t="s">
        <v>4004</v>
      </c>
      <c r="C247" s="1309" t="str">
        <f t="shared" si="3"/>
        <v>TLOUTPUTANALYPROD1ESATTRAININGT1_0</v>
      </c>
      <c r="E247" s="1309" t="e">
        <f>IF(ISBLANK($B247), "", INDEX(RAWData!B:B,MATCH($C247,RAWData!$A:$A,0)))</f>
        <v>#N/A</v>
      </c>
      <c r="F247" s="1309" t="e">
        <f>IF(ISBLANK($B247), "", INDEX(RAWData!C:C,MATCH($C247,RAWData!$A:$A,0)))</f>
        <v>#N/A</v>
      </c>
      <c r="G247" s="1309" t="e">
        <f>IF(ISBLANK($B247), "", INDEX(RAWData!D:D,MATCH($C247,RAWData!$A:$A,0)))</f>
        <v>#N/A</v>
      </c>
      <c r="H247" s="1309" t="e">
        <f>IF(ISBLANK($B247), "", INDEX(RAWData!E:E,MATCH($C247,RAWData!$A:$A,0)))</f>
        <v>#N/A</v>
      </c>
      <c r="I247" s="1309" t="e">
        <f>IF(ISBLANK($B247), "", INDEX(RAWData!F:F,MATCH($C247,RAWData!$A:$A,0)))</f>
        <v>#N/A</v>
      </c>
    </row>
    <row r="248" spans="2:9">
      <c r="B248" s="1313"/>
      <c r="C248" s="1309" t="str">
        <f t="shared" si="3"/>
        <v/>
      </c>
      <c r="E248" s="1309" t="str">
        <f>IF(ISBLANK($B248), "", INDEX(RAWData!B:B,MATCH($C248,RAWData!$A:$A,0)))</f>
        <v/>
      </c>
      <c r="F248" s="1309" t="str">
        <f>IF(ISBLANK($B248), "", INDEX(RAWData!C:C,MATCH($C248,RAWData!$A:$A,0)))</f>
        <v/>
      </c>
      <c r="G248" s="1309" t="str">
        <f>IF(ISBLANK($B248), "", INDEX(RAWData!D:D,MATCH($C248,RAWData!$A:$A,0)))</f>
        <v/>
      </c>
      <c r="H248" s="1309" t="str">
        <f>IF(ISBLANK($B248), "", INDEX(RAWData!E:E,MATCH($C248,RAWData!$A:$A,0)))</f>
        <v/>
      </c>
      <c r="I248" s="1309" t="str">
        <f>IF(ISBLANK($B248), "", INDEX(RAWData!F:F,MATCH($C248,RAWData!$A:$A,0)))</f>
        <v/>
      </c>
    </row>
    <row r="249" spans="2:9">
      <c r="B249" s="1314"/>
      <c r="C249" s="1309" t="str">
        <f t="shared" si="3"/>
        <v/>
      </c>
      <c r="E249" s="1309" t="str">
        <f>IF(ISBLANK($B249), "", INDEX(RAWData!B:B,MATCH($C249,RAWData!$A:$A,0)))</f>
        <v/>
      </c>
      <c r="F249" s="1309" t="str">
        <f>IF(ISBLANK($B249), "", INDEX(RAWData!C:C,MATCH($C249,RAWData!$A:$A,0)))</f>
        <v/>
      </c>
      <c r="G249" s="1309" t="str">
        <f>IF(ISBLANK($B249), "", INDEX(RAWData!D:D,MATCH($C249,RAWData!$A:$A,0)))</f>
        <v/>
      </c>
      <c r="H249" s="1309" t="str">
        <f>IF(ISBLANK($B249), "", INDEX(RAWData!E:E,MATCH($C249,RAWData!$A:$A,0)))</f>
        <v/>
      </c>
      <c r="I249" s="1309" t="str">
        <f>IF(ISBLANK($B249), "", INDEX(RAWData!F:F,MATCH($C249,RAWData!$A:$A,0)))</f>
        <v/>
      </c>
    </row>
    <row r="250" spans="2:9">
      <c r="B250" s="1329" t="s">
        <v>4005</v>
      </c>
      <c r="C250" s="1309" t="str">
        <f t="shared" si="3"/>
        <v>TLOUTPUTANALYPROD1MARKETSHARET1_0</v>
      </c>
      <c r="E250" s="1309" t="e">
        <f>IF(ISBLANK($B250), "", INDEX(RAWData!B:B,MATCH($C250,RAWData!$A:$A,0)))</f>
        <v>#N/A</v>
      </c>
      <c r="F250" s="1309" t="e">
        <f>IF(ISBLANK($B250), "", INDEX(RAWData!C:C,MATCH($C250,RAWData!$A:$A,0)))</f>
        <v>#N/A</v>
      </c>
      <c r="G250" s="1309" t="e">
        <f>IF(ISBLANK($B250), "", INDEX(RAWData!D:D,MATCH($C250,RAWData!$A:$A,0)))</f>
        <v>#N/A</v>
      </c>
      <c r="H250" s="1309" t="e">
        <f>IF(ISBLANK($B250), "", INDEX(RAWData!E:E,MATCH($C250,RAWData!$A:$A,0)))</f>
        <v>#N/A</v>
      </c>
      <c r="I250" s="1309" t="e">
        <f>IF(ISBLANK($B250), "", INDEX(RAWData!F:F,MATCH($C250,RAWData!$A:$A,0)))</f>
        <v>#N/A</v>
      </c>
    </row>
    <row r="251" spans="2:9">
      <c r="B251" s="1330" t="s">
        <v>4006</v>
      </c>
      <c r="C251" s="1309" t="str">
        <f t="shared" si="3"/>
        <v>TLOUTPUTANALYPROD1MMDRIVER1T1_0</v>
      </c>
      <c r="E251" s="1309" t="e">
        <f>IF(ISBLANK($B251), "", INDEX(RAWData!B:B,MATCH($C251,RAWData!$A:$A,0)))</f>
        <v>#N/A</v>
      </c>
      <c r="F251" s="1309" t="e">
        <f>IF(ISBLANK($B251), "", INDEX(RAWData!C:C,MATCH($C251,RAWData!$A:$A,0)))</f>
        <v>#N/A</v>
      </c>
      <c r="G251" s="1309" t="e">
        <f>IF(ISBLANK($B251), "", INDEX(RAWData!D:D,MATCH($C251,RAWData!$A:$A,0)))</f>
        <v>#N/A</v>
      </c>
      <c r="H251" s="1309" t="e">
        <f>IF(ISBLANK($B251), "", INDEX(RAWData!E:E,MATCH($C251,RAWData!$A:$A,0)))</f>
        <v>#N/A</v>
      </c>
      <c r="I251" s="1309" t="e">
        <f>IF(ISBLANK($B251), "", INDEX(RAWData!F:F,MATCH($C251,RAWData!$A:$A,0)))</f>
        <v>#N/A</v>
      </c>
    </row>
    <row r="252" spans="2:9">
      <c r="B252" s="1330" t="s">
        <v>4007</v>
      </c>
      <c r="C252" s="1309" t="str">
        <f t="shared" si="3"/>
        <v>TLOUTPUTANALYPROD1MMDRIVER2T1_0</v>
      </c>
      <c r="E252" s="1309" t="e">
        <f>IF(ISBLANK($B252), "", INDEX(RAWData!B:B,MATCH($C252,RAWData!$A:$A,0)))</f>
        <v>#N/A</v>
      </c>
      <c r="F252" s="1309" t="e">
        <f>IF(ISBLANK($B252), "", INDEX(RAWData!C:C,MATCH($C252,RAWData!$A:$A,0)))</f>
        <v>#N/A</v>
      </c>
      <c r="G252" s="1309" t="e">
        <f>IF(ISBLANK($B252), "", INDEX(RAWData!D:D,MATCH($C252,RAWData!$A:$A,0)))</f>
        <v>#N/A</v>
      </c>
      <c r="H252" s="1309" t="e">
        <f>IF(ISBLANK($B252), "", INDEX(RAWData!E:E,MATCH($C252,RAWData!$A:$A,0)))</f>
        <v>#N/A</v>
      </c>
      <c r="I252" s="1309" t="e">
        <f>IF(ISBLANK($B252), "", INDEX(RAWData!F:F,MATCH($C252,RAWData!$A:$A,0)))</f>
        <v>#N/A</v>
      </c>
    </row>
    <row r="253" spans="2:9">
      <c r="B253" s="1330" t="s">
        <v>4008</v>
      </c>
      <c r="C253" s="1309" t="str">
        <f t="shared" si="3"/>
        <v>TLOUTPUTANALYPROD1MMDRIVER3T1_0</v>
      </c>
      <c r="E253" s="1309" t="e">
        <f>IF(ISBLANK($B253), "", INDEX(RAWData!B:B,MATCH($C253,RAWData!$A:$A,0)))</f>
        <v>#N/A</v>
      </c>
      <c r="F253" s="1309" t="e">
        <f>IF(ISBLANK($B253), "", INDEX(RAWData!C:C,MATCH($C253,RAWData!$A:$A,0)))</f>
        <v>#N/A</v>
      </c>
      <c r="G253" s="1309" t="e">
        <f>IF(ISBLANK($B253), "", INDEX(RAWData!D:D,MATCH($C253,RAWData!$A:$A,0)))</f>
        <v>#N/A</v>
      </c>
      <c r="H253" s="1309" t="e">
        <f>IF(ISBLANK($B253), "", INDEX(RAWData!E:E,MATCH($C253,RAWData!$A:$A,0)))</f>
        <v>#N/A</v>
      </c>
      <c r="I253" s="1309" t="e">
        <f>IF(ISBLANK($B253), "", INDEX(RAWData!F:F,MATCH($C253,RAWData!$A:$A,0)))</f>
        <v>#N/A</v>
      </c>
    </row>
    <row r="254" spans="2:9">
      <c r="B254" s="1330" t="s">
        <v>4009</v>
      </c>
      <c r="C254" s="1309" t="str">
        <f t="shared" si="3"/>
        <v>TLOUTPUTANALYPROD1MMDRIVER4T1_0</v>
      </c>
      <c r="E254" s="1309" t="e">
        <f>IF(ISBLANK($B254), "", INDEX(RAWData!B:B,MATCH($C254,RAWData!$A:$A,0)))</f>
        <v>#N/A</v>
      </c>
      <c r="F254" s="1309" t="e">
        <f>IF(ISBLANK($B254), "", INDEX(RAWData!C:C,MATCH($C254,RAWData!$A:$A,0)))</f>
        <v>#N/A</v>
      </c>
      <c r="G254" s="1309" t="e">
        <f>IF(ISBLANK($B254), "", INDEX(RAWData!D:D,MATCH($C254,RAWData!$A:$A,0)))</f>
        <v>#N/A</v>
      </c>
      <c r="H254" s="1309" t="e">
        <f>IF(ISBLANK($B254), "", INDEX(RAWData!E:E,MATCH($C254,RAWData!$A:$A,0)))</f>
        <v>#N/A</v>
      </c>
      <c r="I254" s="1309" t="e">
        <f>IF(ISBLANK($B254), "", INDEX(RAWData!F:F,MATCH($C254,RAWData!$A:$A,0)))</f>
        <v>#N/A</v>
      </c>
    </row>
    <row r="255" spans="2:9">
      <c r="B255" s="1330" t="s">
        <v>4010</v>
      </c>
      <c r="C255" s="1309" t="str">
        <f t="shared" si="3"/>
        <v>TLOUTPUTANALYPROD1MMDRIVER5T1_0</v>
      </c>
      <c r="E255" s="1309" t="e">
        <f>IF(ISBLANK($B255), "", INDEX(RAWData!B:B,MATCH($C255,RAWData!$A:$A,0)))</f>
        <v>#N/A</v>
      </c>
      <c r="F255" s="1309" t="e">
        <f>IF(ISBLANK($B255), "", INDEX(RAWData!C:C,MATCH($C255,RAWData!$A:$A,0)))</f>
        <v>#N/A</v>
      </c>
      <c r="G255" s="1309" t="e">
        <f>IF(ISBLANK($B255), "", INDEX(RAWData!D:D,MATCH($C255,RAWData!$A:$A,0)))</f>
        <v>#N/A</v>
      </c>
      <c r="H255" s="1309" t="e">
        <f>IF(ISBLANK($B255), "", INDEX(RAWData!E:E,MATCH($C255,RAWData!$A:$A,0)))</f>
        <v>#N/A</v>
      </c>
      <c r="I255" s="1309" t="e">
        <f>IF(ISBLANK($B255), "", INDEX(RAWData!F:F,MATCH($C255,RAWData!$A:$A,0)))</f>
        <v>#N/A</v>
      </c>
    </row>
    <row r="256" spans="2:9">
      <c r="B256" s="1330" t="s">
        <v>4011</v>
      </c>
      <c r="C256" s="1309" t="str">
        <f t="shared" si="3"/>
        <v>TLOUTPUTANALYPROD1MMDRIVER6T1_0</v>
      </c>
      <c r="E256" s="1309" t="e">
        <f>IF(ISBLANK($B256), "", INDEX(RAWData!B:B,MATCH($C256,RAWData!$A:$A,0)))</f>
        <v>#N/A</v>
      </c>
      <c r="F256" s="1309" t="e">
        <f>IF(ISBLANK($B256), "", INDEX(RAWData!C:C,MATCH($C256,RAWData!$A:$A,0)))</f>
        <v>#N/A</v>
      </c>
      <c r="G256" s="1309" t="e">
        <f>IF(ISBLANK($B256), "", INDEX(RAWData!D:D,MATCH($C256,RAWData!$A:$A,0)))</f>
        <v>#N/A</v>
      </c>
      <c r="H256" s="1309" t="e">
        <f>IF(ISBLANK($B256), "", INDEX(RAWData!E:E,MATCH($C256,RAWData!$A:$A,0)))</f>
        <v>#N/A</v>
      </c>
      <c r="I256" s="1309" t="e">
        <f>IF(ISBLANK($B256), "", INDEX(RAWData!F:F,MATCH($C256,RAWData!$A:$A,0)))</f>
        <v>#N/A</v>
      </c>
    </row>
    <row r="257" spans="2:9">
      <c r="B257" s="1331" t="s">
        <v>4012</v>
      </c>
      <c r="C257" s="1309" t="str">
        <f t="shared" si="3"/>
        <v>TLOUTPUTANALYPROD1MMSPT1_0</v>
      </c>
      <c r="E257" s="1309" t="e">
        <f>IF(ISBLANK($B257), "", INDEX(RAWData!B:B,MATCH($C257,RAWData!$A:$A,0)))</f>
        <v>#N/A</v>
      </c>
      <c r="F257" s="1309" t="e">
        <f>IF(ISBLANK($B257), "", INDEX(RAWData!C:C,MATCH($C257,RAWData!$A:$A,0)))</f>
        <v>#N/A</v>
      </c>
      <c r="G257" s="1309" t="e">
        <f>IF(ISBLANK($B257), "", INDEX(RAWData!D:D,MATCH($C257,RAWData!$A:$A,0)))</f>
        <v>#N/A</v>
      </c>
      <c r="H257" s="1309" t="e">
        <f>IF(ISBLANK($B257), "", INDEX(RAWData!E:E,MATCH($C257,RAWData!$A:$A,0)))</f>
        <v>#N/A</v>
      </c>
      <c r="I257" s="1309" t="e">
        <f>IF(ISBLANK($B257), "", INDEX(RAWData!F:F,MATCH($C257,RAWData!$A:$A,0)))</f>
        <v>#N/A</v>
      </c>
    </row>
    <row r="258" spans="2:9">
      <c r="B258" s="1329" t="s">
        <v>4013</v>
      </c>
      <c r="C258" s="1309" t="str">
        <f t="shared" si="3"/>
        <v>TLOUTPUTANALYPROD1MMTOTALT1_0</v>
      </c>
      <c r="E258" s="1309" t="e">
        <f>IF(ISBLANK($B258), "", INDEX(RAWData!B:B,MATCH($C258,RAWData!$A:$A,0)))</f>
        <v>#N/A</v>
      </c>
      <c r="F258" s="1309" t="e">
        <f>IF(ISBLANK($B258), "", INDEX(RAWData!C:C,MATCH($C258,RAWData!$A:$A,0)))</f>
        <v>#N/A</v>
      </c>
      <c r="G258" s="1309" t="e">
        <f>IF(ISBLANK($B258), "", INDEX(RAWData!D:D,MATCH($C258,RAWData!$A:$A,0)))</f>
        <v>#N/A</v>
      </c>
      <c r="H258" s="1309" t="e">
        <f>IF(ISBLANK($B258), "", INDEX(RAWData!E:E,MATCH($C258,RAWData!$A:$A,0)))</f>
        <v>#N/A</v>
      </c>
      <c r="I258" s="1309" t="e">
        <f>IF(ISBLANK($B258), "", INDEX(RAWData!F:F,MATCH($C258,RAWData!$A:$A,0)))</f>
        <v>#N/A</v>
      </c>
    </row>
    <row r="259" spans="2:9">
      <c r="B259" s="1310"/>
      <c r="C259" s="1309" t="str">
        <f t="shared" si="3"/>
        <v/>
      </c>
      <c r="E259" s="1309" t="str">
        <f>IF(ISBLANK($B259), "", INDEX(RAWData!B:B,MATCH($C259,RAWData!$A:$A,0)))</f>
        <v/>
      </c>
      <c r="F259" s="1309" t="str">
        <f>IF(ISBLANK($B259), "", INDEX(RAWData!C:C,MATCH($C259,RAWData!$A:$A,0)))</f>
        <v/>
      </c>
      <c r="G259" s="1309" t="str">
        <f>IF(ISBLANK($B259), "", INDEX(RAWData!D:D,MATCH($C259,RAWData!$A:$A,0)))</f>
        <v/>
      </c>
      <c r="H259" s="1309" t="str">
        <f>IF(ISBLANK($B259), "", INDEX(RAWData!E:E,MATCH($C259,RAWData!$A:$A,0)))</f>
        <v/>
      </c>
      <c r="I259" s="1309" t="str">
        <f>IF(ISBLANK($B259), "", INDEX(RAWData!F:F,MATCH($C259,RAWData!$A:$A,0)))</f>
        <v/>
      </c>
    </row>
    <row r="260" spans="2:9">
      <c r="B260" s="1314"/>
      <c r="C260" s="1309" t="str">
        <f t="shared" si="3"/>
        <v/>
      </c>
      <c r="E260" s="1309" t="str">
        <f>IF(ISBLANK($B260), "", INDEX(RAWData!B:B,MATCH($C260,RAWData!$A:$A,0)))</f>
        <v/>
      </c>
      <c r="F260" s="1309" t="str">
        <f>IF(ISBLANK($B260), "", INDEX(RAWData!C:C,MATCH($C260,RAWData!$A:$A,0)))</f>
        <v/>
      </c>
      <c r="G260" s="1309" t="str">
        <f>IF(ISBLANK($B260), "", INDEX(RAWData!D:D,MATCH($C260,RAWData!$A:$A,0)))</f>
        <v/>
      </c>
      <c r="H260" s="1309" t="str">
        <f>IF(ISBLANK($B260), "", INDEX(RAWData!E:E,MATCH($C260,RAWData!$A:$A,0)))</f>
        <v/>
      </c>
      <c r="I260" s="1309" t="str">
        <f>IF(ISBLANK($B260), "", INDEX(RAWData!F:F,MATCH($C260,RAWData!$A:$A,0)))</f>
        <v/>
      </c>
    </row>
    <row r="261" spans="2:9">
      <c r="B261" s="1312" t="s">
        <v>4014</v>
      </c>
      <c r="C261" s="1309" t="str">
        <f t="shared" si="3"/>
        <v>TLOUTPUTANALYPROD2RREVT1_0</v>
      </c>
      <c r="E261" s="1309" t="e">
        <f>IF(ISBLANK($B261), "", INDEX(RAWData!B:B,MATCH($C261,RAWData!$A:$A,0)))</f>
        <v>#N/A</v>
      </c>
      <c r="F261" s="1309" t="e">
        <f>IF(ISBLANK($B261), "", INDEX(RAWData!C:C,MATCH($C261,RAWData!$A:$A,0)))</f>
        <v>#N/A</v>
      </c>
      <c r="G261" s="1309" t="e">
        <f>IF(ISBLANK($B261), "", INDEX(RAWData!D:D,MATCH($C261,RAWData!$A:$A,0)))</f>
        <v>#N/A</v>
      </c>
      <c r="H261" s="1309" t="e">
        <f>IF(ISBLANK($B261), "", INDEX(RAWData!E:E,MATCH($C261,RAWData!$A:$A,0)))</f>
        <v>#N/A</v>
      </c>
      <c r="I261" s="1309" t="e">
        <f>IF(ISBLANK($B261), "", INDEX(RAWData!F:F,MATCH($C261,RAWData!$A:$A,0)))</f>
        <v>#N/A</v>
      </c>
    </row>
    <row r="262" spans="2:9">
      <c r="B262" s="1312" t="s">
        <v>4015</v>
      </c>
      <c r="C262" s="1309" t="str">
        <f t="shared" si="3"/>
        <v>TLOUTPUTANALYPROD2NREVT1_0</v>
      </c>
      <c r="E262" s="1309" t="e">
        <f>IF(ISBLANK($B262), "", INDEX(RAWData!B:B,MATCH($C262,RAWData!$A:$A,0)))</f>
        <v>#N/A</v>
      </c>
      <c r="F262" s="1309" t="e">
        <f>IF(ISBLANK($B262), "", INDEX(RAWData!C:C,MATCH($C262,RAWData!$A:$A,0)))</f>
        <v>#N/A</v>
      </c>
      <c r="G262" s="1309" t="e">
        <f>IF(ISBLANK($B262), "", INDEX(RAWData!D:D,MATCH($C262,RAWData!$A:$A,0)))</f>
        <v>#N/A</v>
      </c>
      <c r="H262" s="1309" t="e">
        <f>IF(ISBLANK($B262), "", INDEX(RAWData!E:E,MATCH($C262,RAWData!$A:$A,0)))</f>
        <v>#N/A</v>
      </c>
      <c r="I262" s="1309" t="e">
        <f>IF(ISBLANK($B262), "", INDEX(RAWData!F:F,MATCH($C262,RAWData!$A:$A,0)))</f>
        <v>#N/A</v>
      </c>
    </row>
    <row r="263" spans="2:9">
      <c r="B263" s="1312" t="s">
        <v>4016</v>
      </c>
      <c r="C263" s="1309" t="str">
        <f t="shared" si="3"/>
        <v>TLOUTPUTANALYPROD2TREVT1_0</v>
      </c>
      <c r="E263" s="1309" t="e">
        <f>IF(ISBLANK($B263), "", INDEX(RAWData!B:B,MATCH($C263,RAWData!$A:$A,0)))</f>
        <v>#N/A</v>
      </c>
      <c r="F263" s="1309" t="e">
        <f>IF(ISBLANK($B263), "", INDEX(RAWData!C:C,MATCH($C263,RAWData!$A:$A,0)))</f>
        <v>#N/A</v>
      </c>
      <c r="G263" s="1309" t="e">
        <f>IF(ISBLANK($B263), "", INDEX(RAWData!D:D,MATCH($C263,RAWData!$A:$A,0)))</f>
        <v>#N/A</v>
      </c>
      <c r="H263" s="1309" t="e">
        <f>IF(ISBLANK($B263), "", INDEX(RAWData!E:E,MATCH($C263,RAWData!$A:$A,0)))</f>
        <v>#N/A</v>
      </c>
      <c r="I263" s="1309" t="e">
        <f>IF(ISBLANK($B263), "", INDEX(RAWData!F:F,MATCH($C263,RAWData!$A:$A,0)))</f>
        <v>#N/A</v>
      </c>
    </row>
    <row r="264" spans="2:9">
      <c r="B264" s="1312" t="s">
        <v>4017</v>
      </c>
      <c r="C264" s="1309" t="str">
        <f t="shared" si="3"/>
        <v>TLOUTPUTANALYPROD2REVT1_0</v>
      </c>
      <c r="E264" s="1309" t="e">
        <f>IF(ISBLANK($B264), "", INDEX(RAWData!B:B,MATCH($C264,RAWData!$A:$A,0)))</f>
        <v>#N/A</v>
      </c>
      <c r="F264" s="1309" t="e">
        <f>IF(ISBLANK($B264), "", INDEX(RAWData!C:C,MATCH($C264,RAWData!$A:$A,0)))</f>
        <v>#N/A</v>
      </c>
      <c r="G264" s="1309" t="e">
        <f>IF(ISBLANK($B264), "", INDEX(RAWData!D:D,MATCH($C264,RAWData!$A:$A,0)))</f>
        <v>#N/A</v>
      </c>
      <c r="H264" s="1309" t="e">
        <f>IF(ISBLANK($B264), "", INDEX(RAWData!E:E,MATCH($C264,RAWData!$A:$A,0)))</f>
        <v>#N/A</v>
      </c>
      <c r="I264" s="1309" t="e">
        <f>IF(ISBLANK($B264), "", INDEX(RAWData!F:F,MATCH($C264,RAWData!$A:$A,0)))</f>
        <v>#N/A</v>
      </c>
    </row>
    <row r="265" spans="2:9">
      <c r="B265" s="1312" t="s">
        <v>4018</v>
      </c>
      <c r="C265" s="1309" t="str">
        <f t="shared" si="3"/>
        <v>TLOUTPUTANALYPROD2EBITDAT1_0</v>
      </c>
      <c r="E265" s="1309" t="e">
        <f>IF(ISBLANK($B265), "", INDEX(RAWData!B:B,MATCH($C265,RAWData!$A:$A,0)))</f>
        <v>#N/A</v>
      </c>
      <c r="F265" s="1309" t="e">
        <f>IF(ISBLANK($B265), "", INDEX(RAWData!C:C,MATCH($C265,RAWData!$A:$A,0)))</f>
        <v>#N/A</v>
      </c>
      <c r="G265" s="1309" t="e">
        <f>IF(ISBLANK($B265), "", INDEX(RAWData!D:D,MATCH($C265,RAWData!$A:$A,0)))</f>
        <v>#N/A</v>
      </c>
      <c r="H265" s="1309" t="e">
        <f>IF(ISBLANK($B265), "", INDEX(RAWData!E:E,MATCH($C265,RAWData!$A:$A,0)))</f>
        <v>#N/A</v>
      </c>
      <c r="I265" s="1309" t="e">
        <f>IF(ISBLANK($B265), "", INDEX(RAWData!F:F,MATCH($C265,RAWData!$A:$A,0)))</f>
        <v>#N/A</v>
      </c>
    </row>
    <row r="266" spans="2:9">
      <c r="B266" s="1313" t="s">
        <v>4019</v>
      </c>
      <c r="C266" s="1309" t="str">
        <f t="shared" si="3"/>
        <v>TLOUTPUTANALYPROD2EBITDAMARGINT1_0</v>
      </c>
      <c r="E266" s="1309" t="e">
        <f>IF(ISBLANK($B266), "", INDEX(RAWData!B:B,MATCH($C266,RAWData!$A:$A,0)))</f>
        <v>#N/A</v>
      </c>
      <c r="F266" s="1309" t="e">
        <f>IF(ISBLANK($B266), "", INDEX(RAWData!C:C,MATCH($C266,RAWData!$A:$A,0)))</f>
        <v>#N/A</v>
      </c>
      <c r="G266" s="1309" t="e">
        <f>IF(ISBLANK($B266), "", INDEX(RAWData!D:D,MATCH($C266,RAWData!$A:$A,0)))</f>
        <v>#N/A</v>
      </c>
      <c r="H266" s="1309" t="e">
        <f>IF(ISBLANK($B266), "", INDEX(RAWData!E:E,MATCH($C266,RAWData!$A:$A,0)))</f>
        <v>#N/A</v>
      </c>
      <c r="I266" s="1309" t="e">
        <f>IF(ISBLANK($B266), "", INDEX(RAWData!F:F,MATCH($C266,RAWData!$A:$A,0)))</f>
        <v>#N/A</v>
      </c>
    </row>
    <row r="267" spans="2:9">
      <c r="B267" s="1312" t="s">
        <v>4020</v>
      </c>
      <c r="C267" s="1309" t="str">
        <f t="shared" si="3"/>
        <v>TLOUTPUTANALYPROD2OPERATINGINCOMET1_0</v>
      </c>
      <c r="E267" s="1309" t="e">
        <f>IF(ISBLANK($B267), "", INDEX(RAWData!B:B,MATCH($C267,RAWData!$A:$A,0)))</f>
        <v>#N/A</v>
      </c>
      <c r="F267" s="1309" t="e">
        <f>IF(ISBLANK($B267), "", INDEX(RAWData!C:C,MATCH($C267,RAWData!$A:$A,0)))</f>
        <v>#N/A</v>
      </c>
      <c r="G267" s="1309" t="e">
        <f>IF(ISBLANK($B267), "", INDEX(RAWData!D:D,MATCH($C267,RAWData!$A:$A,0)))</f>
        <v>#N/A</v>
      </c>
      <c r="H267" s="1309" t="e">
        <f>IF(ISBLANK($B267), "", INDEX(RAWData!E:E,MATCH($C267,RAWData!$A:$A,0)))</f>
        <v>#N/A</v>
      </c>
      <c r="I267" s="1309" t="e">
        <f>IF(ISBLANK($B267), "", INDEX(RAWData!F:F,MATCH($C267,RAWData!$A:$A,0)))</f>
        <v>#N/A</v>
      </c>
    </row>
    <row r="268" spans="2:9">
      <c r="B268" s="1313" t="s">
        <v>4021</v>
      </c>
      <c r="C268" s="1309" t="str">
        <f t="shared" si="3"/>
        <v>TLOUTPUTANALYPROD2OPERATINGMARGINT1_0</v>
      </c>
      <c r="E268" s="1309" t="e">
        <f>IF(ISBLANK($B268), "", INDEX(RAWData!B:B,MATCH($C268,RAWData!$A:$A,0)))</f>
        <v>#N/A</v>
      </c>
      <c r="F268" s="1309" t="e">
        <f>IF(ISBLANK($B268), "", INDEX(RAWData!C:C,MATCH($C268,RAWData!$A:$A,0)))</f>
        <v>#N/A</v>
      </c>
      <c r="G268" s="1309" t="e">
        <f>IF(ISBLANK($B268), "", INDEX(RAWData!D:D,MATCH($C268,RAWData!$A:$A,0)))</f>
        <v>#N/A</v>
      </c>
      <c r="H268" s="1309" t="e">
        <f>IF(ISBLANK($B268), "", INDEX(RAWData!E:E,MATCH($C268,RAWData!$A:$A,0)))</f>
        <v>#N/A</v>
      </c>
      <c r="I268" s="1309" t="e">
        <f>IF(ISBLANK($B268), "", INDEX(RAWData!F:F,MATCH($C268,RAWData!$A:$A,0)))</f>
        <v>#N/A</v>
      </c>
    </row>
    <row r="269" spans="2:9">
      <c r="B269" s="1313" t="s">
        <v>4022</v>
      </c>
      <c r="C269" s="1309" t="str">
        <f t="shared" si="3"/>
        <v>TLOUTPUTANALYPROD2SUBGROWTHT1_0</v>
      </c>
      <c r="E269" s="1309" t="e">
        <f>IF(ISBLANK($B269), "", INDEX(RAWData!B:B,MATCH($C269,RAWData!$A:$A,0)))</f>
        <v>#N/A</v>
      </c>
      <c r="F269" s="1309" t="e">
        <f>IF(ISBLANK($B269), "", INDEX(RAWData!C:C,MATCH($C269,RAWData!$A:$A,0)))</f>
        <v>#N/A</v>
      </c>
      <c r="G269" s="1309" t="e">
        <f>IF(ISBLANK($B269), "", INDEX(RAWData!D:D,MATCH($C269,RAWData!$A:$A,0)))</f>
        <v>#N/A</v>
      </c>
      <c r="H269" s="1309" t="e">
        <f>IF(ISBLANK($B269), "", INDEX(RAWData!E:E,MATCH($C269,RAWData!$A:$A,0)))</f>
        <v>#N/A</v>
      </c>
      <c r="I269" s="1309" t="e">
        <f>IF(ISBLANK($B269), "", INDEX(RAWData!F:F,MATCH($C269,RAWData!$A:$A,0)))</f>
        <v>#N/A</v>
      </c>
    </row>
    <row r="270" spans="2:9">
      <c r="B270" s="1313" t="s">
        <v>4023</v>
      </c>
      <c r="C270" s="1309" t="str">
        <f t="shared" si="3"/>
        <v>TLOUTPUTANALYPROD2CANCELLATIONT1_0</v>
      </c>
      <c r="E270" s="1309" t="e">
        <f>IF(ISBLANK($B270), "", INDEX(RAWData!B:B,MATCH($C270,RAWData!$A:$A,0)))</f>
        <v>#N/A</v>
      </c>
      <c r="F270" s="1309" t="e">
        <f>IF(ISBLANK($B270), "", INDEX(RAWData!C:C,MATCH($C270,RAWData!$A:$A,0)))</f>
        <v>#N/A</v>
      </c>
      <c r="G270" s="1309" t="e">
        <f>IF(ISBLANK($B270), "", INDEX(RAWData!D:D,MATCH($C270,RAWData!$A:$A,0)))</f>
        <v>#N/A</v>
      </c>
      <c r="H270" s="1309" t="e">
        <f>IF(ISBLANK($B270), "", INDEX(RAWData!E:E,MATCH($C270,RAWData!$A:$A,0)))</f>
        <v>#N/A</v>
      </c>
      <c r="I270" s="1309" t="e">
        <f>IF(ISBLANK($B270), "", INDEX(RAWData!F:F,MATCH($C270,RAWData!$A:$A,0)))</f>
        <v>#N/A</v>
      </c>
    </row>
    <row r="271" spans="2:9">
      <c r="B271" s="1313" t="s">
        <v>4024</v>
      </c>
      <c r="C271" s="1309" t="str">
        <f t="shared" si="3"/>
        <v>TLOUTPUTANALYPROD2ATTACHRATET1_0</v>
      </c>
      <c r="E271" s="1309" t="e">
        <f>IF(ISBLANK($B271), "", INDEX(RAWData!B:B,MATCH($C271,RAWData!$A:$A,0)))</f>
        <v>#N/A</v>
      </c>
      <c r="F271" s="1309" t="e">
        <f>IF(ISBLANK($B271), "", INDEX(RAWData!C:C,MATCH($C271,RAWData!$A:$A,0)))</f>
        <v>#N/A</v>
      </c>
      <c r="G271" s="1309" t="e">
        <f>IF(ISBLANK($B271), "", INDEX(RAWData!D:D,MATCH($C271,RAWData!$A:$A,0)))</f>
        <v>#N/A</v>
      </c>
      <c r="H271" s="1309" t="e">
        <f>IF(ISBLANK($B271), "", INDEX(RAWData!E:E,MATCH($C271,RAWData!$A:$A,0)))</f>
        <v>#N/A</v>
      </c>
      <c r="I271" s="1309" t="e">
        <f>IF(ISBLANK($B271), "", INDEX(RAWData!F:F,MATCH($C271,RAWData!$A:$A,0)))</f>
        <v>#N/A</v>
      </c>
    </row>
    <row r="272" spans="2:9">
      <c r="B272" s="1313"/>
      <c r="C272" s="1309" t="str">
        <f t="shared" si="3"/>
        <v/>
      </c>
      <c r="E272" s="1309" t="str">
        <f>IF(ISBLANK($B272), "", INDEX(RAWData!B:B,MATCH($C272,RAWData!$A:$A,0)))</f>
        <v/>
      </c>
      <c r="F272" s="1309" t="str">
        <f>IF(ISBLANK($B272), "", INDEX(RAWData!C:C,MATCH($C272,RAWData!$A:$A,0)))</f>
        <v/>
      </c>
      <c r="G272" s="1309" t="str">
        <f>IF(ISBLANK($B272), "", INDEX(RAWData!D:D,MATCH($C272,RAWData!$A:$A,0)))</f>
        <v/>
      </c>
      <c r="H272" s="1309" t="str">
        <f>IF(ISBLANK($B272), "", INDEX(RAWData!E:E,MATCH($C272,RAWData!$A:$A,0)))</f>
        <v/>
      </c>
      <c r="I272" s="1309" t="str">
        <f>IF(ISBLANK($B272), "", INDEX(RAWData!F:F,MATCH($C272,RAWData!$A:$A,0)))</f>
        <v/>
      </c>
    </row>
    <row r="273" spans="2:9">
      <c r="B273" s="1314"/>
      <c r="C273" s="1309" t="str">
        <f t="shared" si="3"/>
        <v/>
      </c>
      <c r="E273" s="1309" t="str">
        <f>IF(ISBLANK($B273), "", INDEX(RAWData!B:B,MATCH($C273,RAWData!$A:$A,0)))</f>
        <v/>
      </c>
      <c r="F273" s="1309" t="str">
        <f>IF(ISBLANK($B273), "", INDEX(RAWData!C:C,MATCH($C273,RAWData!$A:$A,0)))</f>
        <v/>
      </c>
      <c r="G273" s="1309" t="str">
        <f>IF(ISBLANK($B273), "", INDEX(RAWData!D:D,MATCH($C273,RAWData!$A:$A,0)))</f>
        <v/>
      </c>
      <c r="H273" s="1309" t="str">
        <f>IF(ISBLANK($B273), "", INDEX(RAWData!E:E,MATCH($C273,RAWData!$A:$A,0)))</f>
        <v/>
      </c>
      <c r="I273" s="1309" t="str">
        <f>IF(ISBLANK($B273), "", INDEX(RAWData!F:F,MATCH($C273,RAWData!$A:$A,0)))</f>
        <v/>
      </c>
    </row>
    <row r="274" spans="2:9">
      <c r="B274" s="1323" t="s">
        <v>4025</v>
      </c>
      <c r="C274" s="1309" t="str">
        <f t="shared" si="3"/>
        <v>TLOUTPUTANALYPROD2TECHT1_0</v>
      </c>
      <c r="E274" s="1309" t="e">
        <f>IF(ISBLANK($B274), "", INDEX(RAWData!B:B,MATCH($C274,RAWData!$A:$A,0)))</f>
        <v>#N/A</v>
      </c>
      <c r="F274" s="1309" t="e">
        <f>IF(ISBLANK($B274), "", INDEX(RAWData!C:C,MATCH($C274,RAWData!$A:$A,0)))</f>
        <v>#N/A</v>
      </c>
      <c r="G274" s="1309" t="e">
        <f>IF(ISBLANK($B274), "", INDEX(RAWData!D:D,MATCH($C274,RAWData!$A:$A,0)))</f>
        <v>#N/A</v>
      </c>
      <c r="H274" s="1309" t="e">
        <f>IF(ISBLANK($B274), "", INDEX(RAWData!E:E,MATCH($C274,RAWData!$A:$A,0)))</f>
        <v>#N/A</v>
      </c>
      <c r="I274" s="1309" t="e">
        <f>IF(ISBLANK($B274), "", INDEX(RAWData!F:F,MATCH($C274,RAWData!$A:$A,0)))</f>
        <v>#N/A</v>
      </c>
    </row>
    <row r="275" spans="2:9">
      <c r="B275" s="1324" t="s">
        <v>4026</v>
      </c>
      <c r="C275" s="1309" t="str">
        <f t="shared" si="3"/>
        <v>TLOUTPUTANALYPROD2TTMT1_0</v>
      </c>
      <c r="E275" s="1309" t="e">
        <f>IF(ISBLANK($B275), "", INDEX(RAWData!B:B,MATCH($C275,RAWData!$A:$A,0)))</f>
        <v>#N/A</v>
      </c>
      <c r="F275" s="1309" t="e">
        <f>IF(ISBLANK($B275), "", INDEX(RAWData!C:C,MATCH($C275,RAWData!$A:$A,0)))</f>
        <v>#N/A</v>
      </c>
      <c r="G275" s="1309" t="e">
        <f>IF(ISBLANK($B275), "", INDEX(RAWData!D:D,MATCH($C275,RAWData!$A:$A,0)))</f>
        <v>#N/A</v>
      </c>
      <c r="H275" s="1309" t="e">
        <f>IF(ISBLANK($B275), "", INDEX(RAWData!E:E,MATCH($C275,RAWData!$A:$A,0)))</f>
        <v>#N/A</v>
      </c>
      <c r="I275" s="1309" t="e">
        <f>IF(ISBLANK($B275), "", INDEX(RAWData!F:F,MATCH($C275,RAWData!$A:$A,0)))</f>
        <v>#N/A</v>
      </c>
    </row>
    <row r="276" spans="2:9">
      <c r="B276" s="1325" t="s">
        <v>4027</v>
      </c>
      <c r="C276" s="1309" t="str">
        <f t="shared" si="3"/>
        <v>TLOUTPUTANALYPROD2IFTEST1_0</v>
      </c>
      <c r="E276" s="1309" t="e">
        <f>IF(ISBLANK($B276), "", INDEX(RAWData!B:B,MATCH($C276,RAWData!$A:$A,0)))</f>
        <v>#N/A</v>
      </c>
      <c r="F276" s="1309" t="e">
        <f>IF(ISBLANK($B276), "", INDEX(RAWData!C:C,MATCH($C276,RAWData!$A:$A,0)))</f>
        <v>#N/A</v>
      </c>
      <c r="G276" s="1309" t="e">
        <f>IF(ISBLANK($B276), "", INDEX(RAWData!D:D,MATCH($C276,RAWData!$A:$A,0)))</f>
        <v>#N/A</v>
      </c>
      <c r="H276" s="1309" t="e">
        <f>IF(ISBLANK($B276), "", INDEX(RAWData!E:E,MATCH($C276,RAWData!$A:$A,0)))</f>
        <v>#N/A</v>
      </c>
      <c r="I276" s="1309" t="e">
        <f>IF(ISBLANK($B276), "", INDEX(RAWData!F:F,MATCH($C276,RAWData!$A:$A,0)))</f>
        <v>#N/A</v>
      </c>
    </row>
    <row r="277" spans="2:9">
      <c r="B277" s="1325" t="s">
        <v>4028</v>
      </c>
      <c r="C277" s="1309" t="str">
        <f t="shared" si="3"/>
        <v>TLOUTPUTANALYPROD2EIFTEST1_0</v>
      </c>
      <c r="E277" s="1309" t="e">
        <f>IF(ISBLANK($B277), "", INDEX(RAWData!B:B,MATCH($C277,RAWData!$A:$A,0)))</f>
        <v>#N/A</v>
      </c>
      <c r="F277" s="1309" t="e">
        <f>IF(ISBLANK($B277), "", INDEX(RAWData!C:C,MATCH($C277,RAWData!$A:$A,0)))</f>
        <v>#N/A</v>
      </c>
      <c r="G277" s="1309" t="e">
        <f>IF(ISBLANK($B277), "", INDEX(RAWData!D:D,MATCH($C277,RAWData!$A:$A,0)))</f>
        <v>#N/A</v>
      </c>
      <c r="H277" s="1309" t="e">
        <f>IF(ISBLANK($B277), "", INDEX(RAWData!E:E,MATCH($C277,RAWData!$A:$A,0)))</f>
        <v>#N/A</v>
      </c>
      <c r="I277" s="1309" t="e">
        <f>IF(ISBLANK($B277), "", INDEX(RAWData!F:F,MATCH($C277,RAWData!$A:$A,0)))</f>
        <v>#N/A</v>
      </c>
    </row>
    <row r="278" spans="2:9">
      <c r="B278" s="1312" t="s">
        <v>4029</v>
      </c>
      <c r="C278" s="1309" t="str">
        <f t="shared" si="3"/>
        <v>TLOUTPUTANALYPROD2SALESFORCET1_0</v>
      </c>
      <c r="E278" s="1309" t="e">
        <f>IF(ISBLANK($B278), "", INDEX(RAWData!B:B,MATCH($C278,RAWData!$A:$A,0)))</f>
        <v>#N/A</v>
      </c>
      <c r="F278" s="1309" t="e">
        <f>IF(ISBLANK($B278), "", INDEX(RAWData!C:C,MATCH($C278,RAWData!$A:$A,0)))</f>
        <v>#N/A</v>
      </c>
      <c r="G278" s="1309" t="e">
        <f>IF(ISBLANK($B278), "", INDEX(RAWData!D:D,MATCH($C278,RAWData!$A:$A,0)))</f>
        <v>#N/A</v>
      </c>
      <c r="H278" s="1309" t="e">
        <f>IF(ISBLANK($B278), "", INDEX(RAWData!E:E,MATCH($C278,RAWData!$A:$A,0)))</f>
        <v>#N/A</v>
      </c>
      <c r="I278" s="1309" t="e">
        <f>IF(ISBLANK($B278), "", INDEX(RAWData!F:F,MATCH($C278,RAWData!$A:$A,0)))</f>
        <v>#N/A</v>
      </c>
    </row>
    <row r="279" spans="2:9">
      <c r="B279" s="1323" t="s">
        <v>4030</v>
      </c>
      <c r="C279" s="1309" t="str">
        <f t="shared" ref="C279:C331" si="4">IF(NOT(ISBLANK($B279)),UPPER($B279)&amp;"_"&amp;$C$4,"")</f>
        <v>TLOUTPUTANALYPROD2PERCNEWT1_0</v>
      </c>
      <c r="E279" s="1309" t="e">
        <f>IF(ISBLANK($B279), "", INDEX(RAWData!B:B,MATCH($C279,RAWData!$A:$A,0)))</f>
        <v>#N/A</v>
      </c>
      <c r="F279" s="1309" t="e">
        <f>IF(ISBLANK($B279), "", INDEX(RAWData!C:C,MATCH($C279,RAWData!$A:$A,0)))</f>
        <v>#N/A</v>
      </c>
      <c r="G279" s="1309" t="e">
        <f>IF(ISBLANK($B279), "", INDEX(RAWData!D:D,MATCH($C279,RAWData!$A:$A,0)))</f>
        <v>#N/A</v>
      </c>
      <c r="H279" s="1309" t="e">
        <f>IF(ISBLANK($B279), "", INDEX(RAWData!E:E,MATCH($C279,RAWData!$A:$A,0)))</f>
        <v>#N/A</v>
      </c>
      <c r="I279" s="1309" t="e">
        <f>IF(ISBLANK($B279), "", INDEX(RAWData!F:F,MATCH($C279,RAWData!$A:$A,0)))</f>
        <v>#N/A</v>
      </c>
    </row>
    <row r="280" spans="2:9">
      <c r="B280" s="1327" t="s">
        <v>4031</v>
      </c>
      <c r="C280" s="1309" t="str">
        <f t="shared" si="4"/>
        <v>TLOUTPUTANALYPROD2SALESINITST1_0</v>
      </c>
      <c r="E280" s="1309" t="e">
        <f>IF(ISBLANK($B280), "", INDEX(RAWData!B:B,MATCH($C280,RAWData!$A:$A,0)))</f>
        <v>#N/A</v>
      </c>
      <c r="F280" s="1309" t="e">
        <f>IF(ISBLANK($B280), "", INDEX(RAWData!C:C,MATCH($C280,RAWData!$A:$A,0)))</f>
        <v>#N/A</v>
      </c>
      <c r="G280" s="1309" t="e">
        <f>IF(ISBLANK($B280), "", INDEX(RAWData!D:D,MATCH($C280,RAWData!$A:$A,0)))</f>
        <v>#N/A</v>
      </c>
      <c r="H280" s="1309" t="e">
        <f>IF(ISBLANK($B280), "", INDEX(RAWData!E:E,MATCH($C280,RAWData!$A:$A,0)))</f>
        <v>#N/A</v>
      </c>
      <c r="I280" s="1309" t="e">
        <f>IF(ISBLANK($B280), "", INDEX(RAWData!F:F,MATCH($C280,RAWData!$A:$A,0)))</f>
        <v>#N/A</v>
      </c>
    </row>
    <row r="281" spans="2:9">
      <c r="B281" s="1313" t="s">
        <v>4032</v>
      </c>
      <c r="C281" s="1309" t="str">
        <f t="shared" si="4"/>
        <v>TLOUTPUTANALYPROD2TRAININGT1_0</v>
      </c>
      <c r="E281" s="1309" t="e">
        <f>IF(ISBLANK($B281), "", INDEX(RAWData!B:B,MATCH($C281,RAWData!$A:$A,0)))</f>
        <v>#N/A</v>
      </c>
      <c r="F281" s="1309" t="e">
        <f>IF(ISBLANK($B281), "", INDEX(RAWData!C:C,MATCH($C281,RAWData!$A:$A,0)))</f>
        <v>#N/A</v>
      </c>
      <c r="G281" s="1309" t="e">
        <f>IF(ISBLANK($B281), "", INDEX(RAWData!D:D,MATCH($C281,RAWData!$A:$A,0)))</f>
        <v>#N/A</v>
      </c>
      <c r="H281" s="1309" t="e">
        <f>IF(ISBLANK($B281), "", INDEX(RAWData!E:E,MATCH($C281,RAWData!$A:$A,0)))</f>
        <v>#N/A</v>
      </c>
      <c r="I281" s="1309" t="e">
        <f>IF(ISBLANK($B281), "", INDEX(RAWData!F:F,MATCH($C281,RAWData!$A:$A,0)))</f>
        <v>#N/A</v>
      </c>
    </row>
    <row r="282" spans="2:9">
      <c r="B282" s="1313" t="s">
        <v>4033</v>
      </c>
      <c r="C282" s="1309" t="str">
        <f t="shared" si="4"/>
        <v>TLOUTPUTANALYPROD2MKTT1_0</v>
      </c>
      <c r="E282" s="1309" t="e">
        <f>IF(ISBLANK($B282), "", INDEX(RAWData!B:B,MATCH($C282,RAWData!$A:$A,0)))</f>
        <v>#N/A</v>
      </c>
      <c r="F282" s="1309" t="e">
        <f>IF(ISBLANK($B282), "", INDEX(RAWData!C:C,MATCH($C282,RAWData!$A:$A,0)))</f>
        <v>#N/A</v>
      </c>
      <c r="G282" s="1309" t="e">
        <f>IF(ISBLANK($B282), "", INDEX(RAWData!D:D,MATCH($C282,RAWData!$A:$A,0)))</f>
        <v>#N/A</v>
      </c>
      <c r="H282" s="1309" t="e">
        <f>IF(ISBLANK($B282), "", INDEX(RAWData!E:E,MATCH($C282,RAWData!$A:$A,0)))</f>
        <v>#N/A</v>
      </c>
      <c r="I282" s="1309" t="e">
        <f>IF(ISBLANK($B282), "", INDEX(RAWData!F:F,MATCH($C282,RAWData!$A:$A,0)))</f>
        <v>#N/A</v>
      </c>
    </row>
    <row r="283" spans="2:9">
      <c r="B283" s="1326" t="s">
        <v>4034</v>
      </c>
      <c r="C283" s="1309" t="str">
        <f t="shared" si="4"/>
        <v>TLOUTPUTANALYPROD2CONTENTT1_0</v>
      </c>
      <c r="E283" s="1309" t="e">
        <f>IF(ISBLANK($B283), "", INDEX(RAWData!B:B,MATCH($C283,RAWData!$A:$A,0)))</f>
        <v>#N/A</v>
      </c>
      <c r="F283" s="1309" t="e">
        <f>IF(ISBLANK($B283), "", INDEX(RAWData!C:C,MATCH($C283,RAWData!$A:$A,0)))</f>
        <v>#N/A</v>
      </c>
      <c r="G283" s="1309" t="e">
        <f>IF(ISBLANK($B283), "", INDEX(RAWData!D:D,MATCH($C283,RAWData!$A:$A,0)))</f>
        <v>#N/A</v>
      </c>
      <c r="H283" s="1309" t="e">
        <f>IF(ISBLANK($B283), "", INDEX(RAWData!E:E,MATCH($C283,RAWData!$A:$A,0)))</f>
        <v>#N/A</v>
      </c>
      <c r="I283" s="1309" t="e">
        <f>IF(ISBLANK($B283), "", INDEX(RAWData!F:F,MATCH($C283,RAWData!$A:$A,0)))</f>
        <v>#N/A</v>
      </c>
    </row>
    <row r="284" spans="2:9">
      <c r="B284" s="1326" t="s">
        <v>4035</v>
      </c>
      <c r="C284" s="1309" t="str">
        <f t="shared" si="4"/>
        <v>TLOUTPUTANALYPROD2PERCINTT1_0</v>
      </c>
      <c r="E284" s="1309" t="e">
        <f>IF(ISBLANK($B284), "", INDEX(RAWData!B:B,MATCH($C284,RAWData!$A:$A,0)))</f>
        <v>#N/A</v>
      </c>
      <c r="F284" s="1309" t="e">
        <f>IF(ISBLANK($B284), "", INDEX(RAWData!C:C,MATCH($C284,RAWData!$A:$A,0)))</f>
        <v>#N/A</v>
      </c>
      <c r="G284" s="1309" t="e">
        <f>IF(ISBLANK($B284), "", INDEX(RAWData!D:D,MATCH($C284,RAWData!$A:$A,0)))</f>
        <v>#N/A</v>
      </c>
      <c r="H284" s="1309" t="e">
        <f>IF(ISBLANK($B284), "", INDEX(RAWData!E:E,MATCH($C284,RAWData!$A:$A,0)))</f>
        <v>#N/A</v>
      </c>
      <c r="I284" s="1309" t="e">
        <f>IF(ISBLANK($B284), "", INDEX(RAWData!F:F,MATCH($C284,RAWData!$A:$A,0)))</f>
        <v>#N/A</v>
      </c>
    </row>
    <row r="285" spans="2:9">
      <c r="B285" s="1311" t="s">
        <v>4036</v>
      </c>
      <c r="C285" s="1309" t="str">
        <f t="shared" si="4"/>
        <v>TLOUTPUTANALYPROD2PRICET1_0</v>
      </c>
      <c r="E285" s="1309" t="e">
        <f>IF(ISBLANK($B285), "", INDEX(RAWData!B:B,MATCH($C285,RAWData!$A:$A,0)))</f>
        <v>#N/A</v>
      </c>
      <c r="F285" s="1309" t="e">
        <f>IF(ISBLANK($B285), "", INDEX(RAWData!C:C,MATCH($C285,RAWData!$A:$A,0)))</f>
        <v>#N/A</v>
      </c>
      <c r="G285" s="1309" t="e">
        <f>IF(ISBLANK($B285), "", INDEX(RAWData!D:D,MATCH($C285,RAWData!$A:$A,0)))</f>
        <v>#N/A</v>
      </c>
      <c r="H285" s="1309" t="e">
        <f>IF(ISBLANK($B285), "", INDEX(RAWData!E:E,MATCH($C285,RAWData!$A:$A,0)))</f>
        <v>#N/A</v>
      </c>
      <c r="I285" s="1309" t="e">
        <f>IF(ISBLANK($B285), "", INDEX(RAWData!F:F,MATCH($C285,RAWData!$A:$A,0)))</f>
        <v>#N/A</v>
      </c>
    </row>
    <row r="286" spans="2:9">
      <c r="B286" s="1311" t="s">
        <v>4037</v>
      </c>
      <c r="C286" s="1309" t="str">
        <f t="shared" si="4"/>
        <v>TLOUTPUTANALYPROD2CUSTOMERSERVICET1_0</v>
      </c>
      <c r="E286" s="1309" t="e">
        <f>IF(ISBLANK($B286), "", INDEX(RAWData!B:B,MATCH($C286,RAWData!$A:$A,0)))</f>
        <v>#N/A</v>
      </c>
      <c r="F286" s="1309" t="e">
        <f>IF(ISBLANK($B286), "", INDEX(RAWData!C:C,MATCH($C286,RAWData!$A:$A,0)))</f>
        <v>#N/A</v>
      </c>
      <c r="G286" s="1309" t="e">
        <f>IF(ISBLANK($B286), "", INDEX(RAWData!D:D,MATCH($C286,RAWData!$A:$A,0)))</f>
        <v>#N/A</v>
      </c>
      <c r="H286" s="1309" t="e">
        <f>IF(ISBLANK($B286), "", INDEX(RAWData!E:E,MATCH($C286,RAWData!$A:$A,0)))</f>
        <v>#N/A</v>
      </c>
      <c r="I286" s="1309" t="e">
        <f>IF(ISBLANK($B286), "", INDEX(RAWData!F:F,MATCH($C286,RAWData!$A:$A,0)))</f>
        <v>#N/A</v>
      </c>
    </row>
    <row r="287" spans="2:9">
      <c r="B287" s="1328" t="s">
        <v>4038</v>
      </c>
      <c r="C287" s="1309" t="str">
        <f t="shared" si="4"/>
        <v>TLOUTPUTANALYPROD2CSATTRAININGT1_0</v>
      </c>
      <c r="E287" s="1309" t="e">
        <f>IF(ISBLANK($B287), "", INDEX(RAWData!B:B,MATCH($C287,RAWData!$A:$A,0)))</f>
        <v>#N/A</v>
      </c>
      <c r="F287" s="1309" t="e">
        <f>IF(ISBLANK($B287), "", INDEX(RAWData!C:C,MATCH($C287,RAWData!$A:$A,0)))</f>
        <v>#N/A</v>
      </c>
      <c r="G287" s="1309" t="e">
        <f>IF(ISBLANK($B287), "", INDEX(RAWData!D:D,MATCH($C287,RAWData!$A:$A,0)))</f>
        <v>#N/A</v>
      </c>
      <c r="H287" s="1309" t="e">
        <f>IF(ISBLANK($B287), "", INDEX(RAWData!E:E,MATCH($C287,RAWData!$A:$A,0)))</f>
        <v>#N/A</v>
      </c>
      <c r="I287" s="1309" t="e">
        <f>IF(ISBLANK($B287), "", INDEX(RAWData!F:F,MATCH($C287,RAWData!$A:$A,0)))</f>
        <v>#N/A</v>
      </c>
    </row>
    <row r="288" spans="2:9">
      <c r="B288" s="1312" t="s">
        <v>4039</v>
      </c>
      <c r="C288" s="1309" t="str">
        <f t="shared" si="4"/>
        <v>TLOUTPUTANALYPROD2ESATTRAININGT1_0</v>
      </c>
      <c r="E288" s="1309" t="e">
        <f>IF(ISBLANK($B288), "", INDEX(RAWData!B:B,MATCH($C288,RAWData!$A:$A,0)))</f>
        <v>#N/A</v>
      </c>
      <c r="F288" s="1309" t="e">
        <f>IF(ISBLANK($B288), "", INDEX(RAWData!C:C,MATCH($C288,RAWData!$A:$A,0)))</f>
        <v>#N/A</v>
      </c>
      <c r="G288" s="1309" t="e">
        <f>IF(ISBLANK($B288), "", INDEX(RAWData!D:D,MATCH($C288,RAWData!$A:$A,0)))</f>
        <v>#N/A</v>
      </c>
      <c r="H288" s="1309" t="e">
        <f>IF(ISBLANK($B288), "", INDEX(RAWData!E:E,MATCH($C288,RAWData!$A:$A,0)))</f>
        <v>#N/A</v>
      </c>
      <c r="I288" s="1309" t="e">
        <f>IF(ISBLANK($B288), "", INDEX(RAWData!F:F,MATCH($C288,RAWData!$A:$A,0)))</f>
        <v>#N/A</v>
      </c>
    </row>
    <row r="289" spans="2:9">
      <c r="B289" s="1314"/>
      <c r="C289" s="1309" t="str">
        <f t="shared" si="4"/>
        <v/>
      </c>
      <c r="E289" s="1309" t="str">
        <f>IF(ISBLANK($B289), "", INDEX(RAWData!B:B,MATCH($C289,RAWData!$A:$A,0)))</f>
        <v/>
      </c>
      <c r="F289" s="1309" t="str">
        <f>IF(ISBLANK($B289), "", INDEX(RAWData!C:C,MATCH($C289,RAWData!$A:$A,0)))</f>
        <v/>
      </c>
      <c r="G289" s="1309" t="str">
        <f>IF(ISBLANK($B289), "", INDEX(RAWData!D:D,MATCH($C289,RAWData!$A:$A,0)))</f>
        <v/>
      </c>
      <c r="H289" s="1309" t="str">
        <f>IF(ISBLANK($B289), "", INDEX(RAWData!E:E,MATCH($C289,RAWData!$A:$A,0)))</f>
        <v/>
      </c>
      <c r="I289" s="1309" t="str">
        <f>IF(ISBLANK($B289), "", INDEX(RAWData!F:F,MATCH($C289,RAWData!$A:$A,0)))</f>
        <v/>
      </c>
    </row>
    <row r="290" spans="2:9">
      <c r="B290" s="1314"/>
      <c r="C290" s="1309" t="str">
        <f t="shared" si="4"/>
        <v/>
      </c>
      <c r="E290" s="1309" t="str">
        <f>IF(ISBLANK($B290), "", INDEX(RAWData!B:B,MATCH($C290,RAWData!$A:$A,0)))</f>
        <v/>
      </c>
      <c r="F290" s="1309" t="str">
        <f>IF(ISBLANK($B290), "", INDEX(RAWData!C:C,MATCH($C290,RAWData!$A:$A,0)))</f>
        <v/>
      </c>
      <c r="G290" s="1309" t="str">
        <f>IF(ISBLANK($B290), "", INDEX(RAWData!D:D,MATCH($C290,RAWData!$A:$A,0)))</f>
        <v/>
      </c>
      <c r="H290" s="1309" t="str">
        <f>IF(ISBLANK($B290), "", INDEX(RAWData!E:E,MATCH($C290,RAWData!$A:$A,0)))</f>
        <v/>
      </c>
      <c r="I290" s="1309" t="str">
        <f>IF(ISBLANK($B290), "", INDEX(RAWData!F:F,MATCH($C290,RAWData!$A:$A,0)))</f>
        <v/>
      </c>
    </row>
    <row r="291" spans="2:9">
      <c r="B291" s="1329" t="s">
        <v>4040</v>
      </c>
      <c r="C291" s="1309" t="str">
        <f t="shared" si="4"/>
        <v>TLOUTPUTANALYPROD2MARKETSHARET1_0</v>
      </c>
      <c r="E291" s="1309" t="e">
        <f>IF(ISBLANK($B291), "", INDEX(RAWData!B:B,MATCH($C291,RAWData!$A:$A,0)))</f>
        <v>#N/A</v>
      </c>
      <c r="F291" s="1309" t="e">
        <f>IF(ISBLANK($B291), "", INDEX(RAWData!C:C,MATCH($C291,RAWData!$A:$A,0)))</f>
        <v>#N/A</v>
      </c>
      <c r="G291" s="1309" t="e">
        <f>IF(ISBLANK($B291), "", INDEX(RAWData!D:D,MATCH($C291,RAWData!$A:$A,0)))</f>
        <v>#N/A</v>
      </c>
      <c r="H291" s="1309" t="e">
        <f>IF(ISBLANK($B291), "", INDEX(RAWData!E:E,MATCH($C291,RAWData!$A:$A,0)))</f>
        <v>#N/A</v>
      </c>
      <c r="I291" s="1309" t="e">
        <f>IF(ISBLANK($B291), "", INDEX(RAWData!F:F,MATCH($C291,RAWData!$A:$A,0)))</f>
        <v>#N/A</v>
      </c>
    </row>
    <row r="292" spans="2:9">
      <c r="B292" s="1330" t="s">
        <v>4041</v>
      </c>
      <c r="C292" s="1309" t="str">
        <f t="shared" si="4"/>
        <v>TLOUTPUTANALYPROD2MMDRIVER1T1_0</v>
      </c>
      <c r="E292" s="1309" t="e">
        <f>IF(ISBLANK($B292), "", INDEX(RAWData!B:B,MATCH($C292,RAWData!$A:$A,0)))</f>
        <v>#N/A</v>
      </c>
      <c r="F292" s="1309" t="e">
        <f>IF(ISBLANK($B292), "", INDEX(RAWData!C:C,MATCH($C292,RAWData!$A:$A,0)))</f>
        <v>#N/A</v>
      </c>
      <c r="G292" s="1309" t="e">
        <f>IF(ISBLANK($B292), "", INDEX(RAWData!D:D,MATCH($C292,RAWData!$A:$A,0)))</f>
        <v>#N/A</v>
      </c>
      <c r="H292" s="1309" t="e">
        <f>IF(ISBLANK($B292), "", INDEX(RAWData!E:E,MATCH($C292,RAWData!$A:$A,0)))</f>
        <v>#N/A</v>
      </c>
      <c r="I292" s="1309" t="e">
        <f>IF(ISBLANK($B292), "", INDEX(RAWData!F:F,MATCH($C292,RAWData!$A:$A,0)))</f>
        <v>#N/A</v>
      </c>
    </row>
    <row r="293" spans="2:9">
      <c r="B293" s="1330" t="s">
        <v>4042</v>
      </c>
      <c r="C293" s="1309" t="str">
        <f t="shared" si="4"/>
        <v>TLOUTPUTANALYPROD2MMDRIVER2T1_0</v>
      </c>
      <c r="E293" s="1309" t="e">
        <f>IF(ISBLANK($B293), "", INDEX(RAWData!B:B,MATCH($C293,RAWData!$A:$A,0)))</f>
        <v>#N/A</v>
      </c>
      <c r="F293" s="1309" t="e">
        <f>IF(ISBLANK($B293), "", INDEX(RAWData!C:C,MATCH($C293,RAWData!$A:$A,0)))</f>
        <v>#N/A</v>
      </c>
      <c r="G293" s="1309" t="e">
        <f>IF(ISBLANK($B293), "", INDEX(RAWData!D:D,MATCH($C293,RAWData!$A:$A,0)))</f>
        <v>#N/A</v>
      </c>
      <c r="H293" s="1309" t="e">
        <f>IF(ISBLANK($B293), "", INDEX(RAWData!E:E,MATCH($C293,RAWData!$A:$A,0)))</f>
        <v>#N/A</v>
      </c>
      <c r="I293" s="1309" t="e">
        <f>IF(ISBLANK($B293), "", INDEX(RAWData!F:F,MATCH($C293,RAWData!$A:$A,0)))</f>
        <v>#N/A</v>
      </c>
    </row>
    <row r="294" spans="2:9">
      <c r="B294" s="1330" t="s">
        <v>4043</v>
      </c>
      <c r="C294" s="1309" t="str">
        <f t="shared" si="4"/>
        <v>TLOUTPUTANALYPROD2MMDRIVER3T1_0</v>
      </c>
      <c r="E294" s="1309" t="e">
        <f>IF(ISBLANK($B294), "", INDEX(RAWData!B:B,MATCH($C294,RAWData!$A:$A,0)))</f>
        <v>#N/A</v>
      </c>
      <c r="F294" s="1309" t="e">
        <f>IF(ISBLANK($B294), "", INDEX(RAWData!C:C,MATCH($C294,RAWData!$A:$A,0)))</f>
        <v>#N/A</v>
      </c>
      <c r="G294" s="1309" t="e">
        <f>IF(ISBLANK($B294), "", INDEX(RAWData!D:D,MATCH($C294,RAWData!$A:$A,0)))</f>
        <v>#N/A</v>
      </c>
      <c r="H294" s="1309" t="e">
        <f>IF(ISBLANK($B294), "", INDEX(RAWData!E:E,MATCH($C294,RAWData!$A:$A,0)))</f>
        <v>#N/A</v>
      </c>
      <c r="I294" s="1309" t="e">
        <f>IF(ISBLANK($B294), "", INDEX(RAWData!F:F,MATCH($C294,RAWData!$A:$A,0)))</f>
        <v>#N/A</v>
      </c>
    </row>
    <row r="295" spans="2:9">
      <c r="B295" s="1330" t="s">
        <v>4044</v>
      </c>
      <c r="C295" s="1309" t="str">
        <f t="shared" si="4"/>
        <v>TLOUTPUTANALYPROD2MMDRIVER4T1_0</v>
      </c>
      <c r="E295" s="1309" t="e">
        <f>IF(ISBLANK($B295), "", INDEX(RAWData!B:B,MATCH($C295,RAWData!$A:$A,0)))</f>
        <v>#N/A</v>
      </c>
      <c r="F295" s="1309" t="e">
        <f>IF(ISBLANK($B295), "", INDEX(RAWData!C:C,MATCH($C295,RAWData!$A:$A,0)))</f>
        <v>#N/A</v>
      </c>
      <c r="G295" s="1309" t="e">
        <f>IF(ISBLANK($B295), "", INDEX(RAWData!D:D,MATCH($C295,RAWData!$A:$A,0)))</f>
        <v>#N/A</v>
      </c>
      <c r="H295" s="1309" t="e">
        <f>IF(ISBLANK($B295), "", INDEX(RAWData!E:E,MATCH($C295,RAWData!$A:$A,0)))</f>
        <v>#N/A</v>
      </c>
      <c r="I295" s="1309" t="e">
        <f>IF(ISBLANK($B295), "", INDEX(RAWData!F:F,MATCH($C295,RAWData!$A:$A,0)))</f>
        <v>#N/A</v>
      </c>
    </row>
    <row r="296" spans="2:9">
      <c r="B296" s="1330" t="s">
        <v>4045</v>
      </c>
      <c r="C296" s="1309" t="str">
        <f t="shared" si="4"/>
        <v>TLOUTPUTANALYPROD2MMDRIVER5T1_0</v>
      </c>
      <c r="E296" s="1309" t="e">
        <f>IF(ISBLANK($B296), "", INDEX(RAWData!B:B,MATCH($C296,RAWData!$A:$A,0)))</f>
        <v>#N/A</v>
      </c>
      <c r="F296" s="1309" t="e">
        <f>IF(ISBLANK($B296), "", INDEX(RAWData!C:C,MATCH($C296,RAWData!$A:$A,0)))</f>
        <v>#N/A</v>
      </c>
      <c r="G296" s="1309" t="e">
        <f>IF(ISBLANK($B296), "", INDEX(RAWData!D:D,MATCH($C296,RAWData!$A:$A,0)))</f>
        <v>#N/A</v>
      </c>
      <c r="H296" s="1309" t="e">
        <f>IF(ISBLANK($B296), "", INDEX(RAWData!E:E,MATCH($C296,RAWData!$A:$A,0)))</f>
        <v>#N/A</v>
      </c>
      <c r="I296" s="1309" t="e">
        <f>IF(ISBLANK($B296), "", INDEX(RAWData!F:F,MATCH($C296,RAWData!$A:$A,0)))</f>
        <v>#N/A</v>
      </c>
    </row>
    <row r="297" spans="2:9">
      <c r="B297" s="1330" t="s">
        <v>4046</v>
      </c>
      <c r="C297" s="1309" t="str">
        <f t="shared" si="4"/>
        <v>TLOUTPUTANALYPROD2MMDRIVER6T1_0</v>
      </c>
      <c r="E297" s="1309" t="e">
        <f>IF(ISBLANK($B297), "", INDEX(RAWData!B:B,MATCH($C297,RAWData!$A:$A,0)))</f>
        <v>#N/A</v>
      </c>
      <c r="F297" s="1309" t="e">
        <f>IF(ISBLANK($B297), "", INDEX(RAWData!C:C,MATCH($C297,RAWData!$A:$A,0)))</f>
        <v>#N/A</v>
      </c>
      <c r="G297" s="1309" t="e">
        <f>IF(ISBLANK($B297), "", INDEX(RAWData!D:D,MATCH($C297,RAWData!$A:$A,0)))</f>
        <v>#N/A</v>
      </c>
      <c r="H297" s="1309" t="e">
        <f>IF(ISBLANK($B297), "", INDEX(RAWData!E:E,MATCH($C297,RAWData!$A:$A,0)))</f>
        <v>#N/A</v>
      </c>
      <c r="I297" s="1309" t="e">
        <f>IF(ISBLANK($B297), "", INDEX(RAWData!F:F,MATCH($C297,RAWData!$A:$A,0)))</f>
        <v>#N/A</v>
      </c>
    </row>
    <row r="298" spans="2:9">
      <c r="B298" s="1331" t="s">
        <v>4047</v>
      </c>
      <c r="C298" s="1309" t="str">
        <f t="shared" si="4"/>
        <v>TLOUTPUTANALYPROD2MMSPT1_0</v>
      </c>
      <c r="E298" s="1309" t="e">
        <f>IF(ISBLANK($B298), "", INDEX(RAWData!B:B,MATCH($C298,RAWData!$A:$A,0)))</f>
        <v>#N/A</v>
      </c>
      <c r="F298" s="1309" t="e">
        <f>IF(ISBLANK($B298), "", INDEX(RAWData!C:C,MATCH($C298,RAWData!$A:$A,0)))</f>
        <v>#N/A</v>
      </c>
      <c r="G298" s="1309" t="e">
        <f>IF(ISBLANK($B298), "", INDEX(RAWData!D:D,MATCH($C298,RAWData!$A:$A,0)))</f>
        <v>#N/A</v>
      </c>
      <c r="H298" s="1309" t="e">
        <f>IF(ISBLANK($B298), "", INDEX(RAWData!E:E,MATCH($C298,RAWData!$A:$A,0)))</f>
        <v>#N/A</v>
      </c>
      <c r="I298" s="1309" t="e">
        <f>IF(ISBLANK($B298), "", INDEX(RAWData!F:F,MATCH($C298,RAWData!$A:$A,0)))</f>
        <v>#N/A</v>
      </c>
    </row>
    <row r="299" spans="2:9">
      <c r="B299" s="1329" t="s">
        <v>4048</v>
      </c>
      <c r="C299" s="1309" t="str">
        <f t="shared" si="4"/>
        <v>TLOUTPUTANALYPROD2MMTOTALT1_0</v>
      </c>
      <c r="E299" s="1309" t="e">
        <f>IF(ISBLANK($B299), "", INDEX(RAWData!B:B,MATCH($C299,RAWData!$A:$A,0)))</f>
        <v>#N/A</v>
      </c>
      <c r="F299" s="1309" t="e">
        <f>IF(ISBLANK($B299), "", INDEX(RAWData!C:C,MATCH($C299,RAWData!$A:$A,0)))</f>
        <v>#N/A</v>
      </c>
      <c r="G299" s="1309" t="e">
        <f>IF(ISBLANK($B299), "", INDEX(RAWData!D:D,MATCH($C299,RAWData!$A:$A,0)))</f>
        <v>#N/A</v>
      </c>
      <c r="H299" s="1309" t="e">
        <f>IF(ISBLANK($B299), "", INDEX(RAWData!E:E,MATCH($C299,RAWData!$A:$A,0)))</f>
        <v>#N/A</v>
      </c>
      <c r="I299" s="1309" t="e">
        <f>IF(ISBLANK($B299), "", INDEX(RAWData!F:F,MATCH($C299,RAWData!$A:$A,0)))</f>
        <v>#N/A</v>
      </c>
    </row>
    <row r="300" spans="2:9">
      <c r="B300" s="1314"/>
      <c r="C300" s="1309" t="str">
        <f t="shared" si="4"/>
        <v/>
      </c>
      <c r="E300" s="1309" t="str">
        <f>IF(ISBLANK($B300), "", INDEX(RAWData!B:B,MATCH($C300,RAWData!$A:$A,0)))</f>
        <v/>
      </c>
      <c r="F300" s="1309" t="str">
        <f>IF(ISBLANK($B300), "", INDEX(RAWData!C:C,MATCH($C300,RAWData!$A:$A,0)))</f>
        <v/>
      </c>
      <c r="G300" s="1309" t="str">
        <f>IF(ISBLANK($B300), "", INDEX(RAWData!D:D,MATCH($C300,RAWData!$A:$A,0)))</f>
        <v/>
      </c>
      <c r="H300" s="1309" t="str">
        <f>IF(ISBLANK($B300), "", INDEX(RAWData!E:E,MATCH($C300,RAWData!$A:$A,0)))</f>
        <v/>
      </c>
      <c r="I300" s="1309" t="str">
        <f>IF(ISBLANK($B300), "", INDEX(RAWData!F:F,MATCH($C300,RAWData!$A:$A,0)))</f>
        <v/>
      </c>
    </row>
    <row r="301" spans="2:9">
      <c r="B301" s="1310"/>
      <c r="C301" s="1309" t="str">
        <f t="shared" si="4"/>
        <v/>
      </c>
      <c r="E301" s="1309" t="str">
        <f>IF(ISBLANK($B301), "", INDEX(RAWData!B:B,MATCH($C301,RAWData!$A:$A,0)))</f>
        <v/>
      </c>
      <c r="F301" s="1309" t="str">
        <f>IF(ISBLANK($B301), "", INDEX(RAWData!C:C,MATCH($C301,RAWData!$A:$A,0)))</f>
        <v/>
      </c>
      <c r="G301" s="1309" t="str">
        <f>IF(ISBLANK($B301), "", INDEX(RAWData!D:D,MATCH($C301,RAWData!$A:$A,0)))</f>
        <v/>
      </c>
      <c r="H301" s="1309" t="str">
        <f>IF(ISBLANK($B301), "", INDEX(RAWData!E:E,MATCH($C301,RAWData!$A:$A,0)))</f>
        <v/>
      </c>
      <c r="I301" s="1309" t="str">
        <f>IF(ISBLANK($B301), "", INDEX(RAWData!F:F,MATCH($C301,RAWData!$A:$A,0)))</f>
        <v/>
      </c>
    </row>
    <row r="302" spans="2:9">
      <c r="B302" s="1314"/>
      <c r="C302" s="1309" t="str">
        <f t="shared" si="4"/>
        <v/>
      </c>
      <c r="E302" s="1309" t="str">
        <f>IF(ISBLANK($B302), "", INDEX(RAWData!B:B,MATCH($C302,RAWData!$A:$A,0)))</f>
        <v/>
      </c>
      <c r="F302" s="1309" t="str">
        <f>IF(ISBLANK($B302), "", INDEX(RAWData!C:C,MATCH($C302,RAWData!$A:$A,0)))</f>
        <v/>
      </c>
      <c r="G302" s="1309" t="str">
        <f>IF(ISBLANK($B302), "", INDEX(RAWData!D:D,MATCH($C302,RAWData!$A:$A,0)))</f>
        <v/>
      </c>
      <c r="H302" s="1309" t="str">
        <f>IF(ISBLANK($B302), "", INDEX(RAWData!E:E,MATCH($C302,RAWData!$A:$A,0)))</f>
        <v/>
      </c>
      <c r="I302" s="1309" t="str">
        <f>IF(ISBLANK($B302), "", INDEX(RAWData!F:F,MATCH($C302,RAWData!$A:$A,0)))</f>
        <v/>
      </c>
    </row>
    <row r="303" spans="2:9">
      <c r="B303" s="1312" t="s">
        <v>4049</v>
      </c>
      <c r="C303" s="1309" t="str">
        <f t="shared" si="4"/>
        <v>TLOUTPUTANALYDCST1_0</v>
      </c>
      <c r="E303" s="1309" t="e">
        <f>IF(ISBLANK($B303), "", INDEX(RAWData!B:B,MATCH($C303,RAWData!$A:$A,0)))</f>
        <v>#N/A</v>
      </c>
      <c r="F303" s="1309" t="e">
        <f>IF(ISBLANK($B303), "", INDEX(RAWData!C:C,MATCH($C303,RAWData!$A:$A,0)))</f>
        <v>#N/A</v>
      </c>
      <c r="G303" s="1309" t="e">
        <f>IF(ISBLANK($B303), "", INDEX(RAWData!D:D,MATCH($C303,RAWData!$A:$A,0)))</f>
        <v>#N/A</v>
      </c>
      <c r="H303" s="1309" t="e">
        <f>IF(ISBLANK($B303), "", INDEX(RAWData!E:E,MATCH($C303,RAWData!$A:$A,0)))</f>
        <v>#N/A</v>
      </c>
      <c r="I303" s="1309" t="e">
        <f>IF(ISBLANK($B303), "", INDEX(RAWData!F:F,MATCH($C303,RAWData!$A:$A,0)))</f>
        <v>#N/A</v>
      </c>
    </row>
    <row r="304" spans="2:9">
      <c r="B304" s="1312" t="s">
        <v>4050</v>
      </c>
      <c r="C304" s="1309" t="str">
        <f t="shared" si="4"/>
        <v>TLOUTPUTANALYDCCONSOLIDATET1_0</v>
      </c>
      <c r="E304" s="1309" t="e">
        <f>IF(ISBLANK($B304), "", INDEX(RAWData!B:B,MATCH($C304,RAWData!$A:$A,0)))</f>
        <v>#N/A</v>
      </c>
      <c r="F304" s="1309" t="e">
        <f>IF(ISBLANK($B304), "", INDEX(RAWData!C:C,MATCH($C304,RAWData!$A:$A,0)))</f>
        <v>#N/A</v>
      </c>
      <c r="G304" s="1309" t="e">
        <f>IF(ISBLANK($B304), "", INDEX(RAWData!D:D,MATCH($C304,RAWData!$A:$A,0)))</f>
        <v>#N/A</v>
      </c>
      <c r="H304" s="1309" t="e">
        <f>IF(ISBLANK($B304), "", INDEX(RAWData!E:E,MATCH($C304,RAWData!$A:$A,0)))</f>
        <v>#N/A</v>
      </c>
      <c r="I304" s="1309" t="e">
        <f>IF(ISBLANK($B304), "", INDEX(RAWData!F:F,MATCH($C304,RAWData!$A:$A,0)))</f>
        <v>#N/A</v>
      </c>
    </row>
    <row r="305" spans="2:9">
      <c r="B305" s="1313" t="s">
        <v>4051</v>
      </c>
      <c r="C305" s="1309" t="str">
        <f t="shared" si="4"/>
        <v>TLOUTPUTANALYDCUTILIZATIONT1_0</v>
      </c>
      <c r="E305" s="1309" t="e">
        <f>IF(ISBLANK($B305), "", INDEX(RAWData!B:B,MATCH($C305,RAWData!$A:$A,0)))</f>
        <v>#N/A</v>
      </c>
      <c r="F305" s="1309" t="e">
        <f>IF(ISBLANK($B305), "", INDEX(RAWData!C:C,MATCH($C305,RAWData!$A:$A,0)))</f>
        <v>#N/A</v>
      </c>
      <c r="G305" s="1309" t="e">
        <f>IF(ISBLANK($B305), "", INDEX(RAWData!D:D,MATCH($C305,RAWData!$A:$A,0)))</f>
        <v>#N/A</v>
      </c>
      <c r="H305" s="1309" t="e">
        <f>IF(ISBLANK($B305), "", INDEX(RAWData!E:E,MATCH($C305,RAWData!$A:$A,0)))</f>
        <v>#N/A</v>
      </c>
      <c r="I305" s="1309" t="e">
        <f>IF(ISBLANK($B305), "", INDEX(RAWData!F:F,MATCH($C305,RAWData!$A:$A,0)))</f>
        <v>#N/A</v>
      </c>
    </row>
    <row r="306" spans="2:9">
      <c r="B306" s="1312"/>
      <c r="C306" s="1309" t="str">
        <f t="shared" si="4"/>
        <v/>
      </c>
      <c r="E306" s="1309" t="str">
        <f>IF(ISBLANK($B306), "", INDEX(RAWData!B:B,MATCH($C306,RAWData!$A:$A,0)))</f>
        <v/>
      </c>
      <c r="F306" s="1309" t="str">
        <f>IF(ISBLANK($B306), "", INDEX(RAWData!C:C,MATCH($C306,RAWData!$A:$A,0)))</f>
        <v/>
      </c>
      <c r="G306" s="1309" t="str">
        <f>IF(ISBLANK($B306), "", INDEX(RAWData!D:D,MATCH($C306,RAWData!$A:$A,0)))</f>
        <v/>
      </c>
      <c r="H306" s="1309" t="str">
        <f>IF(ISBLANK($B306), "", INDEX(RAWData!E:E,MATCH($C306,RAWData!$A:$A,0)))</f>
        <v/>
      </c>
      <c r="I306" s="1309" t="str">
        <f>IF(ISBLANK($B306), "", INDEX(RAWData!F:F,MATCH($C306,RAWData!$A:$A,0)))</f>
        <v/>
      </c>
    </row>
    <row r="307" spans="2:9">
      <c r="B307" s="1311" t="s">
        <v>4052</v>
      </c>
      <c r="C307" s="1309" t="str">
        <f t="shared" si="4"/>
        <v>TLOUTPUTANALYGLOBALACCESST1_0</v>
      </c>
      <c r="E307" s="1309" t="e">
        <f>IF(ISBLANK($B307), "", INDEX(RAWData!B:B,MATCH($C307,RAWData!$A:$A,0)))</f>
        <v>#N/A</v>
      </c>
      <c r="F307" s="1309" t="e">
        <f>IF(ISBLANK($B307), "", INDEX(RAWData!C:C,MATCH($C307,RAWData!$A:$A,0)))</f>
        <v>#N/A</v>
      </c>
      <c r="G307" s="1309" t="e">
        <f>IF(ISBLANK($B307), "", INDEX(RAWData!D:D,MATCH($C307,RAWData!$A:$A,0)))</f>
        <v>#N/A</v>
      </c>
      <c r="H307" s="1309" t="e">
        <f>IF(ISBLANK($B307), "", INDEX(RAWData!E:E,MATCH($C307,RAWData!$A:$A,0)))</f>
        <v>#N/A</v>
      </c>
      <c r="I307" s="1309" t="e">
        <f>IF(ISBLANK($B307), "", INDEX(RAWData!F:F,MATCH($C307,RAWData!$A:$A,0)))</f>
        <v>#N/A</v>
      </c>
    </row>
    <row r="308" spans="2:9">
      <c r="B308" s="1311" t="s">
        <v>4053</v>
      </c>
      <c r="C308" s="1309" t="str">
        <f t="shared" si="4"/>
        <v>TLOUTPUTANALYSALESCOVERAGET1_0</v>
      </c>
      <c r="E308" s="1309" t="e">
        <f>IF(ISBLANK($B308), "", INDEX(RAWData!B:B,MATCH($C308,RAWData!$A:$A,0)))</f>
        <v>#N/A</v>
      </c>
      <c r="F308" s="1309" t="e">
        <f>IF(ISBLANK($B308), "", INDEX(RAWData!C:C,MATCH($C308,RAWData!$A:$A,0)))</f>
        <v>#N/A</v>
      </c>
      <c r="G308" s="1309" t="e">
        <f>IF(ISBLANK($B308), "", INDEX(RAWData!D:D,MATCH($C308,RAWData!$A:$A,0)))</f>
        <v>#N/A</v>
      </c>
      <c r="H308" s="1309" t="e">
        <f>IF(ISBLANK($B308), "", INDEX(RAWData!E:E,MATCH($C308,RAWData!$A:$A,0)))</f>
        <v>#N/A</v>
      </c>
      <c r="I308" s="1309" t="e">
        <f>IF(ISBLANK($B308), "", INDEX(RAWData!F:F,MATCH($C308,RAWData!$A:$A,0)))</f>
        <v>#N/A</v>
      </c>
    </row>
    <row r="309" spans="2:9">
      <c r="B309" s="1312" t="s">
        <v>4054</v>
      </c>
      <c r="C309" s="1309" t="str">
        <f t="shared" si="4"/>
        <v>TLOUTPUTANALYFTEST1_0</v>
      </c>
      <c r="E309" s="1309" t="e">
        <f>IF(ISBLANK($B309), "", INDEX(RAWData!B:B,MATCH($C309,RAWData!$A:$A,0)))</f>
        <v>#N/A</v>
      </c>
      <c r="F309" s="1309" t="e">
        <f>IF(ISBLANK($B309), "", INDEX(RAWData!C:C,MATCH($C309,RAWData!$A:$A,0)))</f>
        <v>#N/A</v>
      </c>
      <c r="G309" s="1309" t="e">
        <f>IF(ISBLANK($B309), "", INDEX(RAWData!D:D,MATCH($C309,RAWData!$A:$A,0)))</f>
        <v>#N/A</v>
      </c>
      <c r="H309" s="1309" t="e">
        <f>IF(ISBLANK($B309), "", INDEX(RAWData!E:E,MATCH($C309,RAWData!$A:$A,0)))</f>
        <v>#N/A</v>
      </c>
      <c r="I309" s="1309" t="e">
        <f>IF(ISBLANK($B309), "", INDEX(RAWData!F:F,MATCH($C309,RAWData!$A:$A,0)))</f>
        <v>#N/A</v>
      </c>
    </row>
    <row r="310" spans="2:9">
      <c r="B310" s="1312" t="s">
        <v>4055</v>
      </c>
      <c r="C310" s="1309" t="str">
        <f t="shared" si="4"/>
        <v>TLOUTPUTANALYSTAFFT1_0</v>
      </c>
      <c r="E310" s="1309" t="e">
        <f>IF(ISBLANK($B310), "", INDEX(RAWData!B:B,MATCH($C310,RAWData!$A:$A,0)))</f>
        <v>#N/A</v>
      </c>
      <c r="F310" s="1309" t="e">
        <f>IF(ISBLANK($B310), "", INDEX(RAWData!C:C,MATCH($C310,RAWData!$A:$A,0)))</f>
        <v>#N/A</v>
      </c>
      <c r="G310" s="1309" t="e">
        <f>IF(ISBLANK($B310), "", INDEX(RAWData!D:D,MATCH($C310,RAWData!$A:$A,0)))</f>
        <v>#N/A</v>
      </c>
      <c r="H310" s="1309" t="e">
        <f>IF(ISBLANK($B310), "", INDEX(RAWData!E:E,MATCH($C310,RAWData!$A:$A,0)))</f>
        <v>#N/A</v>
      </c>
      <c r="I310" s="1309" t="e">
        <f>IF(ISBLANK($B310), "", INDEX(RAWData!F:F,MATCH($C310,RAWData!$A:$A,0)))</f>
        <v>#N/A</v>
      </c>
    </row>
    <row r="311" spans="2:9">
      <c r="B311" s="1312" t="s">
        <v>4056</v>
      </c>
      <c r="C311" s="1309" t="str">
        <f t="shared" si="4"/>
        <v>TLOUTPUTANALYSERVICET1_0</v>
      </c>
      <c r="E311" s="1309" t="e">
        <f>IF(ISBLANK($B311), "", INDEX(RAWData!B:B,MATCH($C311,RAWData!$A:$A,0)))</f>
        <v>#N/A</v>
      </c>
      <c r="F311" s="1309" t="e">
        <f>IF(ISBLANK($B311), "", INDEX(RAWData!C:C,MATCH($C311,RAWData!$A:$A,0)))</f>
        <v>#N/A</v>
      </c>
      <c r="G311" s="1309" t="e">
        <f>IF(ISBLANK($B311), "", INDEX(RAWData!D:D,MATCH($C311,RAWData!$A:$A,0)))</f>
        <v>#N/A</v>
      </c>
      <c r="H311" s="1309" t="e">
        <f>IF(ISBLANK($B311), "", INDEX(RAWData!E:E,MATCH($C311,RAWData!$A:$A,0)))</f>
        <v>#N/A</v>
      </c>
      <c r="I311" s="1309" t="e">
        <f>IF(ISBLANK($B311), "", INDEX(RAWData!F:F,MATCH($C311,RAWData!$A:$A,0)))</f>
        <v>#N/A</v>
      </c>
    </row>
    <row r="312" spans="2:9">
      <c r="B312" s="1312" t="s">
        <v>4057</v>
      </c>
      <c r="C312" s="1309" t="str">
        <f t="shared" si="4"/>
        <v>TLOUTPUTANALYHEADCOUNTT1_0</v>
      </c>
      <c r="E312" s="1309" t="e">
        <f>IF(ISBLANK($B312), "", INDEX(RAWData!B:B,MATCH($C312,RAWData!$A:$A,0)))</f>
        <v>#N/A</v>
      </c>
      <c r="F312" s="1309" t="e">
        <f>IF(ISBLANK($B312), "", INDEX(RAWData!C:C,MATCH($C312,RAWData!$A:$A,0)))</f>
        <v>#N/A</v>
      </c>
      <c r="G312" s="1309" t="e">
        <f>IF(ISBLANK($B312), "", INDEX(RAWData!D:D,MATCH($C312,RAWData!$A:$A,0)))</f>
        <v>#N/A</v>
      </c>
      <c r="H312" s="1309" t="e">
        <f>IF(ISBLANK($B312), "", INDEX(RAWData!E:E,MATCH($C312,RAWData!$A:$A,0)))</f>
        <v>#N/A</v>
      </c>
      <c r="I312" s="1309" t="e">
        <f>IF(ISBLANK($B312), "", INDEX(RAWData!F:F,MATCH($C312,RAWData!$A:$A,0)))</f>
        <v>#N/A</v>
      </c>
    </row>
    <row r="313" spans="2:9">
      <c r="B313" s="1312" t="s">
        <v>4058</v>
      </c>
      <c r="C313" s="1309" t="str">
        <f t="shared" si="4"/>
        <v>TLOUTPUTANALYBUILDINGST1_0</v>
      </c>
      <c r="E313" s="1309" t="e">
        <f>IF(ISBLANK($B313), "", INDEX(RAWData!B:B,MATCH($C313,RAWData!$A:$A,0)))</f>
        <v>#N/A</v>
      </c>
      <c r="F313" s="1309" t="e">
        <f>IF(ISBLANK($B313), "", INDEX(RAWData!C:C,MATCH($C313,RAWData!$A:$A,0)))</f>
        <v>#N/A</v>
      </c>
      <c r="G313" s="1309" t="e">
        <f>IF(ISBLANK($B313), "", INDEX(RAWData!D:D,MATCH($C313,RAWData!$A:$A,0)))</f>
        <v>#N/A</v>
      </c>
      <c r="H313" s="1309" t="e">
        <f>IF(ISBLANK($B313), "", INDEX(RAWData!E:E,MATCH($C313,RAWData!$A:$A,0)))</f>
        <v>#N/A</v>
      </c>
      <c r="I313" s="1309" t="e">
        <f>IF(ISBLANK($B313), "", INDEX(RAWData!F:F,MATCH($C313,RAWData!$A:$A,0)))</f>
        <v>#N/A</v>
      </c>
    </row>
    <row r="314" spans="2:9">
      <c r="B314" s="1314"/>
      <c r="C314" s="1309" t="str">
        <f t="shared" si="4"/>
        <v/>
      </c>
      <c r="E314" s="1309" t="str">
        <f>IF(ISBLANK($B314), "", INDEX(RAWData!B:B,MATCH($C314,RAWData!$A:$A,0)))</f>
        <v/>
      </c>
      <c r="F314" s="1309" t="str">
        <f>IF(ISBLANK($B314), "", INDEX(RAWData!C:C,MATCH($C314,RAWData!$A:$A,0)))</f>
        <v/>
      </c>
      <c r="G314" s="1309" t="str">
        <f>IF(ISBLANK($B314), "", INDEX(RAWData!D:D,MATCH($C314,RAWData!$A:$A,0)))</f>
        <v/>
      </c>
      <c r="H314" s="1309" t="str">
        <f>IF(ISBLANK($B314), "", INDEX(RAWData!E:E,MATCH($C314,RAWData!$A:$A,0)))</f>
        <v/>
      </c>
      <c r="I314" s="1309" t="str">
        <f>IF(ISBLANK($B314), "", INDEX(RAWData!F:F,MATCH($C314,RAWData!$A:$A,0)))</f>
        <v/>
      </c>
    </row>
    <row r="315" spans="2:9">
      <c r="B315" s="1332" t="s">
        <v>4059</v>
      </c>
      <c r="C315" s="1309" t="str">
        <f t="shared" si="4"/>
        <v>TLOUTPUTANALYFTEPROD1TECHT1_0</v>
      </c>
      <c r="E315" s="1309" t="e">
        <f>IF(ISBLANK($B315), "", INDEX(RAWData!B:B,MATCH($C315,RAWData!$A:$A,0)))</f>
        <v>#N/A</v>
      </c>
      <c r="F315" s="1309" t="e">
        <f>IF(ISBLANK($B315), "", INDEX(RAWData!C:C,MATCH($C315,RAWData!$A:$A,0)))</f>
        <v>#N/A</v>
      </c>
      <c r="G315" s="1309" t="e">
        <f>IF(ISBLANK($B315), "", INDEX(RAWData!D:D,MATCH($C315,RAWData!$A:$A,0)))</f>
        <v>#N/A</v>
      </c>
      <c r="H315" s="1309" t="e">
        <f>IF(ISBLANK($B315), "", INDEX(RAWData!E:E,MATCH($C315,RAWData!$A:$A,0)))</f>
        <v>#N/A</v>
      </c>
      <c r="I315" s="1309" t="e">
        <f>IF(ISBLANK($B315), "", INDEX(RAWData!F:F,MATCH($C315,RAWData!$A:$A,0)))</f>
        <v>#N/A</v>
      </c>
    </row>
    <row r="316" spans="2:9">
      <c r="B316" s="1332" t="s">
        <v>4060</v>
      </c>
      <c r="C316" s="1309" t="str">
        <f t="shared" si="4"/>
        <v>TLOUTPUTANALYFTEPROD2TECHT1_0</v>
      </c>
      <c r="E316" s="1309" t="e">
        <f>IF(ISBLANK($B316), "", INDEX(RAWData!B:B,MATCH($C316,RAWData!$A:$A,0)))</f>
        <v>#N/A</v>
      </c>
      <c r="F316" s="1309" t="e">
        <f>IF(ISBLANK($B316), "", INDEX(RAWData!C:C,MATCH($C316,RAWData!$A:$A,0)))</f>
        <v>#N/A</v>
      </c>
      <c r="G316" s="1309" t="e">
        <f>IF(ISBLANK($B316), "", INDEX(RAWData!D:D,MATCH($C316,RAWData!$A:$A,0)))</f>
        <v>#N/A</v>
      </c>
      <c r="H316" s="1309" t="e">
        <f>IF(ISBLANK($B316), "", INDEX(RAWData!E:E,MATCH($C316,RAWData!$A:$A,0)))</f>
        <v>#N/A</v>
      </c>
      <c r="I316" s="1309" t="e">
        <f>IF(ISBLANK($B316), "", INDEX(RAWData!F:F,MATCH($C316,RAWData!$A:$A,0)))</f>
        <v>#N/A</v>
      </c>
    </row>
    <row r="317" spans="2:9">
      <c r="B317" s="1332" t="s">
        <v>4061</v>
      </c>
      <c r="C317" s="1309" t="str">
        <f t="shared" si="4"/>
        <v>TLOUTPUTANALYFTECONTENTT1_0</v>
      </c>
      <c r="E317" s="1309" t="e">
        <f>IF(ISBLANK($B317), "", INDEX(RAWData!B:B,MATCH($C317,RAWData!$A:$A,0)))</f>
        <v>#N/A</v>
      </c>
      <c r="F317" s="1309" t="e">
        <f>IF(ISBLANK($B317), "", INDEX(RAWData!C:C,MATCH($C317,RAWData!$A:$A,0)))</f>
        <v>#N/A</v>
      </c>
      <c r="G317" s="1309" t="e">
        <f>IF(ISBLANK($B317), "", INDEX(RAWData!D:D,MATCH($C317,RAWData!$A:$A,0)))</f>
        <v>#N/A</v>
      </c>
      <c r="H317" s="1309" t="e">
        <f>IF(ISBLANK($B317), "", INDEX(RAWData!E:E,MATCH($C317,RAWData!$A:$A,0)))</f>
        <v>#N/A</v>
      </c>
      <c r="I317" s="1309" t="e">
        <f>IF(ISBLANK($B317), "", INDEX(RAWData!F:F,MATCH($C317,RAWData!$A:$A,0)))</f>
        <v>#N/A</v>
      </c>
    </row>
    <row r="318" spans="2:9">
      <c r="B318" s="1332" t="s">
        <v>4062</v>
      </c>
      <c r="C318" s="1309" t="str">
        <f t="shared" si="4"/>
        <v>TLOUTPUTANALYFTETRAININGT1_0</v>
      </c>
      <c r="E318" s="1309" t="e">
        <f>IF(ISBLANK($B318), "", INDEX(RAWData!B:B,MATCH($C318,RAWData!$A:$A,0)))</f>
        <v>#N/A</v>
      </c>
      <c r="F318" s="1309" t="e">
        <f>IF(ISBLANK($B318), "", INDEX(RAWData!C:C,MATCH($C318,RAWData!$A:$A,0)))</f>
        <v>#N/A</v>
      </c>
      <c r="G318" s="1309" t="e">
        <f>IF(ISBLANK($B318), "", INDEX(RAWData!D:D,MATCH($C318,RAWData!$A:$A,0)))</f>
        <v>#N/A</v>
      </c>
      <c r="H318" s="1309" t="e">
        <f>IF(ISBLANK($B318), "", INDEX(RAWData!E:E,MATCH($C318,RAWData!$A:$A,0)))</f>
        <v>#N/A</v>
      </c>
      <c r="I318" s="1309" t="e">
        <f>IF(ISBLANK($B318), "", INDEX(RAWData!F:F,MATCH($C318,RAWData!$A:$A,0)))</f>
        <v>#N/A</v>
      </c>
    </row>
    <row r="319" spans="2:9">
      <c r="B319" s="1332" t="s">
        <v>4063</v>
      </c>
      <c r="C319" s="1309" t="str">
        <f t="shared" si="4"/>
        <v>TLOUTPUTANALYFTEGLOBALACCESST1_0</v>
      </c>
      <c r="E319" s="1309" t="e">
        <f>IF(ISBLANK($B319), "", INDEX(RAWData!B:B,MATCH($C319,RAWData!$A:$A,0)))</f>
        <v>#N/A</v>
      </c>
      <c r="F319" s="1309" t="e">
        <f>IF(ISBLANK($B319), "", INDEX(RAWData!C:C,MATCH($C319,RAWData!$A:$A,0)))</f>
        <v>#N/A</v>
      </c>
      <c r="G319" s="1309" t="e">
        <f>IF(ISBLANK($B319), "", INDEX(RAWData!D:D,MATCH($C319,RAWData!$A:$A,0)))</f>
        <v>#N/A</v>
      </c>
      <c r="H319" s="1309" t="e">
        <f>IF(ISBLANK($B319), "", INDEX(RAWData!E:E,MATCH($C319,RAWData!$A:$A,0)))</f>
        <v>#N/A</v>
      </c>
      <c r="I319" s="1309" t="e">
        <f>IF(ISBLANK($B319), "", INDEX(RAWData!F:F,MATCH($C319,RAWData!$A:$A,0)))</f>
        <v>#N/A</v>
      </c>
    </row>
    <row r="320" spans="2:9">
      <c r="B320" s="1332" t="s">
        <v>4064</v>
      </c>
      <c r="C320" s="1309" t="str">
        <f t="shared" si="4"/>
        <v>TLOUTPUTANALYFTESALESCOVERAGET1_0</v>
      </c>
      <c r="E320" s="1309" t="e">
        <f>IF(ISBLANK($B320), "", INDEX(RAWData!B:B,MATCH($C320,RAWData!$A:$A,0)))</f>
        <v>#N/A</v>
      </c>
      <c r="F320" s="1309" t="e">
        <f>IF(ISBLANK($B320), "", INDEX(RAWData!C:C,MATCH($C320,RAWData!$A:$A,0)))</f>
        <v>#N/A</v>
      </c>
      <c r="G320" s="1309" t="e">
        <f>IF(ISBLANK($B320), "", INDEX(RAWData!D:D,MATCH($C320,RAWData!$A:$A,0)))</f>
        <v>#N/A</v>
      </c>
      <c r="H320" s="1309" t="e">
        <f>IF(ISBLANK($B320), "", INDEX(RAWData!E:E,MATCH($C320,RAWData!$A:$A,0)))</f>
        <v>#N/A</v>
      </c>
      <c r="I320" s="1309" t="e">
        <f>IF(ISBLANK($B320), "", INDEX(RAWData!F:F,MATCH($C320,RAWData!$A:$A,0)))</f>
        <v>#N/A</v>
      </c>
    </row>
    <row r="321" spans="1:9">
      <c r="B321" s="1332" t="s">
        <v>4065</v>
      </c>
      <c r="C321" s="1309" t="str">
        <f t="shared" si="4"/>
        <v>TLOUTPUTANALYFTEDCONSOLIDATET1_0</v>
      </c>
      <c r="E321" s="1309" t="e">
        <f>IF(ISBLANK($B321), "", INDEX(RAWData!B:B,MATCH($C321,RAWData!$A:$A,0)))</f>
        <v>#N/A</v>
      </c>
      <c r="F321" s="1309" t="e">
        <f>IF(ISBLANK($B321), "", INDEX(RAWData!C:C,MATCH($C321,RAWData!$A:$A,0)))</f>
        <v>#N/A</v>
      </c>
      <c r="G321" s="1309" t="e">
        <f>IF(ISBLANK($B321), "", INDEX(RAWData!D:D,MATCH($C321,RAWData!$A:$A,0)))</f>
        <v>#N/A</v>
      </c>
      <c r="H321" s="1309" t="e">
        <f>IF(ISBLANK($B321), "", INDEX(RAWData!E:E,MATCH($C321,RAWData!$A:$A,0)))</f>
        <v>#N/A</v>
      </c>
      <c r="I321" s="1309" t="e">
        <f>IF(ISBLANK($B321), "", INDEX(RAWData!F:F,MATCH($C321,RAWData!$A:$A,0)))</f>
        <v>#N/A</v>
      </c>
    </row>
    <row r="322" spans="1:9">
      <c r="B322" s="1312" t="s">
        <v>4066</v>
      </c>
      <c r="C322" s="1309" t="str">
        <f t="shared" si="4"/>
        <v>TLOUTPUTANALYFTEINITT1_0</v>
      </c>
      <c r="E322" s="1309" t="e">
        <f>IF(ISBLANK($B322), "", INDEX(RAWData!B:B,MATCH($C322,RAWData!$A:$A,0)))</f>
        <v>#N/A</v>
      </c>
      <c r="F322" s="1309" t="e">
        <f>IF(ISBLANK($B322), "", INDEX(RAWData!C:C,MATCH($C322,RAWData!$A:$A,0)))</f>
        <v>#N/A</v>
      </c>
      <c r="G322" s="1309" t="e">
        <f>IF(ISBLANK($B322), "", INDEX(RAWData!D:D,MATCH($C322,RAWData!$A:$A,0)))</f>
        <v>#N/A</v>
      </c>
      <c r="H322" s="1309" t="e">
        <f>IF(ISBLANK($B322), "", INDEX(RAWData!E:E,MATCH($C322,RAWData!$A:$A,0)))</f>
        <v>#N/A</v>
      </c>
      <c r="I322" s="1309" t="e">
        <f>IF(ISBLANK($B322), "", INDEX(RAWData!F:F,MATCH($C322,RAWData!$A:$A,0)))</f>
        <v>#N/A</v>
      </c>
    </row>
    <row r="323" spans="1:9">
      <c r="B323" s="1313" t="s">
        <v>4067</v>
      </c>
      <c r="C323" s="1309" t="str">
        <f t="shared" si="4"/>
        <v>TLOUTPUTANALYFTEPRODUCTIVTYT1_0</v>
      </c>
      <c r="E323" s="1309" t="e">
        <f>IF(ISBLANK($B323), "", INDEX(RAWData!B:B,MATCH($C323,RAWData!$A:$A,0)))</f>
        <v>#N/A</v>
      </c>
      <c r="F323" s="1309" t="e">
        <f>IF(ISBLANK($B323), "", INDEX(RAWData!C:C,MATCH($C323,RAWData!$A:$A,0)))</f>
        <v>#N/A</v>
      </c>
      <c r="G323" s="1309" t="e">
        <f>IF(ISBLANK($B323), "", INDEX(RAWData!D:D,MATCH($C323,RAWData!$A:$A,0)))</f>
        <v>#N/A</v>
      </c>
      <c r="H323" s="1309" t="e">
        <f>IF(ISBLANK($B323), "", INDEX(RAWData!E:E,MATCH($C323,RAWData!$A:$A,0)))</f>
        <v>#N/A</v>
      </c>
      <c r="I323" s="1309" t="e">
        <f>IF(ISBLANK($B323), "", INDEX(RAWData!F:F,MATCH($C323,RAWData!$A:$A,0)))</f>
        <v>#N/A</v>
      </c>
    </row>
    <row r="324" spans="1:9">
      <c r="B324" s="1314"/>
      <c r="C324" s="1309" t="str">
        <f t="shared" si="4"/>
        <v/>
      </c>
      <c r="E324" s="1309" t="str">
        <f>IF(ISBLANK($B324), "", INDEX(RAWData!B:B,MATCH($C324,RAWData!$A:$A,0)))</f>
        <v/>
      </c>
      <c r="F324" s="1309" t="str">
        <f>IF(ISBLANK($B324), "", INDEX(RAWData!C:C,MATCH($C324,RAWData!$A:$A,0)))</f>
        <v/>
      </c>
      <c r="G324" s="1309" t="str">
        <f>IF(ISBLANK($B324), "", INDEX(RAWData!D:D,MATCH($C324,RAWData!$A:$A,0)))</f>
        <v/>
      </c>
      <c r="H324" s="1309" t="str">
        <f>IF(ISBLANK($B324), "", INDEX(RAWData!E:E,MATCH($C324,RAWData!$A:$A,0)))</f>
        <v/>
      </c>
      <c r="I324" s="1309" t="str">
        <f>IF(ISBLANK($B324), "", INDEX(RAWData!F:F,MATCH($C324,RAWData!$A:$A,0)))</f>
        <v/>
      </c>
    </row>
    <row r="325" spans="1:9">
      <c r="C325" s="1309" t="str">
        <f t="shared" si="4"/>
        <v/>
      </c>
      <c r="E325" s="1309" t="str">
        <f>IF(ISBLANK($B325), "", INDEX(RAWData!B:B,MATCH($C325,RAWData!$A:$A,0)))</f>
        <v/>
      </c>
      <c r="F325" s="1309" t="str">
        <f>IF(ISBLANK($B325), "", INDEX(RAWData!C:C,MATCH($C325,RAWData!$A:$A,0)))</f>
        <v/>
      </c>
      <c r="G325" s="1309" t="str">
        <f>IF(ISBLANK($B325), "", INDEX(RAWData!D:D,MATCH($C325,RAWData!$A:$A,0)))</f>
        <v/>
      </c>
      <c r="H325" s="1309" t="str">
        <f>IF(ISBLANK($B325), "", INDEX(RAWData!E:E,MATCH($C325,RAWData!$A:$A,0)))</f>
        <v/>
      </c>
      <c r="I325" s="1309" t="str">
        <f>IF(ISBLANK($B325), "", INDEX(RAWData!F:F,MATCH($C325,RAWData!$A:$A,0)))</f>
        <v/>
      </c>
    </row>
    <row r="326" spans="1:9">
      <c r="C326" s="1309" t="str">
        <f t="shared" si="4"/>
        <v/>
      </c>
      <c r="E326" s="1309" t="str">
        <f>IF(ISBLANK($B326), "", INDEX(RAWData!B:B,MATCH($C326,RAWData!$A:$A,0)))</f>
        <v/>
      </c>
      <c r="F326" s="1309" t="str">
        <f>IF(ISBLANK($B326), "", INDEX(RAWData!C:C,MATCH($C326,RAWData!$A:$A,0)))</f>
        <v/>
      </c>
      <c r="G326" s="1309" t="str">
        <f>IF(ISBLANK($B326), "", INDEX(RAWData!D:D,MATCH($C326,RAWData!$A:$A,0)))</f>
        <v/>
      </c>
      <c r="H326" s="1309" t="str">
        <f>IF(ISBLANK($B326), "", INDEX(RAWData!E:E,MATCH($C326,RAWData!$A:$A,0)))</f>
        <v/>
      </c>
      <c r="I326" s="1309" t="str">
        <f>IF(ISBLANK($B326), "", INDEX(RAWData!F:F,MATCH($C326,RAWData!$A:$A,0)))</f>
        <v/>
      </c>
    </row>
    <row r="327" spans="1:9">
      <c r="A327" s="1333"/>
      <c r="B327" s="1333" t="s">
        <v>4068</v>
      </c>
      <c r="C327" s="1309" t="str">
        <f t="shared" si="4"/>
        <v>TLOUTPUTANALYWINMETRICCASHOIT1_0</v>
      </c>
      <c r="E327" s="1309" t="e">
        <f>IF(ISBLANK($B327), "", INDEX(RAWData!B:B,MATCH($C327,RAWData!$A:$A,0)))</f>
        <v>#N/A</v>
      </c>
      <c r="F327" s="1309" t="e">
        <f>IF(ISBLANK($B327), "", INDEX(RAWData!C:C,MATCH($C327,RAWData!$A:$A,0)))</f>
        <v>#N/A</v>
      </c>
      <c r="G327" s="1309" t="e">
        <f>IF(ISBLANK($B327), "", INDEX(RAWData!D:D,MATCH($C327,RAWData!$A:$A,0)))</f>
        <v>#N/A</v>
      </c>
      <c r="H327" s="1309" t="e">
        <f>IF(ISBLANK($B327), "", INDEX(RAWData!E:E,MATCH($C327,RAWData!$A:$A,0)))</f>
        <v>#N/A</v>
      </c>
      <c r="I327" s="1309" t="e">
        <f>IF(ISBLANK($B327), "", INDEX(RAWData!F:F,MATCH($C327,RAWData!$A:$A,0)))</f>
        <v>#N/A</v>
      </c>
    </row>
    <row r="328" spans="1:9">
      <c r="A328" s="1333"/>
      <c r="B328" s="1333" t="s">
        <v>4069</v>
      </c>
      <c r="C328" s="1309" t="str">
        <f t="shared" si="4"/>
        <v>TLOUTPUTANALYWINMETRICYR0T1_0</v>
      </c>
      <c r="E328" s="1309" t="e">
        <f>IF(ISBLANK($B328), "", INDEX(RAWData!B:B,MATCH($C328,RAWData!$A:$A,0)))</f>
        <v>#N/A</v>
      </c>
      <c r="F328" s="1309" t="e">
        <f>IF(ISBLANK($B328), "", INDEX(RAWData!C:C,MATCH($C328,RAWData!$A:$A,0)))</f>
        <v>#N/A</v>
      </c>
      <c r="G328" s="1309" t="e">
        <f>IF(ISBLANK($B328), "", INDEX(RAWData!D:D,MATCH($C328,RAWData!$A:$A,0)))</f>
        <v>#N/A</v>
      </c>
      <c r="H328" s="1309" t="e">
        <f>IF(ISBLANK($B328), "", INDEX(RAWData!E:E,MATCH($C328,RAWData!$A:$A,0)))</f>
        <v>#N/A</v>
      </c>
      <c r="I328" s="1309" t="e">
        <f>IF(ISBLANK($B328), "", INDEX(RAWData!F:F,MATCH($C328,RAWData!$A:$A,0)))</f>
        <v>#N/A</v>
      </c>
    </row>
    <row r="329" spans="1:9">
      <c r="A329" s="1333"/>
      <c r="B329" s="1333" t="s">
        <v>4070</v>
      </c>
      <c r="C329" s="1309" t="str">
        <f t="shared" si="4"/>
        <v>TLOUTPUTANALYWINMETRICYR1T1_0</v>
      </c>
      <c r="E329" s="1309" t="e">
        <f>IF(ISBLANK($B329), "", INDEX(RAWData!B:B,MATCH($C329,RAWData!$A:$A,0)))</f>
        <v>#N/A</v>
      </c>
      <c r="F329" s="1309" t="e">
        <f>IF(ISBLANK($B329), "", INDEX(RAWData!C:C,MATCH($C329,RAWData!$A:$A,0)))</f>
        <v>#N/A</v>
      </c>
      <c r="G329" s="1309" t="e">
        <f>IF(ISBLANK($B329), "", INDEX(RAWData!D:D,MATCH($C329,RAWData!$A:$A,0)))</f>
        <v>#N/A</v>
      </c>
      <c r="H329" s="1309" t="e">
        <f>IF(ISBLANK($B329), "", INDEX(RAWData!E:E,MATCH($C329,RAWData!$A:$A,0)))</f>
        <v>#N/A</v>
      </c>
      <c r="I329" s="1309" t="e">
        <f>IF(ISBLANK($B329), "", INDEX(RAWData!F:F,MATCH($C329,RAWData!$A:$A,0)))</f>
        <v>#N/A</v>
      </c>
    </row>
    <row r="330" spans="1:9">
      <c r="A330" s="1333"/>
      <c r="B330" s="1333" t="s">
        <v>4071</v>
      </c>
      <c r="C330" s="1309" t="str">
        <f t="shared" si="4"/>
        <v>TLOUTPUTANALYWINMETRICYR2T1_0</v>
      </c>
      <c r="E330" s="1309" t="e">
        <f>IF(ISBLANK($B330), "", INDEX(RAWData!B:B,MATCH($C330,RAWData!$A:$A,0)))</f>
        <v>#N/A</v>
      </c>
      <c r="F330" s="1309" t="e">
        <f>IF(ISBLANK($B330), "", INDEX(RAWData!C:C,MATCH($C330,RAWData!$A:$A,0)))</f>
        <v>#N/A</v>
      </c>
      <c r="G330" s="1309" t="e">
        <f>IF(ISBLANK($B330), "", INDEX(RAWData!D:D,MATCH($C330,RAWData!$A:$A,0)))</f>
        <v>#N/A</v>
      </c>
      <c r="H330" s="1309" t="e">
        <f>IF(ISBLANK($B330), "", INDEX(RAWData!E:E,MATCH($C330,RAWData!$A:$A,0)))</f>
        <v>#N/A</v>
      </c>
      <c r="I330" s="1309" t="e">
        <f>IF(ISBLANK($B330), "", INDEX(RAWData!F:F,MATCH($C330,RAWData!$A:$A,0)))</f>
        <v>#N/A</v>
      </c>
    </row>
    <row r="331" spans="1:9">
      <c r="A331" s="1333"/>
      <c r="B331" s="1333" t="s">
        <v>4072</v>
      </c>
      <c r="C331" s="1309" t="str">
        <f t="shared" si="4"/>
        <v>TLOUTPUTANALYWINMETRICYR3T1_0</v>
      </c>
      <c r="E331" s="1309" t="e">
        <f>IF(ISBLANK($B331), "", INDEX(RAWData!B:B,MATCH($C331,RAWData!$A:$A,0)))</f>
        <v>#N/A</v>
      </c>
      <c r="F331" s="1309" t="e">
        <f>IF(ISBLANK($B331), "", INDEX(RAWData!C:C,MATCH($C331,RAWData!$A:$A,0)))</f>
        <v>#N/A</v>
      </c>
      <c r="G331" s="1309" t="e">
        <f>IF(ISBLANK($B331), "", INDEX(RAWData!D:D,MATCH($C331,RAWData!$A:$A,0)))</f>
        <v>#N/A</v>
      </c>
      <c r="H331" s="1309" t="e">
        <f>IF(ISBLANK($B331), "", INDEX(RAWData!E:E,MATCH($C331,RAWData!$A:$A,0)))</f>
        <v>#N/A</v>
      </c>
      <c r="I331" s="1309" t="e">
        <f>IF(ISBLANK($B331), "", INDEX(RAWData!F:F,MATCH($C331,RAWData!$A:$A,0)))</f>
        <v>#N/A</v>
      </c>
    </row>
  </sheetData>
  <conditionalFormatting sqref="B98:B118 B192:B193">
    <cfRule type="cellIs" dxfId="25" priority="13" operator="greaterThan">
      <formula>0</formula>
    </cfRule>
  </conditionalFormatting>
  <conditionalFormatting sqref="B140 B120:B131">
    <cfRule type="cellIs" dxfId="24" priority="12" operator="greaterThan">
      <formula>0</formula>
    </cfRule>
  </conditionalFormatting>
  <conditionalFormatting sqref="B142:B156">
    <cfRule type="cellIs" dxfId="23" priority="11" operator="greaterThan">
      <formula>0</formula>
    </cfRule>
  </conditionalFormatting>
  <conditionalFormatting sqref="B158:B172">
    <cfRule type="cellIs" dxfId="22" priority="10" operator="greaterThan">
      <formula>0</formula>
    </cfRule>
  </conditionalFormatting>
  <conditionalFormatting sqref="B174:B190">
    <cfRule type="cellIs" dxfId="21" priority="9" operator="greaterThan">
      <formula>0</formula>
    </cfRule>
  </conditionalFormatting>
  <conditionalFormatting sqref="B194:B199">
    <cfRule type="cellIs" dxfId="20" priority="8" operator="greaterThan">
      <formula>0</formula>
    </cfRule>
  </conditionalFormatting>
  <conditionalFormatting sqref="B201:B217">
    <cfRule type="cellIs" dxfId="19" priority="7" operator="greaterThan">
      <formula>0</formula>
    </cfRule>
  </conditionalFormatting>
  <conditionalFormatting sqref="B132:B133">
    <cfRule type="cellIs" dxfId="18" priority="6" operator="greaterThan">
      <formula>0</formula>
    </cfRule>
  </conditionalFormatting>
  <conditionalFormatting sqref="B134:B135">
    <cfRule type="cellIs" dxfId="17" priority="5" operator="greaterThan">
      <formula>0</formula>
    </cfRule>
  </conditionalFormatting>
  <conditionalFormatting sqref="B136">
    <cfRule type="cellIs" dxfId="16" priority="4" operator="greaterThan">
      <formula>0</formula>
    </cfRule>
  </conditionalFormatting>
  <conditionalFormatting sqref="B137">
    <cfRule type="cellIs" dxfId="15" priority="3" operator="greaterThan">
      <formula>0</formula>
    </cfRule>
  </conditionalFormatting>
  <conditionalFormatting sqref="B138">
    <cfRule type="cellIs" dxfId="14" priority="2" operator="greaterThan">
      <formula>0</formula>
    </cfRule>
  </conditionalFormatting>
  <conditionalFormatting sqref="B139">
    <cfRule type="cellIs" dxfId="13" priority="1" operator="greaterThan">
      <formula>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4:I331"/>
  <sheetViews>
    <sheetView workbookViewId="0">
      <selection activeCell="E147" sqref="E147:I147"/>
    </sheetView>
  </sheetViews>
  <sheetFormatPr defaultRowHeight="15"/>
  <cols>
    <col min="1" max="1" width="9.33203125" style="1309"/>
    <col min="2" max="2" width="36.5" style="1309" customWidth="1"/>
    <col min="3" max="3" width="40.6640625" style="1309" customWidth="1"/>
    <col min="4" max="4" width="15.6640625" style="1309" customWidth="1"/>
    <col min="5" max="5" width="12" style="1309" customWidth="1"/>
    <col min="6" max="16384" width="9.33203125" style="1309"/>
  </cols>
  <sheetData>
    <row r="4" spans="2:9">
      <c r="C4" s="1309">
        <f>xxYear</f>
        <v>0</v>
      </c>
      <c r="D4" s="1309" t="s">
        <v>5579</v>
      </c>
    </row>
    <row r="9" spans="2:9">
      <c r="B9" s="1334" t="s">
        <v>4162</v>
      </c>
      <c r="C9" s="1309" t="str">
        <f>IF(NOT(ISBLANK($B9)),UPPER($B9)&amp;"_"&amp;$C$4,"")</f>
        <v>TLOUTPUTFBDECTEAMNAMET1_0</v>
      </c>
      <c r="E9" s="1309" t="e">
        <f>IF(ISBLANK($B9), "", INDEX(RAWData!B:B,MATCH($C9,RAWData!$A:$A,0)))</f>
        <v>#N/A</v>
      </c>
      <c r="F9" s="1309" t="e">
        <f>IF(ISBLANK($B9), "", INDEX(RAWData!C:C,MATCH($C9,RAWData!$A:$A,0)))</f>
        <v>#N/A</v>
      </c>
      <c r="G9" s="1309" t="e">
        <f>IF(ISBLANK($B9), "", INDEX(RAWData!D:D,MATCH($C9,RAWData!$A:$A,0)))</f>
        <v>#N/A</v>
      </c>
      <c r="H9" s="1309" t="e">
        <f>IF(ISBLANK($B9), "", INDEX(RAWData!E:E,MATCH($C9,RAWData!$A:$A,0)))</f>
        <v>#N/A</v>
      </c>
      <c r="I9" s="1309" t="e">
        <f>IF(ISBLANK($B9), "", INDEX(RAWData!F:F,MATCH($C9,RAWData!$A:$A,0)))</f>
        <v>#N/A</v>
      </c>
    </row>
    <row r="10" spans="2:9">
      <c r="B10" s="1334" t="s">
        <v>4165</v>
      </c>
      <c r="C10" s="1309" t="str">
        <f t="shared" ref="C10:C73" si="0">IF(NOT(ISBLANK($B10)),UPPER($B10)&amp;"_"&amp;$C$4,"")</f>
        <v>TLOUTPUTFBFINPNLPROD1REVT1_0</v>
      </c>
      <c r="E10" s="1309" t="e">
        <f>IF(ISBLANK($B10), "", INDEX(RAWData!B:B,MATCH($C10,RAWData!$A:$A,0)))</f>
        <v>#N/A</v>
      </c>
      <c r="F10" s="1309" t="e">
        <f>IF(ISBLANK($B10), "", INDEX(RAWData!C:C,MATCH($C10,RAWData!$A:$A,0)))</f>
        <v>#N/A</v>
      </c>
      <c r="G10" s="1309" t="e">
        <f>IF(ISBLANK($B10), "", INDEX(RAWData!D:D,MATCH($C10,RAWData!$A:$A,0)))</f>
        <v>#N/A</v>
      </c>
      <c r="H10" s="1309" t="e">
        <f>IF(ISBLANK($B10), "", INDEX(RAWData!E:E,MATCH($C10,RAWData!$A:$A,0)))</f>
        <v>#N/A</v>
      </c>
      <c r="I10" s="1309" t="e">
        <f>IF(ISBLANK($B10), "", INDEX(RAWData!F:F,MATCH($C10,RAWData!$A:$A,0)))</f>
        <v>#N/A</v>
      </c>
    </row>
    <row r="11" spans="2:9">
      <c r="B11" s="1334" t="s">
        <v>4168</v>
      </c>
      <c r="C11" s="1309" t="str">
        <f t="shared" si="0"/>
        <v>TLOUTPUTFBFINPNLPROD2REVT1_0</v>
      </c>
      <c r="E11" s="1309" t="e">
        <f>IF(ISBLANK($B11), "", INDEX(RAWData!B:B,MATCH($C11,RAWData!$A:$A,0)))</f>
        <v>#N/A</v>
      </c>
      <c r="F11" s="1309" t="e">
        <f>IF(ISBLANK($B11), "", INDEX(RAWData!C:C,MATCH($C11,RAWData!$A:$A,0)))</f>
        <v>#N/A</v>
      </c>
      <c r="G11" s="1309" t="e">
        <f>IF(ISBLANK($B11), "", INDEX(RAWData!D:D,MATCH($C11,RAWData!$A:$A,0)))</f>
        <v>#N/A</v>
      </c>
      <c r="H11" s="1309" t="e">
        <f>IF(ISBLANK($B11), "", INDEX(RAWData!E:E,MATCH($C11,RAWData!$A:$A,0)))</f>
        <v>#N/A</v>
      </c>
      <c r="I11" s="1309" t="e">
        <f>IF(ISBLANK($B11), "", INDEX(RAWData!F:F,MATCH($C11,RAWData!$A:$A,0)))</f>
        <v>#N/A</v>
      </c>
    </row>
    <row r="12" spans="2:9">
      <c r="B12" s="1335" t="s">
        <v>4171</v>
      </c>
      <c r="C12" s="1309" t="str">
        <f t="shared" si="0"/>
        <v>TLOUTPUTFBFINGGOREVT1_0</v>
      </c>
      <c r="E12" s="1309" t="e">
        <f>IF(ISBLANK($B12), "", INDEX(RAWData!B:B,MATCH($C12,RAWData!$A:$A,0)))</f>
        <v>#N/A</v>
      </c>
      <c r="F12" s="1309" t="e">
        <f>IF(ISBLANK($B12), "", INDEX(RAWData!C:C,MATCH($C12,RAWData!$A:$A,0)))</f>
        <v>#N/A</v>
      </c>
      <c r="G12" s="1309" t="e">
        <f>IF(ISBLANK($B12), "", INDEX(RAWData!D:D,MATCH($C12,RAWData!$A:$A,0)))</f>
        <v>#N/A</v>
      </c>
      <c r="H12" s="1309" t="e">
        <f>IF(ISBLANK($B12), "", INDEX(RAWData!E:E,MATCH($C12,RAWData!$A:$A,0)))</f>
        <v>#N/A</v>
      </c>
      <c r="I12" s="1309" t="e">
        <f>IF(ISBLANK($B12), "", INDEX(RAWData!F:F,MATCH($C12,RAWData!$A:$A,0)))</f>
        <v>#N/A</v>
      </c>
    </row>
    <row r="13" spans="2:9">
      <c r="B13" s="1334" t="s">
        <v>4174</v>
      </c>
      <c r="C13" s="1309" t="str">
        <f t="shared" si="0"/>
        <v>TLOUTPUTFBFINCAGRT1_0</v>
      </c>
      <c r="E13" s="1309" t="e">
        <f>IF(ISBLANK($B13), "", INDEX(RAWData!B:B,MATCH($C13,RAWData!$A:$A,0)))</f>
        <v>#N/A</v>
      </c>
      <c r="F13" s="1309" t="e">
        <f>IF(ISBLANK($B13), "", INDEX(RAWData!C:C,MATCH($C13,RAWData!$A:$A,0)))</f>
        <v>#N/A</v>
      </c>
      <c r="G13" s="1309" t="e">
        <f>IF(ISBLANK($B13), "", INDEX(RAWData!D:D,MATCH($C13,RAWData!$A:$A,0)))</f>
        <v>#N/A</v>
      </c>
      <c r="H13" s="1309" t="e">
        <f>IF(ISBLANK($B13), "", INDEX(RAWData!E:E,MATCH($C13,RAWData!$A:$A,0)))</f>
        <v>#N/A</v>
      </c>
      <c r="I13" s="1309" t="e">
        <f>IF(ISBLANK($B13), "", INDEX(RAWData!F:F,MATCH($C13,RAWData!$A:$A,0)))</f>
        <v>#N/A</v>
      </c>
    </row>
    <row r="14" spans="2:9">
      <c r="B14" s="1335"/>
      <c r="C14" s="1309" t="str">
        <f t="shared" si="0"/>
        <v/>
      </c>
      <c r="E14" s="1309" t="str">
        <f>IF(ISBLANK($B14), "", INDEX(RAWData!B:B,MATCH($C14,RAWData!$A:$A,0)))</f>
        <v/>
      </c>
      <c r="F14" s="1309" t="str">
        <f>IF(ISBLANK($B14), "", INDEX(RAWData!C:C,MATCH($C14,RAWData!$A:$A,0)))</f>
        <v/>
      </c>
      <c r="G14" s="1309" t="str">
        <f>IF(ISBLANK($B14), "", INDEX(RAWData!D:D,MATCH($C14,RAWData!$A:$A,0)))</f>
        <v/>
      </c>
      <c r="H14" s="1309" t="str">
        <f>IF(ISBLANK($B14), "", INDEX(RAWData!E:E,MATCH($C14,RAWData!$A:$A,0)))</f>
        <v/>
      </c>
      <c r="I14" s="1309" t="str">
        <f>IF(ISBLANK($B14), "", INDEX(RAWData!F:F,MATCH($C14,RAWData!$A:$A,0)))</f>
        <v/>
      </c>
    </row>
    <row r="15" spans="2:9">
      <c r="B15" s="1335"/>
      <c r="C15" s="1309" t="str">
        <f t="shared" si="0"/>
        <v/>
      </c>
      <c r="E15" s="1309" t="e">
        <f>E$9</f>
        <v>#N/A</v>
      </c>
      <c r="F15" s="1309" t="e">
        <f t="shared" ref="F15:I15" si="1">F$9</f>
        <v>#N/A</v>
      </c>
      <c r="G15" s="1309" t="e">
        <f t="shared" si="1"/>
        <v>#N/A</v>
      </c>
      <c r="H15" s="1309" t="e">
        <f t="shared" si="1"/>
        <v>#N/A</v>
      </c>
      <c r="I15" s="1309" t="e">
        <f t="shared" si="1"/>
        <v>#N/A</v>
      </c>
    </row>
    <row r="16" spans="2:9">
      <c r="B16" s="1334" t="s">
        <v>4177</v>
      </c>
      <c r="C16" s="1309" t="str">
        <f t="shared" si="0"/>
        <v>TLOUTPUTFBFINPNLREVNEWT1_0</v>
      </c>
      <c r="E16" s="1309" t="e">
        <f>IF(ISBLANK($B16), "", INDEX(RAWData!B:B,MATCH($C16,RAWData!$A:$A,0)))</f>
        <v>#N/A</v>
      </c>
      <c r="F16" s="1309" t="e">
        <f>IF(ISBLANK($B16), "", INDEX(RAWData!C:C,MATCH($C16,RAWData!$A:$A,0)))</f>
        <v>#N/A</v>
      </c>
      <c r="G16" s="1309" t="e">
        <f>IF(ISBLANK($B16), "", INDEX(RAWData!D:D,MATCH($C16,RAWData!$A:$A,0)))</f>
        <v>#N/A</v>
      </c>
      <c r="H16" s="1309" t="e">
        <f>IF(ISBLANK($B16), "", INDEX(RAWData!E:E,MATCH($C16,RAWData!$A:$A,0)))</f>
        <v>#N/A</v>
      </c>
      <c r="I16" s="1309" t="e">
        <f>IF(ISBLANK($B16), "", INDEX(RAWData!F:F,MATCH($C16,RAWData!$A:$A,0)))</f>
        <v>#N/A</v>
      </c>
    </row>
    <row r="17" spans="2:9">
      <c r="B17" s="1334" t="s">
        <v>4180</v>
      </c>
      <c r="C17" s="1309" t="str">
        <f t="shared" si="0"/>
        <v>TLOUTPUTFBFINPNLEXISTSUBREVT1_0</v>
      </c>
      <c r="E17" s="1309" t="e">
        <f>IF(ISBLANK($B17), "", INDEX(RAWData!B:B,MATCH($C17,RAWData!$A:$A,0)))</f>
        <v>#N/A</v>
      </c>
      <c r="F17" s="1309" t="e">
        <f>IF(ISBLANK($B17), "", INDEX(RAWData!C:C,MATCH($C17,RAWData!$A:$A,0)))</f>
        <v>#N/A</v>
      </c>
      <c r="G17" s="1309" t="e">
        <f>IF(ISBLANK($B17), "", INDEX(RAWData!D:D,MATCH($C17,RAWData!$A:$A,0)))</f>
        <v>#N/A</v>
      </c>
      <c r="H17" s="1309" t="e">
        <f>IF(ISBLANK($B17), "", INDEX(RAWData!E:E,MATCH($C17,RAWData!$A:$A,0)))</f>
        <v>#N/A</v>
      </c>
      <c r="I17" s="1309" t="e">
        <f>IF(ISBLANK($B17), "", INDEX(RAWData!F:F,MATCH($C17,RAWData!$A:$A,0)))</f>
        <v>#N/A</v>
      </c>
    </row>
    <row r="18" spans="2:9">
      <c r="B18" s="1334" t="s">
        <v>4183</v>
      </c>
      <c r="C18" s="1309" t="str">
        <f t="shared" si="0"/>
        <v>TLOUTPUTFBCAPTOTALCANCELLATIONRATET1_0</v>
      </c>
      <c r="E18" s="1309" t="e">
        <f>IF(ISBLANK($B18), "", INDEX(RAWData!B:B,MATCH($C18,RAWData!$A:$A,0)))</f>
        <v>#N/A</v>
      </c>
      <c r="F18" s="1309" t="e">
        <f>IF(ISBLANK($B18), "", INDEX(RAWData!C:C,MATCH($C18,RAWData!$A:$A,0)))</f>
        <v>#N/A</v>
      </c>
      <c r="G18" s="1309" t="e">
        <f>IF(ISBLANK($B18), "", INDEX(RAWData!D:D,MATCH($C18,RAWData!$A:$A,0)))</f>
        <v>#N/A</v>
      </c>
      <c r="H18" s="1309" t="e">
        <f>IF(ISBLANK($B18), "", INDEX(RAWData!E:E,MATCH($C18,RAWData!$A:$A,0)))</f>
        <v>#N/A</v>
      </c>
      <c r="I18" s="1309" t="e">
        <f>IF(ISBLANK($B18), "", INDEX(RAWData!F:F,MATCH($C18,RAWData!$A:$A,0)))</f>
        <v>#N/A</v>
      </c>
    </row>
    <row r="19" spans="2:9">
      <c r="B19" s="1334"/>
      <c r="C19" s="1309" t="str">
        <f t="shared" si="0"/>
        <v/>
      </c>
      <c r="E19" s="1309" t="str">
        <f>IF(ISBLANK($B19), "", INDEX(RAWData!B:B,MATCH($C19,RAWData!$A:$A,0)))</f>
        <v/>
      </c>
      <c r="F19" s="1309" t="str">
        <f>IF(ISBLANK($B19), "", INDEX(RAWData!C:C,MATCH($C19,RAWData!$A:$A,0)))</f>
        <v/>
      </c>
      <c r="G19" s="1309" t="str">
        <f>IF(ISBLANK($B19), "", INDEX(RAWData!D:D,MATCH($C19,RAWData!$A:$A,0)))</f>
        <v/>
      </c>
      <c r="H19" s="1309" t="str">
        <f>IF(ISBLANK($B19), "", INDEX(RAWData!E:E,MATCH($C19,RAWData!$A:$A,0)))</f>
        <v/>
      </c>
      <c r="I19" s="1309" t="str">
        <f>IF(ISBLANK($B19), "", INDEX(RAWData!F:F,MATCH($C19,RAWData!$A:$A,0)))</f>
        <v/>
      </c>
    </row>
    <row r="20" spans="2:9">
      <c r="B20" s="1335"/>
      <c r="C20" s="1309" t="str">
        <f t="shared" si="0"/>
        <v/>
      </c>
      <c r="E20" s="1309" t="str">
        <f>IF(ISBLANK($B20), "", INDEX(RAWData!B:B,MATCH($C20,RAWData!$A:$A,0)))</f>
        <v/>
      </c>
      <c r="F20" s="1309" t="str">
        <f>IF(ISBLANK($B20), "", INDEX(RAWData!C:C,MATCH($C20,RAWData!$A:$A,0)))</f>
        <v/>
      </c>
      <c r="G20" s="1309" t="str">
        <f>IF(ISBLANK($B20), "", INDEX(RAWData!D:D,MATCH($C20,RAWData!$A:$A,0)))</f>
        <v/>
      </c>
      <c r="H20" s="1309" t="str">
        <f>IF(ISBLANK($B20), "", INDEX(RAWData!E:E,MATCH($C20,RAWData!$A:$A,0)))</f>
        <v/>
      </c>
      <c r="I20" s="1309" t="str">
        <f>IF(ISBLANK($B20), "", INDEX(RAWData!F:F,MATCH($C20,RAWData!$A:$A,0)))</f>
        <v/>
      </c>
    </row>
    <row r="21" spans="2:9">
      <c r="B21" s="1335"/>
      <c r="C21" s="1309" t="str">
        <f t="shared" si="0"/>
        <v/>
      </c>
      <c r="E21" s="1309" t="e">
        <f>E$9</f>
        <v>#N/A</v>
      </c>
      <c r="F21" s="1309" t="e">
        <f t="shared" ref="F21:I21" si="2">F$9</f>
        <v>#N/A</v>
      </c>
      <c r="G21" s="1309" t="e">
        <f t="shared" si="2"/>
        <v>#N/A</v>
      </c>
      <c r="H21" s="1309" t="e">
        <f t="shared" si="2"/>
        <v>#N/A</v>
      </c>
      <c r="I21" s="1309" t="e">
        <f t="shared" si="2"/>
        <v>#N/A</v>
      </c>
    </row>
    <row r="22" spans="2:9">
      <c r="B22" s="1336" t="s">
        <v>4186</v>
      </c>
      <c r="C22" s="1309" t="str">
        <f t="shared" si="0"/>
        <v>TLOUTPUTFBFINPNLEMPEXPT1_0</v>
      </c>
      <c r="E22" s="1309" t="e">
        <f>IF(ISBLANK($B22), "", INDEX(RAWData!B:B,MATCH($C22,RAWData!$A:$A,0)))</f>
        <v>#N/A</v>
      </c>
      <c r="F22" s="1309" t="e">
        <f>IF(ISBLANK($B22), "", INDEX(RAWData!C:C,MATCH($C22,RAWData!$A:$A,0)))</f>
        <v>#N/A</v>
      </c>
      <c r="G22" s="1309" t="e">
        <f>IF(ISBLANK($B22), "", INDEX(RAWData!D:D,MATCH($C22,RAWData!$A:$A,0)))</f>
        <v>#N/A</v>
      </c>
      <c r="H22" s="1309" t="e">
        <f>IF(ISBLANK($B22), "", INDEX(RAWData!E:E,MATCH($C22,RAWData!$A:$A,0)))</f>
        <v>#N/A</v>
      </c>
      <c r="I22" s="1309" t="e">
        <f>IF(ISBLANK($B22), "", INDEX(RAWData!F:F,MATCH($C22,RAWData!$A:$A,0)))</f>
        <v>#N/A</v>
      </c>
    </row>
    <row r="23" spans="2:9">
      <c r="B23" s="1336" t="s">
        <v>4189</v>
      </c>
      <c r="C23" s="1309" t="str">
        <f t="shared" si="0"/>
        <v>TLOUTPUTFBFINPNLREVEXPT1_0</v>
      </c>
      <c r="E23" s="1309" t="e">
        <f>IF(ISBLANK($B23), "", INDEX(RAWData!B:B,MATCH($C23,RAWData!$A:$A,0)))</f>
        <v>#N/A</v>
      </c>
      <c r="F23" s="1309" t="e">
        <f>IF(ISBLANK($B23), "", INDEX(RAWData!C:C,MATCH($C23,RAWData!$A:$A,0)))</f>
        <v>#N/A</v>
      </c>
      <c r="G23" s="1309" t="e">
        <f>IF(ISBLANK($B23), "", INDEX(RAWData!D:D,MATCH($C23,RAWData!$A:$A,0)))</f>
        <v>#N/A</v>
      </c>
      <c r="H23" s="1309" t="e">
        <f>IF(ISBLANK($B23), "", INDEX(RAWData!E:E,MATCH($C23,RAWData!$A:$A,0)))</f>
        <v>#N/A</v>
      </c>
      <c r="I23" s="1309" t="e">
        <f>IF(ISBLANK($B23), "", INDEX(RAWData!F:F,MATCH($C23,RAWData!$A:$A,0)))</f>
        <v>#N/A</v>
      </c>
    </row>
    <row r="24" spans="2:9">
      <c r="B24" s="1336" t="s">
        <v>4192</v>
      </c>
      <c r="C24" s="1309" t="str">
        <f t="shared" si="0"/>
        <v>TLOUTPUTFBFINPNLPRODDEVEXPT1_0</v>
      </c>
      <c r="E24" s="1309" t="e">
        <f>IF(ISBLANK($B24), "", INDEX(RAWData!B:B,MATCH($C24,RAWData!$A:$A,0)))</f>
        <v>#N/A</v>
      </c>
      <c r="F24" s="1309" t="e">
        <f>IF(ISBLANK($B24), "", INDEX(RAWData!C:C,MATCH($C24,RAWData!$A:$A,0)))</f>
        <v>#N/A</v>
      </c>
      <c r="G24" s="1309" t="e">
        <f>IF(ISBLANK($B24), "", INDEX(RAWData!D:D,MATCH($C24,RAWData!$A:$A,0)))</f>
        <v>#N/A</v>
      </c>
      <c r="H24" s="1309" t="e">
        <f>IF(ISBLANK($B24), "", INDEX(RAWData!E:E,MATCH($C24,RAWData!$A:$A,0)))</f>
        <v>#N/A</v>
      </c>
      <c r="I24" s="1309" t="e">
        <f>IF(ISBLANK($B24), "", INDEX(RAWData!F:F,MATCH($C24,RAWData!$A:$A,0)))</f>
        <v>#N/A</v>
      </c>
    </row>
    <row r="25" spans="2:9">
      <c r="B25" s="1336" t="s">
        <v>4195</v>
      </c>
      <c r="C25" s="1309" t="str">
        <f t="shared" si="0"/>
        <v>TLOUTPUTFBFINPNLADMININFRAEXPT1_0</v>
      </c>
      <c r="E25" s="1309" t="e">
        <f>IF(ISBLANK($B25), "", INDEX(RAWData!B:B,MATCH($C25,RAWData!$A:$A,0)))</f>
        <v>#N/A</v>
      </c>
      <c r="F25" s="1309" t="e">
        <f>IF(ISBLANK($B25), "", INDEX(RAWData!C:C,MATCH($C25,RAWData!$A:$A,0)))</f>
        <v>#N/A</v>
      </c>
      <c r="G25" s="1309" t="e">
        <f>IF(ISBLANK($B25), "", INDEX(RAWData!D:D,MATCH($C25,RAWData!$A:$A,0)))</f>
        <v>#N/A</v>
      </c>
      <c r="H25" s="1309" t="e">
        <f>IF(ISBLANK($B25), "", INDEX(RAWData!E:E,MATCH($C25,RAWData!$A:$A,0)))</f>
        <v>#N/A</v>
      </c>
      <c r="I25" s="1309" t="e">
        <f>IF(ISBLANK($B25), "", INDEX(RAWData!F:F,MATCH($C25,RAWData!$A:$A,0)))</f>
        <v>#N/A</v>
      </c>
    </row>
    <row r="26" spans="2:9">
      <c r="B26" s="1336" t="s">
        <v>4198</v>
      </c>
      <c r="C26" s="1309" t="str">
        <f t="shared" si="0"/>
        <v>TLOUTPUTFBFINPNLOTHEROPEXPT1_0</v>
      </c>
      <c r="E26" s="1309" t="e">
        <f>IF(ISBLANK($B26), "", INDEX(RAWData!B:B,MATCH($C26,RAWData!$A:$A,0)))</f>
        <v>#N/A</v>
      </c>
      <c r="F26" s="1309" t="e">
        <f>IF(ISBLANK($B26), "", INDEX(RAWData!C:C,MATCH($C26,RAWData!$A:$A,0)))</f>
        <v>#N/A</v>
      </c>
      <c r="G26" s="1309" t="e">
        <f>IF(ISBLANK($B26), "", INDEX(RAWData!D:D,MATCH($C26,RAWData!$A:$A,0)))</f>
        <v>#N/A</v>
      </c>
      <c r="H26" s="1309" t="e">
        <f>IF(ISBLANK($B26), "", INDEX(RAWData!E:E,MATCH($C26,RAWData!$A:$A,0)))</f>
        <v>#N/A</v>
      </c>
      <c r="I26" s="1309" t="e">
        <f>IF(ISBLANK($B26), "", INDEX(RAWData!F:F,MATCH($C26,RAWData!$A:$A,0)))</f>
        <v>#N/A</v>
      </c>
    </row>
    <row r="27" spans="2:9">
      <c r="B27" s="1336" t="s">
        <v>4201</v>
      </c>
      <c r="C27" s="1309" t="str">
        <f t="shared" si="0"/>
        <v>TLOUTPUTFBFINPNLDEPRAMORTEXPT1_0</v>
      </c>
      <c r="E27" s="1309" t="e">
        <f>IF(ISBLANK($B27), "", INDEX(RAWData!B:B,MATCH($C27,RAWData!$A:$A,0)))</f>
        <v>#N/A</v>
      </c>
      <c r="F27" s="1309" t="e">
        <f>IF(ISBLANK($B27), "", INDEX(RAWData!C:C,MATCH($C27,RAWData!$A:$A,0)))</f>
        <v>#N/A</v>
      </c>
      <c r="G27" s="1309" t="e">
        <f>IF(ISBLANK($B27), "", INDEX(RAWData!D:D,MATCH($C27,RAWData!$A:$A,0)))</f>
        <v>#N/A</v>
      </c>
      <c r="H27" s="1309" t="e">
        <f>IF(ISBLANK($B27), "", INDEX(RAWData!E:E,MATCH($C27,RAWData!$A:$A,0)))</f>
        <v>#N/A</v>
      </c>
      <c r="I27" s="1309" t="e">
        <f>IF(ISBLANK($B27), "", INDEX(RAWData!F:F,MATCH($C27,RAWData!$A:$A,0)))</f>
        <v>#N/A</v>
      </c>
    </row>
    <row r="28" spans="2:9">
      <c r="B28" s="1336" t="s">
        <v>4204</v>
      </c>
      <c r="C28" s="1309" t="str">
        <f t="shared" si="0"/>
        <v>TLOUTPUTFBFINPNLOPERATINGINCOMET1_0</v>
      </c>
      <c r="E28" s="1309" t="e">
        <f>IF(ISBLANK($B28), "", INDEX(RAWData!B:B,MATCH($C28,RAWData!$A:$A,0)))</f>
        <v>#N/A</v>
      </c>
      <c r="F28" s="1309" t="e">
        <f>IF(ISBLANK($B28), "", INDEX(RAWData!C:C,MATCH($C28,RAWData!$A:$A,0)))</f>
        <v>#N/A</v>
      </c>
      <c r="G28" s="1309" t="e">
        <f>IF(ISBLANK($B28), "", INDEX(RAWData!D:D,MATCH($C28,RAWData!$A:$A,0)))</f>
        <v>#N/A</v>
      </c>
      <c r="H28" s="1309" t="e">
        <f>IF(ISBLANK($B28), "", INDEX(RAWData!E:E,MATCH($C28,RAWData!$A:$A,0)))</f>
        <v>#N/A</v>
      </c>
      <c r="I28" s="1309" t="e">
        <f>IF(ISBLANK($B28), "", INDEX(RAWData!F:F,MATCH($C28,RAWData!$A:$A,0)))</f>
        <v>#N/A</v>
      </c>
    </row>
    <row r="29" spans="2:9">
      <c r="B29" s="1336" t="s">
        <v>4207</v>
      </c>
      <c r="C29" s="1309" t="str">
        <f t="shared" si="0"/>
        <v>TLOUTPUTFBFINPNLOPERATINGMARGINT1_0</v>
      </c>
      <c r="E29" s="1309" t="e">
        <f>IF(ISBLANK($B29), "", INDEX(RAWData!B:B,MATCH($C29,RAWData!$A:$A,0)))</f>
        <v>#N/A</v>
      </c>
      <c r="F29" s="1309" t="e">
        <f>IF(ISBLANK($B29), "", INDEX(RAWData!C:C,MATCH($C29,RAWData!$A:$A,0)))</f>
        <v>#N/A</v>
      </c>
      <c r="G29" s="1309" t="e">
        <f>IF(ISBLANK($B29), "", INDEX(RAWData!D:D,MATCH($C29,RAWData!$A:$A,0)))</f>
        <v>#N/A</v>
      </c>
      <c r="H29" s="1309" t="e">
        <f>IF(ISBLANK($B29), "", INDEX(RAWData!E:E,MATCH($C29,RAWData!$A:$A,0)))</f>
        <v>#N/A</v>
      </c>
      <c r="I29" s="1309" t="e">
        <f>IF(ISBLANK($B29), "", INDEX(RAWData!F:F,MATCH($C29,RAWData!$A:$A,0)))</f>
        <v>#N/A</v>
      </c>
    </row>
    <row r="30" spans="2:9">
      <c r="B30" s="1335"/>
      <c r="C30" s="1309" t="str">
        <f t="shared" si="0"/>
        <v/>
      </c>
      <c r="E30" s="1309" t="str">
        <f>IF(ISBLANK($B30), "", INDEX(RAWData!B:B,MATCH($C30,RAWData!$A:$A,0)))</f>
        <v/>
      </c>
      <c r="F30" s="1309" t="str">
        <f>IF(ISBLANK($B30), "", INDEX(RAWData!C:C,MATCH($C30,RAWData!$A:$A,0)))</f>
        <v/>
      </c>
      <c r="G30" s="1309" t="str">
        <f>IF(ISBLANK($B30), "", INDEX(RAWData!D:D,MATCH($C30,RAWData!$A:$A,0)))</f>
        <v/>
      </c>
      <c r="H30" s="1309" t="str">
        <f>IF(ISBLANK($B30), "", INDEX(RAWData!E:E,MATCH($C30,RAWData!$A:$A,0)))</f>
        <v/>
      </c>
      <c r="I30" s="1309" t="str">
        <f>IF(ISBLANK($B30), "", INDEX(RAWData!F:F,MATCH($C30,RAWData!$A:$A,0)))</f>
        <v/>
      </c>
    </row>
    <row r="31" spans="2:9">
      <c r="B31" s="1335"/>
      <c r="C31" s="1309" t="str">
        <f t="shared" si="0"/>
        <v/>
      </c>
      <c r="E31" s="1309" t="e">
        <f>E$9</f>
        <v>#N/A</v>
      </c>
      <c r="F31" s="1309" t="e">
        <f t="shared" ref="F31:I31" si="3">F$9</f>
        <v>#N/A</v>
      </c>
      <c r="G31" s="1309" t="e">
        <f t="shared" si="3"/>
        <v>#N/A</v>
      </c>
      <c r="H31" s="1309" t="e">
        <f t="shared" si="3"/>
        <v>#N/A</v>
      </c>
      <c r="I31" s="1309" t="e">
        <f t="shared" si="3"/>
        <v>#N/A</v>
      </c>
    </row>
    <row r="32" spans="2:9">
      <c r="B32" s="1334" t="s">
        <v>4210</v>
      </c>
      <c r="C32" s="1309" t="str">
        <f t="shared" si="0"/>
        <v>TLOUTPUTFBFINCASHOIT1_0</v>
      </c>
      <c r="E32" s="1309" t="e">
        <f>IF(ISBLANK($B32), "", INDEX(RAWData!B:B,MATCH($C32,RAWData!$A:$A,0)))</f>
        <v>#N/A</v>
      </c>
      <c r="F32" s="1309" t="e">
        <f>IF(ISBLANK($B32), "", INDEX(RAWData!C:C,MATCH($C32,RAWData!$A:$A,0)))</f>
        <v>#N/A</v>
      </c>
      <c r="G32" s="1309" t="e">
        <f>IF(ISBLANK($B32), "", INDEX(RAWData!D:D,MATCH($C32,RAWData!$A:$A,0)))</f>
        <v>#N/A</v>
      </c>
      <c r="H32" s="1309" t="e">
        <f>IF(ISBLANK($B32), "", INDEX(RAWData!E:E,MATCH($C32,RAWData!$A:$A,0)))</f>
        <v>#N/A</v>
      </c>
      <c r="I32" s="1309" t="e">
        <f>IF(ISBLANK($B32), "", INDEX(RAWData!F:F,MATCH($C32,RAWData!$A:$A,0)))</f>
        <v>#N/A</v>
      </c>
    </row>
    <row r="33" spans="2:9">
      <c r="B33" s="1334" t="s">
        <v>4213</v>
      </c>
      <c r="C33" s="1309" t="str">
        <f t="shared" si="0"/>
        <v>TLOUTPUTFBFINCASHOIMARGINT1_0</v>
      </c>
      <c r="E33" s="1309" t="e">
        <f>IF(ISBLANK($B33), "", INDEX(RAWData!B:B,MATCH($C33,RAWData!$A:$A,0)))</f>
        <v>#N/A</v>
      </c>
      <c r="F33" s="1309" t="e">
        <f>IF(ISBLANK($B33), "", INDEX(RAWData!C:C,MATCH($C33,RAWData!$A:$A,0)))</f>
        <v>#N/A</v>
      </c>
      <c r="G33" s="1309" t="e">
        <f>IF(ISBLANK($B33), "", INDEX(RAWData!D:D,MATCH($C33,RAWData!$A:$A,0)))</f>
        <v>#N/A</v>
      </c>
      <c r="H33" s="1309" t="e">
        <f>IF(ISBLANK($B33), "", INDEX(RAWData!E:E,MATCH($C33,RAWData!$A:$A,0)))</f>
        <v>#N/A</v>
      </c>
      <c r="I33" s="1309" t="e">
        <f>IF(ISBLANK($B33), "", INDEX(RAWData!F:F,MATCH($C33,RAWData!$A:$A,0)))</f>
        <v>#N/A</v>
      </c>
    </row>
    <row r="34" spans="2:9">
      <c r="B34" s="1335"/>
      <c r="C34" s="1309" t="str">
        <f t="shared" si="0"/>
        <v/>
      </c>
      <c r="E34" s="1309" t="str">
        <f>IF(ISBLANK($B34), "", INDEX(RAWData!B:B,MATCH($C34,RAWData!$A:$A,0)))</f>
        <v/>
      </c>
      <c r="F34" s="1309" t="str">
        <f>IF(ISBLANK($B34), "", INDEX(RAWData!C:C,MATCH($C34,RAWData!$A:$A,0)))</f>
        <v/>
      </c>
      <c r="G34" s="1309" t="str">
        <f>IF(ISBLANK($B34), "", INDEX(RAWData!D:D,MATCH($C34,RAWData!$A:$A,0)))</f>
        <v/>
      </c>
      <c r="H34" s="1309" t="str">
        <f>IF(ISBLANK($B34), "", INDEX(RAWData!E:E,MATCH($C34,RAWData!$A:$A,0)))</f>
        <v/>
      </c>
      <c r="I34" s="1309" t="str">
        <f>IF(ISBLANK($B34), "", INDEX(RAWData!F:F,MATCH($C34,RAWData!$A:$A,0)))</f>
        <v/>
      </c>
    </row>
    <row r="35" spans="2:9">
      <c r="B35" s="1335"/>
      <c r="C35" s="1309" t="str">
        <f t="shared" si="0"/>
        <v/>
      </c>
      <c r="E35" s="1309" t="str">
        <f>IF(ISBLANK($B35), "", INDEX(RAWData!B:B,MATCH($C35,RAWData!$A:$A,0)))</f>
        <v/>
      </c>
      <c r="F35" s="1309" t="str">
        <f>IF(ISBLANK($B35), "", INDEX(RAWData!C:C,MATCH($C35,RAWData!$A:$A,0)))</f>
        <v/>
      </c>
      <c r="G35" s="1309" t="str">
        <f>IF(ISBLANK($B35), "", INDEX(RAWData!D:D,MATCH($C35,RAWData!$A:$A,0)))</f>
        <v/>
      </c>
      <c r="H35" s="1309" t="str">
        <f>IF(ISBLANK($B35), "", INDEX(RAWData!E:E,MATCH($C35,RAWData!$A:$A,0)))</f>
        <v/>
      </c>
      <c r="I35" s="1309" t="str">
        <f>IF(ISBLANK($B35), "", INDEX(RAWData!F:F,MATCH($C35,RAWData!$A:$A,0)))</f>
        <v/>
      </c>
    </row>
    <row r="36" spans="2:9">
      <c r="B36" s="1335"/>
      <c r="C36" s="1309" t="str">
        <f t="shared" si="0"/>
        <v/>
      </c>
      <c r="E36" s="1309" t="str">
        <f>IF(ISBLANK($B36), "", INDEX(RAWData!B:B,MATCH($C36,RAWData!$A:$A,0)))</f>
        <v/>
      </c>
      <c r="F36" s="1309" t="str">
        <f>IF(ISBLANK($B36), "", INDEX(RAWData!C:C,MATCH($C36,RAWData!$A:$A,0)))</f>
        <v/>
      </c>
      <c r="G36" s="1309" t="str">
        <f>IF(ISBLANK($B36), "", INDEX(RAWData!D:D,MATCH($C36,RAWData!$A:$A,0)))</f>
        <v/>
      </c>
      <c r="H36" s="1309" t="str">
        <f>IF(ISBLANK($B36), "", INDEX(RAWData!E:E,MATCH($C36,RAWData!$A:$A,0)))</f>
        <v/>
      </c>
      <c r="I36" s="1309" t="str">
        <f>IF(ISBLANK($B36), "", INDEX(RAWData!F:F,MATCH($C36,RAWData!$A:$A,0)))</f>
        <v/>
      </c>
    </row>
    <row r="37" spans="2:9">
      <c r="B37" s="1335"/>
      <c r="C37" s="1309" t="str">
        <f t="shared" si="0"/>
        <v/>
      </c>
      <c r="E37" s="1309" t="str">
        <f>IF(ISBLANK($B37), "", INDEX(RAWData!B:B,MATCH($C37,RAWData!$A:$A,0)))</f>
        <v/>
      </c>
      <c r="F37" s="1309" t="str">
        <f>IF(ISBLANK($B37), "", INDEX(RAWData!C:C,MATCH($C37,RAWData!$A:$A,0)))</f>
        <v/>
      </c>
      <c r="G37" s="1309" t="str">
        <f>IF(ISBLANK($B37), "", INDEX(RAWData!D:D,MATCH($C37,RAWData!$A:$A,0)))</f>
        <v/>
      </c>
      <c r="H37" s="1309" t="str">
        <f>IF(ISBLANK($B37), "", INDEX(RAWData!E:E,MATCH($C37,RAWData!$A:$A,0)))</f>
        <v/>
      </c>
      <c r="I37" s="1309" t="str">
        <f>IF(ISBLANK($B37), "", INDEX(RAWData!F:F,MATCH($C37,RAWData!$A:$A,0)))</f>
        <v/>
      </c>
    </row>
    <row r="38" spans="2:9">
      <c r="B38" s="1335"/>
      <c r="C38" s="1309" t="str">
        <f t="shared" si="0"/>
        <v/>
      </c>
      <c r="E38" s="1309" t="e">
        <f>E$9</f>
        <v>#N/A</v>
      </c>
      <c r="F38" s="1309" t="e">
        <f t="shared" ref="F38:I38" si="4">F$9</f>
        <v>#N/A</v>
      </c>
      <c r="G38" s="1309" t="e">
        <f t="shared" si="4"/>
        <v>#N/A</v>
      </c>
      <c r="H38" s="1309" t="e">
        <f t="shared" si="4"/>
        <v>#N/A</v>
      </c>
      <c r="I38" s="1309" t="e">
        <f t="shared" si="4"/>
        <v>#N/A</v>
      </c>
    </row>
    <row r="39" spans="2:9">
      <c r="B39" s="1334" t="s">
        <v>4216</v>
      </c>
      <c r="C39" s="1309" t="str">
        <f t="shared" si="0"/>
        <v>TLOUTPUTFBCSATDRIVER1T1_0</v>
      </c>
      <c r="E39" s="1309" t="e">
        <f>IF(ISBLANK($B39), "", INDEX(RAWData!B:B,MATCH($C39,RAWData!$A:$A,0)))</f>
        <v>#N/A</v>
      </c>
      <c r="F39" s="1309" t="e">
        <f>IF(ISBLANK($B39), "", INDEX(RAWData!C:C,MATCH($C39,RAWData!$A:$A,0)))</f>
        <v>#N/A</v>
      </c>
      <c r="G39" s="1309" t="e">
        <f>IF(ISBLANK($B39), "", INDEX(RAWData!D:D,MATCH($C39,RAWData!$A:$A,0)))</f>
        <v>#N/A</v>
      </c>
      <c r="H39" s="1309" t="e">
        <f>IF(ISBLANK($B39), "", INDEX(RAWData!E:E,MATCH($C39,RAWData!$A:$A,0)))</f>
        <v>#N/A</v>
      </c>
      <c r="I39" s="1309" t="e">
        <f>IF(ISBLANK($B39), "", INDEX(RAWData!F:F,MATCH($C39,RAWData!$A:$A,0)))</f>
        <v>#N/A</v>
      </c>
    </row>
    <row r="40" spans="2:9">
      <c r="B40" s="1334" t="s">
        <v>4219</v>
      </c>
      <c r="C40" s="1309" t="str">
        <f t="shared" si="0"/>
        <v>TLOUTPUTFBCSATDRIVER2T1_0</v>
      </c>
      <c r="E40" s="1309" t="e">
        <f>IF(ISBLANK($B40), "", INDEX(RAWData!B:B,MATCH($C40,RAWData!$A:$A,0)))</f>
        <v>#N/A</v>
      </c>
      <c r="F40" s="1309" t="e">
        <f>IF(ISBLANK($B40), "", INDEX(RAWData!C:C,MATCH($C40,RAWData!$A:$A,0)))</f>
        <v>#N/A</v>
      </c>
      <c r="G40" s="1309" t="e">
        <f>IF(ISBLANK($B40), "", INDEX(RAWData!D:D,MATCH($C40,RAWData!$A:$A,0)))</f>
        <v>#N/A</v>
      </c>
      <c r="H40" s="1309" t="e">
        <f>IF(ISBLANK($B40), "", INDEX(RAWData!E:E,MATCH($C40,RAWData!$A:$A,0)))</f>
        <v>#N/A</v>
      </c>
      <c r="I40" s="1309" t="e">
        <f>IF(ISBLANK($B40), "", INDEX(RAWData!F:F,MATCH($C40,RAWData!$A:$A,0)))</f>
        <v>#N/A</v>
      </c>
    </row>
    <row r="41" spans="2:9">
      <c r="B41" s="1334" t="s">
        <v>4222</v>
      </c>
      <c r="C41" s="1309" t="str">
        <f t="shared" si="0"/>
        <v>TLOUTPUTFBCSATDRIVER3T1_0</v>
      </c>
      <c r="E41" s="1309" t="e">
        <f>IF(ISBLANK($B41), "", INDEX(RAWData!B:B,MATCH($C41,RAWData!$A:$A,0)))</f>
        <v>#N/A</v>
      </c>
      <c r="F41" s="1309" t="e">
        <f>IF(ISBLANK($B41), "", INDEX(RAWData!C:C,MATCH($C41,RAWData!$A:$A,0)))</f>
        <v>#N/A</v>
      </c>
      <c r="G41" s="1309" t="e">
        <f>IF(ISBLANK($B41), "", INDEX(RAWData!D:D,MATCH($C41,RAWData!$A:$A,0)))</f>
        <v>#N/A</v>
      </c>
      <c r="H41" s="1309" t="e">
        <f>IF(ISBLANK($B41), "", INDEX(RAWData!E:E,MATCH($C41,RAWData!$A:$A,0)))</f>
        <v>#N/A</v>
      </c>
      <c r="I41" s="1309" t="e">
        <f>IF(ISBLANK($B41), "", INDEX(RAWData!F:F,MATCH($C41,RAWData!$A:$A,0)))</f>
        <v>#N/A</v>
      </c>
    </row>
    <row r="42" spans="2:9">
      <c r="B42" s="1334" t="s">
        <v>4225</v>
      </c>
      <c r="C42" s="1309" t="str">
        <f t="shared" si="0"/>
        <v>TLOUTPUTFBCSATDRIVER4T1_0</v>
      </c>
      <c r="E42" s="1309" t="e">
        <f>IF(ISBLANK($B42), "", INDEX(RAWData!B:B,MATCH($C42,RAWData!$A:$A,0)))</f>
        <v>#N/A</v>
      </c>
      <c r="F42" s="1309" t="e">
        <f>IF(ISBLANK($B42), "", INDEX(RAWData!C:C,MATCH($C42,RAWData!$A:$A,0)))</f>
        <v>#N/A</v>
      </c>
      <c r="G42" s="1309" t="e">
        <f>IF(ISBLANK($B42), "", INDEX(RAWData!D:D,MATCH($C42,RAWData!$A:$A,0)))</f>
        <v>#N/A</v>
      </c>
      <c r="H42" s="1309" t="e">
        <f>IF(ISBLANK($B42), "", INDEX(RAWData!E:E,MATCH($C42,RAWData!$A:$A,0)))</f>
        <v>#N/A</v>
      </c>
      <c r="I42" s="1309" t="e">
        <f>IF(ISBLANK($B42), "", INDEX(RAWData!F:F,MATCH($C42,RAWData!$A:$A,0)))</f>
        <v>#N/A</v>
      </c>
    </row>
    <row r="43" spans="2:9">
      <c r="B43" s="1334" t="s">
        <v>4228</v>
      </c>
      <c r="C43" s="1309" t="str">
        <f t="shared" si="0"/>
        <v>TLOUTPUTFBCSATDRIVER5T1_0</v>
      </c>
      <c r="E43" s="1309" t="e">
        <f>IF(ISBLANK($B43), "", INDEX(RAWData!B:B,MATCH($C43,RAWData!$A:$A,0)))</f>
        <v>#N/A</v>
      </c>
      <c r="F43" s="1309" t="e">
        <f>IF(ISBLANK($B43), "", INDEX(RAWData!C:C,MATCH($C43,RAWData!$A:$A,0)))</f>
        <v>#N/A</v>
      </c>
      <c r="G43" s="1309" t="e">
        <f>IF(ISBLANK($B43), "", INDEX(RAWData!D:D,MATCH($C43,RAWData!$A:$A,0)))</f>
        <v>#N/A</v>
      </c>
      <c r="H43" s="1309" t="e">
        <f>IF(ISBLANK($B43), "", INDEX(RAWData!E:E,MATCH($C43,RAWData!$A:$A,0)))</f>
        <v>#N/A</v>
      </c>
      <c r="I43" s="1309" t="e">
        <f>IF(ISBLANK($B43), "", INDEX(RAWData!F:F,MATCH($C43,RAWData!$A:$A,0)))</f>
        <v>#N/A</v>
      </c>
    </row>
    <row r="44" spans="2:9">
      <c r="B44" s="1334" t="s">
        <v>4231</v>
      </c>
      <c r="C44" s="1309" t="str">
        <f t="shared" si="0"/>
        <v>TLOUTPUTFBCSATDRIVER6T1_0</v>
      </c>
      <c r="E44" s="1309" t="e">
        <f>IF(ISBLANK($B44), "", INDEX(RAWData!B:B,MATCH($C44,RAWData!$A:$A,0)))</f>
        <v>#N/A</v>
      </c>
      <c r="F44" s="1309" t="e">
        <f>IF(ISBLANK($B44), "", INDEX(RAWData!C:C,MATCH($C44,RAWData!$A:$A,0)))</f>
        <v>#N/A</v>
      </c>
      <c r="G44" s="1309" t="e">
        <f>IF(ISBLANK($B44), "", INDEX(RAWData!D:D,MATCH($C44,RAWData!$A:$A,0)))</f>
        <v>#N/A</v>
      </c>
      <c r="H44" s="1309" t="e">
        <f>IF(ISBLANK($B44), "", INDEX(RAWData!E:E,MATCH($C44,RAWData!$A:$A,0)))</f>
        <v>#N/A</v>
      </c>
      <c r="I44" s="1309" t="e">
        <f>IF(ISBLANK($B44), "", INDEX(RAWData!F:F,MATCH($C44,RAWData!$A:$A,0)))</f>
        <v>#N/A</v>
      </c>
    </row>
    <row r="45" spans="2:9">
      <c r="B45" s="1334" t="s">
        <v>4234</v>
      </c>
      <c r="C45" s="1309" t="str">
        <f t="shared" si="0"/>
        <v>TLOUTPUTFBCSATDRIVER7T1_0</v>
      </c>
      <c r="E45" s="1309" t="e">
        <f>IF(ISBLANK($B45), "", INDEX(RAWData!B:B,MATCH($C45,RAWData!$A:$A,0)))</f>
        <v>#N/A</v>
      </c>
      <c r="F45" s="1309" t="e">
        <f>IF(ISBLANK($B45), "", INDEX(RAWData!C:C,MATCH($C45,RAWData!$A:$A,0)))</f>
        <v>#N/A</v>
      </c>
      <c r="G45" s="1309" t="e">
        <f>IF(ISBLANK($B45), "", INDEX(RAWData!D:D,MATCH($C45,RAWData!$A:$A,0)))</f>
        <v>#N/A</v>
      </c>
      <c r="H45" s="1309" t="e">
        <f>IF(ISBLANK($B45), "", INDEX(RAWData!E:E,MATCH($C45,RAWData!$A:$A,0)))</f>
        <v>#N/A</v>
      </c>
      <c r="I45" s="1309" t="e">
        <f>IF(ISBLANK($B45), "", INDEX(RAWData!F:F,MATCH($C45,RAWData!$A:$A,0)))</f>
        <v>#N/A</v>
      </c>
    </row>
    <row r="46" spans="2:9">
      <c r="B46" s="1334" t="s">
        <v>4237</v>
      </c>
      <c r="C46" s="1309" t="str">
        <f t="shared" si="0"/>
        <v>TLOUTPUTFBCSATDRIVER8T1_0</v>
      </c>
      <c r="E46" s="1309" t="e">
        <f>IF(ISBLANK($B46), "", INDEX(RAWData!B:B,MATCH($C46,RAWData!$A:$A,0)))</f>
        <v>#N/A</v>
      </c>
      <c r="F46" s="1309" t="e">
        <f>IF(ISBLANK($B46), "", INDEX(RAWData!C:C,MATCH($C46,RAWData!$A:$A,0)))</f>
        <v>#N/A</v>
      </c>
      <c r="G46" s="1309" t="e">
        <f>IF(ISBLANK($B46), "", INDEX(RAWData!D:D,MATCH($C46,RAWData!$A:$A,0)))</f>
        <v>#N/A</v>
      </c>
      <c r="H46" s="1309" t="e">
        <f>IF(ISBLANK($B46), "", INDEX(RAWData!E:E,MATCH($C46,RAWData!$A:$A,0)))</f>
        <v>#N/A</v>
      </c>
      <c r="I46" s="1309" t="e">
        <f>IF(ISBLANK($B46), "", INDEX(RAWData!F:F,MATCH($C46,RAWData!$A:$A,0)))</f>
        <v>#N/A</v>
      </c>
    </row>
    <row r="47" spans="2:9">
      <c r="B47" s="1334" t="s">
        <v>4240</v>
      </c>
      <c r="C47" s="1309" t="str">
        <f t="shared" si="0"/>
        <v>TLOUTPUTFBCSATDRIVER9T1_0</v>
      </c>
      <c r="E47" s="1309" t="e">
        <f>IF(ISBLANK($B47), "", INDEX(RAWData!B:B,MATCH($C47,RAWData!$A:$A,0)))</f>
        <v>#N/A</v>
      </c>
      <c r="F47" s="1309" t="e">
        <f>IF(ISBLANK($B47), "", INDEX(RAWData!C:C,MATCH($C47,RAWData!$A:$A,0)))</f>
        <v>#N/A</v>
      </c>
      <c r="G47" s="1309" t="e">
        <f>IF(ISBLANK($B47), "", INDEX(RAWData!D:D,MATCH($C47,RAWData!$A:$A,0)))</f>
        <v>#N/A</v>
      </c>
      <c r="H47" s="1309" t="e">
        <f>IF(ISBLANK($B47), "", INDEX(RAWData!E:E,MATCH($C47,RAWData!$A:$A,0)))</f>
        <v>#N/A</v>
      </c>
      <c r="I47" s="1309" t="e">
        <f>IF(ISBLANK($B47), "", INDEX(RAWData!F:F,MATCH($C47,RAWData!$A:$A,0)))</f>
        <v>#N/A</v>
      </c>
    </row>
    <row r="48" spans="2:9">
      <c r="B48" s="1334" t="s">
        <v>4243</v>
      </c>
      <c r="C48" s="1309" t="str">
        <f t="shared" si="0"/>
        <v>TLOUTPUTFBCSATDRIVER10T1_0</v>
      </c>
      <c r="E48" s="1309" t="e">
        <f>IF(ISBLANK($B48), "", INDEX(RAWData!B:B,MATCH($C48,RAWData!$A:$A,0)))</f>
        <v>#N/A</v>
      </c>
      <c r="F48" s="1309" t="e">
        <f>IF(ISBLANK($B48), "", INDEX(RAWData!C:C,MATCH($C48,RAWData!$A:$A,0)))</f>
        <v>#N/A</v>
      </c>
      <c r="G48" s="1309" t="e">
        <f>IF(ISBLANK($B48), "", INDEX(RAWData!D:D,MATCH($C48,RAWData!$A:$A,0)))</f>
        <v>#N/A</v>
      </c>
      <c r="H48" s="1309" t="e">
        <f>IF(ISBLANK($B48), "", INDEX(RAWData!E:E,MATCH($C48,RAWData!$A:$A,0)))</f>
        <v>#N/A</v>
      </c>
      <c r="I48" s="1309" t="e">
        <f>IF(ISBLANK($B48), "", INDEX(RAWData!F:F,MATCH($C48,RAWData!$A:$A,0)))</f>
        <v>#N/A</v>
      </c>
    </row>
    <row r="49" spans="2:9">
      <c r="B49" s="1334" t="s">
        <v>4246</v>
      </c>
      <c r="C49" s="1309" t="str">
        <f t="shared" si="0"/>
        <v>TLOUTPUTFBCAPCSATT1_0</v>
      </c>
      <c r="E49" s="1309" t="e">
        <f>IF(ISBLANK($B49), "", INDEX(RAWData!B:B,MATCH($C49,RAWData!$A:$A,0)))</f>
        <v>#N/A</v>
      </c>
      <c r="F49" s="1309" t="e">
        <f>IF(ISBLANK($B49), "", INDEX(RAWData!C:C,MATCH($C49,RAWData!$A:$A,0)))</f>
        <v>#N/A</v>
      </c>
      <c r="G49" s="1309" t="e">
        <f>IF(ISBLANK($B49), "", INDEX(RAWData!D:D,MATCH($C49,RAWData!$A:$A,0)))</f>
        <v>#N/A</v>
      </c>
      <c r="H49" s="1309" t="e">
        <f>IF(ISBLANK($B49), "", INDEX(RAWData!E:E,MATCH($C49,RAWData!$A:$A,0)))</f>
        <v>#N/A</v>
      </c>
      <c r="I49" s="1309" t="e">
        <f>IF(ISBLANK($B49), "", INDEX(RAWData!F:F,MATCH($C49,RAWData!$A:$A,0)))</f>
        <v>#N/A</v>
      </c>
    </row>
    <row r="50" spans="2:9">
      <c r="B50" s="1335"/>
      <c r="C50" s="1309" t="str">
        <f t="shared" si="0"/>
        <v/>
      </c>
      <c r="E50" s="1309" t="str">
        <f>IF(ISBLANK($B50), "", INDEX(RAWData!B:B,MATCH($C50,RAWData!$A:$A,0)))</f>
        <v/>
      </c>
      <c r="F50" s="1309" t="str">
        <f>IF(ISBLANK($B50), "", INDEX(RAWData!C:C,MATCH($C50,RAWData!$A:$A,0)))</f>
        <v/>
      </c>
      <c r="G50" s="1309" t="str">
        <f>IF(ISBLANK($B50), "", INDEX(RAWData!D:D,MATCH($C50,RAWData!$A:$A,0)))</f>
        <v/>
      </c>
      <c r="H50" s="1309" t="str">
        <f>IF(ISBLANK($B50), "", INDEX(RAWData!E:E,MATCH($C50,RAWData!$A:$A,0)))</f>
        <v/>
      </c>
      <c r="I50" s="1309" t="str">
        <f>IF(ISBLANK($B50), "", INDEX(RAWData!F:F,MATCH($C50,RAWData!$A:$A,0)))</f>
        <v/>
      </c>
    </row>
    <row r="51" spans="2:9">
      <c r="B51" s="1335"/>
      <c r="C51" s="1309" t="str">
        <f t="shared" si="0"/>
        <v/>
      </c>
      <c r="E51" s="1309" t="e">
        <f>E$9</f>
        <v>#N/A</v>
      </c>
      <c r="F51" s="1309" t="e">
        <f t="shared" ref="F51:I51" si="5">F$9</f>
        <v>#N/A</v>
      </c>
      <c r="G51" s="1309" t="e">
        <f t="shared" si="5"/>
        <v>#N/A</v>
      </c>
      <c r="H51" s="1309" t="e">
        <f t="shared" si="5"/>
        <v>#N/A</v>
      </c>
      <c r="I51" s="1309" t="e">
        <f t="shared" si="5"/>
        <v>#N/A</v>
      </c>
    </row>
    <row r="52" spans="2:9">
      <c r="B52" s="1334" t="s">
        <v>4249</v>
      </c>
      <c r="C52" s="1309" t="str">
        <f t="shared" si="0"/>
        <v>TLOUTPUTFBESATDRIVER1T1_0</v>
      </c>
      <c r="E52" s="1309" t="e">
        <f>IF(ISBLANK($B52), "", INDEX(RAWData!B:B,MATCH($C52,RAWData!$A:$A,0)))</f>
        <v>#N/A</v>
      </c>
      <c r="F52" s="1309" t="e">
        <f>IF(ISBLANK($B52), "", INDEX(RAWData!C:C,MATCH($C52,RAWData!$A:$A,0)))</f>
        <v>#N/A</v>
      </c>
      <c r="G52" s="1309" t="e">
        <f>IF(ISBLANK($B52), "", INDEX(RAWData!D:D,MATCH($C52,RAWData!$A:$A,0)))</f>
        <v>#N/A</v>
      </c>
      <c r="H52" s="1309" t="e">
        <f>IF(ISBLANK($B52), "", INDEX(RAWData!E:E,MATCH($C52,RAWData!$A:$A,0)))</f>
        <v>#N/A</v>
      </c>
      <c r="I52" s="1309" t="e">
        <f>IF(ISBLANK($B52), "", INDEX(RAWData!F:F,MATCH($C52,RAWData!$A:$A,0)))</f>
        <v>#N/A</v>
      </c>
    </row>
    <row r="53" spans="2:9">
      <c r="B53" s="1334" t="s">
        <v>4252</v>
      </c>
      <c r="C53" s="1309" t="str">
        <f t="shared" si="0"/>
        <v>TLOUTPUTFBESATDRIVER2T1_0</v>
      </c>
      <c r="E53" s="1309" t="e">
        <f>IF(ISBLANK($B53), "", INDEX(RAWData!B:B,MATCH($C53,RAWData!$A:$A,0)))</f>
        <v>#N/A</v>
      </c>
      <c r="F53" s="1309" t="e">
        <f>IF(ISBLANK($B53), "", INDEX(RAWData!C:C,MATCH($C53,RAWData!$A:$A,0)))</f>
        <v>#N/A</v>
      </c>
      <c r="G53" s="1309" t="e">
        <f>IF(ISBLANK($B53), "", INDEX(RAWData!D:D,MATCH($C53,RAWData!$A:$A,0)))</f>
        <v>#N/A</v>
      </c>
      <c r="H53" s="1309" t="e">
        <f>IF(ISBLANK($B53), "", INDEX(RAWData!E:E,MATCH($C53,RAWData!$A:$A,0)))</f>
        <v>#N/A</v>
      </c>
      <c r="I53" s="1309" t="e">
        <f>IF(ISBLANK($B53), "", INDEX(RAWData!F:F,MATCH($C53,RAWData!$A:$A,0)))</f>
        <v>#N/A</v>
      </c>
    </row>
    <row r="54" spans="2:9">
      <c r="B54" s="1334" t="s">
        <v>4255</v>
      </c>
      <c r="C54" s="1309" t="str">
        <f t="shared" si="0"/>
        <v>TLOUTPUTFBESATDRIVER3T1_0</v>
      </c>
      <c r="E54" s="1309" t="e">
        <f>IF(ISBLANK($B54), "", INDEX(RAWData!B:B,MATCH($C54,RAWData!$A:$A,0)))</f>
        <v>#N/A</v>
      </c>
      <c r="F54" s="1309" t="e">
        <f>IF(ISBLANK($B54), "", INDEX(RAWData!C:C,MATCH($C54,RAWData!$A:$A,0)))</f>
        <v>#N/A</v>
      </c>
      <c r="G54" s="1309" t="e">
        <f>IF(ISBLANK($B54), "", INDEX(RAWData!D:D,MATCH($C54,RAWData!$A:$A,0)))</f>
        <v>#N/A</v>
      </c>
      <c r="H54" s="1309" t="e">
        <f>IF(ISBLANK($B54), "", INDEX(RAWData!E:E,MATCH($C54,RAWData!$A:$A,0)))</f>
        <v>#N/A</v>
      </c>
      <c r="I54" s="1309" t="e">
        <f>IF(ISBLANK($B54), "", INDEX(RAWData!F:F,MATCH($C54,RAWData!$A:$A,0)))</f>
        <v>#N/A</v>
      </c>
    </row>
    <row r="55" spans="2:9">
      <c r="B55" s="1334" t="s">
        <v>4258</v>
      </c>
      <c r="C55" s="1309" t="str">
        <f t="shared" si="0"/>
        <v>TLOUTPUTFBESATDRIVER4T1_0</v>
      </c>
      <c r="E55" s="1309" t="e">
        <f>IF(ISBLANK($B55), "", INDEX(RAWData!B:B,MATCH($C55,RAWData!$A:$A,0)))</f>
        <v>#N/A</v>
      </c>
      <c r="F55" s="1309" t="e">
        <f>IF(ISBLANK($B55), "", INDEX(RAWData!C:C,MATCH($C55,RAWData!$A:$A,0)))</f>
        <v>#N/A</v>
      </c>
      <c r="G55" s="1309" t="e">
        <f>IF(ISBLANK($B55), "", INDEX(RAWData!D:D,MATCH($C55,RAWData!$A:$A,0)))</f>
        <v>#N/A</v>
      </c>
      <c r="H55" s="1309" t="e">
        <f>IF(ISBLANK($B55), "", INDEX(RAWData!E:E,MATCH($C55,RAWData!$A:$A,0)))</f>
        <v>#N/A</v>
      </c>
      <c r="I55" s="1309" t="e">
        <f>IF(ISBLANK($B55), "", INDEX(RAWData!F:F,MATCH($C55,RAWData!$A:$A,0)))</f>
        <v>#N/A</v>
      </c>
    </row>
    <row r="56" spans="2:9">
      <c r="B56" s="1334" t="s">
        <v>4261</v>
      </c>
      <c r="C56" s="1309" t="str">
        <f t="shared" si="0"/>
        <v>TLOUTPUTFBESATDRIVER5T1_0</v>
      </c>
      <c r="E56" s="1309" t="e">
        <f>IF(ISBLANK($B56), "", INDEX(RAWData!B:B,MATCH($C56,RAWData!$A:$A,0)))</f>
        <v>#N/A</v>
      </c>
      <c r="F56" s="1309" t="e">
        <f>IF(ISBLANK($B56), "", INDEX(RAWData!C:C,MATCH($C56,RAWData!$A:$A,0)))</f>
        <v>#N/A</v>
      </c>
      <c r="G56" s="1309" t="e">
        <f>IF(ISBLANK($B56), "", INDEX(RAWData!D:D,MATCH($C56,RAWData!$A:$A,0)))</f>
        <v>#N/A</v>
      </c>
      <c r="H56" s="1309" t="e">
        <f>IF(ISBLANK($B56), "", INDEX(RAWData!E:E,MATCH($C56,RAWData!$A:$A,0)))</f>
        <v>#N/A</v>
      </c>
      <c r="I56" s="1309" t="e">
        <f>IF(ISBLANK($B56), "", INDEX(RAWData!F:F,MATCH($C56,RAWData!$A:$A,0)))</f>
        <v>#N/A</v>
      </c>
    </row>
    <row r="57" spans="2:9">
      <c r="B57" s="1334" t="s">
        <v>4264</v>
      </c>
      <c r="C57" s="1309" t="str">
        <f t="shared" si="0"/>
        <v>TLOUTPUTFBESATDRIVER6T1_0</v>
      </c>
      <c r="E57" s="1309" t="e">
        <f>IF(ISBLANK($B57), "", INDEX(RAWData!B:B,MATCH($C57,RAWData!$A:$A,0)))</f>
        <v>#N/A</v>
      </c>
      <c r="F57" s="1309" t="e">
        <f>IF(ISBLANK($B57), "", INDEX(RAWData!C:C,MATCH($C57,RAWData!$A:$A,0)))</f>
        <v>#N/A</v>
      </c>
      <c r="G57" s="1309" t="e">
        <f>IF(ISBLANK($B57), "", INDEX(RAWData!D:D,MATCH($C57,RAWData!$A:$A,0)))</f>
        <v>#N/A</v>
      </c>
      <c r="H57" s="1309" t="e">
        <f>IF(ISBLANK($B57), "", INDEX(RAWData!E:E,MATCH($C57,RAWData!$A:$A,0)))</f>
        <v>#N/A</v>
      </c>
      <c r="I57" s="1309" t="e">
        <f>IF(ISBLANK($B57), "", INDEX(RAWData!F:F,MATCH($C57,RAWData!$A:$A,0)))</f>
        <v>#N/A</v>
      </c>
    </row>
    <row r="58" spans="2:9">
      <c r="B58" s="1334" t="s">
        <v>4267</v>
      </c>
      <c r="C58" s="1309" t="str">
        <f t="shared" si="0"/>
        <v>TLOUTPUTFBCAPESATT1_0</v>
      </c>
      <c r="E58" s="1309" t="e">
        <f>IF(ISBLANK($B58), "", INDEX(RAWData!B:B,MATCH($C58,RAWData!$A:$A,0)))</f>
        <v>#N/A</v>
      </c>
      <c r="F58" s="1309" t="e">
        <f>IF(ISBLANK($B58), "", INDEX(RAWData!C:C,MATCH($C58,RAWData!$A:$A,0)))</f>
        <v>#N/A</v>
      </c>
      <c r="G58" s="1309" t="e">
        <f>IF(ISBLANK($B58), "", INDEX(RAWData!D:D,MATCH($C58,RAWData!$A:$A,0)))</f>
        <v>#N/A</v>
      </c>
      <c r="H58" s="1309" t="e">
        <f>IF(ISBLANK($B58), "", INDEX(RAWData!E:E,MATCH($C58,RAWData!$A:$A,0)))</f>
        <v>#N/A</v>
      </c>
      <c r="I58" s="1309" t="e">
        <f>IF(ISBLANK($B58), "", INDEX(RAWData!F:F,MATCH($C58,RAWData!$A:$A,0)))</f>
        <v>#N/A</v>
      </c>
    </row>
    <row r="59" spans="2:9">
      <c r="B59" s="1334"/>
      <c r="C59" s="1309" t="str">
        <f t="shared" si="0"/>
        <v/>
      </c>
      <c r="E59" s="1309" t="str">
        <f>IF(ISBLANK($B59), "", INDEX(RAWData!B:B,MATCH($C59,RAWData!$A:$A,0)))</f>
        <v/>
      </c>
      <c r="F59" s="1309" t="str">
        <f>IF(ISBLANK($B59), "", INDEX(RAWData!C:C,MATCH($C59,RAWData!$A:$A,0)))</f>
        <v/>
      </c>
      <c r="G59" s="1309" t="str">
        <f>IF(ISBLANK($B59), "", INDEX(RAWData!D:D,MATCH($C59,RAWData!$A:$A,0)))</f>
        <v/>
      </c>
      <c r="H59" s="1309" t="str">
        <f>IF(ISBLANK($B59), "", INDEX(RAWData!E:E,MATCH($C59,RAWData!$A:$A,0)))</f>
        <v/>
      </c>
      <c r="I59" s="1309" t="str">
        <f>IF(ISBLANK($B59), "", INDEX(RAWData!F:F,MATCH($C59,RAWData!$A:$A,0)))</f>
        <v/>
      </c>
    </row>
    <row r="60" spans="2:9">
      <c r="B60" s="1335"/>
      <c r="C60" s="1309" t="str">
        <f t="shared" si="0"/>
        <v/>
      </c>
      <c r="E60" s="1309" t="str">
        <f>IF(ISBLANK($B60), "", INDEX(RAWData!B:B,MATCH($C60,RAWData!$A:$A,0)))</f>
        <v/>
      </c>
      <c r="F60" s="1309" t="str">
        <f>IF(ISBLANK($B60), "", INDEX(RAWData!C:C,MATCH($C60,RAWData!$A:$A,0)))</f>
        <v/>
      </c>
      <c r="G60" s="1309" t="str">
        <f>IF(ISBLANK($B60), "", INDEX(RAWData!D:D,MATCH($C60,RAWData!$A:$A,0)))</f>
        <v/>
      </c>
      <c r="H60" s="1309" t="str">
        <f>IF(ISBLANK($B60), "", INDEX(RAWData!E:E,MATCH($C60,RAWData!$A:$A,0)))</f>
        <v/>
      </c>
      <c r="I60" s="1309" t="str">
        <f>IF(ISBLANK($B60), "", INDEX(RAWData!F:F,MATCH($C60,RAWData!$A:$A,0)))</f>
        <v/>
      </c>
    </row>
    <row r="61" spans="2:9">
      <c r="B61" s="1337"/>
      <c r="C61" s="1309" t="str">
        <f t="shared" si="0"/>
        <v/>
      </c>
      <c r="E61" s="1309" t="str">
        <f>IF(ISBLANK($B61), "", INDEX(RAWData!B:B,MATCH($C61,RAWData!$A:$A,0)))</f>
        <v/>
      </c>
      <c r="F61" s="1309" t="str">
        <f>IF(ISBLANK($B61), "", INDEX(RAWData!C:C,MATCH($C61,RAWData!$A:$A,0)))</f>
        <v/>
      </c>
      <c r="G61" s="1309" t="str">
        <f>IF(ISBLANK($B61), "", INDEX(RAWData!D:D,MATCH($C61,RAWData!$A:$A,0)))</f>
        <v/>
      </c>
      <c r="H61" s="1309" t="str">
        <f>IF(ISBLANK($B61), "", INDEX(RAWData!E:E,MATCH($C61,RAWData!$A:$A,0)))</f>
        <v/>
      </c>
      <c r="I61" s="1309" t="str">
        <f>IF(ISBLANK($B61), "", INDEX(RAWData!F:F,MATCH($C61,RAWData!$A:$A,0)))</f>
        <v/>
      </c>
    </row>
    <row r="62" spans="2:9">
      <c r="B62" s="1335"/>
      <c r="C62" s="1309" t="str">
        <f t="shared" si="0"/>
        <v/>
      </c>
      <c r="E62" s="1309" t="e">
        <f>E$9</f>
        <v>#N/A</v>
      </c>
      <c r="F62" s="1309" t="e">
        <f t="shared" ref="F62:I62" si="6">F$9</f>
        <v>#N/A</v>
      </c>
      <c r="G62" s="1309" t="e">
        <f t="shared" si="6"/>
        <v>#N/A</v>
      </c>
      <c r="H62" s="1309" t="e">
        <f t="shared" si="6"/>
        <v>#N/A</v>
      </c>
      <c r="I62" s="1309" t="e">
        <f t="shared" si="6"/>
        <v>#N/A</v>
      </c>
    </row>
    <row r="63" spans="2:9">
      <c r="B63" s="1334" t="s">
        <v>4270</v>
      </c>
      <c r="C63" s="1309" t="str">
        <f t="shared" si="0"/>
        <v>TLOUTPUTFBPROD2VOCDRIVER1T1_0</v>
      </c>
      <c r="E63" s="1309" t="e">
        <f>IF(ISBLANK($B63), "", INDEX(RAWData!B:B,MATCH($C63,RAWData!$A:$A,0)))</f>
        <v>#N/A</v>
      </c>
      <c r="F63" s="1309" t="e">
        <f>IF(ISBLANK($B63), "", INDEX(RAWData!C:C,MATCH($C63,RAWData!$A:$A,0)))</f>
        <v>#N/A</v>
      </c>
      <c r="G63" s="1309" t="e">
        <f>IF(ISBLANK($B63), "", INDEX(RAWData!D:D,MATCH($C63,RAWData!$A:$A,0)))</f>
        <v>#N/A</v>
      </c>
      <c r="H63" s="1309" t="e">
        <f>IF(ISBLANK($B63), "", INDEX(RAWData!E:E,MATCH($C63,RAWData!$A:$A,0)))</f>
        <v>#N/A</v>
      </c>
      <c r="I63" s="1309" t="e">
        <f>IF(ISBLANK($B63), "", INDEX(RAWData!F:F,MATCH($C63,RAWData!$A:$A,0)))</f>
        <v>#N/A</v>
      </c>
    </row>
    <row r="64" spans="2:9">
      <c r="B64" s="1334" t="s">
        <v>4273</v>
      </c>
      <c r="C64" s="1309" t="str">
        <f t="shared" si="0"/>
        <v>TLOUTPUTFBPROD2VOCDRIVER2T1_0</v>
      </c>
      <c r="E64" s="1309" t="e">
        <f>IF(ISBLANK($B64), "", INDEX(RAWData!B:B,MATCH($C64,RAWData!$A:$A,0)))</f>
        <v>#N/A</v>
      </c>
      <c r="F64" s="1309" t="e">
        <f>IF(ISBLANK($B64), "", INDEX(RAWData!C:C,MATCH($C64,RAWData!$A:$A,0)))</f>
        <v>#N/A</v>
      </c>
      <c r="G64" s="1309" t="e">
        <f>IF(ISBLANK($B64), "", INDEX(RAWData!D:D,MATCH($C64,RAWData!$A:$A,0)))</f>
        <v>#N/A</v>
      </c>
      <c r="H64" s="1309" t="e">
        <f>IF(ISBLANK($B64), "", INDEX(RAWData!E:E,MATCH($C64,RAWData!$A:$A,0)))</f>
        <v>#N/A</v>
      </c>
      <c r="I64" s="1309" t="e">
        <f>IF(ISBLANK($B64), "", INDEX(RAWData!F:F,MATCH($C64,RAWData!$A:$A,0)))</f>
        <v>#N/A</v>
      </c>
    </row>
    <row r="65" spans="2:9">
      <c r="B65" s="1334" t="s">
        <v>4276</v>
      </c>
      <c r="C65" s="1309" t="str">
        <f t="shared" si="0"/>
        <v>TLOUTPUTFBPROD2VOCDRIVER3T1_0</v>
      </c>
      <c r="E65" s="1309" t="e">
        <f>IF(ISBLANK($B65), "", INDEX(RAWData!B:B,MATCH($C65,RAWData!$A:$A,0)))</f>
        <v>#N/A</v>
      </c>
      <c r="F65" s="1309" t="e">
        <f>IF(ISBLANK($B65), "", INDEX(RAWData!C:C,MATCH($C65,RAWData!$A:$A,0)))</f>
        <v>#N/A</v>
      </c>
      <c r="G65" s="1309" t="e">
        <f>IF(ISBLANK($B65), "", INDEX(RAWData!D:D,MATCH($C65,RAWData!$A:$A,0)))</f>
        <v>#N/A</v>
      </c>
      <c r="H65" s="1309" t="e">
        <f>IF(ISBLANK($B65), "", INDEX(RAWData!E:E,MATCH($C65,RAWData!$A:$A,0)))</f>
        <v>#N/A</v>
      </c>
      <c r="I65" s="1309" t="e">
        <f>IF(ISBLANK($B65), "", INDEX(RAWData!F:F,MATCH($C65,RAWData!$A:$A,0)))</f>
        <v>#N/A</v>
      </c>
    </row>
    <row r="66" spans="2:9">
      <c r="B66" s="1334" t="s">
        <v>4279</v>
      </c>
      <c r="C66" s="1309" t="str">
        <f t="shared" si="0"/>
        <v>TLOUTPUTFBPROD2VOCDRIVER4T1_0</v>
      </c>
      <c r="E66" s="1309" t="e">
        <f>IF(ISBLANK($B66), "", INDEX(RAWData!B:B,MATCH($C66,RAWData!$A:$A,0)))</f>
        <v>#N/A</v>
      </c>
      <c r="F66" s="1309" t="e">
        <f>IF(ISBLANK($B66), "", INDEX(RAWData!C:C,MATCH($C66,RAWData!$A:$A,0)))</f>
        <v>#N/A</v>
      </c>
      <c r="G66" s="1309" t="e">
        <f>IF(ISBLANK($B66), "", INDEX(RAWData!D:D,MATCH($C66,RAWData!$A:$A,0)))</f>
        <v>#N/A</v>
      </c>
      <c r="H66" s="1309" t="e">
        <f>IF(ISBLANK($B66), "", INDEX(RAWData!E:E,MATCH($C66,RAWData!$A:$A,0)))</f>
        <v>#N/A</v>
      </c>
      <c r="I66" s="1309" t="e">
        <f>IF(ISBLANK($B66), "", INDEX(RAWData!F:F,MATCH($C66,RAWData!$A:$A,0)))</f>
        <v>#N/A</v>
      </c>
    </row>
    <row r="67" spans="2:9">
      <c r="B67" s="1334" t="s">
        <v>4282</v>
      </c>
      <c r="C67" s="1309" t="str">
        <f t="shared" si="0"/>
        <v>TLOUTPUTFBPROD2VOCDRIVER5T1_0</v>
      </c>
      <c r="E67" s="1309" t="e">
        <f>IF(ISBLANK($B67), "", INDEX(RAWData!B:B,MATCH($C67,RAWData!$A:$A,0)))</f>
        <v>#N/A</v>
      </c>
      <c r="F67" s="1309" t="e">
        <f>IF(ISBLANK($B67), "", INDEX(RAWData!C:C,MATCH($C67,RAWData!$A:$A,0)))</f>
        <v>#N/A</v>
      </c>
      <c r="G67" s="1309" t="e">
        <f>IF(ISBLANK($B67), "", INDEX(RAWData!D:D,MATCH($C67,RAWData!$A:$A,0)))</f>
        <v>#N/A</v>
      </c>
      <c r="H67" s="1309" t="e">
        <f>IF(ISBLANK($B67), "", INDEX(RAWData!E:E,MATCH($C67,RAWData!$A:$A,0)))</f>
        <v>#N/A</v>
      </c>
      <c r="I67" s="1309" t="e">
        <f>IF(ISBLANK($B67), "", INDEX(RAWData!F:F,MATCH($C67,RAWData!$A:$A,0)))</f>
        <v>#N/A</v>
      </c>
    </row>
    <row r="68" spans="2:9">
      <c r="B68" s="1334" t="s">
        <v>4285</v>
      </c>
      <c r="C68" s="1309" t="str">
        <f t="shared" si="0"/>
        <v>TLOUTPUTFBPROD2VOCDRIVER6T1_0</v>
      </c>
      <c r="E68" s="1309" t="e">
        <f>IF(ISBLANK($B68), "", INDEX(RAWData!B:B,MATCH($C68,RAWData!$A:$A,0)))</f>
        <v>#N/A</v>
      </c>
      <c r="F68" s="1309" t="e">
        <f>IF(ISBLANK($B68), "", INDEX(RAWData!C:C,MATCH($C68,RAWData!$A:$A,0)))</f>
        <v>#N/A</v>
      </c>
      <c r="G68" s="1309" t="e">
        <f>IF(ISBLANK($B68), "", INDEX(RAWData!D:D,MATCH($C68,RAWData!$A:$A,0)))</f>
        <v>#N/A</v>
      </c>
      <c r="H68" s="1309" t="e">
        <f>IF(ISBLANK($B68), "", INDEX(RAWData!E:E,MATCH($C68,RAWData!$A:$A,0)))</f>
        <v>#N/A</v>
      </c>
      <c r="I68" s="1309" t="e">
        <f>IF(ISBLANK($B68), "", INDEX(RAWData!F:F,MATCH($C68,RAWData!$A:$A,0)))</f>
        <v>#N/A</v>
      </c>
    </row>
    <row r="69" spans="2:9">
      <c r="B69" s="1334"/>
      <c r="C69" s="1309" t="str">
        <f t="shared" si="0"/>
        <v/>
      </c>
      <c r="E69" s="1309" t="str">
        <f>IF(ISBLANK($B69), "", INDEX(RAWData!B:B,MATCH($C69,RAWData!$A:$A,0)))</f>
        <v/>
      </c>
      <c r="F69" s="1309" t="str">
        <f>IF(ISBLANK($B69), "", INDEX(RAWData!C:C,MATCH($C69,RAWData!$A:$A,0)))</f>
        <v/>
      </c>
      <c r="G69" s="1309" t="str">
        <f>IF(ISBLANK($B69), "", INDEX(RAWData!D:D,MATCH($C69,RAWData!$A:$A,0)))</f>
        <v/>
      </c>
      <c r="H69" s="1309" t="str">
        <f>IF(ISBLANK($B69), "", INDEX(RAWData!E:E,MATCH($C69,RAWData!$A:$A,0)))</f>
        <v/>
      </c>
      <c r="I69" s="1309" t="str">
        <f>IF(ISBLANK($B69), "", INDEX(RAWData!F:F,MATCH($C69,RAWData!$A:$A,0)))</f>
        <v/>
      </c>
    </row>
    <row r="70" spans="2:9">
      <c r="B70" s="1334"/>
      <c r="C70" s="1309" t="str">
        <f t="shared" si="0"/>
        <v/>
      </c>
      <c r="E70" s="1309" t="str">
        <f>IF(ISBLANK($B70), "", INDEX(RAWData!B:B,MATCH($C70,RAWData!$A:$A,0)))</f>
        <v/>
      </c>
      <c r="F70" s="1309" t="str">
        <f>IF(ISBLANK($B70), "", INDEX(RAWData!C:C,MATCH($C70,RAWData!$A:$A,0)))</f>
        <v/>
      </c>
      <c r="G70" s="1309" t="str">
        <f>IF(ISBLANK($B70), "", INDEX(RAWData!D:D,MATCH($C70,RAWData!$A:$A,0)))</f>
        <v/>
      </c>
      <c r="H70" s="1309" t="str">
        <f>IF(ISBLANK($B70), "", INDEX(RAWData!E:E,MATCH($C70,RAWData!$A:$A,0)))</f>
        <v/>
      </c>
      <c r="I70" s="1309" t="str">
        <f>IF(ISBLANK($B70), "", INDEX(RAWData!F:F,MATCH($C70,RAWData!$A:$A,0)))</f>
        <v/>
      </c>
    </row>
    <row r="71" spans="2:9">
      <c r="B71" s="1337"/>
      <c r="C71" s="1309" t="str">
        <f t="shared" si="0"/>
        <v/>
      </c>
      <c r="E71" s="1309" t="str">
        <f>IF(ISBLANK($B71), "", INDEX(RAWData!B:B,MATCH($C71,RAWData!$A:$A,0)))</f>
        <v/>
      </c>
      <c r="F71" s="1309" t="str">
        <f>IF(ISBLANK($B71), "", INDEX(RAWData!C:C,MATCH($C71,RAWData!$A:$A,0)))</f>
        <v/>
      </c>
      <c r="G71" s="1309" t="str">
        <f>IF(ISBLANK($B71), "", INDEX(RAWData!D:D,MATCH($C71,RAWData!$A:$A,0)))</f>
        <v/>
      </c>
      <c r="H71" s="1309" t="str">
        <f>IF(ISBLANK($B71), "", INDEX(RAWData!E:E,MATCH($C71,RAWData!$A:$A,0)))</f>
        <v/>
      </c>
      <c r="I71" s="1309" t="str">
        <f>IF(ISBLANK($B71), "", INDEX(RAWData!F:F,MATCH($C71,RAWData!$A:$A,0)))</f>
        <v/>
      </c>
    </row>
    <row r="72" spans="2:9">
      <c r="B72" s="1335"/>
      <c r="C72" s="1309" t="str">
        <f t="shared" si="0"/>
        <v/>
      </c>
      <c r="E72" s="1309" t="e">
        <f>E$9</f>
        <v>#N/A</v>
      </c>
      <c r="F72" s="1309" t="e">
        <f t="shared" ref="F72:I72" si="7">F$9</f>
        <v>#N/A</v>
      </c>
      <c r="G72" s="1309" t="e">
        <f t="shared" si="7"/>
        <v>#N/A</v>
      </c>
      <c r="H72" s="1309" t="e">
        <f t="shared" si="7"/>
        <v>#N/A</v>
      </c>
      <c r="I72" s="1309" t="e">
        <f t="shared" si="7"/>
        <v>#N/A</v>
      </c>
    </row>
    <row r="73" spans="2:9">
      <c r="B73" s="1334" t="s">
        <v>4288</v>
      </c>
      <c r="C73" s="1309" t="str">
        <f t="shared" si="0"/>
        <v>TLOUTPUTFBCBALTOTALREVY0T1_0</v>
      </c>
      <c r="E73" s="1309" t="e">
        <f>IF(ISBLANK($B73), "", INDEX(RAWData!B:B,MATCH($C73,RAWData!$A:$A,0)))</f>
        <v>#N/A</v>
      </c>
      <c r="F73" s="1309" t="e">
        <f>IF(ISBLANK($B73), "", INDEX(RAWData!C:C,MATCH($C73,RAWData!$A:$A,0)))</f>
        <v>#N/A</v>
      </c>
      <c r="G73" s="1309" t="e">
        <f>IF(ISBLANK($B73), "", INDEX(RAWData!D:D,MATCH($C73,RAWData!$A:$A,0)))</f>
        <v>#N/A</v>
      </c>
      <c r="H73" s="1309" t="e">
        <f>IF(ISBLANK($B73), "", INDEX(RAWData!E:E,MATCH($C73,RAWData!$A:$A,0)))</f>
        <v>#N/A</v>
      </c>
      <c r="I73" s="1309" t="e">
        <f>IF(ISBLANK($B73), "", INDEX(RAWData!F:F,MATCH($C73,RAWData!$A:$A,0)))</f>
        <v>#N/A</v>
      </c>
    </row>
    <row r="74" spans="2:9">
      <c r="B74" s="1334" t="s">
        <v>4291</v>
      </c>
      <c r="C74" s="1309" t="str">
        <f t="shared" ref="C74:C137" si="8">IF(NOT(ISBLANK($B74)),UPPER($B74)&amp;"_"&amp;$C$4,"")</f>
        <v>TLOUTPUTFBCBALTOTALREVY1T1_0</v>
      </c>
      <c r="E74" s="1309" t="e">
        <f>IF(ISBLANK($B74), "", INDEX(RAWData!B:B,MATCH($C74,RAWData!$A:$A,0)))</f>
        <v>#N/A</v>
      </c>
      <c r="F74" s="1309" t="e">
        <f>IF(ISBLANK($B74), "", INDEX(RAWData!C:C,MATCH($C74,RAWData!$A:$A,0)))</f>
        <v>#N/A</v>
      </c>
      <c r="G74" s="1309" t="e">
        <f>IF(ISBLANK($B74), "", INDEX(RAWData!D:D,MATCH($C74,RAWData!$A:$A,0)))</f>
        <v>#N/A</v>
      </c>
      <c r="H74" s="1309" t="e">
        <f>IF(ISBLANK($B74), "", INDEX(RAWData!E:E,MATCH($C74,RAWData!$A:$A,0)))</f>
        <v>#N/A</v>
      </c>
      <c r="I74" s="1309" t="e">
        <f>IF(ISBLANK($B74), "", INDEX(RAWData!F:F,MATCH($C74,RAWData!$A:$A,0)))</f>
        <v>#N/A</v>
      </c>
    </row>
    <row r="75" spans="2:9">
      <c r="B75" s="1334" t="s">
        <v>4294</v>
      </c>
      <c r="C75" s="1309" t="str">
        <f t="shared" si="8"/>
        <v>TLOUTPUTFBCBALTOTALREVY2T1_0</v>
      </c>
      <c r="E75" s="1309" t="e">
        <f>IF(ISBLANK($B75), "", INDEX(RAWData!B:B,MATCH($C75,RAWData!$A:$A,0)))</f>
        <v>#N/A</v>
      </c>
      <c r="F75" s="1309" t="e">
        <f>IF(ISBLANK($B75), "", INDEX(RAWData!C:C,MATCH($C75,RAWData!$A:$A,0)))</f>
        <v>#N/A</v>
      </c>
      <c r="G75" s="1309" t="e">
        <f>IF(ISBLANK($B75), "", INDEX(RAWData!D:D,MATCH($C75,RAWData!$A:$A,0)))</f>
        <v>#N/A</v>
      </c>
      <c r="H75" s="1309" t="e">
        <f>IF(ISBLANK($B75), "", INDEX(RAWData!E:E,MATCH($C75,RAWData!$A:$A,0)))</f>
        <v>#N/A</v>
      </c>
      <c r="I75" s="1309" t="e">
        <f>IF(ISBLANK($B75), "", INDEX(RAWData!F:F,MATCH($C75,RAWData!$A:$A,0)))</f>
        <v>#N/A</v>
      </c>
    </row>
    <row r="76" spans="2:9">
      <c r="B76" s="1334" t="s">
        <v>4297</v>
      </c>
      <c r="C76" s="1309" t="str">
        <f t="shared" si="8"/>
        <v>TLOUTPUTFBCBALTOTALREVY3T1_0</v>
      </c>
      <c r="E76" s="1309" t="e">
        <f>IF(ISBLANK($B76), "", INDEX(RAWData!B:B,MATCH($C76,RAWData!$A:$A,0)))</f>
        <v>#N/A</v>
      </c>
      <c r="F76" s="1309" t="e">
        <f>IF(ISBLANK($B76), "", INDEX(RAWData!C:C,MATCH($C76,RAWData!$A:$A,0)))</f>
        <v>#N/A</v>
      </c>
      <c r="G76" s="1309" t="e">
        <f>IF(ISBLANK($B76), "", INDEX(RAWData!D:D,MATCH($C76,RAWData!$A:$A,0)))</f>
        <v>#N/A</v>
      </c>
      <c r="H76" s="1309" t="e">
        <f>IF(ISBLANK($B76), "", INDEX(RAWData!E:E,MATCH($C76,RAWData!$A:$A,0)))</f>
        <v>#N/A</v>
      </c>
      <c r="I76" s="1309" t="e">
        <f>IF(ISBLANK($B76), "", INDEX(RAWData!F:F,MATCH($C76,RAWData!$A:$A,0)))</f>
        <v>#N/A</v>
      </c>
    </row>
    <row r="77" spans="2:9">
      <c r="B77" s="1335"/>
      <c r="C77" s="1309" t="str">
        <f t="shared" si="8"/>
        <v/>
      </c>
      <c r="E77" s="1309" t="str">
        <f>IF(ISBLANK($B77), "", INDEX(RAWData!B:B,MATCH($C77,RAWData!$A:$A,0)))</f>
        <v/>
      </c>
      <c r="F77" s="1309" t="str">
        <f>IF(ISBLANK($B77), "", INDEX(RAWData!C:C,MATCH($C77,RAWData!$A:$A,0)))</f>
        <v/>
      </c>
      <c r="G77" s="1309" t="str">
        <f>IF(ISBLANK($B77), "", INDEX(RAWData!D:D,MATCH($C77,RAWData!$A:$A,0)))</f>
        <v/>
      </c>
      <c r="H77" s="1309" t="str">
        <f>IF(ISBLANK($B77), "", INDEX(RAWData!E:E,MATCH($C77,RAWData!$A:$A,0)))</f>
        <v/>
      </c>
      <c r="I77" s="1309" t="str">
        <f>IF(ISBLANK($B77), "", INDEX(RAWData!F:F,MATCH($C77,RAWData!$A:$A,0)))</f>
        <v/>
      </c>
    </row>
    <row r="78" spans="2:9">
      <c r="B78" s="1335"/>
      <c r="C78" s="1309" t="str">
        <f t="shared" si="8"/>
        <v/>
      </c>
      <c r="E78" s="1309" t="e">
        <f>E$9</f>
        <v>#N/A</v>
      </c>
      <c r="F78" s="1309" t="e">
        <f t="shared" ref="F78:I78" si="9">F$9</f>
        <v>#N/A</v>
      </c>
      <c r="G78" s="1309" t="e">
        <f t="shared" si="9"/>
        <v>#N/A</v>
      </c>
      <c r="H78" s="1309" t="e">
        <f t="shared" si="9"/>
        <v>#N/A</v>
      </c>
      <c r="I78" s="1309" t="e">
        <f t="shared" si="9"/>
        <v>#N/A</v>
      </c>
    </row>
    <row r="79" spans="2:9">
      <c r="B79" s="1334" t="s">
        <v>4300</v>
      </c>
      <c r="C79" s="1309" t="str">
        <f t="shared" si="8"/>
        <v>TLOUTPUTFBCBALOPERATINGMARGINY0T1_0</v>
      </c>
      <c r="E79" s="1309" t="e">
        <f>IF(ISBLANK($B79), "", INDEX(RAWData!B:B,MATCH($C79,RAWData!$A:$A,0)))</f>
        <v>#N/A</v>
      </c>
      <c r="F79" s="1309" t="e">
        <f>IF(ISBLANK($B79), "", INDEX(RAWData!C:C,MATCH($C79,RAWData!$A:$A,0)))</f>
        <v>#N/A</v>
      </c>
      <c r="G79" s="1309" t="e">
        <f>IF(ISBLANK($B79), "", INDEX(RAWData!D:D,MATCH($C79,RAWData!$A:$A,0)))</f>
        <v>#N/A</v>
      </c>
      <c r="H79" s="1309" t="e">
        <f>IF(ISBLANK($B79), "", INDEX(RAWData!E:E,MATCH($C79,RAWData!$A:$A,0)))</f>
        <v>#N/A</v>
      </c>
      <c r="I79" s="1309" t="e">
        <f>IF(ISBLANK($B79), "", INDEX(RAWData!F:F,MATCH($C79,RAWData!$A:$A,0)))</f>
        <v>#N/A</v>
      </c>
    </row>
    <row r="80" spans="2:9">
      <c r="B80" s="1334" t="s">
        <v>4303</v>
      </c>
      <c r="C80" s="1309" t="str">
        <f t="shared" si="8"/>
        <v>TLOUTPUTFBCBALOPERATINGMARGINY1T1_0</v>
      </c>
      <c r="E80" s="1309" t="e">
        <f>IF(ISBLANK($B80), "", INDEX(RAWData!B:B,MATCH($C80,RAWData!$A:$A,0)))</f>
        <v>#N/A</v>
      </c>
      <c r="F80" s="1309" t="e">
        <f>IF(ISBLANK($B80), "", INDEX(RAWData!C:C,MATCH($C80,RAWData!$A:$A,0)))</f>
        <v>#N/A</v>
      </c>
      <c r="G80" s="1309" t="e">
        <f>IF(ISBLANK($B80), "", INDEX(RAWData!D:D,MATCH($C80,RAWData!$A:$A,0)))</f>
        <v>#N/A</v>
      </c>
      <c r="H80" s="1309" t="e">
        <f>IF(ISBLANK($B80), "", INDEX(RAWData!E:E,MATCH($C80,RAWData!$A:$A,0)))</f>
        <v>#N/A</v>
      </c>
      <c r="I80" s="1309" t="e">
        <f>IF(ISBLANK($B80), "", INDEX(RAWData!F:F,MATCH($C80,RAWData!$A:$A,0)))</f>
        <v>#N/A</v>
      </c>
    </row>
    <row r="81" spans="2:9">
      <c r="B81" s="1334" t="s">
        <v>4306</v>
      </c>
      <c r="C81" s="1309" t="str">
        <f t="shared" si="8"/>
        <v>TLOUTPUTFBCBALOPERATINGMARGINY2T1_0</v>
      </c>
      <c r="E81" s="1309" t="e">
        <f>IF(ISBLANK($B81), "", INDEX(RAWData!B:B,MATCH($C81,RAWData!$A:$A,0)))</f>
        <v>#N/A</v>
      </c>
      <c r="F81" s="1309" t="e">
        <f>IF(ISBLANK($B81), "", INDEX(RAWData!C:C,MATCH($C81,RAWData!$A:$A,0)))</f>
        <v>#N/A</v>
      </c>
      <c r="G81" s="1309" t="e">
        <f>IF(ISBLANK($B81), "", INDEX(RAWData!D:D,MATCH($C81,RAWData!$A:$A,0)))</f>
        <v>#N/A</v>
      </c>
      <c r="H81" s="1309" t="e">
        <f>IF(ISBLANK($B81), "", INDEX(RAWData!E:E,MATCH($C81,RAWData!$A:$A,0)))</f>
        <v>#N/A</v>
      </c>
      <c r="I81" s="1309" t="e">
        <f>IF(ISBLANK($B81), "", INDEX(RAWData!F:F,MATCH($C81,RAWData!$A:$A,0)))</f>
        <v>#N/A</v>
      </c>
    </row>
    <row r="82" spans="2:9">
      <c r="B82" s="1334" t="s">
        <v>4309</v>
      </c>
      <c r="C82" s="1309" t="str">
        <f t="shared" si="8"/>
        <v>TLOUTPUTFBCBALOPERATINGMARGINY3T1_0</v>
      </c>
      <c r="E82" s="1309" t="e">
        <f>IF(ISBLANK($B82), "", INDEX(RAWData!B:B,MATCH($C82,RAWData!$A:$A,0)))</f>
        <v>#N/A</v>
      </c>
      <c r="F82" s="1309" t="e">
        <f>IF(ISBLANK($B82), "", INDEX(RAWData!C:C,MATCH($C82,RAWData!$A:$A,0)))</f>
        <v>#N/A</v>
      </c>
      <c r="G82" s="1309" t="e">
        <f>IF(ISBLANK($B82), "", INDEX(RAWData!D:D,MATCH($C82,RAWData!$A:$A,0)))</f>
        <v>#N/A</v>
      </c>
      <c r="H82" s="1309" t="e">
        <f>IF(ISBLANK($B82), "", INDEX(RAWData!E:E,MATCH($C82,RAWData!$A:$A,0)))</f>
        <v>#N/A</v>
      </c>
      <c r="I82" s="1309" t="e">
        <f>IF(ISBLANK($B82), "", INDEX(RAWData!F:F,MATCH($C82,RAWData!$A:$A,0)))</f>
        <v>#N/A</v>
      </c>
    </row>
    <row r="83" spans="2:9">
      <c r="B83" s="1334"/>
      <c r="C83" s="1309" t="str">
        <f t="shared" si="8"/>
        <v/>
      </c>
      <c r="E83" s="1309" t="str">
        <f>IF(ISBLANK($B83), "", INDEX(RAWData!B:B,MATCH($C83,RAWData!$A:$A,0)))</f>
        <v/>
      </c>
      <c r="F83" s="1309" t="str">
        <f>IF(ISBLANK($B83), "", INDEX(RAWData!C:C,MATCH($C83,RAWData!$A:$A,0)))</f>
        <v/>
      </c>
      <c r="G83" s="1309" t="str">
        <f>IF(ISBLANK($B83), "", INDEX(RAWData!D:D,MATCH($C83,RAWData!$A:$A,0)))</f>
        <v/>
      </c>
      <c r="H83" s="1309" t="str">
        <f>IF(ISBLANK($B83), "", INDEX(RAWData!E:E,MATCH($C83,RAWData!$A:$A,0)))</f>
        <v/>
      </c>
      <c r="I83" s="1309" t="str">
        <f>IF(ISBLANK($B83), "", INDEX(RAWData!F:F,MATCH($C83,RAWData!$A:$A,0)))</f>
        <v/>
      </c>
    </row>
    <row r="84" spans="2:9">
      <c r="B84" s="1335"/>
      <c r="C84" s="1309" t="str">
        <f t="shared" si="8"/>
        <v/>
      </c>
      <c r="E84" s="1309" t="e">
        <f>E$9</f>
        <v>#N/A</v>
      </c>
      <c r="F84" s="1309" t="e">
        <f t="shared" ref="F84:I84" si="10">F$9</f>
        <v>#N/A</v>
      </c>
      <c r="G84" s="1309" t="e">
        <f t="shared" si="10"/>
        <v>#N/A</v>
      </c>
      <c r="H84" s="1309" t="e">
        <f t="shared" si="10"/>
        <v>#N/A</v>
      </c>
      <c r="I84" s="1309" t="e">
        <f t="shared" si="10"/>
        <v>#N/A</v>
      </c>
    </row>
    <row r="85" spans="2:9">
      <c r="B85" s="1334" t="s">
        <v>4312</v>
      </c>
      <c r="C85" s="1309" t="str">
        <f t="shared" si="8"/>
        <v>TLOUTPUTFBCBALCASHOIY0T1_0</v>
      </c>
      <c r="E85" s="1309" t="e">
        <f>IF(ISBLANK($B85), "", INDEX(RAWData!B:B,MATCH($C85,RAWData!$A:$A,0)))</f>
        <v>#N/A</v>
      </c>
      <c r="F85" s="1309" t="e">
        <f>IF(ISBLANK($B85), "", INDEX(RAWData!C:C,MATCH($C85,RAWData!$A:$A,0)))</f>
        <v>#N/A</v>
      </c>
      <c r="G85" s="1309" t="e">
        <f>IF(ISBLANK($B85), "", INDEX(RAWData!D:D,MATCH($C85,RAWData!$A:$A,0)))</f>
        <v>#N/A</v>
      </c>
      <c r="H85" s="1309" t="e">
        <f>IF(ISBLANK($B85), "", INDEX(RAWData!E:E,MATCH($C85,RAWData!$A:$A,0)))</f>
        <v>#N/A</v>
      </c>
      <c r="I85" s="1309" t="e">
        <f>IF(ISBLANK($B85), "", INDEX(RAWData!F:F,MATCH($C85,RAWData!$A:$A,0)))</f>
        <v>#N/A</v>
      </c>
    </row>
    <row r="86" spans="2:9">
      <c r="B86" s="1334" t="s">
        <v>4315</v>
      </c>
      <c r="C86" s="1309" t="str">
        <f t="shared" si="8"/>
        <v>TLOUTPUTFBCBALCASHOIY1T1_0</v>
      </c>
      <c r="E86" s="1309" t="e">
        <f>IF(ISBLANK($B86), "", INDEX(RAWData!B:B,MATCH($C86,RAWData!$A:$A,0)))</f>
        <v>#N/A</v>
      </c>
      <c r="F86" s="1309" t="e">
        <f>IF(ISBLANK($B86), "", INDEX(RAWData!C:C,MATCH($C86,RAWData!$A:$A,0)))</f>
        <v>#N/A</v>
      </c>
      <c r="G86" s="1309" t="e">
        <f>IF(ISBLANK($B86), "", INDEX(RAWData!D:D,MATCH($C86,RAWData!$A:$A,0)))</f>
        <v>#N/A</v>
      </c>
      <c r="H86" s="1309" t="e">
        <f>IF(ISBLANK($B86), "", INDEX(RAWData!E:E,MATCH($C86,RAWData!$A:$A,0)))</f>
        <v>#N/A</v>
      </c>
      <c r="I86" s="1309" t="e">
        <f>IF(ISBLANK($B86), "", INDEX(RAWData!F:F,MATCH($C86,RAWData!$A:$A,0)))</f>
        <v>#N/A</v>
      </c>
    </row>
    <row r="87" spans="2:9">
      <c r="B87" s="1334" t="s">
        <v>4318</v>
      </c>
      <c r="C87" s="1309" t="str">
        <f t="shared" si="8"/>
        <v>TLOUTPUTFBCBALCASHOIY2T1_0</v>
      </c>
      <c r="E87" s="1309" t="e">
        <f>IF(ISBLANK($B87), "", INDEX(RAWData!B:B,MATCH($C87,RAWData!$A:$A,0)))</f>
        <v>#N/A</v>
      </c>
      <c r="F87" s="1309" t="e">
        <f>IF(ISBLANK($B87), "", INDEX(RAWData!C:C,MATCH($C87,RAWData!$A:$A,0)))</f>
        <v>#N/A</v>
      </c>
      <c r="G87" s="1309" t="e">
        <f>IF(ISBLANK($B87), "", INDEX(RAWData!D:D,MATCH($C87,RAWData!$A:$A,0)))</f>
        <v>#N/A</v>
      </c>
      <c r="H87" s="1309" t="e">
        <f>IF(ISBLANK($B87), "", INDEX(RAWData!E:E,MATCH($C87,RAWData!$A:$A,0)))</f>
        <v>#N/A</v>
      </c>
      <c r="I87" s="1309" t="e">
        <f>IF(ISBLANK($B87), "", INDEX(RAWData!F:F,MATCH($C87,RAWData!$A:$A,0)))</f>
        <v>#N/A</v>
      </c>
    </row>
    <row r="88" spans="2:9">
      <c r="B88" s="1334" t="s">
        <v>4321</v>
      </c>
      <c r="C88" s="1309" t="str">
        <f t="shared" si="8"/>
        <v>TLOUTPUTFBCBALCASHOIY3T1_0</v>
      </c>
      <c r="E88" s="1309" t="e">
        <f>IF(ISBLANK($B88), "", INDEX(RAWData!B:B,MATCH($C88,RAWData!$A:$A,0)))</f>
        <v>#N/A</v>
      </c>
      <c r="F88" s="1309" t="e">
        <f>IF(ISBLANK($B88), "", INDEX(RAWData!C:C,MATCH($C88,RAWData!$A:$A,0)))</f>
        <v>#N/A</v>
      </c>
      <c r="G88" s="1309" t="e">
        <f>IF(ISBLANK($B88), "", INDEX(RAWData!D:D,MATCH($C88,RAWData!$A:$A,0)))</f>
        <v>#N/A</v>
      </c>
      <c r="H88" s="1309" t="e">
        <f>IF(ISBLANK($B88), "", INDEX(RAWData!E:E,MATCH($C88,RAWData!$A:$A,0)))</f>
        <v>#N/A</v>
      </c>
      <c r="I88" s="1309" t="e">
        <f>IF(ISBLANK($B88), "", INDEX(RAWData!F:F,MATCH($C88,RAWData!$A:$A,0)))</f>
        <v>#N/A</v>
      </c>
    </row>
    <row r="89" spans="2:9">
      <c r="B89" s="1335"/>
      <c r="C89" s="1309" t="str">
        <f t="shared" si="8"/>
        <v/>
      </c>
      <c r="E89" s="1309" t="str">
        <f>IF(ISBLANK($B89), "", INDEX(RAWData!B:B,MATCH($C89,RAWData!$A:$A,0)))</f>
        <v/>
      </c>
      <c r="F89" s="1309" t="str">
        <f>IF(ISBLANK($B89), "", INDEX(RAWData!C:C,MATCH($C89,RAWData!$A:$A,0)))</f>
        <v/>
      </c>
      <c r="G89" s="1309" t="str">
        <f>IF(ISBLANK($B89), "", INDEX(RAWData!D:D,MATCH($C89,RAWData!$A:$A,0)))</f>
        <v/>
      </c>
      <c r="H89" s="1309" t="str">
        <f>IF(ISBLANK($B89), "", INDEX(RAWData!E:E,MATCH($C89,RAWData!$A:$A,0)))</f>
        <v/>
      </c>
      <c r="I89" s="1309" t="str">
        <f>IF(ISBLANK($B89), "", INDEX(RAWData!F:F,MATCH($C89,RAWData!$A:$A,0)))</f>
        <v/>
      </c>
    </row>
    <row r="90" spans="2:9">
      <c r="B90" s="1335"/>
      <c r="C90" s="1309" t="str">
        <f t="shared" si="8"/>
        <v/>
      </c>
      <c r="E90" s="1309" t="e">
        <f>E$9</f>
        <v>#N/A</v>
      </c>
      <c r="F90" s="1309" t="e">
        <f t="shared" ref="F90:I90" si="11">F$9</f>
        <v>#N/A</v>
      </c>
      <c r="G90" s="1309" t="e">
        <f t="shared" si="11"/>
        <v>#N/A</v>
      </c>
      <c r="H90" s="1309" t="e">
        <f t="shared" si="11"/>
        <v>#N/A</v>
      </c>
      <c r="I90" s="1309" t="e">
        <f t="shared" si="11"/>
        <v>#N/A</v>
      </c>
    </row>
    <row r="91" spans="2:9">
      <c r="B91" s="1334" t="s">
        <v>4324</v>
      </c>
      <c r="C91" s="1309" t="str">
        <f t="shared" si="8"/>
        <v>TLOUTPUTFBCBALESATY0T1_0</v>
      </c>
      <c r="E91" s="1309" t="e">
        <f>IF(ISBLANK($B91), "", INDEX(RAWData!B:B,MATCH($C91,RAWData!$A:$A,0)))</f>
        <v>#N/A</v>
      </c>
      <c r="F91" s="1309" t="e">
        <f>IF(ISBLANK($B91), "", INDEX(RAWData!C:C,MATCH($C91,RAWData!$A:$A,0)))</f>
        <v>#N/A</v>
      </c>
      <c r="G91" s="1309" t="e">
        <f>IF(ISBLANK($B91), "", INDEX(RAWData!D:D,MATCH($C91,RAWData!$A:$A,0)))</f>
        <v>#N/A</v>
      </c>
      <c r="H91" s="1309" t="e">
        <f>IF(ISBLANK($B91), "", INDEX(RAWData!E:E,MATCH($C91,RAWData!$A:$A,0)))</f>
        <v>#N/A</v>
      </c>
      <c r="I91" s="1309" t="e">
        <f>IF(ISBLANK($B91), "", INDEX(RAWData!F:F,MATCH($C91,RAWData!$A:$A,0)))</f>
        <v>#N/A</v>
      </c>
    </row>
    <row r="92" spans="2:9">
      <c r="B92" s="1334" t="s">
        <v>4327</v>
      </c>
      <c r="C92" s="1309" t="str">
        <f t="shared" si="8"/>
        <v>TLOUTPUTFBCBALESATY1T1_0</v>
      </c>
      <c r="E92" s="1309" t="e">
        <f>IF(ISBLANK($B92), "", INDEX(RAWData!B:B,MATCH($C92,RAWData!$A:$A,0)))</f>
        <v>#N/A</v>
      </c>
      <c r="F92" s="1309" t="e">
        <f>IF(ISBLANK($B92), "", INDEX(RAWData!C:C,MATCH($C92,RAWData!$A:$A,0)))</f>
        <v>#N/A</v>
      </c>
      <c r="G92" s="1309" t="e">
        <f>IF(ISBLANK($B92), "", INDEX(RAWData!D:D,MATCH($C92,RAWData!$A:$A,0)))</f>
        <v>#N/A</v>
      </c>
      <c r="H92" s="1309" t="e">
        <f>IF(ISBLANK($B92), "", INDEX(RAWData!E:E,MATCH($C92,RAWData!$A:$A,0)))</f>
        <v>#N/A</v>
      </c>
      <c r="I92" s="1309" t="e">
        <f>IF(ISBLANK($B92), "", INDEX(RAWData!F:F,MATCH($C92,RAWData!$A:$A,0)))</f>
        <v>#N/A</v>
      </c>
    </row>
    <row r="93" spans="2:9">
      <c r="B93" s="1334" t="s">
        <v>4330</v>
      </c>
      <c r="C93" s="1309" t="str">
        <f t="shared" si="8"/>
        <v>TLOUTPUTFBCBALESATY2T1_0</v>
      </c>
      <c r="E93" s="1309" t="e">
        <f>IF(ISBLANK($B93), "", INDEX(RAWData!B:B,MATCH($C93,RAWData!$A:$A,0)))</f>
        <v>#N/A</v>
      </c>
      <c r="F93" s="1309" t="e">
        <f>IF(ISBLANK($B93), "", INDEX(RAWData!C:C,MATCH($C93,RAWData!$A:$A,0)))</f>
        <v>#N/A</v>
      </c>
      <c r="G93" s="1309" t="e">
        <f>IF(ISBLANK($B93), "", INDEX(RAWData!D:D,MATCH($C93,RAWData!$A:$A,0)))</f>
        <v>#N/A</v>
      </c>
      <c r="H93" s="1309" t="e">
        <f>IF(ISBLANK($B93), "", INDEX(RAWData!E:E,MATCH($C93,RAWData!$A:$A,0)))</f>
        <v>#N/A</v>
      </c>
      <c r="I93" s="1309" t="e">
        <f>IF(ISBLANK($B93), "", INDEX(RAWData!F:F,MATCH($C93,RAWData!$A:$A,0)))</f>
        <v>#N/A</v>
      </c>
    </row>
    <row r="94" spans="2:9">
      <c r="B94" s="1334" t="s">
        <v>4333</v>
      </c>
      <c r="C94" s="1309" t="str">
        <f t="shared" si="8"/>
        <v>TLOUTPUTFBCBALESATY3T1_0</v>
      </c>
      <c r="E94" s="1309" t="e">
        <f>IF(ISBLANK($B94), "", INDEX(RAWData!B:B,MATCH($C94,RAWData!$A:$A,0)))</f>
        <v>#N/A</v>
      </c>
      <c r="F94" s="1309" t="e">
        <f>IF(ISBLANK($B94), "", INDEX(RAWData!C:C,MATCH($C94,RAWData!$A:$A,0)))</f>
        <v>#N/A</v>
      </c>
      <c r="G94" s="1309" t="e">
        <f>IF(ISBLANK($B94), "", INDEX(RAWData!D:D,MATCH($C94,RAWData!$A:$A,0)))</f>
        <v>#N/A</v>
      </c>
      <c r="H94" s="1309" t="e">
        <f>IF(ISBLANK($B94), "", INDEX(RAWData!E:E,MATCH($C94,RAWData!$A:$A,0)))</f>
        <v>#N/A</v>
      </c>
      <c r="I94" s="1309" t="e">
        <f>IF(ISBLANK($B94), "", INDEX(RAWData!F:F,MATCH($C94,RAWData!$A:$A,0)))</f>
        <v>#N/A</v>
      </c>
    </row>
    <row r="95" spans="2:9">
      <c r="B95" s="1335"/>
      <c r="C95" s="1309" t="str">
        <f t="shared" si="8"/>
        <v/>
      </c>
      <c r="E95" s="1309" t="str">
        <f>IF(ISBLANK($B95), "", INDEX(RAWData!B:B,MATCH($C95,RAWData!$A:$A,0)))</f>
        <v/>
      </c>
      <c r="F95" s="1309" t="str">
        <f>IF(ISBLANK($B95), "", INDEX(RAWData!C:C,MATCH($C95,RAWData!$A:$A,0)))</f>
        <v/>
      </c>
      <c r="G95" s="1309" t="str">
        <f>IF(ISBLANK($B95), "", INDEX(RAWData!D:D,MATCH($C95,RAWData!$A:$A,0)))</f>
        <v/>
      </c>
      <c r="H95" s="1309" t="str">
        <f>IF(ISBLANK($B95), "", INDEX(RAWData!E:E,MATCH($C95,RAWData!$A:$A,0)))</f>
        <v/>
      </c>
      <c r="I95" s="1309" t="str">
        <f>IF(ISBLANK($B95), "", INDEX(RAWData!F:F,MATCH($C95,RAWData!$A:$A,0)))</f>
        <v/>
      </c>
    </row>
    <row r="96" spans="2:9">
      <c r="B96" s="1335"/>
      <c r="C96" s="1309" t="str">
        <f t="shared" si="8"/>
        <v/>
      </c>
      <c r="E96" s="1309" t="e">
        <f>E$9</f>
        <v>#N/A</v>
      </c>
      <c r="F96" s="1309" t="e">
        <f t="shared" ref="F96:I96" si="12">F$9</f>
        <v>#N/A</v>
      </c>
      <c r="G96" s="1309" t="e">
        <f t="shared" si="12"/>
        <v>#N/A</v>
      </c>
      <c r="H96" s="1309" t="e">
        <f t="shared" si="12"/>
        <v>#N/A</v>
      </c>
      <c r="I96" s="1309" t="e">
        <f t="shared" si="12"/>
        <v>#N/A</v>
      </c>
    </row>
    <row r="97" spans="2:9">
      <c r="B97" s="1334" t="s">
        <v>4336</v>
      </c>
      <c r="C97" s="1309" t="str">
        <f t="shared" si="8"/>
        <v>TLOUTPUTFBCBALCSATY0T1_0</v>
      </c>
      <c r="E97" s="1309" t="e">
        <f>IF(ISBLANK($B97), "", INDEX(RAWData!B:B,MATCH($C97,RAWData!$A:$A,0)))</f>
        <v>#N/A</v>
      </c>
      <c r="F97" s="1309" t="e">
        <f>IF(ISBLANK($B97), "", INDEX(RAWData!C:C,MATCH($C97,RAWData!$A:$A,0)))</f>
        <v>#N/A</v>
      </c>
      <c r="G97" s="1309" t="e">
        <f>IF(ISBLANK($B97), "", INDEX(RAWData!D:D,MATCH($C97,RAWData!$A:$A,0)))</f>
        <v>#N/A</v>
      </c>
      <c r="H97" s="1309" t="e">
        <f>IF(ISBLANK($B97), "", INDEX(RAWData!E:E,MATCH($C97,RAWData!$A:$A,0)))</f>
        <v>#N/A</v>
      </c>
      <c r="I97" s="1309" t="e">
        <f>IF(ISBLANK($B97), "", INDEX(RAWData!F:F,MATCH($C97,RAWData!$A:$A,0)))</f>
        <v>#N/A</v>
      </c>
    </row>
    <row r="98" spans="2:9">
      <c r="B98" s="1334" t="s">
        <v>4339</v>
      </c>
      <c r="C98" s="1309" t="str">
        <f t="shared" si="8"/>
        <v>TLOUTPUTFBCBALCSATY1T1_0</v>
      </c>
      <c r="E98" s="1309" t="e">
        <f>IF(ISBLANK($B98), "", INDEX(RAWData!B:B,MATCH($C98,RAWData!$A:$A,0)))</f>
        <v>#N/A</v>
      </c>
      <c r="F98" s="1309" t="e">
        <f>IF(ISBLANK($B98), "", INDEX(RAWData!C:C,MATCH($C98,RAWData!$A:$A,0)))</f>
        <v>#N/A</v>
      </c>
      <c r="G98" s="1309" t="e">
        <f>IF(ISBLANK($B98), "", INDEX(RAWData!D:D,MATCH($C98,RAWData!$A:$A,0)))</f>
        <v>#N/A</v>
      </c>
      <c r="H98" s="1309" t="e">
        <f>IF(ISBLANK($B98), "", INDEX(RAWData!E:E,MATCH($C98,RAWData!$A:$A,0)))</f>
        <v>#N/A</v>
      </c>
      <c r="I98" s="1309" t="e">
        <f>IF(ISBLANK($B98), "", INDEX(RAWData!F:F,MATCH($C98,RAWData!$A:$A,0)))</f>
        <v>#N/A</v>
      </c>
    </row>
    <row r="99" spans="2:9">
      <c r="B99" s="1334" t="s">
        <v>4342</v>
      </c>
      <c r="C99" s="1309" t="str">
        <f t="shared" si="8"/>
        <v>TLOUTPUTFBCBALCSATY2T1_0</v>
      </c>
      <c r="E99" s="1309" t="e">
        <f>IF(ISBLANK($B99), "", INDEX(RAWData!B:B,MATCH($C99,RAWData!$A:$A,0)))</f>
        <v>#N/A</v>
      </c>
      <c r="F99" s="1309" t="e">
        <f>IF(ISBLANK($B99), "", INDEX(RAWData!C:C,MATCH($C99,RAWData!$A:$A,0)))</f>
        <v>#N/A</v>
      </c>
      <c r="G99" s="1309" t="e">
        <f>IF(ISBLANK($B99), "", INDEX(RAWData!D:D,MATCH($C99,RAWData!$A:$A,0)))</f>
        <v>#N/A</v>
      </c>
      <c r="H99" s="1309" t="e">
        <f>IF(ISBLANK($B99), "", INDEX(RAWData!E:E,MATCH($C99,RAWData!$A:$A,0)))</f>
        <v>#N/A</v>
      </c>
      <c r="I99" s="1309" t="e">
        <f>IF(ISBLANK($B99), "", INDEX(RAWData!F:F,MATCH($C99,RAWData!$A:$A,0)))</f>
        <v>#N/A</v>
      </c>
    </row>
    <row r="100" spans="2:9">
      <c r="B100" s="1334" t="s">
        <v>4345</v>
      </c>
      <c r="C100" s="1309" t="str">
        <f t="shared" si="8"/>
        <v>TLOUTPUTFBCBALCSATY3T1_0</v>
      </c>
      <c r="E100" s="1309" t="e">
        <f>IF(ISBLANK($B100), "", INDEX(RAWData!B:B,MATCH($C100,RAWData!$A:$A,0)))</f>
        <v>#N/A</v>
      </c>
      <c r="F100" s="1309" t="e">
        <f>IF(ISBLANK($B100), "", INDEX(RAWData!C:C,MATCH($C100,RAWData!$A:$A,0)))</f>
        <v>#N/A</v>
      </c>
      <c r="G100" s="1309" t="e">
        <f>IF(ISBLANK($B100), "", INDEX(RAWData!D:D,MATCH($C100,RAWData!$A:$A,0)))</f>
        <v>#N/A</v>
      </c>
      <c r="H100" s="1309" t="e">
        <f>IF(ISBLANK($B100), "", INDEX(RAWData!E:E,MATCH($C100,RAWData!$A:$A,0)))</f>
        <v>#N/A</v>
      </c>
      <c r="I100" s="1309" t="e">
        <f>IF(ISBLANK($B100), "", INDEX(RAWData!F:F,MATCH($C100,RAWData!$A:$A,0)))</f>
        <v>#N/A</v>
      </c>
    </row>
    <row r="101" spans="2:9">
      <c r="B101" s="1334"/>
      <c r="C101" s="1309" t="str">
        <f t="shared" si="8"/>
        <v/>
      </c>
      <c r="E101" s="1309" t="str">
        <f>IF(ISBLANK($B101), "", INDEX(RAWData!B:B,MATCH($C101,RAWData!$A:$A,0)))</f>
        <v/>
      </c>
      <c r="F101" s="1309" t="str">
        <f>IF(ISBLANK($B101), "", INDEX(RAWData!C:C,MATCH($C101,RAWData!$A:$A,0)))</f>
        <v/>
      </c>
      <c r="G101" s="1309" t="str">
        <f>IF(ISBLANK($B101), "", INDEX(RAWData!D:D,MATCH($C101,RAWData!$A:$A,0)))</f>
        <v/>
      </c>
      <c r="H101" s="1309" t="str">
        <f>IF(ISBLANK($B101), "", INDEX(RAWData!E:E,MATCH($C101,RAWData!$A:$A,0)))</f>
        <v/>
      </c>
      <c r="I101" s="1309" t="str">
        <f>IF(ISBLANK($B101), "", INDEX(RAWData!F:F,MATCH($C101,RAWData!$A:$A,0)))</f>
        <v/>
      </c>
    </row>
    <row r="102" spans="2:9">
      <c r="B102" s="1335"/>
      <c r="C102" s="1309" t="str">
        <f t="shared" si="8"/>
        <v/>
      </c>
      <c r="E102" s="1309" t="e">
        <f>E$9</f>
        <v>#N/A</v>
      </c>
      <c r="F102" s="1309" t="e">
        <f t="shared" ref="F102:I102" si="13">F$9</f>
        <v>#N/A</v>
      </c>
      <c r="G102" s="1309" t="e">
        <f t="shared" si="13"/>
        <v>#N/A</v>
      </c>
      <c r="H102" s="1309" t="e">
        <f t="shared" si="13"/>
        <v>#N/A</v>
      </c>
      <c r="I102" s="1309" t="e">
        <f t="shared" si="13"/>
        <v>#N/A</v>
      </c>
    </row>
    <row r="103" spans="2:9">
      <c r="B103" s="1334" t="s">
        <v>4348</v>
      </c>
      <c r="C103" s="1309" t="str">
        <f t="shared" si="8"/>
        <v>TLOUTPUTFBCBALEVT1Y1CHOICE1T1_0</v>
      </c>
      <c r="E103" s="1309" t="e">
        <f>IF(ISBLANK($B103), "", INDEX(RAWData!B:B,MATCH($C103,RAWData!$A:$A,0)))</f>
        <v>#N/A</v>
      </c>
      <c r="F103" s="1309" t="e">
        <f>IF(ISBLANK($B103), "", INDEX(RAWData!C:C,MATCH($C103,RAWData!$A:$A,0)))</f>
        <v>#N/A</v>
      </c>
      <c r="G103" s="1309" t="e">
        <f>IF(ISBLANK($B103), "", INDEX(RAWData!D:D,MATCH($C103,RAWData!$A:$A,0)))</f>
        <v>#N/A</v>
      </c>
      <c r="H103" s="1309" t="e">
        <f>IF(ISBLANK($B103), "", INDEX(RAWData!E:E,MATCH($C103,RAWData!$A:$A,0)))</f>
        <v>#N/A</v>
      </c>
      <c r="I103" s="1309" t="e">
        <f>IF(ISBLANK($B103), "", INDEX(RAWData!F:F,MATCH($C103,RAWData!$A:$A,0)))</f>
        <v>#N/A</v>
      </c>
    </row>
    <row r="104" spans="2:9">
      <c r="B104" s="1334" t="s">
        <v>4351</v>
      </c>
      <c r="C104" s="1309" t="str">
        <f t="shared" si="8"/>
        <v>TLOUTPUTFBCBALEVT1Y1CHOICE2T1_0</v>
      </c>
      <c r="E104" s="1309" t="e">
        <f>IF(ISBLANK($B104), "", INDEX(RAWData!B:B,MATCH($C104,RAWData!$A:$A,0)))</f>
        <v>#N/A</v>
      </c>
      <c r="F104" s="1309" t="e">
        <f>IF(ISBLANK($B104), "", INDEX(RAWData!C:C,MATCH($C104,RAWData!$A:$A,0)))</f>
        <v>#N/A</v>
      </c>
      <c r="G104" s="1309" t="e">
        <f>IF(ISBLANK($B104), "", INDEX(RAWData!D:D,MATCH($C104,RAWData!$A:$A,0)))</f>
        <v>#N/A</v>
      </c>
      <c r="H104" s="1309" t="e">
        <f>IF(ISBLANK($B104), "", INDEX(RAWData!E:E,MATCH($C104,RAWData!$A:$A,0)))</f>
        <v>#N/A</v>
      </c>
      <c r="I104" s="1309" t="e">
        <f>IF(ISBLANK($B104), "", INDEX(RAWData!F:F,MATCH($C104,RAWData!$A:$A,0)))</f>
        <v>#N/A</v>
      </c>
    </row>
    <row r="105" spans="2:9">
      <c r="B105" s="1334" t="s">
        <v>4354</v>
      </c>
      <c r="C105" s="1309" t="str">
        <f t="shared" si="8"/>
        <v>TLOUTPUTFBCBALEVT1Y1CHOICE3T1_0</v>
      </c>
      <c r="E105" s="1309" t="e">
        <f>IF(ISBLANK($B105), "", INDEX(RAWData!B:B,MATCH($C105,RAWData!$A:$A,0)))</f>
        <v>#N/A</v>
      </c>
      <c r="F105" s="1309" t="e">
        <f>IF(ISBLANK($B105), "", INDEX(RAWData!C:C,MATCH($C105,RAWData!$A:$A,0)))</f>
        <v>#N/A</v>
      </c>
      <c r="G105" s="1309" t="e">
        <f>IF(ISBLANK($B105), "", INDEX(RAWData!D:D,MATCH($C105,RAWData!$A:$A,0)))</f>
        <v>#N/A</v>
      </c>
      <c r="H105" s="1309" t="e">
        <f>IF(ISBLANK($B105), "", INDEX(RAWData!E:E,MATCH($C105,RAWData!$A:$A,0)))</f>
        <v>#N/A</v>
      </c>
      <c r="I105" s="1309" t="e">
        <f>IF(ISBLANK($B105), "", INDEX(RAWData!F:F,MATCH($C105,RAWData!$A:$A,0)))</f>
        <v>#N/A</v>
      </c>
    </row>
    <row r="106" spans="2:9">
      <c r="B106" s="1335"/>
      <c r="C106" s="1309" t="str">
        <f t="shared" si="8"/>
        <v/>
      </c>
      <c r="E106" s="1309" t="str">
        <f>IF(ISBLANK($B106), "", INDEX(RAWData!B:B,MATCH($C106,RAWData!$A:$A,0)))</f>
        <v/>
      </c>
      <c r="F106" s="1309" t="str">
        <f>IF(ISBLANK($B106), "", INDEX(RAWData!C:C,MATCH($C106,RAWData!$A:$A,0)))</f>
        <v/>
      </c>
      <c r="G106" s="1309" t="str">
        <f>IF(ISBLANK($B106), "", INDEX(RAWData!D:D,MATCH($C106,RAWData!$A:$A,0)))</f>
        <v/>
      </c>
      <c r="H106" s="1309" t="str">
        <f>IF(ISBLANK($B106), "", INDEX(RAWData!E:E,MATCH($C106,RAWData!$A:$A,0)))</f>
        <v/>
      </c>
      <c r="I106" s="1309" t="str">
        <f>IF(ISBLANK($B106), "", INDEX(RAWData!F:F,MATCH($C106,RAWData!$A:$A,0)))</f>
        <v/>
      </c>
    </row>
    <row r="107" spans="2:9">
      <c r="B107" s="1335"/>
      <c r="C107" s="1309" t="str">
        <f t="shared" si="8"/>
        <v/>
      </c>
      <c r="E107" s="1309" t="e">
        <f>E$9</f>
        <v>#N/A</v>
      </c>
      <c r="F107" s="1309" t="e">
        <f t="shared" ref="F107:I107" si="14">F$9</f>
        <v>#N/A</v>
      </c>
      <c r="G107" s="1309" t="e">
        <f t="shared" si="14"/>
        <v>#N/A</v>
      </c>
      <c r="H107" s="1309" t="e">
        <f t="shared" si="14"/>
        <v>#N/A</v>
      </c>
      <c r="I107" s="1309" t="e">
        <f t="shared" si="14"/>
        <v>#N/A</v>
      </c>
    </row>
    <row r="108" spans="2:9">
      <c r="B108" s="1334" t="s">
        <v>4357</v>
      </c>
      <c r="C108" s="1309" t="str">
        <f t="shared" si="8"/>
        <v>TLOUTPUTFBCBALEVT2Y1CHOICE1T1_0</v>
      </c>
      <c r="E108" s="1309" t="e">
        <f>IF(ISBLANK($B108), "", INDEX(RAWData!B:B,MATCH($C108,RAWData!$A:$A,0)))</f>
        <v>#N/A</v>
      </c>
      <c r="F108" s="1309" t="e">
        <f>IF(ISBLANK($B108), "", INDEX(RAWData!C:C,MATCH($C108,RAWData!$A:$A,0)))</f>
        <v>#N/A</v>
      </c>
      <c r="G108" s="1309" t="e">
        <f>IF(ISBLANK($B108), "", INDEX(RAWData!D:D,MATCH($C108,RAWData!$A:$A,0)))</f>
        <v>#N/A</v>
      </c>
      <c r="H108" s="1309" t="e">
        <f>IF(ISBLANK($B108), "", INDEX(RAWData!E:E,MATCH($C108,RAWData!$A:$A,0)))</f>
        <v>#N/A</v>
      </c>
      <c r="I108" s="1309" t="e">
        <f>IF(ISBLANK($B108), "", INDEX(RAWData!F:F,MATCH($C108,RAWData!$A:$A,0)))</f>
        <v>#N/A</v>
      </c>
    </row>
    <row r="109" spans="2:9">
      <c r="B109" s="1334" t="s">
        <v>4360</v>
      </c>
      <c r="C109" s="1309" t="str">
        <f t="shared" si="8"/>
        <v>TLOUTPUTFBCBALEVT2Y1CHOICE2T1_0</v>
      </c>
      <c r="E109" s="1309" t="e">
        <f>IF(ISBLANK($B109), "", INDEX(RAWData!B:B,MATCH($C109,RAWData!$A:$A,0)))</f>
        <v>#N/A</v>
      </c>
      <c r="F109" s="1309" t="e">
        <f>IF(ISBLANK($B109), "", INDEX(RAWData!C:C,MATCH($C109,RAWData!$A:$A,0)))</f>
        <v>#N/A</v>
      </c>
      <c r="G109" s="1309" t="e">
        <f>IF(ISBLANK($B109), "", INDEX(RAWData!D:D,MATCH($C109,RAWData!$A:$A,0)))</f>
        <v>#N/A</v>
      </c>
      <c r="H109" s="1309" t="e">
        <f>IF(ISBLANK($B109), "", INDEX(RAWData!E:E,MATCH($C109,RAWData!$A:$A,0)))</f>
        <v>#N/A</v>
      </c>
      <c r="I109" s="1309" t="e">
        <f>IF(ISBLANK($B109), "", INDEX(RAWData!F:F,MATCH($C109,RAWData!$A:$A,0)))</f>
        <v>#N/A</v>
      </c>
    </row>
    <row r="110" spans="2:9">
      <c r="B110" s="1334" t="s">
        <v>4363</v>
      </c>
      <c r="C110" s="1309" t="str">
        <f t="shared" si="8"/>
        <v>TLOUTPUTFBCBALEVT2Y1CHOICE3T1_0</v>
      </c>
      <c r="E110" s="1309" t="e">
        <f>IF(ISBLANK($B110), "", INDEX(RAWData!B:B,MATCH($C110,RAWData!$A:$A,0)))</f>
        <v>#N/A</v>
      </c>
      <c r="F110" s="1309" t="e">
        <f>IF(ISBLANK($B110), "", INDEX(RAWData!C:C,MATCH($C110,RAWData!$A:$A,0)))</f>
        <v>#N/A</v>
      </c>
      <c r="G110" s="1309" t="e">
        <f>IF(ISBLANK($B110), "", INDEX(RAWData!D:D,MATCH($C110,RAWData!$A:$A,0)))</f>
        <v>#N/A</v>
      </c>
      <c r="H110" s="1309" t="e">
        <f>IF(ISBLANK($B110), "", INDEX(RAWData!E:E,MATCH($C110,RAWData!$A:$A,0)))</f>
        <v>#N/A</v>
      </c>
      <c r="I110" s="1309" t="e">
        <f>IF(ISBLANK($B110), "", INDEX(RAWData!F:F,MATCH($C110,RAWData!$A:$A,0)))</f>
        <v>#N/A</v>
      </c>
    </row>
    <row r="111" spans="2:9">
      <c r="B111" s="1335"/>
      <c r="C111" s="1309" t="str">
        <f t="shared" si="8"/>
        <v/>
      </c>
      <c r="E111" s="1309" t="str">
        <f>IF(ISBLANK($B111), "", INDEX(RAWData!B:B,MATCH($C111,RAWData!$A:$A,0)))</f>
        <v/>
      </c>
      <c r="F111" s="1309" t="str">
        <f>IF(ISBLANK($B111), "", INDEX(RAWData!C:C,MATCH($C111,RAWData!$A:$A,0)))</f>
        <v/>
      </c>
      <c r="G111" s="1309" t="str">
        <f>IF(ISBLANK($B111), "", INDEX(RAWData!D:D,MATCH($C111,RAWData!$A:$A,0)))</f>
        <v/>
      </c>
      <c r="H111" s="1309" t="str">
        <f>IF(ISBLANK($B111), "", INDEX(RAWData!E:E,MATCH($C111,RAWData!$A:$A,0)))</f>
        <v/>
      </c>
      <c r="I111" s="1309" t="str">
        <f>IF(ISBLANK($B111), "", INDEX(RAWData!F:F,MATCH($C111,RAWData!$A:$A,0)))</f>
        <v/>
      </c>
    </row>
    <row r="112" spans="2:9">
      <c r="B112" s="1335"/>
      <c r="C112" s="1309" t="str">
        <f t="shared" si="8"/>
        <v/>
      </c>
      <c r="E112" s="1309" t="e">
        <f>E$9</f>
        <v>#N/A</v>
      </c>
      <c r="F112" s="1309" t="e">
        <f t="shared" ref="F112:I112" si="15">F$9</f>
        <v>#N/A</v>
      </c>
      <c r="G112" s="1309" t="e">
        <f t="shared" si="15"/>
        <v>#N/A</v>
      </c>
      <c r="H112" s="1309" t="e">
        <f t="shared" si="15"/>
        <v>#N/A</v>
      </c>
      <c r="I112" s="1309" t="e">
        <f t="shared" si="15"/>
        <v>#N/A</v>
      </c>
    </row>
    <row r="113" spans="2:9">
      <c r="B113" s="1334" t="s">
        <v>4366</v>
      </c>
      <c r="C113" s="1309" t="str">
        <f t="shared" si="8"/>
        <v>TLOUTPUTFBCBALEVT3Y1CHOICE1T1_0</v>
      </c>
      <c r="E113" s="1309" t="e">
        <f>IF(ISBLANK($B113), "", INDEX(RAWData!B:B,MATCH($C113,RAWData!$A:$A,0)))</f>
        <v>#N/A</v>
      </c>
      <c r="F113" s="1309" t="e">
        <f>IF(ISBLANK($B113), "", INDEX(RAWData!C:C,MATCH($C113,RAWData!$A:$A,0)))</f>
        <v>#N/A</v>
      </c>
      <c r="G113" s="1309" t="e">
        <f>IF(ISBLANK($B113), "", INDEX(RAWData!D:D,MATCH($C113,RAWData!$A:$A,0)))</f>
        <v>#N/A</v>
      </c>
      <c r="H113" s="1309" t="e">
        <f>IF(ISBLANK($B113), "", INDEX(RAWData!E:E,MATCH($C113,RAWData!$A:$A,0)))</f>
        <v>#N/A</v>
      </c>
      <c r="I113" s="1309" t="e">
        <f>IF(ISBLANK($B113), "", INDEX(RAWData!F:F,MATCH($C113,RAWData!$A:$A,0)))</f>
        <v>#N/A</v>
      </c>
    </row>
    <row r="114" spans="2:9">
      <c r="B114" s="1334" t="s">
        <v>4369</v>
      </c>
      <c r="C114" s="1309" t="str">
        <f t="shared" si="8"/>
        <v>TLOUTPUTFBCBALEVT3Y1CHOICE2T1_0</v>
      </c>
      <c r="E114" s="1309" t="e">
        <f>IF(ISBLANK($B114), "", INDEX(RAWData!B:B,MATCH($C114,RAWData!$A:$A,0)))</f>
        <v>#N/A</v>
      </c>
      <c r="F114" s="1309" t="e">
        <f>IF(ISBLANK($B114), "", INDEX(RAWData!C:C,MATCH($C114,RAWData!$A:$A,0)))</f>
        <v>#N/A</v>
      </c>
      <c r="G114" s="1309" t="e">
        <f>IF(ISBLANK($B114), "", INDEX(RAWData!D:D,MATCH($C114,RAWData!$A:$A,0)))</f>
        <v>#N/A</v>
      </c>
      <c r="H114" s="1309" t="e">
        <f>IF(ISBLANK($B114), "", INDEX(RAWData!E:E,MATCH($C114,RAWData!$A:$A,0)))</f>
        <v>#N/A</v>
      </c>
      <c r="I114" s="1309" t="e">
        <f>IF(ISBLANK($B114), "", INDEX(RAWData!F:F,MATCH($C114,RAWData!$A:$A,0)))</f>
        <v>#N/A</v>
      </c>
    </row>
    <row r="115" spans="2:9">
      <c r="B115" s="1334" t="s">
        <v>4372</v>
      </c>
      <c r="C115" s="1309" t="str">
        <f t="shared" si="8"/>
        <v>TLOUTPUTFBCBALEVT3Y1CHOICE3T1_0</v>
      </c>
      <c r="E115" s="1309" t="e">
        <f>IF(ISBLANK($B115), "", INDEX(RAWData!B:B,MATCH($C115,RAWData!$A:$A,0)))</f>
        <v>#N/A</v>
      </c>
      <c r="F115" s="1309" t="e">
        <f>IF(ISBLANK($B115), "", INDEX(RAWData!C:C,MATCH($C115,RAWData!$A:$A,0)))</f>
        <v>#N/A</v>
      </c>
      <c r="G115" s="1309" t="e">
        <f>IF(ISBLANK($B115), "", INDEX(RAWData!D:D,MATCH($C115,RAWData!$A:$A,0)))</f>
        <v>#N/A</v>
      </c>
      <c r="H115" s="1309" t="e">
        <f>IF(ISBLANK($B115), "", INDEX(RAWData!E:E,MATCH($C115,RAWData!$A:$A,0)))</f>
        <v>#N/A</v>
      </c>
      <c r="I115" s="1309" t="e">
        <f>IF(ISBLANK($B115), "", INDEX(RAWData!F:F,MATCH($C115,RAWData!$A:$A,0)))</f>
        <v>#N/A</v>
      </c>
    </row>
    <row r="116" spans="2:9">
      <c r="B116" s="1335"/>
      <c r="C116" s="1309" t="str">
        <f t="shared" si="8"/>
        <v/>
      </c>
      <c r="E116" s="1309" t="str">
        <f>IF(ISBLANK($B116), "", INDEX(RAWData!B:B,MATCH($C116,RAWData!$A:$A,0)))</f>
        <v/>
      </c>
      <c r="F116" s="1309" t="str">
        <f>IF(ISBLANK($B116), "", INDEX(RAWData!C:C,MATCH($C116,RAWData!$A:$A,0)))</f>
        <v/>
      </c>
      <c r="G116" s="1309" t="str">
        <f>IF(ISBLANK($B116), "", INDEX(RAWData!D:D,MATCH($C116,RAWData!$A:$A,0)))</f>
        <v/>
      </c>
      <c r="H116" s="1309" t="str">
        <f>IF(ISBLANK($B116), "", INDEX(RAWData!E:E,MATCH($C116,RAWData!$A:$A,0)))</f>
        <v/>
      </c>
      <c r="I116" s="1309" t="str">
        <f>IF(ISBLANK($B116), "", INDEX(RAWData!F:F,MATCH($C116,RAWData!$A:$A,0)))</f>
        <v/>
      </c>
    </row>
    <row r="117" spans="2:9">
      <c r="B117" s="1335"/>
      <c r="C117" s="1309" t="str">
        <f t="shared" si="8"/>
        <v/>
      </c>
      <c r="E117" s="1309" t="e">
        <f>E$9</f>
        <v>#N/A</v>
      </c>
      <c r="F117" s="1309" t="e">
        <f t="shared" ref="F117:I117" si="16">F$9</f>
        <v>#N/A</v>
      </c>
      <c r="G117" s="1309" t="e">
        <f t="shared" si="16"/>
        <v>#N/A</v>
      </c>
      <c r="H117" s="1309" t="e">
        <f t="shared" si="16"/>
        <v>#N/A</v>
      </c>
      <c r="I117" s="1309" t="e">
        <f t="shared" si="16"/>
        <v>#N/A</v>
      </c>
    </row>
    <row r="118" spans="2:9">
      <c r="B118" s="1334" t="s">
        <v>4375</v>
      </c>
      <c r="C118" s="1309" t="str">
        <f t="shared" si="8"/>
        <v>TLOUTPUTFBCBALEVT1Y2CHOICE1T1_0</v>
      </c>
      <c r="E118" s="1309" t="e">
        <f>IF(ISBLANK($B118), "", INDEX(RAWData!B:B,MATCH($C118,RAWData!$A:$A,0)))</f>
        <v>#N/A</v>
      </c>
      <c r="F118" s="1309" t="e">
        <f>IF(ISBLANK($B118), "", INDEX(RAWData!C:C,MATCH($C118,RAWData!$A:$A,0)))</f>
        <v>#N/A</v>
      </c>
      <c r="G118" s="1309" t="e">
        <f>IF(ISBLANK($B118), "", INDEX(RAWData!D:D,MATCH($C118,RAWData!$A:$A,0)))</f>
        <v>#N/A</v>
      </c>
      <c r="H118" s="1309" t="e">
        <f>IF(ISBLANK($B118), "", INDEX(RAWData!E:E,MATCH($C118,RAWData!$A:$A,0)))</f>
        <v>#N/A</v>
      </c>
      <c r="I118" s="1309" t="e">
        <f>IF(ISBLANK($B118), "", INDEX(RAWData!F:F,MATCH($C118,RAWData!$A:$A,0)))</f>
        <v>#N/A</v>
      </c>
    </row>
    <row r="119" spans="2:9">
      <c r="B119" s="1334" t="s">
        <v>4378</v>
      </c>
      <c r="C119" s="1309" t="str">
        <f t="shared" si="8"/>
        <v>TLOUTPUTFBCBALEVT1Y2CHOICE2T1_0</v>
      </c>
      <c r="E119" s="1309" t="e">
        <f>IF(ISBLANK($B119), "", INDEX(RAWData!B:B,MATCH($C119,RAWData!$A:$A,0)))</f>
        <v>#N/A</v>
      </c>
      <c r="F119" s="1309" t="e">
        <f>IF(ISBLANK($B119), "", INDEX(RAWData!C:C,MATCH($C119,RAWData!$A:$A,0)))</f>
        <v>#N/A</v>
      </c>
      <c r="G119" s="1309" t="e">
        <f>IF(ISBLANK($B119), "", INDEX(RAWData!D:D,MATCH($C119,RAWData!$A:$A,0)))</f>
        <v>#N/A</v>
      </c>
      <c r="H119" s="1309" t="e">
        <f>IF(ISBLANK($B119), "", INDEX(RAWData!E:E,MATCH($C119,RAWData!$A:$A,0)))</f>
        <v>#N/A</v>
      </c>
      <c r="I119" s="1309" t="e">
        <f>IF(ISBLANK($B119), "", INDEX(RAWData!F:F,MATCH($C119,RAWData!$A:$A,0)))</f>
        <v>#N/A</v>
      </c>
    </row>
    <row r="120" spans="2:9">
      <c r="B120" s="1334" t="s">
        <v>4381</v>
      </c>
      <c r="C120" s="1309" t="str">
        <f t="shared" si="8"/>
        <v>TLOUTPUTFBCBALEVT1Y2CHOICE3T1_0</v>
      </c>
      <c r="E120" s="1309" t="e">
        <f>IF(ISBLANK($B120), "", INDEX(RAWData!B:B,MATCH($C120,RAWData!$A:$A,0)))</f>
        <v>#N/A</v>
      </c>
      <c r="F120" s="1309" t="e">
        <f>IF(ISBLANK($B120), "", INDEX(RAWData!C:C,MATCH($C120,RAWData!$A:$A,0)))</f>
        <v>#N/A</v>
      </c>
      <c r="G120" s="1309" t="e">
        <f>IF(ISBLANK($B120), "", INDEX(RAWData!D:D,MATCH($C120,RAWData!$A:$A,0)))</f>
        <v>#N/A</v>
      </c>
      <c r="H120" s="1309" t="e">
        <f>IF(ISBLANK($B120), "", INDEX(RAWData!E:E,MATCH($C120,RAWData!$A:$A,0)))</f>
        <v>#N/A</v>
      </c>
      <c r="I120" s="1309" t="e">
        <f>IF(ISBLANK($B120), "", INDEX(RAWData!F:F,MATCH($C120,RAWData!$A:$A,0)))</f>
        <v>#N/A</v>
      </c>
    </row>
    <row r="121" spans="2:9">
      <c r="B121" s="1335"/>
      <c r="C121" s="1309" t="str">
        <f t="shared" si="8"/>
        <v/>
      </c>
      <c r="E121" s="1309" t="str">
        <f>IF(ISBLANK($B121), "", INDEX(RAWData!B:B,MATCH($C121,RAWData!$A:$A,0)))</f>
        <v/>
      </c>
      <c r="F121" s="1309" t="str">
        <f>IF(ISBLANK($B121), "", INDEX(RAWData!C:C,MATCH($C121,RAWData!$A:$A,0)))</f>
        <v/>
      </c>
      <c r="G121" s="1309" t="str">
        <f>IF(ISBLANK($B121), "", INDEX(RAWData!D:D,MATCH($C121,RAWData!$A:$A,0)))</f>
        <v/>
      </c>
      <c r="H121" s="1309" t="str">
        <f>IF(ISBLANK($B121), "", INDEX(RAWData!E:E,MATCH($C121,RAWData!$A:$A,0)))</f>
        <v/>
      </c>
      <c r="I121" s="1309" t="str">
        <f>IF(ISBLANK($B121), "", INDEX(RAWData!F:F,MATCH($C121,RAWData!$A:$A,0)))</f>
        <v/>
      </c>
    </row>
    <row r="122" spans="2:9">
      <c r="B122" s="1335"/>
      <c r="C122" s="1309" t="str">
        <f t="shared" si="8"/>
        <v/>
      </c>
      <c r="E122" s="1309" t="e">
        <f>E$9</f>
        <v>#N/A</v>
      </c>
      <c r="F122" s="1309" t="e">
        <f t="shared" ref="F122:I122" si="17">F$9</f>
        <v>#N/A</v>
      </c>
      <c r="G122" s="1309" t="e">
        <f t="shared" si="17"/>
        <v>#N/A</v>
      </c>
      <c r="H122" s="1309" t="e">
        <f t="shared" si="17"/>
        <v>#N/A</v>
      </c>
      <c r="I122" s="1309" t="e">
        <f t="shared" si="17"/>
        <v>#N/A</v>
      </c>
    </row>
    <row r="123" spans="2:9">
      <c r="B123" s="1334" t="s">
        <v>4384</v>
      </c>
      <c r="C123" s="1309" t="str">
        <f t="shared" si="8"/>
        <v>TLOUTPUTFBCBALEVT2Y2CHOICE1T1_0</v>
      </c>
      <c r="E123" s="1309" t="e">
        <f>IF(ISBLANK($B123), "", INDEX(RAWData!B:B,MATCH($C123,RAWData!$A:$A,0)))</f>
        <v>#N/A</v>
      </c>
      <c r="F123" s="1309" t="e">
        <f>IF(ISBLANK($B123), "", INDEX(RAWData!C:C,MATCH($C123,RAWData!$A:$A,0)))</f>
        <v>#N/A</v>
      </c>
      <c r="G123" s="1309" t="e">
        <f>IF(ISBLANK($B123), "", INDEX(RAWData!D:D,MATCH($C123,RAWData!$A:$A,0)))</f>
        <v>#N/A</v>
      </c>
      <c r="H123" s="1309" t="e">
        <f>IF(ISBLANK($B123), "", INDEX(RAWData!E:E,MATCH($C123,RAWData!$A:$A,0)))</f>
        <v>#N/A</v>
      </c>
      <c r="I123" s="1309" t="e">
        <f>IF(ISBLANK($B123), "", INDEX(RAWData!F:F,MATCH($C123,RAWData!$A:$A,0)))</f>
        <v>#N/A</v>
      </c>
    </row>
    <row r="124" spans="2:9">
      <c r="B124" s="1334" t="s">
        <v>4387</v>
      </c>
      <c r="C124" s="1309" t="str">
        <f t="shared" si="8"/>
        <v>TLOUTPUTFBCBALEVT2Y2CHOICE2T1_0</v>
      </c>
      <c r="E124" s="1309" t="e">
        <f>IF(ISBLANK($B124), "", INDEX(RAWData!B:B,MATCH($C124,RAWData!$A:$A,0)))</f>
        <v>#N/A</v>
      </c>
      <c r="F124" s="1309" t="e">
        <f>IF(ISBLANK($B124), "", INDEX(RAWData!C:C,MATCH($C124,RAWData!$A:$A,0)))</f>
        <v>#N/A</v>
      </c>
      <c r="G124" s="1309" t="e">
        <f>IF(ISBLANK($B124), "", INDEX(RAWData!D:D,MATCH($C124,RAWData!$A:$A,0)))</f>
        <v>#N/A</v>
      </c>
      <c r="H124" s="1309" t="e">
        <f>IF(ISBLANK($B124), "", INDEX(RAWData!E:E,MATCH($C124,RAWData!$A:$A,0)))</f>
        <v>#N/A</v>
      </c>
      <c r="I124" s="1309" t="e">
        <f>IF(ISBLANK($B124), "", INDEX(RAWData!F:F,MATCH($C124,RAWData!$A:$A,0)))</f>
        <v>#N/A</v>
      </c>
    </row>
    <row r="125" spans="2:9">
      <c r="B125" s="1334" t="s">
        <v>4390</v>
      </c>
      <c r="C125" s="1309" t="str">
        <f t="shared" si="8"/>
        <v>TLOUTPUTFBCBALEVT2Y2CHOICE3T1_0</v>
      </c>
      <c r="E125" s="1309" t="e">
        <f>IF(ISBLANK($B125), "", INDEX(RAWData!B:B,MATCH($C125,RAWData!$A:$A,0)))</f>
        <v>#N/A</v>
      </c>
      <c r="F125" s="1309" t="e">
        <f>IF(ISBLANK($B125), "", INDEX(RAWData!C:C,MATCH($C125,RAWData!$A:$A,0)))</f>
        <v>#N/A</v>
      </c>
      <c r="G125" s="1309" t="e">
        <f>IF(ISBLANK($B125), "", INDEX(RAWData!D:D,MATCH($C125,RAWData!$A:$A,0)))</f>
        <v>#N/A</v>
      </c>
      <c r="H125" s="1309" t="e">
        <f>IF(ISBLANK($B125), "", INDEX(RAWData!E:E,MATCH($C125,RAWData!$A:$A,0)))</f>
        <v>#N/A</v>
      </c>
      <c r="I125" s="1309" t="e">
        <f>IF(ISBLANK($B125), "", INDEX(RAWData!F:F,MATCH($C125,RAWData!$A:$A,0)))</f>
        <v>#N/A</v>
      </c>
    </row>
    <row r="126" spans="2:9">
      <c r="B126" s="1335"/>
      <c r="C126" s="1309" t="str">
        <f t="shared" si="8"/>
        <v/>
      </c>
      <c r="E126" s="1309" t="str">
        <f>IF(ISBLANK($B126), "", INDEX(RAWData!B:B,MATCH($C126,RAWData!$A:$A,0)))</f>
        <v/>
      </c>
      <c r="F126" s="1309" t="str">
        <f>IF(ISBLANK($B126), "", INDEX(RAWData!C:C,MATCH($C126,RAWData!$A:$A,0)))</f>
        <v/>
      </c>
      <c r="G126" s="1309" t="str">
        <f>IF(ISBLANK($B126), "", INDEX(RAWData!D:D,MATCH($C126,RAWData!$A:$A,0)))</f>
        <v/>
      </c>
      <c r="H126" s="1309" t="str">
        <f>IF(ISBLANK($B126), "", INDEX(RAWData!E:E,MATCH($C126,RAWData!$A:$A,0)))</f>
        <v/>
      </c>
      <c r="I126" s="1309" t="str">
        <f>IF(ISBLANK($B126), "", INDEX(RAWData!F:F,MATCH($C126,RAWData!$A:$A,0)))</f>
        <v/>
      </c>
    </row>
    <row r="127" spans="2:9">
      <c r="B127" s="1335"/>
      <c r="C127" s="1309" t="str">
        <f t="shared" si="8"/>
        <v/>
      </c>
      <c r="E127" s="1309" t="e">
        <f>E$9</f>
        <v>#N/A</v>
      </c>
      <c r="F127" s="1309" t="e">
        <f t="shared" ref="F127:I127" si="18">F$9</f>
        <v>#N/A</v>
      </c>
      <c r="G127" s="1309" t="e">
        <f t="shared" si="18"/>
        <v>#N/A</v>
      </c>
      <c r="H127" s="1309" t="e">
        <f t="shared" si="18"/>
        <v>#N/A</v>
      </c>
      <c r="I127" s="1309" t="e">
        <f t="shared" si="18"/>
        <v>#N/A</v>
      </c>
    </row>
    <row r="128" spans="2:9">
      <c r="B128" s="1334" t="s">
        <v>4393</v>
      </c>
      <c r="C128" s="1309" t="str">
        <f t="shared" si="8"/>
        <v>TLOUTPUTFBCBALEVT3Y2CHOICE1T1_0</v>
      </c>
      <c r="E128" s="1309" t="e">
        <f>IF(ISBLANK($B128), "", INDEX(RAWData!B:B,MATCH($C128,RAWData!$A:$A,0)))</f>
        <v>#N/A</v>
      </c>
      <c r="F128" s="1309" t="e">
        <f>IF(ISBLANK($B128), "", INDEX(RAWData!C:C,MATCH($C128,RAWData!$A:$A,0)))</f>
        <v>#N/A</v>
      </c>
      <c r="G128" s="1309" t="e">
        <f>IF(ISBLANK($B128), "", INDEX(RAWData!D:D,MATCH($C128,RAWData!$A:$A,0)))</f>
        <v>#N/A</v>
      </c>
      <c r="H128" s="1309" t="e">
        <f>IF(ISBLANK($B128), "", INDEX(RAWData!E:E,MATCH($C128,RAWData!$A:$A,0)))</f>
        <v>#N/A</v>
      </c>
      <c r="I128" s="1309" t="e">
        <f>IF(ISBLANK($B128), "", INDEX(RAWData!F:F,MATCH($C128,RAWData!$A:$A,0)))</f>
        <v>#N/A</v>
      </c>
    </row>
    <row r="129" spans="2:9">
      <c r="B129" s="1334" t="s">
        <v>4396</v>
      </c>
      <c r="C129" s="1309" t="str">
        <f t="shared" si="8"/>
        <v>TLOUTPUTFBCBALEVT3Y2CHOICE2T1_0</v>
      </c>
      <c r="E129" s="1309" t="e">
        <f>IF(ISBLANK($B129), "", INDEX(RAWData!B:B,MATCH($C129,RAWData!$A:$A,0)))</f>
        <v>#N/A</v>
      </c>
      <c r="F129" s="1309" t="e">
        <f>IF(ISBLANK($B129), "", INDEX(RAWData!C:C,MATCH($C129,RAWData!$A:$A,0)))</f>
        <v>#N/A</v>
      </c>
      <c r="G129" s="1309" t="e">
        <f>IF(ISBLANK($B129), "", INDEX(RAWData!D:D,MATCH($C129,RAWData!$A:$A,0)))</f>
        <v>#N/A</v>
      </c>
      <c r="H129" s="1309" t="e">
        <f>IF(ISBLANK($B129), "", INDEX(RAWData!E:E,MATCH($C129,RAWData!$A:$A,0)))</f>
        <v>#N/A</v>
      </c>
      <c r="I129" s="1309" t="e">
        <f>IF(ISBLANK($B129), "", INDEX(RAWData!F:F,MATCH($C129,RAWData!$A:$A,0)))</f>
        <v>#N/A</v>
      </c>
    </row>
    <row r="130" spans="2:9">
      <c r="B130" s="1334" t="s">
        <v>4399</v>
      </c>
      <c r="C130" s="1309" t="str">
        <f t="shared" si="8"/>
        <v>TLOUTPUTFBCBALEVT3Y2CHOICE3T1_0</v>
      </c>
      <c r="E130" s="1309" t="e">
        <f>IF(ISBLANK($B130), "", INDEX(RAWData!B:B,MATCH($C130,RAWData!$A:$A,0)))</f>
        <v>#N/A</v>
      </c>
      <c r="F130" s="1309" t="e">
        <f>IF(ISBLANK($B130), "", INDEX(RAWData!C:C,MATCH($C130,RAWData!$A:$A,0)))</f>
        <v>#N/A</v>
      </c>
      <c r="G130" s="1309" t="e">
        <f>IF(ISBLANK($B130), "", INDEX(RAWData!D:D,MATCH($C130,RAWData!$A:$A,0)))</f>
        <v>#N/A</v>
      </c>
      <c r="H130" s="1309" t="e">
        <f>IF(ISBLANK($B130), "", INDEX(RAWData!E:E,MATCH($C130,RAWData!$A:$A,0)))</f>
        <v>#N/A</v>
      </c>
      <c r="I130" s="1309" t="e">
        <f>IF(ISBLANK($B130), "", INDEX(RAWData!F:F,MATCH($C130,RAWData!$A:$A,0)))</f>
        <v>#N/A</v>
      </c>
    </row>
    <row r="131" spans="2:9">
      <c r="B131" s="1335"/>
      <c r="C131" s="1309" t="str">
        <f t="shared" si="8"/>
        <v/>
      </c>
      <c r="E131" s="1309" t="str">
        <f>IF(ISBLANK($B131), "", INDEX(RAWData!B:B,MATCH($C131,RAWData!$A:$A,0)))</f>
        <v/>
      </c>
      <c r="F131" s="1309" t="str">
        <f>IF(ISBLANK($B131), "", INDEX(RAWData!C:C,MATCH($C131,RAWData!$A:$A,0)))</f>
        <v/>
      </c>
      <c r="G131" s="1309" t="str">
        <f>IF(ISBLANK($B131), "", INDEX(RAWData!D:D,MATCH($C131,RAWData!$A:$A,0)))</f>
        <v/>
      </c>
      <c r="H131" s="1309" t="str">
        <f>IF(ISBLANK($B131), "", INDEX(RAWData!E:E,MATCH($C131,RAWData!$A:$A,0)))</f>
        <v/>
      </c>
      <c r="I131" s="1309" t="str">
        <f>IF(ISBLANK($B131), "", INDEX(RAWData!F:F,MATCH($C131,RAWData!$A:$A,0)))</f>
        <v/>
      </c>
    </row>
    <row r="132" spans="2:9">
      <c r="B132" s="1335"/>
      <c r="C132" s="1309" t="str">
        <f t="shared" si="8"/>
        <v/>
      </c>
      <c r="E132" s="1309" t="e">
        <f>E$9</f>
        <v>#N/A</v>
      </c>
      <c r="F132" s="1309" t="e">
        <f t="shared" ref="F132:I132" si="19">F$9</f>
        <v>#N/A</v>
      </c>
      <c r="G132" s="1309" t="e">
        <f t="shared" si="19"/>
        <v>#N/A</v>
      </c>
      <c r="H132" s="1309" t="e">
        <f t="shared" si="19"/>
        <v>#N/A</v>
      </c>
      <c r="I132" s="1309" t="e">
        <f t="shared" si="19"/>
        <v>#N/A</v>
      </c>
    </row>
    <row r="133" spans="2:9">
      <c r="B133" s="1334" t="s">
        <v>4402</v>
      </c>
      <c r="C133" s="1309" t="str">
        <f t="shared" si="8"/>
        <v>TLOUTPUTFBCBALEVT1Y3CHOICE1T1_0</v>
      </c>
      <c r="E133" s="1309" t="e">
        <f>IF(ISBLANK($B133), "", INDEX(RAWData!B:B,MATCH($C133,RAWData!$A:$A,0)))</f>
        <v>#N/A</v>
      </c>
      <c r="F133" s="1309" t="e">
        <f>IF(ISBLANK($B133), "", INDEX(RAWData!C:C,MATCH($C133,RAWData!$A:$A,0)))</f>
        <v>#N/A</v>
      </c>
      <c r="G133" s="1309" t="e">
        <f>IF(ISBLANK($B133), "", INDEX(RAWData!D:D,MATCH($C133,RAWData!$A:$A,0)))</f>
        <v>#N/A</v>
      </c>
      <c r="H133" s="1309" t="e">
        <f>IF(ISBLANK($B133), "", INDEX(RAWData!E:E,MATCH($C133,RAWData!$A:$A,0)))</f>
        <v>#N/A</v>
      </c>
      <c r="I133" s="1309" t="e">
        <f>IF(ISBLANK($B133), "", INDEX(RAWData!F:F,MATCH($C133,RAWData!$A:$A,0)))</f>
        <v>#N/A</v>
      </c>
    </row>
    <row r="134" spans="2:9">
      <c r="B134" s="1334" t="s">
        <v>4405</v>
      </c>
      <c r="C134" s="1309" t="str">
        <f t="shared" si="8"/>
        <v>TLOUTPUTFBCBALEVT1Y3CHOICE2T1_0</v>
      </c>
      <c r="E134" s="1309" t="e">
        <f>IF(ISBLANK($B134), "", INDEX(RAWData!B:B,MATCH($C134,RAWData!$A:$A,0)))</f>
        <v>#N/A</v>
      </c>
      <c r="F134" s="1309" t="e">
        <f>IF(ISBLANK($B134), "", INDEX(RAWData!C:C,MATCH($C134,RAWData!$A:$A,0)))</f>
        <v>#N/A</v>
      </c>
      <c r="G134" s="1309" t="e">
        <f>IF(ISBLANK($B134), "", INDEX(RAWData!D:D,MATCH($C134,RAWData!$A:$A,0)))</f>
        <v>#N/A</v>
      </c>
      <c r="H134" s="1309" t="e">
        <f>IF(ISBLANK($B134), "", INDEX(RAWData!E:E,MATCH($C134,RAWData!$A:$A,0)))</f>
        <v>#N/A</v>
      </c>
      <c r="I134" s="1309" t="e">
        <f>IF(ISBLANK($B134), "", INDEX(RAWData!F:F,MATCH($C134,RAWData!$A:$A,0)))</f>
        <v>#N/A</v>
      </c>
    </row>
    <row r="135" spans="2:9">
      <c r="B135" s="1334" t="s">
        <v>4408</v>
      </c>
      <c r="C135" s="1309" t="str">
        <f t="shared" si="8"/>
        <v>TLOUTPUTFBCBALEVT1Y3CHOICE3T1_0</v>
      </c>
      <c r="E135" s="1309" t="e">
        <f>IF(ISBLANK($B135), "", INDEX(RAWData!B:B,MATCH($C135,RAWData!$A:$A,0)))</f>
        <v>#N/A</v>
      </c>
      <c r="F135" s="1309" t="e">
        <f>IF(ISBLANK($B135), "", INDEX(RAWData!C:C,MATCH($C135,RAWData!$A:$A,0)))</f>
        <v>#N/A</v>
      </c>
      <c r="G135" s="1309" t="e">
        <f>IF(ISBLANK($B135), "", INDEX(RAWData!D:D,MATCH($C135,RAWData!$A:$A,0)))</f>
        <v>#N/A</v>
      </c>
      <c r="H135" s="1309" t="e">
        <f>IF(ISBLANK($B135), "", INDEX(RAWData!E:E,MATCH($C135,RAWData!$A:$A,0)))</f>
        <v>#N/A</v>
      </c>
      <c r="I135" s="1309" t="e">
        <f>IF(ISBLANK($B135), "", INDEX(RAWData!F:F,MATCH($C135,RAWData!$A:$A,0)))</f>
        <v>#N/A</v>
      </c>
    </row>
    <row r="136" spans="2:9">
      <c r="B136" s="1335"/>
      <c r="C136" s="1309" t="str">
        <f t="shared" si="8"/>
        <v/>
      </c>
      <c r="E136" s="1309" t="str">
        <f>IF(ISBLANK($B136), "", INDEX(RAWData!B:B,MATCH($C136,RAWData!$A:$A,0)))</f>
        <v/>
      </c>
      <c r="F136" s="1309" t="str">
        <f>IF(ISBLANK($B136), "", INDEX(RAWData!C:C,MATCH($C136,RAWData!$A:$A,0)))</f>
        <v/>
      </c>
      <c r="G136" s="1309" t="str">
        <f>IF(ISBLANK($B136), "", INDEX(RAWData!D:D,MATCH($C136,RAWData!$A:$A,0)))</f>
        <v/>
      </c>
      <c r="H136" s="1309" t="str">
        <f>IF(ISBLANK($B136), "", INDEX(RAWData!E:E,MATCH($C136,RAWData!$A:$A,0)))</f>
        <v/>
      </c>
      <c r="I136" s="1309" t="str">
        <f>IF(ISBLANK($B136), "", INDEX(RAWData!F:F,MATCH($C136,RAWData!$A:$A,0)))</f>
        <v/>
      </c>
    </row>
    <row r="137" spans="2:9">
      <c r="B137" s="1335"/>
      <c r="C137" s="1309" t="str">
        <f t="shared" si="8"/>
        <v/>
      </c>
      <c r="E137" s="1309" t="e">
        <f>E$9</f>
        <v>#N/A</v>
      </c>
      <c r="F137" s="1309" t="e">
        <f t="shared" ref="F137:I137" si="20">F$9</f>
        <v>#N/A</v>
      </c>
      <c r="G137" s="1309" t="e">
        <f t="shared" si="20"/>
        <v>#N/A</v>
      </c>
      <c r="H137" s="1309" t="e">
        <f t="shared" si="20"/>
        <v>#N/A</v>
      </c>
      <c r="I137" s="1309" t="e">
        <f t="shared" si="20"/>
        <v>#N/A</v>
      </c>
    </row>
    <row r="138" spans="2:9">
      <c r="B138" s="1334" t="s">
        <v>4411</v>
      </c>
      <c r="C138" s="1309" t="str">
        <f t="shared" ref="C138:C145" si="21">IF(NOT(ISBLANK($B138)),UPPER($B138)&amp;"_"&amp;$C$4,"")</f>
        <v>TLOUTPUTFBCBALEVT2Y3CHOICE1T1_0</v>
      </c>
      <c r="E138" s="1309" t="e">
        <f>IF(ISBLANK($B138), "", INDEX(RAWData!B:B,MATCH($C138,RAWData!$A:$A,0)))</f>
        <v>#N/A</v>
      </c>
      <c r="F138" s="1309" t="e">
        <f>IF(ISBLANK($B138), "", INDEX(RAWData!C:C,MATCH($C138,RAWData!$A:$A,0)))</f>
        <v>#N/A</v>
      </c>
      <c r="G138" s="1309" t="e">
        <f>IF(ISBLANK($B138), "", INDEX(RAWData!D:D,MATCH($C138,RAWData!$A:$A,0)))</f>
        <v>#N/A</v>
      </c>
      <c r="H138" s="1309" t="e">
        <f>IF(ISBLANK($B138), "", INDEX(RAWData!E:E,MATCH($C138,RAWData!$A:$A,0)))</f>
        <v>#N/A</v>
      </c>
      <c r="I138" s="1309" t="e">
        <f>IF(ISBLANK($B138), "", INDEX(RAWData!F:F,MATCH($C138,RAWData!$A:$A,0)))</f>
        <v>#N/A</v>
      </c>
    </row>
    <row r="139" spans="2:9">
      <c r="B139" s="1334" t="s">
        <v>4414</v>
      </c>
      <c r="C139" s="1309" t="str">
        <f t="shared" si="21"/>
        <v>TLOUTPUTFBCBALEVT2Y3CHOICE2T1_0</v>
      </c>
      <c r="E139" s="1309" t="e">
        <f>IF(ISBLANK($B139), "", INDEX(RAWData!B:B,MATCH($C139,RAWData!$A:$A,0)))</f>
        <v>#N/A</v>
      </c>
      <c r="F139" s="1309" t="e">
        <f>IF(ISBLANK($B139), "", INDEX(RAWData!C:C,MATCH($C139,RAWData!$A:$A,0)))</f>
        <v>#N/A</v>
      </c>
      <c r="G139" s="1309" t="e">
        <f>IF(ISBLANK($B139), "", INDEX(RAWData!D:D,MATCH($C139,RAWData!$A:$A,0)))</f>
        <v>#N/A</v>
      </c>
      <c r="H139" s="1309" t="e">
        <f>IF(ISBLANK($B139), "", INDEX(RAWData!E:E,MATCH($C139,RAWData!$A:$A,0)))</f>
        <v>#N/A</v>
      </c>
      <c r="I139" s="1309" t="e">
        <f>IF(ISBLANK($B139), "", INDEX(RAWData!F:F,MATCH($C139,RAWData!$A:$A,0)))</f>
        <v>#N/A</v>
      </c>
    </row>
    <row r="140" spans="2:9">
      <c r="B140" s="1334" t="s">
        <v>4417</v>
      </c>
      <c r="C140" s="1309" t="str">
        <f t="shared" si="21"/>
        <v>TLOUTPUTFBCBALEVT2Y3CHOICE3T1_0</v>
      </c>
      <c r="E140" s="1309" t="e">
        <f>IF(ISBLANK($B140), "", INDEX(RAWData!B:B,MATCH($C140,RAWData!$A:$A,0)))</f>
        <v>#N/A</v>
      </c>
      <c r="F140" s="1309" t="e">
        <f>IF(ISBLANK($B140), "", INDEX(RAWData!C:C,MATCH($C140,RAWData!$A:$A,0)))</f>
        <v>#N/A</v>
      </c>
      <c r="G140" s="1309" t="e">
        <f>IF(ISBLANK($B140), "", INDEX(RAWData!D:D,MATCH($C140,RAWData!$A:$A,0)))</f>
        <v>#N/A</v>
      </c>
      <c r="H140" s="1309" t="e">
        <f>IF(ISBLANK($B140), "", INDEX(RAWData!E:E,MATCH($C140,RAWData!$A:$A,0)))</f>
        <v>#N/A</v>
      </c>
      <c r="I140" s="1309" t="e">
        <f>IF(ISBLANK($B140), "", INDEX(RAWData!F:F,MATCH($C140,RAWData!$A:$A,0)))</f>
        <v>#N/A</v>
      </c>
    </row>
    <row r="141" spans="2:9">
      <c r="B141" s="1335"/>
      <c r="C141" s="1309" t="str">
        <f t="shared" si="21"/>
        <v/>
      </c>
      <c r="E141" s="1309" t="str">
        <f>IF(ISBLANK($B141), "", INDEX(RAWData!B:B,MATCH($C141,RAWData!$A:$A,0)))</f>
        <v/>
      </c>
      <c r="F141" s="1309" t="str">
        <f>IF(ISBLANK($B141), "", INDEX(RAWData!C:C,MATCH($C141,RAWData!$A:$A,0)))</f>
        <v/>
      </c>
      <c r="G141" s="1309" t="str">
        <f>IF(ISBLANK($B141), "", INDEX(RAWData!D:D,MATCH($C141,RAWData!$A:$A,0)))</f>
        <v/>
      </c>
      <c r="H141" s="1309" t="str">
        <f>IF(ISBLANK($B141), "", INDEX(RAWData!E:E,MATCH($C141,RAWData!$A:$A,0)))</f>
        <v/>
      </c>
      <c r="I141" s="1309" t="str">
        <f>IF(ISBLANK($B141), "", INDEX(RAWData!F:F,MATCH($C141,RAWData!$A:$A,0)))</f>
        <v/>
      </c>
    </row>
    <row r="142" spans="2:9">
      <c r="B142" s="1335"/>
      <c r="C142" s="1309" t="str">
        <f t="shared" si="21"/>
        <v/>
      </c>
      <c r="E142" s="1309" t="e">
        <f>E$9</f>
        <v>#N/A</v>
      </c>
      <c r="F142" s="1309" t="e">
        <f t="shared" ref="F142:I142" si="22">F$9</f>
        <v>#N/A</v>
      </c>
      <c r="G142" s="1309" t="e">
        <f t="shared" si="22"/>
        <v>#N/A</v>
      </c>
      <c r="H142" s="1309" t="e">
        <f t="shared" si="22"/>
        <v>#N/A</v>
      </c>
      <c r="I142" s="1309" t="e">
        <f t="shared" si="22"/>
        <v>#N/A</v>
      </c>
    </row>
    <row r="143" spans="2:9">
      <c r="B143" s="1334" t="s">
        <v>4420</v>
      </c>
      <c r="C143" s="1309" t="str">
        <f t="shared" si="21"/>
        <v>TLOUTPUTFBCBALEVT3Y3CHOICE1T1_0</v>
      </c>
      <c r="E143" s="1309" t="e">
        <f>IF(ISBLANK($B143), "", INDEX(RAWData!B:B,MATCH($C143,RAWData!$A:$A,0)))</f>
        <v>#N/A</v>
      </c>
      <c r="F143" s="1309" t="e">
        <f>IF(ISBLANK($B143), "", INDEX(RAWData!C:C,MATCH($C143,RAWData!$A:$A,0)))</f>
        <v>#N/A</v>
      </c>
      <c r="G143" s="1309" t="e">
        <f>IF(ISBLANK($B143), "", INDEX(RAWData!D:D,MATCH($C143,RAWData!$A:$A,0)))</f>
        <v>#N/A</v>
      </c>
      <c r="H143" s="1309" t="e">
        <f>IF(ISBLANK($B143), "", INDEX(RAWData!E:E,MATCH($C143,RAWData!$A:$A,0)))</f>
        <v>#N/A</v>
      </c>
      <c r="I143" s="1309" t="e">
        <f>IF(ISBLANK($B143), "", INDEX(RAWData!F:F,MATCH($C143,RAWData!$A:$A,0)))</f>
        <v>#N/A</v>
      </c>
    </row>
    <row r="144" spans="2:9">
      <c r="B144" s="1334" t="s">
        <v>4423</v>
      </c>
      <c r="C144" s="1309" t="str">
        <f t="shared" si="21"/>
        <v>TLOUTPUTFBCBALEVT3Y3CHOICE2T1_0</v>
      </c>
      <c r="E144" s="1309" t="e">
        <f>IF(ISBLANK($B144), "", INDEX(RAWData!B:B,MATCH($C144,RAWData!$A:$A,0)))</f>
        <v>#N/A</v>
      </c>
      <c r="F144" s="1309" t="e">
        <f>IF(ISBLANK($B144), "", INDEX(RAWData!C:C,MATCH($C144,RAWData!$A:$A,0)))</f>
        <v>#N/A</v>
      </c>
      <c r="G144" s="1309" t="e">
        <f>IF(ISBLANK($B144), "", INDEX(RAWData!D:D,MATCH($C144,RAWData!$A:$A,0)))</f>
        <v>#N/A</v>
      </c>
      <c r="H144" s="1309" t="e">
        <f>IF(ISBLANK($B144), "", INDEX(RAWData!E:E,MATCH($C144,RAWData!$A:$A,0)))</f>
        <v>#N/A</v>
      </c>
      <c r="I144" s="1309" t="e">
        <f>IF(ISBLANK($B144), "", INDEX(RAWData!F:F,MATCH($C144,RAWData!$A:$A,0)))</f>
        <v>#N/A</v>
      </c>
    </row>
    <row r="145" spans="2:9">
      <c r="B145" s="1334" t="s">
        <v>4426</v>
      </c>
      <c r="C145" s="1309" t="str">
        <f t="shared" si="21"/>
        <v>TLOUTPUTFBCBALEVT3Y3CHOICE3T1_0</v>
      </c>
      <c r="E145" s="1309" t="e">
        <f>IF(ISBLANK($B145), "", INDEX(RAWData!B:B,MATCH($C145,RAWData!$A:$A,0)))</f>
        <v>#N/A</v>
      </c>
      <c r="F145" s="1309" t="e">
        <f>IF(ISBLANK($B145), "", INDEX(RAWData!C:C,MATCH($C145,RAWData!$A:$A,0)))</f>
        <v>#N/A</v>
      </c>
      <c r="G145" s="1309" t="e">
        <f>IF(ISBLANK($B145), "", INDEX(RAWData!D:D,MATCH($C145,RAWData!$A:$A,0)))</f>
        <v>#N/A</v>
      </c>
      <c r="H145" s="1309" t="e">
        <f>IF(ISBLANK($B145), "", INDEX(RAWData!E:E,MATCH($C145,RAWData!$A:$A,0)))</f>
        <v>#N/A</v>
      </c>
      <c r="I145" s="1309" t="e">
        <f>IF(ISBLANK($B145), "", INDEX(RAWData!F:F,MATCH($C145,RAWData!$A:$A,0)))</f>
        <v>#N/A</v>
      </c>
    </row>
    <row r="146" spans="2:9">
      <c r="B146" s="1314"/>
    </row>
    <row r="147" spans="2:9">
      <c r="B147" s="1314"/>
      <c r="E147" s="1309" t="e">
        <f>E$9</f>
        <v>#N/A</v>
      </c>
      <c r="F147" s="1309" t="e">
        <f t="shared" ref="F147:I147" si="23">F$9</f>
        <v>#N/A</v>
      </c>
      <c r="G147" s="1309" t="e">
        <f t="shared" si="23"/>
        <v>#N/A</v>
      </c>
      <c r="H147" s="1309" t="e">
        <f t="shared" si="23"/>
        <v>#N/A</v>
      </c>
      <c r="I147" s="1309" t="e">
        <f t="shared" si="23"/>
        <v>#N/A</v>
      </c>
    </row>
    <row r="148" spans="2:9">
      <c r="B148" s="1314"/>
    </row>
    <row r="149" spans="2:9">
      <c r="B149" s="1314"/>
    </row>
    <row r="150" spans="2:9">
      <c r="B150" s="1314"/>
    </row>
    <row r="151" spans="2:9">
      <c r="B151" s="1314"/>
    </row>
    <row r="152" spans="2:9">
      <c r="B152" s="1314"/>
    </row>
    <row r="153" spans="2:9">
      <c r="B153" s="1314"/>
    </row>
    <row r="154" spans="2:9">
      <c r="B154" s="1314"/>
    </row>
    <row r="155" spans="2:9">
      <c r="B155" s="1314"/>
    </row>
    <row r="156" spans="2:9">
      <c r="B156" s="1314"/>
    </row>
    <row r="157" spans="2:9">
      <c r="B157" s="1310"/>
    </row>
    <row r="158" spans="2:9">
      <c r="B158" s="1314"/>
    </row>
    <row r="159" spans="2:9">
      <c r="B159" s="1314"/>
    </row>
    <row r="160" spans="2:9">
      <c r="B160" s="1314"/>
    </row>
    <row r="161" spans="2:2">
      <c r="B161" s="1314"/>
    </row>
    <row r="162" spans="2:2">
      <c r="B162" s="1314"/>
    </row>
    <row r="163" spans="2:2">
      <c r="B163" s="1314"/>
    </row>
    <row r="164" spans="2:2">
      <c r="B164" s="1314"/>
    </row>
    <row r="165" spans="2:2">
      <c r="B165" s="1314"/>
    </row>
    <row r="166" spans="2:2">
      <c r="B166" s="1314"/>
    </row>
    <row r="167" spans="2:2">
      <c r="B167" s="1314"/>
    </row>
    <row r="168" spans="2:2">
      <c r="B168" s="1314"/>
    </row>
    <row r="169" spans="2:2">
      <c r="B169" s="1314"/>
    </row>
    <row r="170" spans="2:2">
      <c r="B170" s="1314"/>
    </row>
    <row r="171" spans="2:2">
      <c r="B171" s="1314"/>
    </row>
    <row r="172" spans="2:2">
      <c r="B172" s="1314"/>
    </row>
    <row r="173" spans="2:2">
      <c r="B173" s="1310"/>
    </row>
    <row r="174" spans="2:2">
      <c r="B174" s="1314"/>
    </row>
    <row r="175" spans="2:2">
      <c r="B175" s="1314"/>
    </row>
    <row r="176" spans="2:2">
      <c r="B176" s="1314"/>
    </row>
    <row r="177" spans="2:2">
      <c r="B177" s="1314"/>
    </row>
    <row r="178" spans="2:2">
      <c r="B178" s="1314"/>
    </row>
    <row r="179" spans="2:2">
      <c r="B179" s="1314"/>
    </row>
    <row r="180" spans="2:2">
      <c r="B180" s="1314"/>
    </row>
    <row r="181" spans="2:2">
      <c r="B181" s="1314"/>
    </row>
    <row r="182" spans="2:2">
      <c r="B182" s="1314"/>
    </row>
    <row r="183" spans="2:2">
      <c r="B183" s="1314"/>
    </row>
    <row r="184" spans="2:2">
      <c r="B184" s="1314"/>
    </row>
    <row r="185" spans="2:2">
      <c r="B185" s="1314"/>
    </row>
    <row r="186" spans="2:2">
      <c r="B186" s="1314"/>
    </row>
    <row r="187" spans="2:2">
      <c r="B187" s="1314"/>
    </row>
    <row r="188" spans="2:2">
      <c r="B188" s="1314"/>
    </row>
    <row r="189" spans="2:2">
      <c r="B189" s="1314"/>
    </row>
    <row r="190" spans="2:2">
      <c r="B190" s="1314"/>
    </row>
    <row r="191" spans="2:2">
      <c r="B191" s="1310"/>
    </row>
    <row r="192" spans="2:2">
      <c r="B192" s="1314"/>
    </row>
    <row r="193" spans="2:2">
      <c r="B193" s="1314"/>
    </row>
    <row r="194" spans="2:2">
      <c r="B194" s="1314"/>
    </row>
    <row r="195" spans="2:2">
      <c r="B195" s="1314"/>
    </row>
    <row r="196" spans="2:2">
      <c r="B196" s="1314"/>
    </row>
    <row r="197" spans="2:2">
      <c r="B197" s="1314"/>
    </row>
    <row r="198" spans="2:2">
      <c r="B198" s="1314"/>
    </row>
    <row r="199" spans="2:2">
      <c r="B199" s="1314"/>
    </row>
    <row r="200" spans="2:2">
      <c r="B200" s="1310"/>
    </row>
    <row r="201" spans="2:2">
      <c r="B201" s="1314"/>
    </row>
    <row r="202" spans="2:2">
      <c r="B202" s="1314"/>
    </row>
    <row r="203" spans="2:2">
      <c r="B203" s="1314"/>
    </row>
    <row r="204" spans="2:2">
      <c r="B204" s="1314"/>
    </row>
    <row r="205" spans="2:2">
      <c r="B205" s="1314"/>
    </row>
    <row r="206" spans="2:2">
      <c r="B206" s="1314"/>
    </row>
    <row r="207" spans="2:2">
      <c r="B207" s="1314"/>
    </row>
    <row r="208" spans="2:2">
      <c r="B208" s="1314"/>
    </row>
    <row r="209" spans="2:2">
      <c r="B209" s="1314"/>
    </row>
    <row r="210" spans="2:2">
      <c r="B210" s="1314"/>
    </row>
    <row r="211" spans="2:2">
      <c r="B211" s="1314"/>
    </row>
    <row r="212" spans="2:2">
      <c r="B212" s="1314"/>
    </row>
    <row r="213" spans="2:2">
      <c r="B213" s="1314"/>
    </row>
    <row r="214" spans="2:2">
      <c r="B214" s="1314"/>
    </row>
    <row r="215" spans="2:2">
      <c r="B215" s="1314"/>
    </row>
    <row r="216" spans="2:2">
      <c r="B216" s="1314"/>
    </row>
    <row r="217" spans="2:2">
      <c r="B217" s="1314"/>
    </row>
    <row r="218" spans="2:2">
      <c r="B218" s="1310"/>
    </row>
    <row r="219" spans="2:2">
      <c r="B219" s="1314"/>
    </row>
    <row r="220" spans="2:2">
      <c r="B220" s="1312"/>
    </row>
    <row r="221" spans="2:2">
      <c r="B221" s="1312"/>
    </row>
    <row r="222" spans="2:2">
      <c r="B222" s="1312"/>
    </row>
    <row r="223" spans="2:2">
      <c r="B223" s="1312"/>
    </row>
    <row r="224" spans="2:2">
      <c r="B224" s="1312"/>
    </row>
    <row r="225" spans="2:2">
      <c r="B225" s="1313"/>
    </row>
    <row r="226" spans="2:2">
      <c r="B226" s="1312"/>
    </row>
    <row r="227" spans="2:2">
      <c r="B227" s="1313"/>
    </row>
    <row r="228" spans="2:2">
      <c r="B228" s="1313"/>
    </row>
    <row r="229" spans="2:2">
      <c r="B229" s="1313"/>
    </row>
    <row r="230" spans="2:2">
      <c r="B230" s="1313"/>
    </row>
    <row r="231" spans="2:2">
      <c r="B231" s="1313"/>
    </row>
    <row r="232" spans="2:2">
      <c r="B232" s="1314"/>
    </row>
    <row r="233" spans="2:2">
      <c r="B233" s="1323"/>
    </row>
    <row r="234" spans="2:2">
      <c r="B234" s="1324"/>
    </row>
    <row r="235" spans="2:2">
      <c r="B235" s="1325"/>
    </row>
    <row r="236" spans="2:2">
      <c r="B236" s="1325"/>
    </row>
    <row r="237" spans="2:2">
      <c r="B237" s="1313"/>
    </row>
    <row r="238" spans="2:2">
      <c r="B238" s="1313"/>
    </row>
    <row r="239" spans="2:2">
      <c r="B239" s="1326"/>
    </row>
    <row r="240" spans="2:2">
      <c r="B240" s="1326"/>
    </row>
    <row r="241" spans="2:2">
      <c r="B241" s="1312"/>
    </row>
    <row r="242" spans="2:2">
      <c r="B242" s="1323"/>
    </row>
    <row r="243" spans="2:2">
      <c r="B243" s="1327"/>
    </row>
    <row r="244" spans="2:2">
      <c r="B244" s="1312"/>
    </row>
    <row r="245" spans="2:2">
      <c r="B245" s="1311"/>
    </row>
    <row r="246" spans="2:2">
      <c r="B246" s="1311"/>
    </row>
    <row r="247" spans="2:2">
      <c r="B247" s="1328"/>
    </row>
    <row r="248" spans="2:2">
      <c r="B248" s="1313"/>
    </row>
    <row r="249" spans="2:2">
      <c r="B249" s="1314"/>
    </row>
    <row r="250" spans="2:2">
      <c r="B250" s="1329"/>
    </row>
    <row r="251" spans="2:2">
      <c r="B251" s="1330"/>
    </row>
    <row r="252" spans="2:2">
      <c r="B252" s="1330"/>
    </row>
    <row r="253" spans="2:2">
      <c r="B253" s="1330"/>
    </row>
    <row r="254" spans="2:2">
      <c r="B254" s="1330"/>
    </row>
    <row r="255" spans="2:2">
      <c r="B255" s="1330"/>
    </row>
    <row r="256" spans="2:2">
      <c r="B256" s="1330"/>
    </row>
    <row r="257" spans="2:2">
      <c r="B257" s="1331"/>
    </row>
    <row r="258" spans="2:2">
      <c r="B258" s="1329"/>
    </row>
    <row r="259" spans="2:2">
      <c r="B259" s="1310"/>
    </row>
    <row r="260" spans="2:2">
      <c r="B260" s="1314"/>
    </row>
    <row r="261" spans="2:2">
      <c r="B261" s="1312"/>
    </row>
    <row r="262" spans="2:2">
      <c r="B262" s="1312"/>
    </row>
    <row r="263" spans="2:2">
      <c r="B263" s="1312"/>
    </row>
    <row r="264" spans="2:2">
      <c r="B264" s="1312"/>
    </row>
    <row r="265" spans="2:2">
      <c r="B265" s="1312"/>
    </row>
    <row r="266" spans="2:2">
      <c r="B266" s="1313"/>
    </row>
    <row r="267" spans="2:2">
      <c r="B267" s="1312"/>
    </row>
    <row r="268" spans="2:2">
      <c r="B268" s="1313"/>
    </row>
    <row r="269" spans="2:2">
      <c r="B269" s="1313"/>
    </row>
    <row r="270" spans="2:2">
      <c r="B270" s="1313"/>
    </row>
    <row r="271" spans="2:2">
      <c r="B271" s="1313"/>
    </row>
    <row r="272" spans="2:2">
      <c r="B272" s="1313"/>
    </row>
    <row r="273" spans="2:2">
      <c r="B273" s="1314"/>
    </row>
    <row r="274" spans="2:2">
      <c r="B274" s="1323"/>
    </row>
    <row r="275" spans="2:2">
      <c r="B275" s="1324"/>
    </row>
    <row r="276" spans="2:2">
      <c r="B276" s="1325"/>
    </row>
    <row r="277" spans="2:2">
      <c r="B277" s="1325"/>
    </row>
    <row r="278" spans="2:2">
      <c r="B278" s="1312"/>
    </row>
    <row r="279" spans="2:2">
      <c r="B279" s="1323"/>
    </row>
    <row r="280" spans="2:2">
      <c r="B280" s="1327"/>
    </row>
    <row r="281" spans="2:2">
      <c r="B281" s="1313"/>
    </row>
    <row r="282" spans="2:2">
      <c r="B282" s="1313"/>
    </row>
    <row r="283" spans="2:2">
      <c r="B283" s="1326"/>
    </row>
    <row r="284" spans="2:2">
      <c r="B284" s="1326"/>
    </row>
    <row r="285" spans="2:2">
      <c r="B285" s="1311"/>
    </row>
    <row r="286" spans="2:2">
      <c r="B286" s="1311"/>
    </row>
    <row r="287" spans="2:2">
      <c r="B287" s="1328"/>
    </row>
    <row r="288" spans="2:2">
      <c r="B288" s="1312"/>
    </row>
    <row r="289" spans="2:2">
      <c r="B289" s="1314"/>
    </row>
    <row r="290" spans="2:2">
      <c r="B290" s="1314"/>
    </row>
    <row r="291" spans="2:2">
      <c r="B291" s="1329"/>
    </row>
    <row r="292" spans="2:2">
      <c r="B292" s="1330"/>
    </row>
    <row r="293" spans="2:2">
      <c r="B293" s="1330"/>
    </row>
    <row r="294" spans="2:2">
      <c r="B294" s="1330"/>
    </row>
    <row r="295" spans="2:2">
      <c r="B295" s="1330"/>
    </row>
    <row r="296" spans="2:2">
      <c r="B296" s="1330"/>
    </row>
    <row r="297" spans="2:2">
      <c r="B297" s="1330"/>
    </row>
    <row r="298" spans="2:2">
      <c r="B298" s="1331"/>
    </row>
    <row r="299" spans="2:2">
      <c r="B299" s="1329"/>
    </row>
    <row r="300" spans="2:2">
      <c r="B300" s="1314"/>
    </row>
    <row r="301" spans="2:2">
      <c r="B301" s="1310"/>
    </row>
    <row r="302" spans="2:2">
      <c r="B302" s="1314"/>
    </row>
    <row r="303" spans="2:2">
      <c r="B303" s="1312"/>
    </row>
    <row r="304" spans="2:2">
      <c r="B304" s="1312"/>
    </row>
    <row r="305" spans="2:2">
      <c r="B305" s="1313"/>
    </row>
    <row r="306" spans="2:2">
      <c r="B306" s="1312"/>
    </row>
    <row r="307" spans="2:2">
      <c r="B307" s="1311"/>
    </row>
    <row r="308" spans="2:2">
      <c r="B308" s="1311"/>
    </row>
    <row r="309" spans="2:2">
      <c r="B309" s="1312"/>
    </row>
    <row r="310" spans="2:2">
      <c r="B310" s="1312"/>
    </row>
    <row r="311" spans="2:2">
      <c r="B311" s="1312"/>
    </row>
    <row r="312" spans="2:2">
      <c r="B312" s="1312"/>
    </row>
    <row r="313" spans="2:2">
      <c r="B313" s="1312"/>
    </row>
    <row r="314" spans="2:2">
      <c r="B314" s="1314"/>
    </row>
    <row r="315" spans="2:2">
      <c r="B315" s="1332"/>
    </row>
    <row r="316" spans="2:2">
      <c r="B316" s="1332"/>
    </row>
    <row r="317" spans="2:2">
      <c r="B317" s="1332"/>
    </row>
    <row r="318" spans="2:2">
      <c r="B318" s="1332"/>
    </row>
    <row r="319" spans="2:2">
      <c r="B319" s="1332"/>
    </row>
    <row r="320" spans="2:2">
      <c r="B320" s="1332"/>
    </row>
    <row r="321" spans="1:2">
      <c r="B321" s="1332"/>
    </row>
    <row r="322" spans="1:2">
      <c r="B322" s="1312"/>
    </row>
    <row r="323" spans="1:2">
      <c r="B323" s="1313"/>
    </row>
    <row r="324" spans="1:2">
      <c r="B324" s="1314"/>
    </row>
    <row r="327" spans="1:2">
      <c r="A327" s="1333"/>
      <c r="B327" s="1333"/>
    </row>
    <row r="328" spans="1:2">
      <c r="A328" s="1333"/>
      <c r="B328" s="1333"/>
    </row>
    <row r="329" spans="1:2">
      <c r="A329" s="1333"/>
      <c r="B329" s="1333"/>
    </row>
    <row r="330" spans="1:2">
      <c r="A330" s="1333"/>
      <c r="B330" s="1333"/>
    </row>
    <row r="331" spans="1:2">
      <c r="A331" s="1333"/>
      <c r="B331" s="1333"/>
    </row>
  </sheetData>
  <conditionalFormatting sqref="B98:B118 B192:B193">
    <cfRule type="cellIs" dxfId="12" priority="13" operator="greaterThan">
      <formula>0</formula>
    </cfRule>
  </conditionalFormatting>
  <conditionalFormatting sqref="B140 B120:B131">
    <cfRule type="cellIs" dxfId="11" priority="12" operator="greaterThan">
      <formula>0</formula>
    </cfRule>
  </conditionalFormatting>
  <conditionalFormatting sqref="B142:B156">
    <cfRule type="cellIs" dxfId="10" priority="11" operator="greaterThan">
      <formula>0</formula>
    </cfRule>
  </conditionalFormatting>
  <conditionalFormatting sqref="B158:B172">
    <cfRule type="cellIs" dxfId="9" priority="10" operator="greaterThan">
      <formula>0</formula>
    </cfRule>
  </conditionalFormatting>
  <conditionalFormatting sqref="B174:B190">
    <cfRule type="cellIs" dxfId="8" priority="9" operator="greaterThan">
      <formula>0</formula>
    </cfRule>
  </conditionalFormatting>
  <conditionalFormatting sqref="B194:B199">
    <cfRule type="cellIs" dxfId="7" priority="8" operator="greaterThan">
      <formula>0</formula>
    </cfRule>
  </conditionalFormatting>
  <conditionalFormatting sqref="B201:B217">
    <cfRule type="cellIs" dxfId="6" priority="7" operator="greaterThan">
      <formula>0</formula>
    </cfRule>
  </conditionalFormatting>
  <conditionalFormatting sqref="B132:B133">
    <cfRule type="cellIs" dxfId="5" priority="6" operator="greaterThan">
      <formula>0</formula>
    </cfRule>
  </conditionalFormatting>
  <conditionalFormatting sqref="B134:B135">
    <cfRule type="cellIs" dxfId="4" priority="5" operator="greaterThan">
      <formula>0</formula>
    </cfRule>
  </conditionalFormatting>
  <conditionalFormatting sqref="B136">
    <cfRule type="cellIs" dxfId="3" priority="4" operator="greaterThan">
      <formula>0</formula>
    </cfRule>
  </conditionalFormatting>
  <conditionalFormatting sqref="B137">
    <cfRule type="cellIs" dxfId="2" priority="3" operator="greaterThan">
      <formula>0</formula>
    </cfRule>
  </conditionalFormatting>
  <conditionalFormatting sqref="B138">
    <cfRule type="cellIs" dxfId="1" priority="2" operator="greaterThan">
      <formula>0</formula>
    </cfRule>
  </conditionalFormatting>
  <conditionalFormatting sqref="B139">
    <cfRule type="cellIs" dxfId="0" priority="1" operator="greaterThan">
      <formula>0</formula>
    </cfRule>
  </conditionalFormatting>
  <pageMargins left="0.7" right="0.7" top="0.75" bottom="0.75" header="0.3" footer="0.3"/>
</worksheet>
</file>

<file path=customUI/customUI.xml><?xml version="1.0" encoding="utf-8"?>
<customUI xmlns="http://schemas.microsoft.com/office/2006/01/customui" onLoad="RibbonOnLoad">
  <!-- Add GetVisible to the Home and Review-->
  <!-- And to the Tables group on the Insert tab -->
  <commands>
    <command idMso="FileSendAsAttachment" onAction="PopupQAT"/>
  </commands>
  <ribbon startFromScratch="true">
    <qat>
      <documentControls>
        <!--		<control idQ="FileSave" imageMso="ResultsPaneStartFindAndReplace" /> -->
        <button idQ="FileSendAsAttachment" getVisible="GetVisible" imageMso="ResultsPaneStartFindAndReplace"/>
      </documentControls>
    </qat>
    <tabs>
      <tab idMso="TabInsert" getVisible="GetVisible"/>
      <tab idMso="TabPageLayoutExcel" getVisible="GetVisible"/>
      <tab idMso="TabFormulas" getVisible="GetVisible"/>
      <tab idMso="TabData" getVisible="GetVisible"/>
      <tab idMso="TabView" getVisible="GetVisible"/>
      <tab idMso="TabDeveloper" getVisible="GetVisible"/>
      <tab idMso="TabHome" getVisible="GetVisible"/>
      <tab idMso="TabReview" getVisible="GetVisible"/>
      <tab idMso="TabTeam" getVisible="GetVisible"/>
      <tab idMso="TabAddIns" getVisible="GetVisible" insertAfterMso="TabHome" label="Simulation Menu"/>
      <tab idMso="TabInsert">
        <group idMso="GroupInsertTablesExcel" getVisible="GetVisible"/>
      </tab>
    </tabs>
    <officeMenu>
      <button idMso="FileNew" visible="false"/>
      <button idMso="FileOpen" visible="false"/>
      <button idMso="FileSave" visible="false"/>
      <button idMso="FileSaveAs" getVisible="GetVisible"/>
      <button id="ToolSave" label="Save" onAction="RIBToolSave" imageMso="FileSave"/>
      <dynamicMenu id="dynamicMenu1" insertBeforeMso="FileNew" imageMso="PropertySheet" label="Decisions" getVisible="GetVisible" getContent="GetContent1"/>
      <dynamicMenu id="dynamicMenu2" insertBeforeMso="FileNew" imageMso="ReadingViewShowPrintedPage" label="Reports" getVisible="GetVisible" getContent="GetContent2"/>
      <dynamicMenu id="dynamicMenu3" insertBeforeMso="FileNew" imageMso="AdpDiagramArrangeTables" label="Trees" getVisible="GetVisible" getContent="GetContent3"/>
      <dynamicMenu id="dynamicMenu4" insertBeforeMso="FileNew" imageMso="SmartArtAddBullet" label="Scenarios" getVisible="GetVisible" getContent="GetContent4"/>
      <dynamicMenu id="dynamicMenu5" insertBeforeMso="FileNew" imageMso="ControlsGallery" label="Actions" getVisible="GetVisible" getContent="GetContent5"/>
    </officeMenu>
  </ribbon>
</customUI>
</file>

<file path=customUI/customUI14.xml><?xml version="1.0" encoding="utf-8"?>
<customUI xmlns="http://schemas.microsoft.com/office/2009/07/customui" onLoad="RibbonOnLoad">
  <commands>
    <command idMso="FileSendAsAttachment" onAction="PopupQAT"/>
  </commands>
  <ribbon startFromScratch="true">
    <qat>
      <documentControls>
        <button idQ="FileSendAsAttachment" getVisible="GetVisible" imageMso="ResultsPaneStartFindAndReplace" screentip="Simulation Menu"/>
      </documentControls>
    </qat>
    <tabs>
      <tab idMso="TabInsert" getVisible="GetVisible"/>
      <tab idMso="TabPageLayoutExcel" getVisible="GetVisible"/>
      <tab idMso="TabFormulas" getVisible="GetVisible"/>
      <tab idMso="TabData" getVisible="GetVisible"/>
      <tab idMso="TabView" getVisible="GetVisible"/>
      <tab idMso="TabHome" getVisible="GetVisible">
        <group id="RedoUndo" label="-" insertAfterMso="GroupClipboard">
          <control idMso="Undo"/>
          <control idMso="Redo"/>
        </group>
      </tab>
      <tab idMso="TabDeveloper" getVisible="GetVisible"/>
      <tab idMso="TabReview" getVisible="GetVisible"/>
      <tab idMso="TabTeam" getVisible="GetVisible"/>
      <tab idMso="TabAddIns" getVisible="GetVisible" insertAfterMso="TabHome" label="Simulation Menu"/>
    </tabs>
  </ribbon>
  <backstage>
    <button id="DupFileSave" label="Save" visible="true" imageMso="FileSave" onAction="RIBFileSave" isDefinitive="true" keytip="S"/>
    <button id="DupFileSaveAs" label="SaveAs" getVisible="GetVisible" imageMso="FileSaveAs" onAction="RIBFileSaveAs" isDefinitive="true" keytip="A"/>
    <button id="DupFileOpen" label="Open" getVisible="GetVisible" imageMso="FileOpen" onAction="RIBFileOpen" isDefinitive="true" keytip="O"/>
    <button id="DupFileClose" label="Close" getVisible="GetVisible" imageMso="FileClose" onAction="RIBFileClose" isDefinitive="true" keytip="C"/>
    <button id="DupFileInfo" label="Info" getVisible="GetVisible" imageMso="GroupReportTools" onAction="RIBFileInfo" isDefinitive="true" keytip="I"/>
    <button id="DupFileNew" label="New" getVisible="GetVisible" imageMso="FileNew" onAction="RIBFileNew" isDefinitive="true" keytip="N"/>
    <button id="DupFilePrint" label="Print" getVisible="GetVisible" imageMso="FilePrint" onAction="RIBFilePrint" isDefinitive="true" keytip="P"/>
    <button id="DupFileSaveSend" label="Save and Send" getVisible="GetVisible" imageMso="GroupShareEmail" onAction="RIBFileSaveAndSend" isDefinitive="true" keytip="D"/>
    <button id="DupFileHelp" label="Help" getVisible="GetVisible" imageMso="HelpLaunch" onAction="RIBFileHelp" isDefinitive="true" keytip="H"/>
    <button id="DupFileOptions" label="Options" getVisible="GetVisible" imageMso="ApplicationOptionsDialog" onAction="RIBFileOptions" isDefinitive="true" keytip="T"/>
    <button id="DupFileExit" label="Exit" getVisible="GetVisible" imageMso="CancelEditing" onAction="RIBFileExit" isDefinitive="true" keytip="X"/>
    <button idMso="FileSave" visible="false"/>
    <button idMso="FileSaveAs" visible="false"/>
    <button idMso="FileOpen" visible="false"/>
    <button idMso="FileClose" visible="false"/>
    <button idMso="ApplicationOptionsDialog" visible="false"/>
    <button idMso="FileExit" visible="false"/>
    <tab idMso="TabInfo" visible="false"/>
    <tab idMso="TabRecent" visible="false"/>
    <tab idMso="TabNew" visible="false"/>
    <tab idMso="TabPrint" visible="false"/>
    <tab idMso="TabShare" visible="false"/>
    <tab idMso="TabHelp" visible="false"/>
    <tab id="SimMenu" insertBeforeMso="FileSave" label="BTS Menu" columnWidthPercent="50" getVisible="GetVisible">
      <firstColumn>
        <taskFormGroup id="DecTasksFormGroup">
          <category id="dectasks1" label="Processing" getVisible="GetVisD">
            <task id="dectasks2" description="Select a task:" imageMso="ActiveXCheckBox">
              <group id="dectasksgroup">
                <topItems>
                  <button id="Button121" getLabel="Process1" onAction="RIBProcess1" imageMso="ControlSpecialEffectRaised" isDefinitive="true" style="borderless" getVisible="GetVisP1" getEnabled="GetEnabledP1"/>
                  <button id="Button122" getLabel="Process2" onAction="RIBProcess2" imageMso="ControlSpecialEffectRaised" isDefinitive="true" style="borderless" getVisible="GetVisP2" getEnabled="GetEnabledP2"/>
                  <button id="Button123" getLabel="Process3" onAction="RIBProcess3" imageMso="ControlSpecialEffectRaised" isDefinitive="true" style="borderless" getVisible="GetVisP3" getEnabled="GetEnabledP3"/>
                  <button id="Button124" getLabel="Process4" onAction="RIBProcess4" imageMso="ControlSpecialEffectRaised" isDefinitive="true" style="borderless" getVisible="GetVisP4" getEnabled="GetEnabledP4"/>
                  <button id="Button125" getLabel="Process5" onAction="RIBProcess5" imageMso="ControlSpecialEffectRaised" isDefinitive="true" style="borderless" getVisible="GetVisP5" getEnabled="GetEnabledP5"/>
                  <button id="Button126" getLabel="Process6" onAction="RIBProcess6" imageMso="ControlSpecialEffectRaised" isDefinitive="true" style="borderless" getVisible="GetVisP6" getEnabled="GetEnabledP6"/>
                  <button id="Button127" getLabel="Process7" onAction="RIBProcess7" imageMso="ControlSpecialEffectRaised" isDefinitive="true" style="borderless" getVisible="GetVisP7" getEnabled="GetEnabledP7"/>
                  <button id="Button128" getLabel="Process8" onAction="RIBProcess8" imageMso="ControlSpecialEffectRaised" isDefinitive="true" style="borderless" getVisible="GetVisP8" getEnabled="GetEnabledP8"/>
                  <button id="Button129" getLabel="Process9" onAction="RIBProcess9" imageMso="ControlSpecialEffectRaised" isDefinitive="true" style="borderless" getVisible="GetVisP9" getEnabled="GetEnabledP9"/>
                  <button id="Button130" getLabel="Process10" onAction="RIBProcess10" imageMso="ControlSpecialEffectRaised" isDefinitive="true" style="borderless" getVisible="GetVisP10" getEnabled="GetEnabledP10"/>
                </topItems>
              </group>
            </task>
          </category>
          <category id="dectasks11" label="Setup" getVisible="GetVisD">
            <task id="dectasks12" description="Configure Simulation:" imageMso="AccessFormWizard">
              <group id="dectasksgroup2">
                <topItems>
                  <button id="Button131" getLabel="Configure1" onAction="RIBConfigure1" imageMso="ControlSpecialEffectRaised" isDefinitive="true" style="borderless" getVisible="GetVisCon1" getEnabled="GetEnabledCon1"/>
                  <button id="Button132" getLabel="Configure2" onAction="RIBConfigure2" imageMso="ControlSpecialEffectRaised" isDefinitive="true" style="borderless" getVisible="GetVisCon2" getEnabled="GetEnabledCon2"/>
                  <button id="Button133" getLabel="Configure3" onAction="RIBConfigure3" imageMso="ControlSpecialEffectRaised" isDefinitive="true" style="borderless" getVisible="GetVisCon3" getEnabled="GetEnabledCon3"/>
                  <button id="Button134" getLabel="Configure4" onAction="RIBConfigure4" imageMso="ControlSpecialEffectRaised" isDefinitive="true" style="borderless" getVisible="GetVisCon4" getEnabled="GetEnabledCon4"/>
                  <button id="Button135" getLabel="Configure5" onAction="RIBConfigure5" imageMso="ControlSpecialEffectRaised" isDefinitive="true" style="borderless" getVisible="GetVisCon5" getEnabled="GetEnabledCon5"/>
                  <button id="Button136" getLabel="Configure6" onAction="RIBConfigure6" imageMso="ControlSpecialEffectRaised" isDefinitive="true" style="borderless" getVisible="GetVisCon6" getEnabled="GetEnabledCon6"/>
                  <button id="Button137" getLabel="Configure7" onAction="RIBConfigure7" imageMso="ControlSpecialEffectRaised" isDefinitive="true" style="borderless" getVisible="GetVisCon7" getEnabled="GetEnabledCon7"/>
                  <button id="Button138" getLabel="Configure8" onAction="RIBConfigure8" imageMso="ControlSpecialEffectRaised" isDefinitive="true" style="borderless" getVisible="GetVisCon8" getEnabled="GetEnabledCon8"/>
                  <button id="Button139" getLabel="Configure9" onAction="RIBConfigure9" imageMso="ControlSpecialEffectRaised" isDefinitive="true" style="borderless" getVisible="GetVisCon9" getEnabled="GetEnabledCon9"/>
                  <button id="Button140" getLabel="Configure10" onAction="RIBConfigure10" imageMso="ControlSpecialEffectRaised" isDefinitive="true" style="borderless" getVisible="GetVisCon10" getEnabled="GetEnabledCon10"/>
                  <button id="Button142" getLabel="Configure11" onAction="RIBConfigure11" imageMso="ControlSpecialEffectRaised" isDefinitive="true" style="borderless" getVisible="GetVisCon11" getEnabled="GetEnabledCon11"/>
                </topItems>
              </group>
            </task>
          </category>
        </taskFormGroup>
      </firstColumn>
      <secondColumn>
        <group id="DecisionsGrp2" label="Developer Tools" getVisible="GetVisA">
          <topItems>
            <layoutContainer id="layout212" layoutChildren="vertical">
              <button id="Button151" getLabel="Tools1" onAction="RIBTools1" isDefinitive="true" imageMso="ControlSpecialEffectRaised" style="borderless" getVisible="GetVisTools1" getEnabled="GetEnabledTools1"/>
              <button id="Button152" getLabel="Tools2" onAction="RIBTools2" isDefinitive="true" imageMso="ControlSpecialEffectRaised" style="borderless" getVisible="GetVisTools2" getEnabled="GetEnabledTools2"/>
              <button id="Button153" getLabel="Tools3" onAction="RIBTools3" isDefinitive="true" imageMso="ControlSpecialEffectRaised" style="borderless" getVisible="GetVisTools3" getEnabled="GetEnabledTools3"/>
              <button id="Button154" getLabel="Tools4" onAction="RIBTools4" isDefinitive="true" imageMso="ControlSpecialEffectRaised" style="borderless" getVisible="GetVisTools4" getEnabled="GetEnabledTools4"/>
              <button id="Button155" getLabel="Tools5" onAction="RIBTools5" isDefinitive="true" imageMso="ControlSpecialEffectRaised" style="borderless" getVisible="GetVisTools5" getEnabled="GetEnabledTools5"/>
              <button id="Button156" getLabel="Tools6" onAction="RIBTools6" isDefinitive="true" imageMso="ControlSpecialEffectRaised" style="borderless" getVisible="GetVisTools6" getEnabled="GetEnabledTools6"/>
              <button id="Button157" getLabel="Tools7" onAction="RIBTools7" isDefinitive="true" imageMso="ControlSpecialEffectRaised" style="borderless" getVisible="GetVisTools7" getEnabled="GetEnabledTools7"/>
              <button id="Button158" getLabel="Tools8" onAction="RIBTools8" isDefinitive="true" imageMso="ControlSpecialEffectRaised" style="borderless" getVisible="GetVisTools8" getEnabled="GetEnabledTools8"/>
              <button id="Button159" getLabel="Tools9" onAction="RIBTools9" isDefinitive="true" imageMso="ControlSpecialEffectRaised" style="borderless" getVisible="GetVisTools9" getEnabled="GetEnabledTools9"/>
            </layoutContainer>
          </topItems>
        </group>
      </secondColumn>
    </tab>
    <tab id="FileMenuBar" insertBeforeMso="FileSave" label="Simulation Menu" columnWidthPercent="50" getVisible="GetVisible">
      <firstColumn>
        <taskFormGroup id="teamTaskFormGroup">
          <category id="engineeringTeamCategory" label="Decisions" getVisible="GetVisD">
            <task id="engineeringTeamTasks" description="Please select a decision screen:" imageMso="PropertySheet">
              <group id="engineeringTeamTasksGroup">
                <topItems>
                  <button id="Button1" getLabel="Decisions1" onAction="RIBDecisions1" imageMso="ControlSpecialEffectRaised" isDefinitive="true" style="borderless" getVisible="GetVisD1" getEnabled="GetEnabledD1"/>
                  <button id="Button2" getLabel="Decisions2" onAction="RIBDecisions2" imageMso="ControlSpecialEffectRaised" isDefinitive="true" style="borderless" getVisible="GetVisD2" getEnabled="GetEnabledD2"/>
                  <button id="Button3" getLabel="Decisions3" onAction="RIBDecisions3" imageMso="ControlSpecialEffectRaised" isDefinitive="true" style="borderless" getVisible="GetVisD3" getEnabled="GetEnabledD3"/>
                  <button id="Button4" getLabel="Decisions4" onAction="RIBDecisions4" imageMso="ControlSpecialEffectRaised" isDefinitive="true" style="borderless" getVisible="GetVisD4" getEnabled="GetEnabledD4"/>
                  <button id="Button5" getLabel="Decisions5" onAction="RIBDecisions5" imageMso="ControlSpecialEffectRaised" isDefinitive="true" style="borderless" getVisible="GetVisD5" getEnabled="GetEnabledD5"/>
                  <button id="Button6" getLabel="Decisions6" onAction="RIBDecisions6" imageMso="ControlSpecialEffectRaised" isDefinitive="true" style="borderless" getVisible="GetVisD6" getEnabled="GetEnabledD6"/>
                  <button id="Button7" getLabel="Decisions7" onAction="RIBDecisions7" imageMso="ControlSpecialEffectRaised" isDefinitive="true" style="borderless" getVisible="GetVisD7" getEnabled="GetEnabledD7"/>
                  <button id="Button8" getLabel="Decisions8" onAction="RIBDecisions8" imageMso="ControlSpecialEffectRaised" isDefinitive="true" style="borderless" getVisible="GetVisD8" getEnabled="GetEnabledD8"/>
                </topItems>
              </group>
            </task>
          </category>
          <category id="manufacturingTeamCategory" label="Reports" getVisible="GetVisR">
            <task id="manufacturingTeamTasks" description="Select a report to view:" imageMso="ReadingViewShowPrintedPage">
              <group id="manufacturingTeamTasksGroup" getStyle="GetReportsStyle" getHelperText="GetReportsHelperText">
                <topItems>
                  <button id="Button61" getLabel="Reports1" onAction="RIBReports1" imageMso="ControlSpecialEffectRaised" isDefinitive="true" style="borderless" getVisible="GetVisR1" getEnabled="GetEnabledR1"/>
                  <button id="Button62" getLabel="Reports2" onAction="RIBReports2" imageMso="ControlSpecialEffectRaised" isDefinitive="true" style="borderless" getVisible="GetVisR2" getEnabled="GetEnabledR2"/>
                  <button id="Button63" getLabel="Reports3" onAction="RIBReports3" imageMso="ControlSpecialEffectRaised" isDefinitive="true" style="borderless" getVisible="GetVisR3" getEnabled="GetEnabledR3"/>
                </topItems>
              </group>
            </task>
          </category>
          <category id="marketingTeamCategory" label="Trees" getVisible="GetVisT">
            <task id="marketingTeamTasks" description="Select a tree to view:" imageMso="AdpDiagramArrangeTables">
              <group id="marketingTeamTasksGroup">
                <topItems>
                  <button id="concepts" getLabel="Trees1" onAction="RIBTrees1" imageMso="ControlSpecialEffectRaised" isDefinitive="true" style="borderless"/>
                </topItems>
              </group>
            </task>
          </category>
        </taskFormGroup>
      </firstColumn>
      <secondColumn>
        <group id="DecisionsGrp" label="Actions" getVisible="GetVisA">
          <topItems>
            <layoutContainer id="layout1" layoutChildren="vertical">
              <button id="Button41" getLabel="Actions1" onAction="RIBActions1" isDefinitive="true" imageMso="ControlSpecialEffectRaised" style="borderless" getVisible="GetVisA1" getEnabled="GetEnabledA1"/>
              <button id="Button42" getLabel="Actions2" onAction="RIBActions2" isDefinitive="true" imageMso="ControlSpecialEffectRaised" style="borderless" getVisible="GetVisA2" getEnabled="GetEnabledA2"/>
              <button id="Button43" getLabel="Actions3" onAction="RIBActions3" isDefinitive="true" imageMso="ControlSpecialEffectRaised" style="borderless" getVisible="GetVisA3" getEnabled="GetEnabledA3"/>
              <button id="Button44" getLabel="Actions4" onAction="RIBActions4" isDefinitive="true" imageMso="ControlSpecialEffectRaised" style="borderless" getVisible="GetVisA4" getEnabled="GetEnabledA4"/>
              <button id="Button45" getLabel="Actions5" onAction="RIBActions5" isDefinitive="true" imageMso="ControlSpecialEffectRaised" style="borderless" getVisible="GetVisA5" getEnabled="GetEnabledA5"/>
              <button id="Button47" getLabel="Actions6" onAction="RIBActions6" isDefinitive="true" imageMso="ControlSpecialEffectRaised" style="borderless" getVisible="GetVisA6" getEnabled="GetEnabledA6"/>
            </layoutContainer>
          </topItems>
        </group>
        <group id="CommentsGrp" label="Comments" getVisible="GetVisC">
          <topItems>
            <layoutContainer id="layout11" layoutChildren="horizontal">
              <button id="Button111" getLabel="Comments1" onAction="RIBComments1" isDefinitive="true" imageMso="ControlSpecialEffectRaised" style="borderless" getVisible="GetVisC1" getEnabled="GetEnabledC1"/>
              <button id="Button112" getLabel="Comments2" onAction="RIBComments2" isDefinitive="true" imageMso="ControlSpecialEffectRaised" style="borderless" getVisible="GetVisC2" getEnabled="GetEnabledC2"/>
            </layoutContainer>
          </topItems>
        </group>
        <group id="ScenariosGrp" label="Scenarios" getVisible="GetVisS">
          <bottomItems>
            <layoutContainer id="layout7" layoutChildren="horizontal">
              <button id="Button71" getLabel="Scenarios1" onAction="RIBScenarios1" isDefinitive="true" imageMso="ControlSpecialEffectRaised" style="borderless" getVisible="GetVisS1" getEnabled="GetEnabledS1"/>
            </layoutContainer>
            <layoutContainer id="layout8" layoutChildren="horizontal">
              <button id="Button81" getLabel="Scenarios2" onAction="RIBScenarios2" isDefinitive="true" imageMso="ControlSpecialEffectRaised" style="borderless" getVisible="GetVisS2" getEnabled="GetEnabledS2"/>
              <button id="Button82" getLabel="Scenarios3" onAction="RIBScenarios3" isDefinitive="true" imageMso="ControlSpecialEffectRaised" style="borderless" getVisible="GetVisS3" getEnabled="GetEnabledS3"/>
            </layoutContainer>
            <layoutContainer id="layout9" layoutChildren="horizontal">
              <button id="Button91" getLabel="Scenarios4" onAction="RIBScenarios4" isDefinitive="true" imageMso="ControlSpecialEffectRaised" style="borderless" getVisible="GetVisS4" getEnabled="GetEnabledS4"/>
              <button id="Button92" getLabel="Scenarios5" onAction="RIBActions1" isDefinitive="true" imageMso="ControlSpecialEffectRaised" style="borderless" getVisible="GetVisS5" getEnabled="GetEnabledS5"/>
            </layoutContainer>
            <layoutContainer id="layout10" layoutChildren="horizontal">
              <button id="Button101" getLabel="Scenarios6" onAction="RIBScenariso6" isDefinitive="true" imageMso="ControlSpecialEffectRaised" style="borderless" getVisible="GetVisS6" getEnabled="GetEnabledS6"/>
              <button id="Button102" getLabel="Scenarios7" onAction="RIBScenarios7" isDefinitive="true" imageMso="ControlSpecialEffectRaised" style="borderless" getVisible="GetVisS7" getEnabled="GetEnabledS7"/>
            </layoutContainer>
          </bottomItems>
        </group>
      </secondColumn>
    </tab>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3411</vt:i4>
      </vt:variant>
    </vt:vector>
  </HeadingPairs>
  <TitlesOfParts>
    <vt:vector size="3445" baseType="lpstr">
      <vt:lpstr>Checker</vt:lpstr>
      <vt:lpstr>FixList</vt:lpstr>
      <vt:lpstr>Controls</vt:lpstr>
      <vt:lpstr>toolIntro</vt:lpstr>
      <vt:lpstr>toolPNL</vt:lpstr>
      <vt:lpstr>toolBalSheet</vt:lpstr>
      <vt:lpstr>toolCashFlow</vt:lpstr>
      <vt:lpstr>toolProfitTree</vt:lpstr>
      <vt:lpstr>toolEvents</vt:lpstr>
      <vt:lpstr>toolProd1Forecast</vt:lpstr>
      <vt:lpstr>toolProd2Forecast</vt:lpstr>
      <vt:lpstr>toolRD</vt:lpstr>
      <vt:lpstr>toolContent</vt:lpstr>
      <vt:lpstr>toolPeople</vt:lpstr>
      <vt:lpstr>toolOperations</vt:lpstr>
      <vt:lpstr>webToolOutputs</vt:lpstr>
      <vt:lpstr>toolPrograms</vt:lpstr>
      <vt:lpstr>Competitor</vt:lpstr>
      <vt:lpstr>Analysis</vt:lpstr>
      <vt:lpstr>dec</vt:lpstr>
      <vt:lpstr>obal</vt:lpstr>
      <vt:lpstr>cbal</vt:lpstr>
      <vt:lpstr>cap</vt:lpstr>
      <vt:lpstr>fin</vt:lpstr>
      <vt:lpstr>adj</vt:lpstr>
      <vt:lpstr>param</vt:lpstr>
      <vt:lpstr>mmProd1</vt:lpstr>
      <vt:lpstr>mmProd2</vt:lpstr>
      <vt:lpstr>DataPage</vt:lpstr>
      <vt:lpstr>feedback</vt:lpstr>
      <vt:lpstr>feedbackTS</vt:lpstr>
      <vt:lpstr>RAWData</vt:lpstr>
      <vt:lpstr>AnalyFormat</vt:lpstr>
      <vt:lpstr>FBFormat</vt:lpstr>
      <vt:lpstr>adjEvtName101</vt:lpstr>
      <vt:lpstr>adjEvtName102</vt:lpstr>
      <vt:lpstr>adjEvtName103</vt:lpstr>
      <vt:lpstr>adjEvtName201</vt:lpstr>
      <vt:lpstr>adjEvtName202</vt:lpstr>
      <vt:lpstr>adjEvtName203</vt:lpstr>
      <vt:lpstr>adjEvtName301</vt:lpstr>
      <vt:lpstr>adjEvtName302</vt:lpstr>
      <vt:lpstr>adjEvtName401</vt:lpstr>
      <vt:lpstr>adjEvtName402</vt:lpstr>
      <vt:lpstr>adjEvtName403</vt:lpstr>
      <vt:lpstr>adjEvtName501</vt:lpstr>
      <vt:lpstr>adjEvtName502</vt:lpstr>
      <vt:lpstr>adjEvtName503</vt:lpstr>
      <vt:lpstr>adjEvtName601</vt:lpstr>
      <vt:lpstr>adjEvtName602</vt:lpstr>
      <vt:lpstr>adjEvtName603</vt:lpstr>
      <vt:lpstr>adjEvtName701</vt:lpstr>
      <vt:lpstr>adjEvtName702</vt:lpstr>
      <vt:lpstr>adjEvtName703</vt:lpstr>
      <vt:lpstr>adjEvtName801</vt:lpstr>
      <vt:lpstr>adjEvtName802</vt:lpstr>
      <vt:lpstr>adjEvtName803</vt:lpstr>
      <vt:lpstr>adjEvtName901</vt:lpstr>
      <vt:lpstr>adjEvtName902</vt:lpstr>
      <vt:lpstr>adjSpecProgName1</vt:lpstr>
      <vt:lpstr>adjSpecProgName10</vt:lpstr>
      <vt:lpstr>adjSpecProgName11</vt:lpstr>
      <vt:lpstr>adjSpecProgName12</vt:lpstr>
      <vt:lpstr>adjSpecProgName13</vt:lpstr>
      <vt:lpstr>adjSpecProgName14</vt:lpstr>
      <vt:lpstr>adjSpecProgName15</vt:lpstr>
      <vt:lpstr>adjSpecProgName16</vt:lpstr>
      <vt:lpstr>adjSpecProgName17</vt:lpstr>
      <vt:lpstr>adjSpecProgName18</vt:lpstr>
      <vt:lpstr>adjSpecProgName19</vt:lpstr>
      <vt:lpstr>adjSpecProgName2</vt:lpstr>
      <vt:lpstr>adjSpecProgName20</vt:lpstr>
      <vt:lpstr>adjSpecProgName21</vt:lpstr>
      <vt:lpstr>adjSpecProgName22</vt:lpstr>
      <vt:lpstr>adjSpecProgName3</vt:lpstr>
      <vt:lpstr>adjSpecProgName4</vt:lpstr>
      <vt:lpstr>adjSpecProgName5</vt:lpstr>
      <vt:lpstr>adjSpecProgName6</vt:lpstr>
      <vt:lpstr>adjSpecProgName7</vt:lpstr>
      <vt:lpstr>adjSpecProgName8</vt:lpstr>
      <vt:lpstr>adjSpecProgName9</vt:lpstr>
      <vt:lpstr>adjTableInitImpacts</vt:lpstr>
      <vt:lpstr>analyCashOI</vt:lpstr>
      <vt:lpstr>analyDataImport</vt:lpstr>
      <vt:lpstr>analyRank</vt:lpstr>
      <vt:lpstr>analyWinMetric</vt:lpstr>
      <vt:lpstr>analyWinMetricAvg</vt:lpstr>
      <vt:lpstr>analyWinMetricLastYear</vt:lpstr>
      <vt:lpstr>analyWinMetricYr0</vt:lpstr>
      <vt:lpstr>analyWinMetricYr1</vt:lpstr>
      <vt:lpstr>analyWinMetricYr2</vt:lpstr>
      <vt:lpstr>analyWinMetricYr3</vt:lpstr>
      <vt:lpstr>AReporttooBalSheet</vt:lpstr>
      <vt:lpstr>AReporttoolAnalysis</vt:lpstr>
      <vt:lpstr>AReporttoolCashFlow</vt:lpstr>
      <vt:lpstr>AReporttoolCompetitor</vt:lpstr>
      <vt:lpstr>AReporttoolPNL</vt:lpstr>
      <vt:lpstr>AReporttoolPrograms</vt:lpstr>
      <vt:lpstr>capAcquistionCapEx</vt:lpstr>
      <vt:lpstr>capContentEmp1Req</vt:lpstr>
      <vt:lpstr>capCorporateEmp1Req</vt:lpstr>
      <vt:lpstr>capCorporateEmp2Req</vt:lpstr>
      <vt:lpstr>capCSAT</vt:lpstr>
      <vt:lpstr>capCSATMax</vt:lpstr>
      <vt:lpstr>capCSATProd1Pricing</vt:lpstr>
      <vt:lpstr>capCSATProd2Pricing</vt:lpstr>
      <vt:lpstr>capCSATTechnology</vt:lpstr>
      <vt:lpstr>capCSATTechnologyLastYr</vt:lpstr>
      <vt:lpstr>capCurYearInitsRemaining</vt:lpstr>
      <vt:lpstr>capCustomerService</vt:lpstr>
      <vt:lpstr>capDC3rdPartyESATImpact</vt:lpstr>
      <vt:lpstr>capDC3rdPartyTrigger</vt:lpstr>
      <vt:lpstr>capDCEmp2Req</vt:lpstr>
      <vt:lpstr>capEmp1AdminExp</vt:lpstr>
      <vt:lpstr>capEmp1AllocDevProd1</vt:lpstr>
      <vt:lpstr>capEmp1AllocDevProd2</vt:lpstr>
      <vt:lpstr>capEmp1AllocProd1</vt:lpstr>
      <vt:lpstr>capEmp1AllocProd2</vt:lpstr>
      <vt:lpstr>capEmp1Att</vt:lpstr>
      <vt:lpstr>capEmp1Dismissed</vt:lpstr>
      <vt:lpstr>capEmp1End</vt:lpstr>
      <vt:lpstr>capEmp1ExCapCost</vt:lpstr>
      <vt:lpstr>capEmp1Exp</vt:lpstr>
      <vt:lpstr>capEmp1FTERemaining</vt:lpstr>
      <vt:lpstr>capEmp1HoursDelivered</vt:lpstr>
      <vt:lpstr>capEmp1HoursReq</vt:lpstr>
      <vt:lpstr>capEmp1OTCost</vt:lpstr>
      <vt:lpstr>capEmp1RecDismExp</vt:lpstr>
      <vt:lpstr>capEmp1Recruited</vt:lpstr>
      <vt:lpstr>capEmp1Req</vt:lpstr>
      <vt:lpstr>capEmp1TrainingExp</vt:lpstr>
      <vt:lpstr>capEmp1Utiliz</vt:lpstr>
      <vt:lpstr>capEmp2AdminExp</vt:lpstr>
      <vt:lpstr>capEmp2AllocProd1</vt:lpstr>
      <vt:lpstr>capEmp2AllocProd2</vt:lpstr>
      <vt:lpstr>capEmp2Att</vt:lpstr>
      <vt:lpstr>capEmp2Dismiss</vt:lpstr>
      <vt:lpstr>capEmp2End</vt:lpstr>
      <vt:lpstr>capEmp2ExCapCost</vt:lpstr>
      <vt:lpstr>capEmp2Exp</vt:lpstr>
      <vt:lpstr>capEmp2OTCost</vt:lpstr>
      <vt:lpstr>capEmp2RecDismExp</vt:lpstr>
      <vt:lpstr>capEmp2Recruit</vt:lpstr>
      <vt:lpstr>capEmp2Req</vt:lpstr>
      <vt:lpstr>capEmp2Utiliz</vt:lpstr>
      <vt:lpstr>capEmp3AdminExp</vt:lpstr>
      <vt:lpstr>capEmp3AllocProd1</vt:lpstr>
      <vt:lpstr>capEmp3AllocProd2</vt:lpstr>
      <vt:lpstr>capEmp3Att</vt:lpstr>
      <vt:lpstr>capEmp3Dismiss</vt:lpstr>
      <vt:lpstr>capEmp3End</vt:lpstr>
      <vt:lpstr>capEmp3ExCapCost</vt:lpstr>
      <vt:lpstr>capEmp3Exp</vt:lpstr>
      <vt:lpstr>capEmp3HoursReq</vt:lpstr>
      <vt:lpstr>capEmp3OTCost</vt:lpstr>
      <vt:lpstr>capEmp3RecDismExp</vt:lpstr>
      <vt:lpstr>capEmp3Recruit</vt:lpstr>
      <vt:lpstr>capEmp3Utiliz</vt:lpstr>
      <vt:lpstr>capESAT</vt:lpstr>
      <vt:lpstr>capESATMax</vt:lpstr>
      <vt:lpstr>capEventFTEs</vt:lpstr>
      <vt:lpstr>capEventsEmp1Req</vt:lpstr>
      <vt:lpstr>capGlobalEmp2Req</vt:lpstr>
      <vt:lpstr>capGlobalExpansionCapEx</vt:lpstr>
      <vt:lpstr>capGlobalExpansionEmp1Req</vt:lpstr>
      <vt:lpstr>capInitCheckYr1</vt:lpstr>
      <vt:lpstr>capInitCheckYr2</vt:lpstr>
      <vt:lpstr>capInitCheckYr3</vt:lpstr>
      <vt:lpstr>capInitsEmp1Req</vt:lpstr>
      <vt:lpstr>capInitsProd1Emp1Req</vt:lpstr>
      <vt:lpstr>capInitsProd2Emp1Req</vt:lpstr>
      <vt:lpstr>capInternalContentDevExp</vt:lpstr>
      <vt:lpstr>capPlan1UnitsReq</vt:lpstr>
      <vt:lpstr>capPlant1AllocDepExp</vt:lpstr>
      <vt:lpstr>capPlant1AllocFixedExp</vt:lpstr>
      <vt:lpstr>capPlant1CapacityReq</vt:lpstr>
      <vt:lpstr>capPlant1CapitalLoss</vt:lpstr>
      <vt:lpstr>capPlant1Consolidate</vt:lpstr>
      <vt:lpstr>capPlant1ConsolidateCapacity</vt:lpstr>
      <vt:lpstr>capPlant1ConsolidateLabor</vt:lpstr>
      <vt:lpstr>capPlant1ConsolidateMachHrs</vt:lpstr>
      <vt:lpstr>capPlant1ConsolidationEmp1Req</vt:lpstr>
      <vt:lpstr>capPlant1Depreciation</vt:lpstr>
      <vt:lpstr>capPlant1Divestment</vt:lpstr>
      <vt:lpstr>capPlant1DivestmentRevenue</vt:lpstr>
      <vt:lpstr>capPlant1DivestmentValue</vt:lpstr>
      <vt:lpstr>capPlant1HoursAvl</vt:lpstr>
      <vt:lpstr>capPlant1Investment</vt:lpstr>
      <vt:lpstr>capPlant1MachCost</vt:lpstr>
      <vt:lpstr>capPlant1Prod1CapacityReq</vt:lpstr>
      <vt:lpstr>capPlant1Prod1DepExp</vt:lpstr>
      <vt:lpstr>capPlant1Prod1FixedExp</vt:lpstr>
      <vt:lpstr>capPlant1Prod1FixedExp3rdParty</vt:lpstr>
      <vt:lpstr>capPlant1Prod1TechCapacityReq</vt:lpstr>
      <vt:lpstr>capPlant1Prod1Utilization</vt:lpstr>
      <vt:lpstr>capPlant1Prod2CapacityReq</vt:lpstr>
      <vt:lpstr>capPlant1Prod2DepExp</vt:lpstr>
      <vt:lpstr>capPlant1Prod2FixedExp</vt:lpstr>
      <vt:lpstr>capPlant1Prod2FixedExp3rdParty</vt:lpstr>
      <vt:lpstr>capPlant1Prod2TechCapacityReq</vt:lpstr>
      <vt:lpstr>capPlant1Prod2Utilization</vt:lpstr>
      <vt:lpstr>capPlant1UnAllocFixedExp</vt:lpstr>
      <vt:lpstr>capPlant1UnitsAvail</vt:lpstr>
      <vt:lpstr>capPlant1UnitsEnd</vt:lpstr>
      <vt:lpstr>capPlant1UnitsSold</vt:lpstr>
      <vt:lpstr>capPlant1Utiliz</vt:lpstr>
      <vt:lpstr>capPlant2AllocDepExp</vt:lpstr>
      <vt:lpstr>capPlant2AllocFixedExp</vt:lpstr>
      <vt:lpstr>capPlant2CapitalLoss</vt:lpstr>
      <vt:lpstr>capPlant2CorpCapacityReq</vt:lpstr>
      <vt:lpstr>capPlant2Depreciation</vt:lpstr>
      <vt:lpstr>capPlant2DivestmentRevenue</vt:lpstr>
      <vt:lpstr>capPlant2DivestmentValue</vt:lpstr>
      <vt:lpstr>capPlant2FTECapacityReq</vt:lpstr>
      <vt:lpstr>capPlant2GlobalCapacityReq</vt:lpstr>
      <vt:lpstr>capPlant2Investment</vt:lpstr>
      <vt:lpstr>capPlant2MachCost</vt:lpstr>
      <vt:lpstr>capPlant2Prod1CapacityReq</vt:lpstr>
      <vt:lpstr>capPlant2Prod1DepExp</vt:lpstr>
      <vt:lpstr>capPlant2Prod1FixedExp</vt:lpstr>
      <vt:lpstr>capPlant2Prod1Utilization</vt:lpstr>
      <vt:lpstr>capPlant2Prod2CapacityReq</vt:lpstr>
      <vt:lpstr>capPlant2Prod2DepExp</vt:lpstr>
      <vt:lpstr>capPlant2Prod2FixedExp</vt:lpstr>
      <vt:lpstr>capPlant2Prod2Utilization</vt:lpstr>
      <vt:lpstr>capPlant2UnitsBought</vt:lpstr>
      <vt:lpstr>capPlant2UnitsEnd</vt:lpstr>
      <vt:lpstr>capPlant2UnitsReq</vt:lpstr>
      <vt:lpstr>capPlant2UnitsSold</vt:lpstr>
      <vt:lpstr>capPlant2Utiliz</vt:lpstr>
      <vt:lpstr>capProd1CancellationRate</vt:lpstr>
      <vt:lpstr>capProd1Cancellations</vt:lpstr>
      <vt:lpstr>capProd1CancelledSales</vt:lpstr>
      <vt:lpstr>capProd1Emp1AdminExp</vt:lpstr>
      <vt:lpstr>capProd1Emp1DevExp</vt:lpstr>
      <vt:lpstr>capProd1Emp1Exp</vt:lpstr>
      <vt:lpstr>capProd1Emp1NonCapAllocProd1</vt:lpstr>
      <vt:lpstr>capProd1Emp1NonCapFTEs</vt:lpstr>
      <vt:lpstr>capProd1Emp1RecDismExp</vt:lpstr>
      <vt:lpstr>capProd1Emp1Req</vt:lpstr>
      <vt:lpstr>capProd1Emp1SoftwareInvestment</vt:lpstr>
      <vt:lpstr>capProd1Emp2AdminExp</vt:lpstr>
      <vt:lpstr>capProd1Emp2Exp</vt:lpstr>
      <vt:lpstr>capProd1Emp2RecDismExp</vt:lpstr>
      <vt:lpstr>capProd1Emp2Req</vt:lpstr>
      <vt:lpstr>capProd1Emp3AdminExp</vt:lpstr>
      <vt:lpstr>capProd1Emp3Exp</vt:lpstr>
      <vt:lpstr>capProd1Emp3HoursReq</vt:lpstr>
      <vt:lpstr>capProd1Emp3RecDismExp</vt:lpstr>
      <vt:lpstr>capProd1EndSubs</vt:lpstr>
      <vt:lpstr>capProd1ExtFTESoftwareInvestment</vt:lpstr>
      <vt:lpstr>capProd1Ftr1Emp1Req</vt:lpstr>
      <vt:lpstr>capProd1Ftr1TTMEmp1Req</vt:lpstr>
      <vt:lpstr>capProd1GGORevenue</vt:lpstr>
      <vt:lpstr>capProd1InternalDevelopmentBaseExp</vt:lpstr>
      <vt:lpstr>capProd1NetNewSales</vt:lpstr>
      <vt:lpstr>capProd1NetNewSubs</vt:lpstr>
      <vt:lpstr>capProd1NewSales</vt:lpstr>
      <vt:lpstr>capProd1NewSubs</vt:lpstr>
      <vt:lpstr>capProd1OpenSubs</vt:lpstr>
      <vt:lpstr>capProd1OutsideServiceBaseExp</vt:lpstr>
      <vt:lpstr>capProd1ServiceContracts</vt:lpstr>
      <vt:lpstr>capProd1ServiceSales</vt:lpstr>
      <vt:lpstr>capProd1SoftwareAmortization</vt:lpstr>
      <vt:lpstr>capProd1SoftwareInvestment</vt:lpstr>
      <vt:lpstr>capProd1SpecProgExp</vt:lpstr>
      <vt:lpstr>capProd1SubCancellationRate</vt:lpstr>
      <vt:lpstr>capProd1SubGrowth</vt:lpstr>
      <vt:lpstr>capProd1ThirdPartyPerc</vt:lpstr>
      <vt:lpstr>capProd1TrainingExp</vt:lpstr>
      <vt:lpstr>capProd1TTM</vt:lpstr>
      <vt:lpstr>capProd2CancellationRate</vt:lpstr>
      <vt:lpstr>capProd2Cancellations</vt:lpstr>
      <vt:lpstr>capProd2CancelledSales</vt:lpstr>
      <vt:lpstr>capProd2Emp1AdminExp</vt:lpstr>
      <vt:lpstr>capProd2Emp1DevExp</vt:lpstr>
      <vt:lpstr>capProd2Emp1Exp</vt:lpstr>
      <vt:lpstr>capProd2Emp1NonCapAllocProd1</vt:lpstr>
      <vt:lpstr>capProd2Emp1NonCapFTEs</vt:lpstr>
      <vt:lpstr>capProd2Emp1RecDismExp</vt:lpstr>
      <vt:lpstr>capProd2Emp1Req</vt:lpstr>
      <vt:lpstr>capProd2Emp1SoftwareInvestment</vt:lpstr>
      <vt:lpstr>capProd2Emp2AdminExp</vt:lpstr>
      <vt:lpstr>capProd2Emp2Exp</vt:lpstr>
      <vt:lpstr>capProd2Emp2RecDismExp</vt:lpstr>
      <vt:lpstr>capProd2Emp2Req</vt:lpstr>
      <vt:lpstr>capProd2Emp3AdminExp</vt:lpstr>
      <vt:lpstr>capProd2Emp3Exp</vt:lpstr>
      <vt:lpstr>capProd2Emp3HoursReq</vt:lpstr>
      <vt:lpstr>capProd2Emp3RecDismExp</vt:lpstr>
      <vt:lpstr>capProd2EndSubs</vt:lpstr>
      <vt:lpstr>capProd2ExtFTESoftwareInvestment</vt:lpstr>
      <vt:lpstr>capProd2Ftr1Emp1Req</vt:lpstr>
      <vt:lpstr>capProd2Ftr1TTMEmp1Req</vt:lpstr>
      <vt:lpstr>capProd2GGORevenue</vt:lpstr>
      <vt:lpstr>capProd2InternalDevelopmentBaseExp</vt:lpstr>
      <vt:lpstr>capProd2NetNewSales</vt:lpstr>
      <vt:lpstr>capProd2NetNewSubs</vt:lpstr>
      <vt:lpstr>capProd2NewSales</vt:lpstr>
      <vt:lpstr>capProd2NewSubs</vt:lpstr>
      <vt:lpstr>capProd2OpenSubs</vt:lpstr>
      <vt:lpstr>capProd2OutsideServiceBaseExp</vt:lpstr>
      <vt:lpstr>capProd2ServiceContracts</vt:lpstr>
      <vt:lpstr>capProd2ServiceSales</vt:lpstr>
      <vt:lpstr>capProd2SoftwareAmortization</vt:lpstr>
      <vt:lpstr>capProd2SoftwareInvestment</vt:lpstr>
      <vt:lpstr>capProd2SpecProgExp</vt:lpstr>
      <vt:lpstr>capProd2SubCancellationRate</vt:lpstr>
      <vt:lpstr>capProd2SubGrowth</vt:lpstr>
      <vt:lpstr>capProd2ThirdPartyPerc</vt:lpstr>
      <vt:lpstr>capProd2TrainingExp</vt:lpstr>
      <vt:lpstr>capProd2TTM</vt:lpstr>
      <vt:lpstr>capSalesCoverageEmp1Req</vt:lpstr>
      <vt:lpstr>capSalesForceExistingAccounts</vt:lpstr>
      <vt:lpstr>capSalesForceNewAccounts</vt:lpstr>
      <vt:lpstr>capTableCSATImpact</vt:lpstr>
      <vt:lpstr>capTableESATImpact</vt:lpstr>
      <vt:lpstr>capTotalCancellationRate</vt:lpstr>
      <vt:lpstr>capTrainingEmp1Req</vt:lpstr>
      <vt:lpstr>capUnallocatedEmp1Req</vt:lpstr>
      <vt:lpstr>cbalAPValue</vt:lpstr>
      <vt:lpstr>cbalARValue</vt:lpstr>
      <vt:lpstr>cbalAssetsValue</vt:lpstr>
      <vt:lpstr>cbalCAGRY0</vt:lpstr>
      <vt:lpstr>cbalCashOIY0</vt:lpstr>
      <vt:lpstr>cbalCashOIY1</vt:lpstr>
      <vt:lpstr>cbalCashOIY2</vt:lpstr>
      <vt:lpstr>cbalCashOIY3</vt:lpstr>
      <vt:lpstr>cbalCashValue</vt:lpstr>
      <vt:lpstr>cbalContentLvl</vt:lpstr>
      <vt:lpstr>cbalContentLvlIndAvg</vt:lpstr>
      <vt:lpstr>cbalCSAT</vt:lpstr>
      <vt:lpstr>cbalCSATY0</vt:lpstr>
      <vt:lpstr>cbalCSATY1</vt:lpstr>
      <vt:lpstr>cbalCSATY2</vt:lpstr>
      <vt:lpstr>cbalCSATY3</vt:lpstr>
      <vt:lpstr>cbalCStockShares</vt:lpstr>
      <vt:lpstr>cbalCStockValue</vt:lpstr>
      <vt:lpstr>cbalCumulativeTaxLoss</vt:lpstr>
      <vt:lpstr>cbalDeferredRevValue</vt:lpstr>
      <vt:lpstr>cbalDividend</vt:lpstr>
      <vt:lpstr>cbalEBITMulti</vt:lpstr>
      <vt:lpstr>cbalEmp1</vt:lpstr>
      <vt:lpstr>cbalEmp1TrainingLvl</vt:lpstr>
      <vt:lpstr>cbalEmp2</vt:lpstr>
      <vt:lpstr>cbalEmp3</vt:lpstr>
      <vt:lpstr>cbalEquity</vt:lpstr>
      <vt:lpstr>cbalESAT</vt:lpstr>
      <vt:lpstr>cbalESATY0</vt:lpstr>
      <vt:lpstr>cbalESATY1</vt:lpstr>
      <vt:lpstr>cbalESATY2</vt:lpstr>
      <vt:lpstr>cbalESATY3</vt:lpstr>
      <vt:lpstr>cbalEvent101Chosen</vt:lpstr>
      <vt:lpstr>cbalEvent101Duration</vt:lpstr>
      <vt:lpstr>cbalEvent101Year</vt:lpstr>
      <vt:lpstr>cbalEvent102Chosen</vt:lpstr>
      <vt:lpstr>cbalEvent102Duration</vt:lpstr>
      <vt:lpstr>cbalEvent102Year</vt:lpstr>
      <vt:lpstr>cbalEvent103Chosen</vt:lpstr>
      <vt:lpstr>cbalEvent103Duration</vt:lpstr>
      <vt:lpstr>cbalEvent103Year</vt:lpstr>
      <vt:lpstr>cbalEvent201Chosen</vt:lpstr>
      <vt:lpstr>cbalEvent201Duration</vt:lpstr>
      <vt:lpstr>cbalEvent201Year</vt:lpstr>
      <vt:lpstr>cbalEvent202Chosen</vt:lpstr>
      <vt:lpstr>cbalEvent202Duration</vt:lpstr>
      <vt:lpstr>cbalEvent202Year</vt:lpstr>
      <vt:lpstr>cbalEvent203Chosen</vt:lpstr>
      <vt:lpstr>cbalEvent203Duration</vt:lpstr>
      <vt:lpstr>cbalEvent203Year</vt:lpstr>
      <vt:lpstr>cbalEvent301Chosen</vt:lpstr>
      <vt:lpstr>cbalEvent301Duration</vt:lpstr>
      <vt:lpstr>cbalEvent301Year</vt:lpstr>
      <vt:lpstr>cbalEvent302Chosen</vt:lpstr>
      <vt:lpstr>cbalEvent302Duration</vt:lpstr>
      <vt:lpstr>cbalEvent302Year</vt:lpstr>
      <vt:lpstr>cbalEvent401Chosen</vt:lpstr>
      <vt:lpstr>cbalEvent401Duration</vt:lpstr>
      <vt:lpstr>cbalEvent401Year</vt:lpstr>
      <vt:lpstr>cbalEvent402Chosen</vt:lpstr>
      <vt:lpstr>cbalEvent402Duration</vt:lpstr>
      <vt:lpstr>cbalEvent402Year</vt:lpstr>
      <vt:lpstr>cbalEvent403Chosen</vt:lpstr>
      <vt:lpstr>cbalEvent403Duration</vt:lpstr>
      <vt:lpstr>cbalEvent403Year</vt:lpstr>
      <vt:lpstr>cbalEvent501Chosen</vt:lpstr>
      <vt:lpstr>cbalEvent501Duration</vt:lpstr>
      <vt:lpstr>cbalEvent501Year</vt:lpstr>
      <vt:lpstr>cbalEvent502Chosen</vt:lpstr>
      <vt:lpstr>cbalEvent502Duration</vt:lpstr>
      <vt:lpstr>cbalEvent502Year</vt:lpstr>
      <vt:lpstr>cbalEvent503Chosen</vt:lpstr>
      <vt:lpstr>cbalEvent503Duration</vt:lpstr>
      <vt:lpstr>cbalEvent503Year</vt:lpstr>
      <vt:lpstr>cbalEvent601Chosen</vt:lpstr>
      <vt:lpstr>cbalEvent601Duration</vt:lpstr>
      <vt:lpstr>cbalEvent601Year</vt:lpstr>
      <vt:lpstr>cbalEvent602Chosen</vt:lpstr>
      <vt:lpstr>cbalEvent602Duration</vt:lpstr>
      <vt:lpstr>cbalEvent602Year</vt:lpstr>
      <vt:lpstr>cbalEvent603Chosen</vt:lpstr>
      <vt:lpstr>cbalEvent603Duration</vt:lpstr>
      <vt:lpstr>cbalEvent603Year</vt:lpstr>
      <vt:lpstr>cbalEvent701Chosen</vt:lpstr>
      <vt:lpstr>cbalEvent701Duration</vt:lpstr>
      <vt:lpstr>cbalEvent701Year</vt:lpstr>
      <vt:lpstr>cbalEvent702Chosen</vt:lpstr>
      <vt:lpstr>cbalEvent702Duration</vt:lpstr>
      <vt:lpstr>cbalEvent702Year</vt:lpstr>
      <vt:lpstr>cbalEvent703Chosen</vt:lpstr>
      <vt:lpstr>cbalEvent703Duration</vt:lpstr>
      <vt:lpstr>cbalEvent703Year</vt:lpstr>
      <vt:lpstr>cbalEvent801Chosen</vt:lpstr>
      <vt:lpstr>cbalEvent801Duration</vt:lpstr>
      <vt:lpstr>cbalEvent801Year</vt:lpstr>
      <vt:lpstr>cbalEvent802Chosen</vt:lpstr>
      <vt:lpstr>cbalEvent802Duration</vt:lpstr>
      <vt:lpstr>cbalEvent802Year</vt:lpstr>
      <vt:lpstr>cbalEvent803Chosen</vt:lpstr>
      <vt:lpstr>cbalEvent803Duration</vt:lpstr>
      <vt:lpstr>cbalEvent803Year</vt:lpstr>
      <vt:lpstr>cbalEvent901Chosen</vt:lpstr>
      <vt:lpstr>cbalEvent901Duration</vt:lpstr>
      <vt:lpstr>cbalEvent901Year</vt:lpstr>
      <vt:lpstr>cbalEvent902Chosen</vt:lpstr>
      <vt:lpstr>cbalEvent902Duration</vt:lpstr>
      <vt:lpstr>cbalEvent902Year</vt:lpstr>
      <vt:lpstr>cbalEVT1Y1</vt:lpstr>
      <vt:lpstr>cbalEVT1Y2</vt:lpstr>
      <vt:lpstr>cbalEVT1Y3</vt:lpstr>
      <vt:lpstr>cbalEVT2Y1</vt:lpstr>
      <vt:lpstr>cbalEVT2Y2</vt:lpstr>
      <vt:lpstr>cbalEVT2Y3</vt:lpstr>
      <vt:lpstr>cbalEVT3Y1</vt:lpstr>
      <vt:lpstr>cbalEVT3Y2</vt:lpstr>
      <vt:lpstr>cbalEVT3Y3</vt:lpstr>
      <vt:lpstr>cbalEVT4Y1</vt:lpstr>
      <vt:lpstr>cbalEVT4Y2</vt:lpstr>
      <vt:lpstr>cbalEVT4Y3</vt:lpstr>
      <vt:lpstr>cbalGlobalExpansionLvl</vt:lpstr>
      <vt:lpstr>cbalGlobalSalesCoverage</vt:lpstr>
      <vt:lpstr>cbalGlobalSalesMktLvl</vt:lpstr>
      <vt:lpstr>cbalGoodwillValue</vt:lpstr>
      <vt:lpstr>cbalLTDebtValue</vt:lpstr>
      <vt:lpstr>cbalNetEarnValue</vt:lpstr>
      <vt:lpstr>cbalOperatingMarginY0</vt:lpstr>
      <vt:lpstr>cbalOperatingMarginY1</vt:lpstr>
      <vt:lpstr>cbalOperatingMarginY2</vt:lpstr>
      <vt:lpstr>cbalOperatingMarginY3</vt:lpstr>
      <vt:lpstr>cbalOtherCurrentAssets</vt:lpstr>
      <vt:lpstr>cbalOtherCurrLiabValue</vt:lpstr>
      <vt:lpstr>cbalOtherFixedAssets</vt:lpstr>
      <vt:lpstr>cbalOtherLTLiabValue</vt:lpstr>
      <vt:lpstr>cbalOtherValue</vt:lpstr>
      <vt:lpstr>cbalPlant1Units</vt:lpstr>
      <vt:lpstr>cbalPlant1UnitsConsolidate</vt:lpstr>
      <vt:lpstr>cbalPlant1UnitsSold</vt:lpstr>
      <vt:lpstr>cbalPlant1Value</vt:lpstr>
      <vt:lpstr>cbalPlant2Value</vt:lpstr>
      <vt:lpstr>cbalPlantValue</vt:lpstr>
      <vt:lpstr>cbalPNLCashOI</vt:lpstr>
      <vt:lpstr>cbalPNLOMPerc</vt:lpstr>
      <vt:lpstr>cbalPNLOperatingMargin</vt:lpstr>
      <vt:lpstr>cbalPNLRev</vt:lpstr>
      <vt:lpstr>cbalPNLRevCAGR</vt:lpstr>
      <vt:lpstr>cbalProd1ARValue</vt:lpstr>
      <vt:lpstr>cbalProd1NewSubGrowth</vt:lpstr>
      <vt:lpstr>cbalProd1ProdTechLvl</vt:lpstr>
      <vt:lpstr>cbalProd1RevY0</vt:lpstr>
      <vt:lpstr>cbalProd1SoftwareValue</vt:lpstr>
      <vt:lpstr>cbalProd1SubGrowth</vt:lpstr>
      <vt:lpstr>cbalProd1TTM</vt:lpstr>
      <vt:lpstr>cbalProd1TTMIndAvg</vt:lpstr>
      <vt:lpstr>cbalProd2ARValue</vt:lpstr>
      <vt:lpstr>cbalProd2NewSubGrowth</vt:lpstr>
      <vt:lpstr>cbalProd2ProdTechLvl</vt:lpstr>
      <vt:lpstr>cbalProd2RevY0</vt:lpstr>
      <vt:lpstr>cbalProd2SoftwareValue</vt:lpstr>
      <vt:lpstr>cbalProd2SubGrowth</vt:lpstr>
      <vt:lpstr>cbalProd2TTM</vt:lpstr>
      <vt:lpstr>cbalProd2TTMIndAvg</vt:lpstr>
      <vt:lpstr>cbalProfitMarginY0</vt:lpstr>
      <vt:lpstr>cbalRetEarnValue</vt:lpstr>
      <vt:lpstr>cbalRevenueY0</vt:lpstr>
      <vt:lpstr>cbalScoreY1</vt:lpstr>
      <vt:lpstr>cbalScoreY2</vt:lpstr>
      <vt:lpstr>cbalScoreY3</vt:lpstr>
      <vt:lpstr>cbalSpecLoansValue</vt:lpstr>
      <vt:lpstr>cbalSpecProg10Chosen</vt:lpstr>
      <vt:lpstr>cbalSpecProg10Duration</vt:lpstr>
      <vt:lpstr>cbalSpecProg10Year</vt:lpstr>
      <vt:lpstr>cbalSpecProg11Chosen</vt:lpstr>
      <vt:lpstr>cbalSpecProg11Duration</vt:lpstr>
      <vt:lpstr>cbalSpecProg11Year</vt:lpstr>
      <vt:lpstr>cbalSpecProg12Chosen</vt:lpstr>
      <vt:lpstr>cbalSpecProg12Duration</vt:lpstr>
      <vt:lpstr>cbalSpecProg12Year</vt:lpstr>
      <vt:lpstr>cbalSpecProg13Chosen</vt:lpstr>
      <vt:lpstr>cbalSpecProg13Duration</vt:lpstr>
      <vt:lpstr>cbalSpecProg13Year</vt:lpstr>
      <vt:lpstr>cbalSpecProg14Chosen</vt:lpstr>
      <vt:lpstr>cbalSpecProg14Duration</vt:lpstr>
      <vt:lpstr>cbalSpecProg14Year</vt:lpstr>
      <vt:lpstr>cbalSpecProg15Chosen</vt:lpstr>
      <vt:lpstr>cbalSpecProg15Duration</vt:lpstr>
      <vt:lpstr>cbalSpecProg15Year</vt:lpstr>
      <vt:lpstr>cbalSpecProg16Chosen</vt:lpstr>
      <vt:lpstr>cbalSpecProg16Duration</vt:lpstr>
      <vt:lpstr>cbalSpecProg16Year</vt:lpstr>
      <vt:lpstr>cbalSpecProg17Chosen</vt:lpstr>
      <vt:lpstr>cbalSpecProg17Duration</vt:lpstr>
      <vt:lpstr>cbalSpecProg17Year</vt:lpstr>
      <vt:lpstr>cbalSpecProg18Chosen</vt:lpstr>
      <vt:lpstr>cbalSpecProg18Duration</vt:lpstr>
      <vt:lpstr>cbalSpecProg18Year</vt:lpstr>
      <vt:lpstr>cbalSpecProg19Chosen</vt:lpstr>
      <vt:lpstr>cbalSpecProg19Duration</vt:lpstr>
      <vt:lpstr>cbalSpecProg19Year</vt:lpstr>
      <vt:lpstr>cbalSpecProg1Chosen</vt:lpstr>
      <vt:lpstr>cbalSpecProg1Duration</vt:lpstr>
      <vt:lpstr>cbalSpecProg1Year</vt:lpstr>
      <vt:lpstr>cbalSpecProg1Yr1</vt:lpstr>
      <vt:lpstr>cbalSpecProg1Yr2</vt:lpstr>
      <vt:lpstr>cbalSpecProg1Yr3</vt:lpstr>
      <vt:lpstr>cbalSpecProg20Chosen</vt:lpstr>
      <vt:lpstr>cbalSpecProg20Duration</vt:lpstr>
      <vt:lpstr>cbalSpecProg20Year</vt:lpstr>
      <vt:lpstr>cbalSpecProg21Chosen</vt:lpstr>
      <vt:lpstr>cbalSpecProg21Duration</vt:lpstr>
      <vt:lpstr>cbalSpecProg21Year</vt:lpstr>
      <vt:lpstr>cbalSpecProg22Chosen</vt:lpstr>
      <vt:lpstr>cbalSpecProg22Duration</vt:lpstr>
      <vt:lpstr>cbalSpecProg22Year</vt:lpstr>
      <vt:lpstr>cbalSpecProg2Chosen</vt:lpstr>
      <vt:lpstr>cbalSpecProg2Duration</vt:lpstr>
      <vt:lpstr>cbalSpecProg2Year</vt:lpstr>
      <vt:lpstr>cbalSpecProg2Yr1</vt:lpstr>
      <vt:lpstr>cbalSpecProg2Yr2</vt:lpstr>
      <vt:lpstr>cbalSpecProg2Yr3</vt:lpstr>
      <vt:lpstr>cbalSpecProg3Chosen</vt:lpstr>
      <vt:lpstr>cbalSpecProg3Duration</vt:lpstr>
      <vt:lpstr>cbalSpecProg3Year</vt:lpstr>
      <vt:lpstr>cbalSpecProg3Yr1</vt:lpstr>
      <vt:lpstr>cbalSpecProg3Yr2</vt:lpstr>
      <vt:lpstr>cbalSpecProg3Yr3</vt:lpstr>
      <vt:lpstr>cbalSpecProg4Chosen</vt:lpstr>
      <vt:lpstr>cbalSpecProg4Duration</vt:lpstr>
      <vt:lpstr>cbalSpecProg4Year</vt:lpstr>
      <vt:lpstr>cbalSpecProg4Yr1</vt:lpstr>
      <vt:lpstr>cbalSpecProg4Yr2</vt:lpstr>
      <vt:lpstr>cbalSpecProg4Yr3</vt:lpstr>
      <vt:lpstr>cbalSpecProg5Chosen</vt:lpstr>
      <vt:lpstr>cbalSpecProg5Duration</vt:lpstr>
      <vt:lpstr>cbalSpecProg5Year</vt:lpstr>
      <vt:lpstr>cbalSpecProg5Yr1</vt:lpstr>
      <vt:lpstr>cbalSpecProg5Yr2</vt:lpstr>
      <vt:lpstr>cbalSpecProg5Yr3</vt:lpstr>
      <vt:lpstr>cbalSpecProg6Chosen</vt:lpstr>
      <vt:lpstr>cbalSpecProg6Duration</vt:lpstr>
      <vt:lpstr>cbalSpecProg6Year</vt:lpstr>
      <vt:lpstr>cbalSpecProg6Yr1</vt:lpstr>
      <vt:lpstr>cbalSpecProg6Yr2</vt:lpstr>
      <vt:lpstr>cbalSpecProg6Yr3</vt:lpstr>
      <vt:lpstr>cbalSpecProg7Chosen</vt:lpstr>
      <vt:lpstr>cbalSpecProg7Duration</vt:lpstr>
      <vt:lpstr>cbalSpecProg7Year</vt:lpstr>
      <vt:lpstr>cbalSpecProg7Yr1</vt:lpstr>
      <vt:lpstr>cbalSpecProg7Yr2</vt:lpstr>
      <vt:lpstr>cbalSpecProg7Yr3</vt:lpstr>
      <vt:lpstr>cbalSpecProg8Chosen</vt:lpstr>
      <vt:lpstr>cbalSpecProg8Duration</vt:lpstr>
      <vt:lpstr>cbalSpecProg8Year</vt:lpstr>
      <vt:lpstr>cbalSpecProg8Yr1</vt:lpstr>
      <vt:lpstr>cbalSpecProg8Yr2</vt:lpstr>
      <vt:lpstr>cbalSpecProg8Yr3</vt:lpstr>
      <vt:lpstr>cbalSpecProg9Chosen</vt:lpstr>
      <vt:lpstr>cbalSpecProg9Duration</vt:lpstr>
      <vt:lpstr>cbalSpecProg9Year</vt:lpstr>
      <vt:lpstr>cbalTotalLiabilities</vt:lpstr>
      <vt:lpstr>cbalTotalRevY0</vt:lpstr>
      <vt:lpstr>cbalTotalRevY1</vt:lpstr>
      <vt:lpstr>cbalTotalRevY2</vt:lpstr>
      <vt:lpstr>cbalTotalRevY3</vt:lpstr>
      <vt:lpstr>checkercorrect</vt:lpstr>
      <vt:lpstr>checkerflagged</vt:lpstr>
      <vt:lpstr>checkerignore</vt:lpstr>
      <vt:lpstr>checkermark</vt:lpstr>
      <vt:lpstr>checksheets</vt:lpstr>
      <vt:lpstr>Completed</vt:lpstr>
      <vt:lpstr>compTeamNumber</vt:lpstr>
      <vt:lpstr>DAreatoolPrograms</vt:lpstr>
      <vt:lpstr>datalist0_3</vt:lpstr>
      <vt:lpstr>datalist0to10</vt:lpstr>
      <vt:lpstr>datalist0to5</vt:lpstr>
      <vt:lpstr>datalist0to6</vt:lpstr>
      <vt:lpstr>datalist1_3</vt:lpstr>
      <vt:lpstr>datalist1to10</vt:lpstr>
      <vt:lpstr>datalist1to5</vt:lpstr>
      <vt:lpstr>datalist1to6</vt:lpstr>
      <vt:lpstr>datalistBundle</vt:lpstr>
      <vt:lpstr>datalistDiscountProd1</vt:lpstr>
      <vt:lpstr>datalistDiscountProd2</vt:lpstr>
      <vt:lpstr>datalistDiscountProd3</vt:lpstr>
      <vt:lpstr>datalistDiscountProd5</vt:lpstr>
      <vt:lpstr>datalistPlannedUtiliz</vt:lpstr>
      <vt:lpstr>datalistPriceProd4</vt:lpstr>
      <vt:lpstr>datalistTrueFalse</vt:lpstr>
      <vt:lpstr>DataNameDept1</vt:lpstr>
      <vt:lpstr>DataNameDiv1Prod1</vt:lpstr>
      <vt:lpstr>DataNameEmp1</vt:lpstr>
      <vt:lpstr>DataNameEmp10</vt:lpstr>
      <vt:lpstr>DataNameEmp2</vt:lpstr>
      <vt:lpstr>DataNameEmp3</vt:lpstr>
      <vt:lpstr>DataNameEmp4</vt:lpstr>
      <vt:lpstr>DataNameEmp5</vt:lpstr>
      <vt:lpstr>DataNameEmp6</vt:lpstr>
      <vt:lpstr>DataNameEmp7</vt:lpstr>
      <vt:lpstr>DataNameEmp8</vt:lpstr>
      <vt:lpstr>DataNameEmp9</vt:lpstr>
      <vt:lpstr>DataNamePlant1</vt:lpstr>
      <vt:lpstr>DataNamePlant2</vt:lpstr>
      <vt:lpstr>DataNamePlant3</vt:lpstr>
      <vt:lpstr>DataNameProd1</vt:lpstr>
      <vt:lpstr>DataNameProd1Seg1</vt:lpstr>
      <vt:lpstr>DataNameProd1Seg2</vt:lpstr>
      <vt:lpstr>DataNameProd1Seg3</vt:lpstr>
      <vt:lpstr>DataNameProd1Seg4</vt:lpstr>
      <vt:lpstr>DataNameProd1Seg5</vt:lpstr>
      <vt:lpstr>DataNameProd2</vt:lpstr>
      <vt:lpstr>DataNameProd2Seg1</vt:lpstr>
      <vt:lpstr>DataNameProd2Seg2</vt:lpstr>
      <vt:lpstr>DataNameProd2Seg3</vt:lpstr>
      <vt:lpstr>DataNameProd2Seg4</vt:lpstr>
      <vt:lpstr>DataNameProd2Seg5</vt:lpstr>
      <vt:lpstr>DataNameProd3</vt:lpstr>
      <vt:lpstr>DataNameProd3Seg1</vt:lpstr>
      <vt:lpstr>DataNameProd3Seg2</vt:lpstr>
      <vt:lpstr>DataNameProd3Seg3</vt:lpstr>
      <vt:lpstr>DataNameProd3Seg4</vt:lpstr>
      <vt:lpstr>DataNameProd3Seg5</vt:lpstr>
      <vt:lpstr>DataNameProd4</vt:lpstr>
      <vt:lpstr>DataNameProd4Seg1</vt:lpstr>
      <vt:lpstr>DataNameProd4Seg2</vt:lpstr>
      <vt:lpstr>DataNameProd4Seg3</vt:lpstr>
      <vt:lpstr>DataNameProd4Seg4</vt:lpstr>
      <vt:lpstr>DataNameProd4Seg5</vt:lpstr>
      <vt:lpstr>DataNameProd5</vt:lpstr>
      <vt:lpstr>DataNameProd5Seg1</vt:lpstr>
      <vt:lpstr>DataNameProd5Seg2</vt:lpstr>
      <vt:lpstr>DataNameProd5Seg3</vt:lpstr>
      <vt:lpstr>DataNameProd5Seg4</vt:lpstr>
      <vt:lpstr>DataNameProd5Seg5</vt:lpstr>
      <vt:lpstr>DataNameProd6</vt:lpstr>
      <vt:lpstr>DataNameProd6Seg1</vt:lpstr>
      <vt:lpstr>DataNameProd6Seg2</vt:lpstr>
      <vt:lpstr>DataNameProd6Seg3</vt:lpstr>
      <vt:lpstr>DataNameProd6Seg4</vt:lpstr>
      <vt:lpstr>DataNameProd6Seg5</vt:lpstr>
      <vt:lpstr>datapageCompdecContentLvl</vt:lpstr>
      <vt:lpstr>datapageCompdecContentMethod</vt:lpstr>
      <vt:lpstr>datapageCompdecDCConsolidation</vt:lpstr>
      <vt:lpstr>datapageCompdecEmp1Change</vt:lpstr>
      <vt:lpstr>datapageCompdecEmp1TrainingLvl</vt:lpstr>
      <vt:lpstr>datapageCompdecEvent101</vt:lpstr>
      <vt:lpstr>datapageCompdecEvent102</vt:lpstr>
      <vt:lpstr>datapageCompdecEvent103</vt:lpstr>
      <vt:lpstr>datapageCompdecEvent201</vt:lpstr>
      <vt:lpstr>datapageCompdecEvent202</vt:lpstr>
      <vt:lpstr>datapageCompdecEvent203</vt:lpstr>
      <vt:lpstr>datapageCompdecEvent301</vt:lpstr>
      <vt:lpstr>datapageCompdecEvent302</vt:lpstr>
      <vt:lpstr>datapageCompdecEvent401</vt:lpstr>
      <vt:lpstr>datapageCompdecEvent402</vt:lpstr>
      <vt:lpstr>datapageCompdecEvent403</vt:lpstr>
      <vt:lpstr>datapageCompdecEvent501</vt:lpstr>
      <vt:lpstr>datapageCompdecEvent502</vt:lpstr>
      <vt:lpstr>datapageCompdecEvent503</vt:lpstr>
      <vt:lpstr>datapageCompdecEvent601</vt:lpstr>
      <vt:lpstr>datapageCompdecEvent602</vt:lpstr>
      <vt:lpstr>datapageCompdecEvent603</vt:lpstr>
      <vt:lpstr>datapageCompdecEvent701</vt:lpstr>
      <vt:lpstr>datapageCompdecEvent702</vt:lpstr>
      <vt:lpstr>datapageCompdecEvent703</vt:lpstr>
      <vt:lpstr>datapageCompdecEvent801</vt:lpstr>
      <vt:lpstr>datapageCompdecEvent802</vt:lpstr>
      <vt:lpstr>datapageCompdecEvent803</vt:lpstr>
      <vt:lpstr>datapageCompdecEvent901</vt:lpstr>
      <vt:lpstr>datapageCompdecEvent902</vt:lpstr>
      <vt:lpstr>datapageCompdecGlobalExpansion</vt:lpstr>
      <vt:lpstr>datapageCompdecMarketing</vt:lpstr>
      <vt:lpstr>datapageCompdecProd1Price</vt:lpstr>
      <vt:lpstr>datapageCompdecProd1ProdTechLvl</vt:lpstr>
      <vt:lpstr>datapageCompdecProd1TTMConFTEs</vt:lpstr>
      <vt:lpstr>datapageCompdecProd1TTMIntFTEs</vt:lpstr>
      <vt:lpstr>datapageCompdecProd1Units</vt:lpstr>
      <vt:lpstr>datapageCompdecProd2Price</vt:lpstr>
      <vt:lpstr>datapageCompdecProd2ProdTechLvl</vt:lpstr>
      <vt:lpstr>datapageCompdecProd2TTMConFTEs</vt:lpstr>
      <vt:lpstr>datapageCompdecProd2TTMIntFTEs</vt:lpstr>
      <vt:lpstr>datapageCompdecProd2Units</vt:lpstr>
      <vt:lpstr>datapageCompdecSalesExistingPerc</vt:lpstr>
      <vt:lpstr>datapageCompdecSalesNewPerc</vt:lpstr>
      <vt:lpstr>datapageCompdecSFCoverage</vt:lpstr>
      <vt:lpstr>datapageCompdecSpecProg1</vt:lpstr>
      <vt:lpstr>datapageCompdecSpecProg10</vt:lpstr>
      <vt:lpstr>datapageCompdecSpecProg11</vt:lpstr>
      <vt:lpstr>datapageCompdecSpecProg12</vt:lpstr>
      <vt:lpstr>datapageCompdecSpecProg13</vt:lpstr>
      <vt:lpstr>datapageCompdecSpecProg14</vt:lpstr>
      <vt:lpstr>datapageCompdecSpecProg15</vt:lpstr>
      <vt:lpstr>datapageCompdecSpecProg16</vt:lpstr>
      <vt:lpstr>datapageCompdecSpecProg17</vt:lpstr>
      <vt:lpstr>datapageCompdecSpecProg18</vt:lpstr>
      <vt:lpstr>datapageCompdecSpecProg19</vt:lpstr>
      <vt:lpstr>datapageCompdecSpecProg2</vt:lpstr>
      <vt:lpstr>datapageCompdecSpecProg20</vt:lpstr>
      <vt:lpstr>datapageCompdecSpecProg21</vt:lpstr>
      <vt:lpstr>datapageCompdecSpecProg22</vt:lpstr>
      <vt:lpstr>datapageCompdecSpecProg23</vt:lpstr>
      <vt:lpstr>datapageCompdecSpecProg24</vt:lpstr>
      <vt:lpstr>datapageCompdecSpecProg3</vt:lpstr>
      <vt:lpstr>datapageCompdecSpecProg4</vt:lpstr>
      <vt:lpstr>datapageCompdecSpecProg5</vt:lpstr>
      <vt:lpstr>datapageCompdecSpecProg6</vt:lpstr>
      <vt:lpstr>datapageCompdecSpecProg7</vt:lpstr>
      <vt:lpstr>datapageCompdecSpecProg8</vt:lpstr>
      <vt:lpstr>datapageCompdecSpecProg9</vt:lpstr>
      <vt:lpstr>datapageCompdecTeamName</vt:lpstr>
      <vt:lpstr>datapageCompdecTeamNumber</vt:lpstr>
      <vt:lpstr>datapageCompdecTeamYear</vt:lpstr>
      <vt:lpstr>datapageCompdecWobbler1</vt:lpstr>
      <vt:lpstr>datapageCompdecWobbler2</vt:lpstr>
      <vt:lpstr>datapageCompdecWobbler3</vt:lpstr>
      <vt:lpstr>datapageCompdecWobbler4</vt:lpstr>
      <vt:lpstr>datapageCompProd1MktShare</vt:lpstr>
      <vt:lpstr>datapageCompProd1ShareBoost</vt:lpstr>
      <vt:lpstr>datapageCompProd2MktShare</vt:lpstr>
      <vt:lpstr>datapageCompProd2ShareBoost</vt:lpstr>
      <vt:lpstr>dataTableEventTitles</vt:lpstr>
      <vt:lpstr>dataTableEvtResponses</vt:lpstr>
      <vt:lpstr>dataTableProd1Growth</vt:lpstr>
      <vt:lpstr>dataTableProd1Volume</vt:lpstr>
      <vt:lpstr>dataTableProd2Growth</vt:lpstr>
      <vt:lpstr>dataTableProd2Volume</vt:lpstr>
      <vt:lpstr>dataTableProd3Growth</vt:lpstr>
      <vt:lpstr>dataTableProd3Volume</vt:lpstr>
      <vt:lpstr>dataTableProd4Growth</vt:lpstr>
      <vt:lpstr>dataTableProd4Volume</vt:lpstr>
      <vt:lpstr>dataTableProd5Growth</vt:lpstr>
      <vt:lpstr>dataTableProd5Volume</vt:lpstr>
      <vt:lpstr>dataTableProd6Growth</vt:lpstr>
      <vt:lpstr>dataTableProd6Volume</vt:lpstr>
      <vt:lpstr>DBoardtoolPrograms</vt:lpstr>
      <vt:lpstr>decContentLvl</vt:lpstr>
      <vt:lpstr>decContentMethod</vt:lpstr>
      <vt:lpstr>decDCConsolidation</vt:lpstr>
      <vt:lpstr>decDividendAmount</vt:lpstr>
      <vt:lpstr>decEmp1Change</vt:lpstr>
      <vt:lpstr>decEmp1TrainingLvl</vt:lpstr>
      <vt:lpstr>decEvent101Chosen</vt:lpstr>
      <vt:lpstr>decEvent102Chosen</vt:lpstr>
      <vt:lpstr>decEvent103Chosen</vt:lpstr>
      <vt:lpstr>decEvent201Chosen</vt:lpstr>
      <vt:lpstr>decEvent202Chosen</vt:lpstr>
      <vt:lpstr>decEvent203Chosen</vt:lpstr>
      <vt:lpstr>decEvent301Chosen</vt:lpstr>
      <vt:lpstr>decEvent302Chosen</vt:lpstr>
      <vt:lpstr>decEvent401Chosen</vt:lpstr>
      <vt:lpstr>decEvent402Chosen</vt:lpstr>
      <vt:lpstr>decEvent403Chosen</vt:lpstr>
      <vt:lpstr>decEvent501Chosen</vt:lpstr>
      <vt:lpstr>decEvent502Chosen</vt:lpstr>
      <vt:lpstr>decEvent503Chosen</vt:lpstr>
      <vt:lpstr>decEvent601Chosen</vt:lpstr>
      <vt:lpstr>decEvent602Chosen</vt:lpstr>
      <vt:lpstr>decEvent603Chosen</vt:lpstr>
      <vt:lpstr>decEvent701Chosen</vt:lpstr>
      <vt:lpstr>decEvent702Chosen</vt:lpstr>
      <vt:lpstr>decEvent703Chosen</vt:lpstr>
      <vt:lpstr>decEvent801Chosen</vt:lpstr>
      <vt:lpstr>decEvent802Chosen</vt:lpstr>
      <vt:lpstr>decEvent803Chosen</vt:lpstr>
      <vt:lpstr>decEvent901Chosen</vt:lpstr>
      <vt:lpstr>decEvent902Chosen</vt:lpstr>
      <vt:lpstr>decExportType</vt:lpstr>
      <vt:lpstr>decGlobalExpansion</vt:lpstr>
      <vt:lpstr>decLTDebtChange</vt:lpstr>
      <vt:lpstr>decMarketing</vt:lpstr>
      <vt:lpstr>decPopUpWobblerTime</vt:lpstr>
      <vt:lpstr>decProd1Price</vt:lpstr>
      <vt:lpstr>decProd1ProdTechLvl</vt:lpstr>
      <vt:lpstr>decProd1TTMConFTEs</vt:lpstr>
      <vt:lpstr>decProd1TTMIntFTEs</vt:lpstr>
      <vt:lpstr>decProd1Units</vt:lpstr>
      <vt:lpstr>decProd2Price</vt:lpstr>
      <vt:lpstr>decProd2ProdTechLvl</vt:lpstr>
      <vt:lpstr>decProd2TTMConFTEs</vt:lpstr>
      <vt:lpstr>decProd2TTMIntFTEs</vt:lpstr>
      <vt:lpstr>decProd2Units</vt:lpstr>
      <vt:lpstr>decSalesNewPerc</vt:lpstr>
      <vt:lpstr>decSFCoverage</vt:lpstr>
      <vt:lpstr>decSpecProg1</vt:lpstr>
      <vt:lpstr>decSpecProg10Chosen</vt:lpstr>
      <vt:lpstr>decSpecProg11Chosen</vt:lpstr>
      <vt:lpstr>decSpecProg12Chosen</vt:lpstr>
      <vt:lpstr>decSpecProg13Chosen</vt:lpstr>
      <vt:lpstr>decSpecProg14Chosen</vt:lpstr>
      <vt:lpstr>decSpecProg15Chosen</vt:lpstr>
      <vt:lpstr>decSpecProg16Chosen</vt:lpstr>
      <vt:lpstr>decSpecProg17Chosen</vt:lpstr>
      <vt:lpstr>decSpecProg18Chosen</vt:lpstr>
      <vt:lpstr>decSpecProg19Chosen</vt:lpstr>
      <vt:lpstr>decSpecProg1Chosen</vt:lpstr>
      <vt:lpstr>decSpecProg2</vt:lpstr>
      <vt:lpstr>decSpecProg20Chosen</vt:lpstr>
      <vt:lpstr>decSpecProg21Chosen</vt:lpstr>
      <vt:lpstr>decSpecProg22Chosen</vt:lpstr>
      <vt:lpstr>decSpecProg23Chosen</vt:lpstr>
      <vt:lpstr>decSpecProg24Chosen</vt:lpstr>
      <vt:lpstr>decSpecProg2Chosen</vt:lpstr>
      <vt:lpstr>decSpecProg3</vt:lpstr>
      <vt:lpstr>decSpecProg3Chosen</vt:lpstr>
      <vt:lpstr>decSpecProg4</vt:lpstr>
      <vt:lpstr>decSpecProg4Chosen</vt:lpstr>
      <vt:lpstr>decSpecProg5</vt:lpstr>
      <vt:lpstr>decSpecProg5Chosen</vt:lpstr>
      <vt:lpstr>decSpecProg6</vt:lpstr>
      <vt:lpstr>decSpecProg6Chosen</vt:lpstr>
      <vt:lpstr>decSpecProg7</vt:lpstr>
      <vt:lpstr>decSpecProg7Chosen</vt:lpstr>
      <vt:lpstr>decSpecProg8</vt:lpstr>
      <vt:lpstr>decSpecProg8Chosen</vt:lpstr>
      <vt:lpstr>decSpecProg9Chosen</vt:lpstr>
      <vt:lpstr>decTeamName</vt:lpstr>
      <vt:lpstr>decTeamNumber</vt:lpstr>
      <vt:lpstr>decTeamYear</vt:lpstr>
      <vt:lpstr>ExportAsValue_SpecProgDropdowns</vt:lpstr>
      <vt:lpstr>exportAsValueAdjustmentLabels</vt:lpstr>
      <vt:lpstr>exportAsValueAdjustmentValues</vt:lpstr>
      <vt:lpstr>exportAsValueAnalysisLabels</vt:lpstr>
      <vt:lpstr>exportAsValueProgramsReport</vt:lpstr>
      <vt:lpstr>ExportAsValueProgramValidation</vt:lpstr>
      <vt:lpstr>exportParamOptimize</vt:lpstr>
      <vt:lpstr>ffbCopyProd1GrossMargin</vt:lpstr>
      <vt:lpstr>ffbCopyProd1OpsMargin</vt:lpstr>
      <vt:lpstr>ffbCopyRev</vt:lpstr>
      <vt:lpstr>ffbCopyROA</vt:lpstr>
      <vt:lpstr>ffbROA</vt:lpstr>
      <vt:lpstr>finAssetTurnover</vt:lpstr>
      <vt:lpstr>finCAGR</vt:lpstr>
      <vt:lpstr>finCashClosingValue</vt:lpstr>
      <vt:lpstr>finCashExpense</vt:lpstr>
      <vt:lpstr>finCashFlowAcquireInvest</vt:lpstr>
      <vt:lpstr>finCashFlowAmort</vt:lpstr>
      <vt:lpstr>finCashFlowAPChange</vt:lpstr>
      <vt:lpstr>finCashFlowARChange</vt:lpstr>
      <vt:lpstr>finCashFlowAssetLoss</vt:lpstr>
      <vt:lpstr>finCashFlowDCInvest</vt:lpstr>
      <vt:lpstr>finCashFlowDeferredRevLiabChange</vt:lpstr>
      <vt:lpstr>finCashFlowDep</vt:lpstr>
      <vt:lpstr>finCashFlowDividendPayOut</vt:lpstr>
      <vt:lpstr>finCashFlowFinance</vt:lpstr>
      <vt:lpstr>finCashFlowInvest</vt:lpstr>
      <vt:lpstr>finCashFlowLTDebtChange</vt:lpstr>
      <vt:lpstr>finCashFlowOperating</vt:lpstr>
      <vt:lpstr>finCashFlowOtherCurrAssetsChange</vt:lpstr>
      <vt:lpstr>finCashFlowOtherCurrLiabChange</vt:lpstr>
      <vt:lpstr>finCashFlowOtherLTLiabChange</vt:lpstr>
      <vt:lpstr>finCashFlowPropertyDivest</vt:lpstr>
      <vt:lpstr>finCashFlowPropertyInvest</vt:lpstr>
      <vt:lpstr>finCashFlowSoftwareInvest</vt:lpstr>
      <vt:lpstr>finCashFlowSpecLoansChange</vt:lpstr>
      <vt:lpstr>finCashFlowWorkCap</vt:lpstr>
      <vt:lpstr>finCashOI</vt:lpstr>
      <vt:lpstr>finCashOIMargin</vt:lpstr>
      <vt:lpstr>finCommonStockChange</vt:lpstr>
      <vt:lpstr>finEBIT</vt:lpstr>
      <vt:lpstr>finFinancingNotSpecLoan</vt:lpstr>
      <vt:lpstr>finPNLAdminExp</vt:lpstr>
      <vt:lpstr>finPNLAdminInfraExp</vt:lpstr>
      <vt:lpstr>finPNLAmortExp</vt:lpstr>
      <vt:lpstr>finPNLCapLossExp</vt:lpstr>
      <vt:lpstr>finPNLDeprAmortExp</vt:lpstr>
      <vt:lpstr>finPNLDeprExp</vt:lpstr>
      <vt:lpstr>finPNLEBITDA</vt:lpstr>
      <vt:lpstr>finPNLEBITDAMargin</vt:lpstr>
      <vt:lpstr>finPNLEmp1Exp</vt:lpstr>
      <vt:lpstr>finPNLEmp1ProdDevExp</vt:lpstr>
      <vt:lpstr>finPNLEmp2Exp</vt:lpstr>
      <vt:lpstr>finPNLEmp3Exp</vt:lpstr>
      <vt:lpstr>finPNLEmpExp</vt:lpstr>
      <vt:lpstr>finPNLExistSubRev</vt:lpstr>
      <vt:lpstr>finPNLExtFTEProdDevExp</vt:lpstr>
      <vt:lpstr>finPNLExtraOrdExp</vt:lpstr>
      <vt:lpstr>finPNLGGORev</vt:lpstr>
      <vt:lpstr>finPNLIntExp</vt:lpstr>
      <vt:lpstr>finPNLIntInc</vt:lpstr>
      <vt:lpstr>finPNLMktExp</vt:lpstr>
      <vt:lpstr>finPNLNetEarn</vt:lpstr>
      <vt:lpstr>finPNLNetIntExp</vt:lpstr>
      <vt:lpstr>finPNLNewSubRev</vt:lpstr>
      <vt:lpstr>finPNLOperatingExp</vt:lpstr>
      <vt:lpstr>finPNLOperatingIncome</vt:lpstr>
      <vt:lpstr>finPNLOperatingMargin</vt:lpstr>
      <vt:lpstr>finPNLOtherExp</vt:lpstr>
      <vt:lpstr>finPNLOtherOpExp</vt:lpstr>
      <vt:lpstr>finPNLPlant1Exp</vt:lpstr>
      <vt:lpstr>finPNLPrintExp</vt:lpstr>
      <vt:lpstr>finPNLProd1AdminExp</vt:lpstr>
      <vt:lpstr>finPNLProd1AdminInfraExp</vt:lpstr>
      <vt:lpstr>finPNLProd1AmortExp</vt:lpstr>
      <vt:lpstr>finPNLProd1DeprAmortExp</vt:lpstr>
      <vt:lpstr>finPNLProd1DeprExp</vt:lpstr>
      <vt:lpstr>finPNLProd1EBITDA</vt:lpstr>
      <vt:lpstr>finPNLProd1EBITDAMargin</vt:lpstr>
      <vt:lpstr>finPNLProd1Emp1Exp</vt:lpstr>
      <vt:lpstr>finPNLProd1Emp1ProdDevExp</vt:lpstr>
      <vt:lpstr>finPNLProd1Emp2Exp</vt:lpstr>
      <vt:lpstr>finPNLProd1Emp3Exp</vt:lpstr>
      <vt:lpstr>finPNLProd1EmpExp</vt:lpstr>
      <vt:lpstr>finPNLProd1ExistSubRev</vt:lpstr>
      <vt:lpstr>finPNLProd1ExtFTEProdDevExp</vt:lpstr>
      <vt:lpstr>finPNLProd1GGORev</vt:lpstr>
      <vt:lpstr>finPNLProd1MktExp</vt:lpstr>
      <vt:lpstr>finPNLProd1NewSubRev</vt:lpstr>
      <vt:lpstr>finPNLProd1OperatingExp</vt:lpstr>
      <vt:lpstr>finPNLProd1OperatingIncome</vt:lpstr>
      <vt:lpstr>finPNLProd1OperatingMargin</vt:lpstr>
      <vt:lpstr>finPNLProd1OtherExp</vt:lpstr>
      <vt:lpstr>finPNLProd1OtherOpExp</vt:lpstr>
      <vt:lpstr>finPNLProd1Plant1Exp</vt:lpstr>
      <vt:lpstr>finPNLProd1PrintExp</vt:lpstr>
      <vt:lpstr>finPNLProd1ProdDevExp</vt:lpstr>
      <vt:lpstr>finPNLProd1Rev</vt:lpstr>
      <vt:lpstr>finPNLProd1RevExp</vt:lpstr>
      <vt:lpstr>finPNLProd1RoyalityExp</vt:lpstr>
      <vt:lpstr>finPNLProd1ServiceRev</vt:lpstr>
      <vt:lpstr>finPNLProd1SpecProgExp</vt:lpstr>
      <vt:lpstr>finPNLProd2AdminExp</vt:lpstr>
      <vt:lpstr>finPNLProd2AdminInfraExp</vt:lpstr>
      <vt:lpstr>finPNLProd2AmortExp</vt:lpstr>
      <vt:lpstr>finPNLProd2DeprAmortExp</vt:lpstr>
      <vt:lpstr>finPNLProd2DeprExp</vt:lpstr>
      <vt:lpstr>finPNLProd2EBITDA</vt:lpstr>
      <vt:lpstr>finPNLProd2EBITDAMargin</vt:lpstr>
      <vt:lpstr>finPNLProd2Emp1Exp</vt:lpstr>
      <vt:lpstr>finPNLProd2Emp1ProdDevExp</vt:lpstr>
      <vt:lpstr>finPNLProd2Emp2Exp</vt:lpstr>
      <vt:lpstr>finPNLProd2Emp3Exp</vt:lpstr>
      <vt:lpstr>finPNLProd2EmpExp</vt:lpstr>
      <vt:lpstr>finPNLProd2ExistSubRev</vt:lpstr>
      <vt:lpstr>finPNLProd2ExtFTEProdDevExp</vt:lpstr>
      <vt:lpstr>finPNLProd2GGORev</vt:lpstr>
      <vt:lpstr>finPNLProd2MktExp</vt:lpstr>
      <vt:lpstr>finPNLProd2NewSubRev</vt:lpstr>
      <vt:lpstr>finPNLProd2OperatingExp</vt:lpstr>
      <vt:lpstr>finPNLProd2OperatingIncome</vt:lpstr>
      <vt:lpstr>finPNLProd2OperatingMargin</vt:lpstr>
      <vt:lpstr>finPNLProd2OtherExp</vt:lpstr>
      <vt:lpstr>finPNLProd2OtherOpExp</vt:lpstr>
      <vt:lpstr>finPNLProd2Plant1Exp</vt:lpstr>
      <vt:lpstr>finPNLProd2PrintExp</vt:lpstr>
      <vt:lpstr>finPNLProd2ProdDevExp</vt:lpstr>
      <vt:lpstr>finPNLProd2Rev</vt:lpstr>
      <vt:lpstr>finPNLProd2RevExp</vt:lpstr>
      <vt:lpstr>finPNLProd2RoyalityExp</vt:lpstr>
      <vt:lpstr>finPNLProd2ServiceRev</vt:lpstr>
      <vt:lpstr>finPNLProd2SpecProgExp</vt:lpstr>
      <vt:lpstr>finPNLProdDevExp</vt:lpstr>
      <vt:lpstr>finPNLRev</vt:lpstr>
      <vt:lpstr>finPNLRevExp</vt:lpstr>
      <vt:lpstr>finPNLRoyalityExp</vt:lpstr>
      <vt:lpstr>finPNLServiceRev</vt:lpstr>
      <vt:lpstr>finPNLSpecLoansExp</vt:lpstr>
      <vt:lpstr>finPNLSpecProgExp</vt:lpstr>
      <vt:lpstr>finPNLTaxExp</vt:lpstr>
      <vt:lpstr>finProfitMargin</vt:lpstr>
      <vt:lpstr>finRetEarnChange</vt:lpstr>
      <vt:lpstr>finROA</vt:lpstr>
      <vt:lpstr>finROIC</vt:lpstr>
      <vt:lpstr>finStockchange</vt:lpstr>
      <vt:lpstr>FMATBGround</vt:lpstr>
      <vt:lpstr>FMATDAReaBorder</vt:lpstr>
      <vt:lpstr>FMATDAreaBorderHeader</vt:lpstr>
      <vt:lpstr>FMATDAreaColor</vt:lpstr>
      <vt:lpstr>FMATDAreaColorHeader</vt:lpstr>
      <vt:lpstr>FMATDAreaFont</vt:lpstr>
      <vt:lpstr>FMATDAreaFontHeader</vt:lpstr>
      <vt:lpstr>FMATDBoardBorder</vt:lpstr>
      <vt:lpstr>FMATDBoardColor</vt:lpstr>
      <vt:lpstr>FMATDBoardFont</vt:lpstr>
      <vt:lpstr>FMATDCellBorder</vt:lpstr>
      <vt:lpstr>FMATDCellColor</vt:lpstr>
      <vt:lpstr>FMATDCellFont</vt:lpstr>
      <vt:lpstr>FMATRAreaBorder</vt:lpstr>
      <vt:lpstr>FMATRAreaBorderHeader</vt:lpstr>
      <vt:lpstr>FMATRAreaColor</vt:lpstr>
      <vt:lpstr>FMATRAreaColorHeader</vt:lpstr>
      <vt:lpstr>FMATRAreaFont</vt:lpstr>
      <vt:lpstr>FMATRAreaFontHeader</vt:lpstr>
      <vt:lpstr>HideColToolBalSheet</vt:lpstr>
      <vt:lpstr>HideColToolCashFlow</vt:lpstr>
      <vt:lpstr>HideColToolContent</vt:lpstr>
      <vt:lpstr>HideColToolEvents</vt:lpstr>
      <vt:lpstr>HideColToolIntro</vt:lpstr>
      <vt:lpstr>HideColToolOperations</vt:lpstr>
      <vt:lpstr>HideColToolPeople</vt:lpstr>
      <vt:lpstr>HideColToolPNL</vt:lpstr>
      <vt:lpstr>HideColToolProd1Forecast</vt:lpstr>
      <vt:lpstr>HideColToolProd2Forecast</vt:lpstr>
      <vt:lpstr>HideColToolPrograms</vt:lpstr>
      <vt:lpstr>HideColToolRD</vt:lpstr>
      <vt:lpstr>HideRowanalysis</vt:lpstr>
      <vt:lpstr>HideRowtoolBalSheet</vt:lpstr>
      <vt:lpstr>HideRowtoolCashFlow</vt:lpstr>
      <vt:lpstr>HideRowtoolContent</vt:lpstr>
      <vt:lpstr>HideRowtoolEvents</vt:lpstr>
      <vt:lpstr>HideRowtoolIntro</vt:lpstr>
      <vt:lpstr>HideRowtoolOperations</vt:lpstr>
      <vt:lpstr>HideRowtoolPeople</vt:lpstr>
      <vt:lpstr>HideRowtoolPNL</vt:lpstr>
      <vt:lpstr>HideRowtoolProd1Forecast</vt:lpstr>
      <vt:lpstr>HideRowtoolProd2Forecast</vt:lpstr>
      <vt:lpstr>HideRowtoolPrograms</vt:lpstr>
      <vt:lpstr>HideRowtoolRD</vt:lpstr>
      <vt:lpstr>listDataSpecProgs</vt:lpstr>
      <vt:lpstr>listDataSpecProgsCode</vt:lpstr>
      <vt:lpstr>listDataSpecProgsNames</vt:lpstr>
      <vt:lpstr>listDataSpecProgsTemp</vt:lpstr>
      <vt:lpstr>listDataSpecProgsTempRows</vt:lpstr>
      <vt:lpstr>MENU1CBar</vt:lpstr>
      <vt:lpstr>MENU1MenuItems</vt:lpstr>
      <vt:lpstr>MENU1Menus</vt:lpstr>
      <vt:lpstr>MENU1SubMenuItems</vt:lpstr>
      <vt:lpstr>MENU2CBar</vt:lpstr>
      <vt:lpstr>MENU2MenuItems</vt:lpstr>
      <vt:lpstr>MENU2Menus</vt:lpstr>
      <vt:lpstr>MENU2SubMenuItems</vt:lpstr>
      <vt:lpstr>MMExplainCopy</vt:lpstr>
      <vt:lpstr>MMExplainPasteSeg1</vt:lpstr>
      <vt:lpstr>MMExplainPasteSeg2</vt:lpstr>
      <vt:lpstr>MMExplainPasteSeg3</vt:lpstr>
      <vt:lpstr>MMExplainPasteSeg4</vt:lpstr>
      <vt:lpstr>MMExplainPasteSeg5</vt:lpstr>
      <vt:lpstr>MMInMarket</vt:lpstr>
      <vt:lpstr>mmobalProd1BusDev</vt:lpstr>
      <vt:lpstr>mmobalProd1Marketing</vt:lpstr>
      <vt:lpstr>mmobalProd1RDDesign</vt:lpstr>
      <vt:lpstr>mmobalProd1RDGenral</vt:lpstr>
      <vt:lpstr>mmobalProd2BusDev</vt:lpstr>
      <vt:lpstr>mmobalProd2Marketing</vt:lpstr>
      <vt:lpstr>mmobalProd2RDDesign</vt:lpstr>
      <vt:lpstr>mmobalProd2RDGenral</vt:lpstr>
      <vt:lpstr>mmProd1AddMissed</vt:lpstr>
      <vt:lpstr>mmProd1AddPlaced</vt:lpstr>
      <vt:lpstr>MMProd1Adjustments</vt:lpstr>
      <vt:lpstr>mmProd1Demand</vt:lpstr>
      <vt:lpstr>mmProd1Explain</vt:lpstr>
      <vt:lpstr>mmProd1MarketShare</vt:lpstr>
      <vt:lpstr>mmProd1Supply</vt:lpstr>
      <vt:lpstr>mmProd1TotalUnits</vt:lpstr>
      <vt:lpstr>mmProd2AddMissed</vt:lpstr>
      <vt:lpstr>mmProd2AddPlaced</vt:lpstr>
      <vt:lpstr>MMProd2Adjustments</vt:lpstr>
      <vt:lpstr>mmProd2Demand</vt:lpstr>
      <vt:lpstr>mmProd2Explain</vt:lpstr>
      <vt:lpstr>mmProd2MarketShare</vt:lpstr>
      <vt:lpstr>mmProd2Supply</vt:lpstr>
      <vt:lpstr>mmProd2TotalUnits</vt:lpstr>
      <vt:lpstr>MMSegCount</vt:lpstr>
      <vt:lpstr>MMSegCurrent</vt:lpstr>
      <vt:lpstr>MMSegName</vt:lpstr>
      <vt:lpstr>MMSegSummary</vt:lpstr>
      <vt:lpstr>MMShareCopy</vt:lpstr>
      <vt:lpstr>MMSharePaste</vt:lpstr>
      <vt:lpstr>MMTotalUnits</vt:lpstr>
      <vt:lpstr>obalAPValue</vt:lpstr>
      <vt:lpstr>obalARValue</vt:lpstr>
      <vt:lpstr>obalAssetsValue</vt:lpstr>
      <vt:lpstr>obalCAGRY0</vt:lpstr>
      <vt:lpstr>obalCashOIY0</vt:lpstr>
      <vt:lpstr>obalCashOIY1</vt:lpstr>
      <vt:lpstr>obalCashOIY2</vt:lpstr>
      <vt:lpstr>obalCashOIY3</vt:lpstr>
      <vt:lpstr>obalCashValue</vt:lpstr>
      <vt:lpstr>obalContentEmp1Req</vt:lpstr>
      <vt:lpstr>obalContentLvl</vt:lpstr>
      <vt:lpstr>obalContentLvlIndAvg</vt:lpstr>
      <vt:lpstr>obalContentMethod</vt:lpstr>
      <vt:lpstr>obalCSAT</vt:lpstr>
      <vt:lpstr>obalCSATY0</vt:lpstr>
      <vt:lpstr>obalCSATY1</vt:lpstr>
      <vt:lpstr>obalCSATY2</vt:lpstr>
      <vt:lpstr>obalCSATY3</vt:lpstr>
      <vt:lpstr>obalCStockPricePShare</vt:lpstr>
      <vt:lpstr>obalCStockShares</vt:lpstr>
      <vt:lpstr>obalCStockValue</vt:lpstr>
      <vt:lpstr>obalCumulativeTaxLoss</vt:lpstr>
      <vt:lpstr>obalCustomerService</vt:lpstr>
      <vt:lpstr>obalDCConsolidation</vt:lpstr>
      <vt:lpstr>obalDeferredRevValue</vt:lpstr>
      <vt:lpstr>obalDividend</vt:lpstr>
      <vt:lpstr>obalEBIT</vt:lpstr>
      <vt:lpstr>obalEBITMulti</vt:lpstr>
      <vt:lpstr>obalEmp1</vt:lpstr>
      <vt:lpstr>obalEmp1Recruit</vt:lpstr>
      <vt:lpstr>obalEmp1TrainingLvl</vt:lpstr>
      <vt:lpstr>obalEmp2</vt:lpstr>
      <vt:lpstr>obalEmp3</vt:lpstr>
      <vt:lpstr>obalEquity</vt:lpstr>
      <vt:lpstr>obalESAT</vt:lpstr>
      <vt:lpstr>obalESATY0</vt:lpstr>
      <vt:lpstr>obalESATY1</vt:lpstr>
      <vt:lpstr>obalESATY2</vt:lpstr>
      <vt:lpstr>obalESATY3</vt:lpstr>
      <vt:lpstr>obalEvent101Chosen</vt:lpstr>
      <vt:lpstr>obalEvent101Duration</vt:lpstr>
      <vt:lpstr>obalEvent101Year</vt:lpstr>
      <vt:lpstr>obalEvent102Chosen</vt:lpstr>
      <vt:lpstr>obalEvent102Duration</vt:lpstr>
      <vt:lpstr>obalEvent102Year</vt:lpstr>
      <vt:lpstr>obalEvent103Chosen</vt:lpstr>
      <vt:lpstr>obalEvent103Duration</vt:lpstr>
      <vt:lpstr>obalEvent103Year</vt:lpstr>
      <vt:lpstr>obalEvent201Chosen</vt:lpstr>
      <vt:lpstr>obalEvent201Duration</vt:lpstr>
      <vt:lpstr>obalEvent201Year</vt:lpstr>
      <vt:lpstr>obalEvent202Chosen</vt:lpstr>
      <vt:lpstr>obalEvent202Duration</vt:lpstr>
      <vt:lpstr>obalEvent202Year</vt:lpstr>
      <vt:lpstr>obalEvent203Chosen</vt:lpstr>
      <vt:lpstr>obalEvent203Duration</vt:lpstr>
      <vt:lpstr>obalEvent203Year</vt:lpstr>
      <vt:lpstr>obalEvent301Chosen</vt:lpstr>
      <vt:lpstr>obalEvent301Duration</vt:lpstr>
      <vt:lpstr>obalEvent301Year</vt:lpstr>
      <vt:lpstr>obalEvent302Chosen</vt:lpstr>
      <vt:lpstr>obalEvent302Duration</vt:lpstr>
      <vt:lpstr>obalEvent302Year</vt:lpstr>
      <vt:lpstr>obalEvent401Chosen</vt:lpstr>
      <vt:lpstr>obalEvent401Duration</vt:lpstr>
      <vt:lpstr>obalEvent401Year</vt:lpstr>
      <vt:lpstr>obalEvent402Chosen</vt:lpstr>
      <vt:lpstr>obalEvent402Duration</vt:lpstr>
      <vt:lpstr>obalEvent402Year</vt:lpstr>
      <vt:lpstr>obalEvent403Chosen</vt:lpstr>
      <vt:lpstr>obalEvent403Duration</vt:lpstr>
      <vt:lpstr>obalEvent403Year</vt:lpstr>
      <vt:lpstr>obalEvent501Chosen</vt:lpstr>
      <vt:lpstr>obalEvent501Duration</vt:lpstr>
      <vt:lpstr>obalEvent501Year</vt:lpstr>
      <vt:lpstr>obalEvent502Chosen</vt:lpstr>
      <vt:lpstr>obalEvent502Duration</vt:lpstr>
      <vt:lpstr>obalEvent502Year</vt:lpstr>
      <vt:lpstr>obalEvent503Chosen</vt:lpstr>
      <vt:lpstr>obalEvent503Duration</vt:lpstr>
      <vt:lpstr>obalEvent503Year</vt:lpstr>
      <vt:lpstr>obalEvent601Chosen</vt:lpstr>
      <vt:lpstr>obalEvent601Duration</vt:lpstr>
      <vt:lpstr>obalEvent601Year</vt:lpstr>
      <vt:lpstr>obalEvent602Chosen</vt:lpstr>
      <vt:lpstr>obalEvent602Duration</vt:lpstr>
      <vt:lpstr>obalEvent602Year</vt:lpstr>
      <vt:lpstr>obalEvent603Chosen</vt:lpstr>
      <vt:lpstr>obalEvent603Duration</vt:lpstr>
      <vt:lpstr>obalEvent603Year</vt:lpstr>
      <vt:lpstr>obalEvent701Chosen</vt:lpstr>
      <vt:lpstr>obalEvent701Duration</vt:lpstr>
      <vt:lpstr>obalEvent701Year</vt:lpstr>
      <vt:lpstr>obalEvent702Chosen</vt:lpstr>
      <vt:lpstr>obalEvent702Duration</vt:lpstr>
      <vt:lpstr>obalEvent702Year</vt:lpstr>
      <vt:lpstr>obalEvent703Chosen</vt:lpstr>
      <vt:lpstr>obalEvent703Duration</vt:lpstr>
      <vt:lpstr>obalEvent703Year</vt:lpstr>
      <vt:lpstr>obalEvent801Chosen</vt:lpstr>
      <vt:lpstr>obalEvent801Duration</vt:lpstr>
      <vt:lpstr>obalEvent801Year</vt:lpstr>
      <vt:lpstr>obalEvent802Chosen</vt:lpstr>
      <vt:lpstr>obalEvent802Duration</vt:lpstr>
      <vt:lpstr>obalEvent802Year</vt:lpstr>
      <vt:lpstr>obalEvent803Chosen</vt:lpstr>
      <vt:lpstr>obalEvent803Duration</vt:lpstr>
      <vt:lpstr>obalEvent803Year</vt:lpstr>
      <vt:lpstr>obalEvent901Chosen</vt:lpstr>
      <vt:lpstr>obalEvent901Duration</vt:lpstr>
      <vt:lpstr>obalEvent901Year</vt:lpstr>
      <vt:lpstr>obalEvent902Chosen</vt:lpstr>
      <vt:lpstr>obalEvent902Duration</vt:lpstr>
      <vt:lpstr>obalEvent902Year</vt:lpstr>
      <vt:lpstr>obalGlobalExpansionLvl</vt:lpstr>
      <vt:lpstr>obalGlobalSalesCoverage</vt:lpstr>
      <vt:lpstr>obalGlobalSalesMktLvl</vt:lpstr>
      <vt:lpstr>obalGoodwillValue</vt:lpstr>
      <vt:lpstr>obalLTDebtValue</vt:lpstr>
      <vt:lpstr>obalMkt</vt:lpstr>
      <vt:lpstr>obalNetEarnValue</vt:lpstr>
      <vt:lpstr>obalOperatingMarginY0</vt:lpstr>
      <vt:lpstr>obalOperatingMarginY1</vt:lpstr>
      <vt:lpstr>obalOperatingMarginY2</vt:lpstr>
      <vt:lpstr>obalOperatingMarginY3</vt:lpstr>
      <vt:lpstr>obalOtherCurrentAssets</vt:lpstr>
      <vt:lpstr>obalOtherCurrLiabValue</vt:lpstr>
      <vt:lpstr>obalOtherFixedAssets</vt:lpstr>
      <vt:lpstr>obalOtherLTLiabValue</vt:lpstr>
      <vt:lpstr>obalOtherValue</vt:lpstr>
      <vt:lpstr>obalPlant1Units</vt:lpstr>
      <vt:lpstr>obalPlant1UnitsSold</vt:lpstr>
      <vt:lpstr>obalPlant1Utiliz</vt:lpstr>
      <vt:lpstr>obalPlant1Value</vt:lpstr>
      <vt:lpstr>obalPlant2Units</vt:lpstr>
      <vt:lpstr>obalPlant2Value</vt:lpstr>
      <vt:lpstr>obalPlantValue</vt:lpstr>
      <vt:lpstr>obalPNLAdminExp</vt:lpstr>
      <vt:lpstr>obalPNLAdminInfraExp</vt:lpstr>
      <vt:lpstr>obalPNLAmortExp</vt:lpstr>
      <vt:lpstr>obalPNLCapLossExp</vt:lpstr>
      <vt:lpstr>obalPNLCashOI</vt:lpstr>
      <vt:lpstr>obalPNLDeprAmortExp</vt:lpstr>
      <vt:lpstr>obalPNLDeprExp</vt:lpstr>
      <vt:lpstr>obalPNLEBITDA</vt:lpstr>
      <vt:lpstr>obalPNLEmp1Exp</vt:lpstr>
      <vt:lpstr>obalPNLEmp1ProdDevExp</vt:lpstr>
      <vt:lpstr>obalPNLEmp2Exp</vt:lpstr>
      <vt:lpstr>obalPNLEmp3Exp</vt:lpstr>
      <vt:lpstr>obalPNLEmpExp</vt:lpstr>
      <vt:lpstr>obalPNLExistSubRev</vt:lpstr>
      <vt:lpstr>obalPNLExtFTEProdDevExp</vt:lpstr>
      <vt:lpstr>obalPNLExtraOrdExp</vt:lpstr>
      <vt:lpstr>obalPNLGGORev</vt:lpstr>
      <vt:lpstr>obalPNLIntExp</vt:lpstr>
      <vt:lpstr>obalPNLIntInc</vt:lpstr>
      <vt:lpstr>obalPNLMktExp</vt:lpstr>
      <vt:lpstr>obalPNLNetEarn</vt:lpstr>
      <vt:lpstr>obalPNLNetIntExp</vt:lpstr>
      <vt:lpstr>obalPNLNewSubRev</vt:lpstr>
      <vt:lpstr>obalPNLOMPerc</vt:lpstr>
      <vt:lpstr>obalPNLOperatingExp</vt:lpstr>
      <vt:lpstr>obalPNLOperatingIncome</vt:lpstr>
      <vt:lpstr>obalPNLOperatingMargin</vt:lpstr>
      <vt:lpstr>obalPNLOtherExp</vt:lpstr>
      <vt:lpstr>obalPNLOtherOpExp</vt:lpstr>
      <vt:lpstr>obalPNLPlant1Exp</vt:lpstr>
      <vt:lpstr>obalPNLPrintExp</vt:lpstr>
      <vt:lpstr>obalPNLProd1AdminExp</vt:lpstr>
      <vt:lpstr>obalPNLProd1AdminInfraExp</vt:lpstr>
      <vt:lpstr>obalPNLProd1AmortExp</vt:lpstr>
      <vt:lpstr>obalPNLProd1DeprAmortExp</vt:lpstr>
      <vt:lpstr>obalPNLProd1DeprExp</vt:lpstr>
      <vt:lpstr>obalPNLProd1EBITDA</vt:lpstr>
      <vt:lpstr>obalPNLProd1Emp1Exp</vt:lpstr>
      <vt:lpstr>obalPNLProd1Emp1ProdDevExp</vt:lpstr>
      <vt:lpstr>obalPNLProd1Emp2Exp</vt:lpstr>
      <vt:lpstr>obalPNLProd1Emp3Exp</vt:lpstr>
      <vt:lpstr>obalPNLProd1EmpExp</vt:lpstr>
      <vt:lpstr>obalPNLProd1ExistSubRev</vt:lpstr>
      <vt:lpstr>obalPNLProd1ExtFTEProdDevExp</vt:lpstr>
      <vt:lpstr>obalPNLProd1GGORev</vt:lpstr>
      <vt:lpstr>obalPNLProd1MktExp</vt:lpstr>
      <vt:lpstr>obalPNLProd1NewSubRev</vt:lpstr>
      <vt:lpstr>obalPNLProd1OperatingExp</vt:lpstr>
      <vt:lpstr>obalPNLProd1OperatingIncome</vt:lpstr>
      <vt:lpstr>obalPNLProd1OperatingMargin</vt:lpstr>
      <vt:lpstr>obalPNLProd1OtherExp</vt:lpstr>
      <vt:lpstr>obalPNLProd1OtherOpExp</vt:lpstr>
      <vt:lpstr>obalPNLProd1Plant1Exp</vt:lpstr>
      <vt:lpstr>obalPNLProd1PrintExp</vt:lpstr>
      <vt:lpstr>obalPNLProd1ProdDevExp</vt:lpstr>
      <vt:lpstr>obalPNLProd1Rev</vt:lpstr>
      <vt:lpstr>obalPNLProd1RevExp</vt:lpstr>
      <vt:lpstr>obalPNLProd1RoyalityExp</vt:lpstr>
      <vt:lpstr>obalPNLProd1ServiceRev</vt:lpstr>
      <vt:lpstr>obalPNLProd1SpecProgExp</vt:lpstr>
      <vt:lpstr>obalPNLProd2AdminExp</vt:lpstr>
      <vt:lpstr>obalPNLProd2AdminInfraExp</vt:lpstr>
      <vt:lpstr>obalPNLProd2AmortExp</vt:lpstr>
      <vt:lpstr>obalPNLProd2DeprAmortExp</vt:lpstr>
      <vt:lpstr>obalPNLProd2DeprExp</vt:lpstr>
      <vt:lpstr>obalPNLProd2EBITDA</vt:lpstr>
      <vt:lpstr>obalPNLProd2Emp1Exp</vt:lpstr>
      <vt:lpstr>obalPNLProd2Emp1ProdDevExp</vt:lpstr>
      <vt:lpstr>obalPNLProd2Emp2Exp</vt:lpstr>
      <vt:lpstr>obalPNLProd2Emp3Exp</vt:lpstr>
      <vt:lpstr>obalPNLProd2EmpExp</vt:lpstr>
      <vt:lpstr>obalPNLProd2ExistSubRev</vt:lpstr>
      <vt:lpstr>obalPNLProd2ExtFTEProdDevExp</vt:lpstr>
      <vt:lpstr>obalPNLProd2GGORev</vt:lpstr>
      <vt:lpstr>obalPNLProd2MktExp</vt:lpstr>
      <vt:lpstr>obalPNLProd2NewSubRev</vt:lpstr>
      <vt:lpstr>obalPNLProd2OperatingExp</vt:lpstr>
      <vt:lpstr>obalPNLProd2OperatingIncome</vt:lpstr>
      <vt:lpstr>obalPNLProd2OperatingMargin</vt:lpstr>
      <vt:lpstr>obalPNLProd2OtherExp</vt:lpstr>
      <vt:lpstr>obalPNLProd2OtherOpExp</vt:lpstr>
      <vt:lpstr>obalPNLProd2Plant1Exp</vt:lpstr>
      <vt:lpstr>obalPNLProd2PrintExp</vt:lpstr>
      <vt:lpstr>obalPNLProd2ProdDevExp</vt:lpstr>
      <vt:lpstr>obalPNLProd2Rev</vt:lpstr>
      <vt:lpstr>obalPNLProd2RevExp</vt:lpstr>
      <vt:lpstr>obalPNLProd2RoyalityExp</vt:lpstr>
      <vt:lpstr>obalPNLProd2ServiceRev</vt:lpstr>
      <vt:lpstr>obalPNLProd2SpecProgExp</vt:lpstr>
      <vt:lpstr>obalPNLProdDevExp</vt:lpstr>
      <vt:lpstr>obalPNLRev</vt:lpstr>
      <vt:lpstr>obalPNLRevCAGR</vt:lpstr>
      <vt:lpstr>obalPNLRevExp</vt:lpstr>
      <vt:lpstr>obalPNLRoyalityExp</vt:lpstr>
      <vt:lpstr>obalPNLServiceRev</vt:lpstr>
      <vt:lpstr>obalPNLSpecLoansExp</vt:lpstr>
      <vt:lpstr>obalPNLSpecProgExp</vt:lpstr>
      <vt:lpstr>obalPNLTaxExp</vt:lpstr>
      <vt:lpstr>obalProd1AddSubs</vt:lpstr>
      <vt:lpstr>obalProd1ARValue</vt:lpstr>
      <vt:lpstr>obalProd1CancellationRate</vt:lpstr>
      <vt:lpstr>obalProd1Cancellations</vt:lpstr>
      <vt:lpstr>obalProd1Ftr1Emp1Req</vt:lpstr>
      <vt:lpstr>obalProd1Ftr1TTMEmp1Req</vt:lpstr>
      <vt:lpstr>obalProd1NetNewSales</vt:lpstr>
      <vt:lpstr>obalProd1NewSubGrowth</vt:lpstr>
      <vt:lpstr>obalProd1NewSubs</vt:lpstr>
      <vt:lpstr>obalProd1OpenSubs</vt:lpstr>
      <vt:lpstr>obalProd1Price</vt:lpstr>
      <vt:lpstr>obalProd1ProdTechIndAvg</vt:lpstr>
      <vt:lpstr>obalProd1ProdTechLvl</vt:lpstr>
      <vt:lpstr>obalProd1Revenue</vt:lpstr>
      <vt:lpstr>obalProd1RevY0</vt:lpstr>
      <vt:lpstr>obalProd1SoftwareValue</vt:lpstr>
      <vt:lpstr>obalProd1SubCancellationRate</vt:lpstr>
      <vt:lpstr>obalProd1SubGrowth</vt:lpstr>
      <vt:lpstr>obalProd1Subscribers</vt:lpstr>
      <vt:lpstr>obalProd1ThirdPartyPerc</vt:lpstr>
      <vt:lpstr>obalProd1TTM</vt:lpstr>
      <vt:lpstr>obalProd1TTMConFTEs</vt:lpstr>
      <vt:lpstr>obalProd1TTMIndAvg</vt:lpstr>
      <vt:lpstr>obalProd2AddSubs</vt:lpstr>
      <vt:lpstr>obalProd2ARValue</vt:lpstr>
      <vt:lpstr>obalProd2CancellationRate</vt:lpstr>
      <vt:lpstr>obalProd2Cancellations</vt:lpstr>
      <vt:lpstr>obalProd2Ftr1Emp1Req</vt:lpstr>
      <vt:lpstr>obalProd2Ftr1TTMEmp1Req</vt:lpstr>
      <vt:lpstr>obalProd2NetNewSales</vt:lpstr>
      <vt:lpstr>obalProd2NewSubGrowth</vt:lpstr>
      <vt:lpstr>obalProd2NewSubs</vt:lpstr>
      <vt:lpstr>obalProd2OpenSubs</vt:lpstr>
      <vt:lpstr>obalProd2Price</vt:lpstr>
      <vt:lpstr>obalProd2ProdTechIndAvg</vt:lpstr>
      <vt:lpstr>obalProd2ProdTechLvl</vt:lpstr>
      <vt:lpstr>obalProd2Revenue</vt:lpstr>
      <vt:lpstr>obalProd2RevY0</vt:lpstr>
      <vt:lpstr>obalProd2SoftwareValue</vt:lpstr>
      <vt:lpstr>obalProd2SubCancellationRate</vt:lpstr>
      <vt:lpstr>obalProd2SubGrowth</vt:lpstr>
      <vt:lpstr>obalProd2Subscribers</vt:lpstr>
      <vt:lpstr>obalProd2ThirdPartyPerc</vt:lpstr>
      <vt:lpstr>obalProd2TTM</vt:lpstr>
      <vt:lpstr>obalProd2TTMConFTEs</vt:lpstr>
      <vt:lpstr>obalProd2TTMIndAvg</vt:lpstr>
      <vt:lpstr>obalProfitMarginY0</vt:lpstr>
      <vt:lpstr>obalRetEarnValue</vt:lpstr>
      <vt:lpstr>obalRevenueY0</vt:lpstr>
      <vt:lpstr>obalSalesExistingPerc</vt:lpstr>
      <vt:lpstr>obalSalesForceExistingAccounts</vt:lpstr>
      <vt:lpstr>obalSalesForceNewAccounts</vt:lpstr>
      <vt:lpstr>obalSalesNewPerc</vt:lpstr>
      <vt:lpstr>obalScoreY1</vt:lpstr>
      <vt:lpstr>obalScoreY2</vt:lpstr>
      <vt:lpstr>obalScoreY3</vt:lpstr>
      <vt:lpstr>obalSpecLoansValue</vt:lpstr>
      <vt:lpstr>obalSpecProg10Chosen</vt:lpstr>
      <vt:lpstr>obalSpecProg10Duration</vt:lpstr>
      <vt:lpstr>obalSpecProg10Year</vt:lpstr>
      <vt:lpstr>obalSpecProg11Chosen</vt:lpstr>
      <vt:lpstr>obalSpecProg11Duration</vt:lpstr>
      <vt:lpstr>obalSpecProg11Year</vt:lpstr>
      <vt:lpstr>obalSpecProg12Chosen</vt:lpstr>
      <vt:lpstr>obalSpecProg12Duration</vt:lpstr>
      <vt:lpstr>obalSpecProg12Year</vt:lpstr>
      <vt:lpstr>obalSpecProg13Chosen</vt:lpstr>
      <vt:lpstr>obalSpecProg13Duration</vt:lpstr>
      <vt:lpstr>obalSpecProg13Year</vt:lpstr>
      <vt:lpstr>obalSpecProg14Chosen</vt:lpstr>
      <vt:lpstr>obalSpecProg14Duration</vt:lpstr>
      <vt:lpstr>obalSpecProg14Year</vt:lpstr>
      <vt:lpstr>obalSpecProg15Chosen</vt:lpstr>
      <vt:lpstr>obalSpecProg15Duration</vt:lpstr>
      <vt:lpstr>obalSpecProg15Year</vt:lpstr>
      <vt:lpstr>obalSpecProg16Chosen</vt:lpstr>
      <vt:lpstr>obalSpecProg16Duration</vt:lpstr>
      <vt:lpstr>obalSpecProg16Year</vt:lpstr>
      <vt:lpstr>obalSpecProg17Chosen</vt:lpstr>
      <vt:lpstr>obalSpecProg17Duration</vt:lpstr>
      <vt:lpstr>obalSpecProg17Year</vt:lpstr>
      <vt:lpstr>obalSpecProg18Chosen</vt:lpstr>
      <vt:lpstr>obalSpecProg18Duration</vt:lpstr>
      <vt:lpstr>obalSpecProg18Year</vt:lpstr>
      <vt:lpstr>obalSpecProg19Chosen</vt:lpstr>
      <vt:lpstr>obalSpecProg19Duration</vt:lpstr>
      <vt:lpstr>obalSpecProg19Year</vt:lpstr>
      <vt:lpstr>obalSpecProg1Chosen</vt:lpstr>
      <vt:lpstr>obalSpecProg1Duration</vt:lpstr>
      <vt:lpstr>obalSpecProg1Year</vt:lpstr>
      <vt:lpstr>obalSpecProg20Chosen</vt:lpstr>
      <vt:lpstr>obalSpecProg20Duration</vt:lpstr>
      <vt:lpstr>obalSpecProg20Year</vt:lpstr>
      <vt:lpstr>obalSpecProg21Chosen</vt:lpstr>
      <vt:lpstr>obalSpecProg21Duration</vt:lpstr>
      <vt:lpstr>obalSpecProg21Year</vt:lpstr>
      <vt:lpstr>obalSpecProg22Chosen</vt:lpstr>
      <vt:lpstr>obalSpecProg22Duration</vt:lpstr>
      <vt:lpstr>obalSpecProg22Year</vt:lpstr>
      <vt:lpstr>obalSpecProg2Chosen</vt:lpstr>
      <vt:lpstr>obalSpecProg2Duration</vt:lpstr>
      <vt:lpstr>obalSpecProg2Year</vt:lpstr>
      <vt:lpstr>obalSpecProg3Chosen</vt:lpstr>
      <vt:lpstr>obalSpecProg3Duration</vt:lpstr>
      <vt:lpstr>obalSpecProg3Year</vt:lpstr>
      <vt:lpstr>obalSpecProg4Chosen</vt:lpstr>
      <vt:lpstr>obalSpecProg4Duration</vt:lpstr>
      <vt:lpstr>obalSpecProg4Year</vt:lpstr>
      <vt:lpstr>obalSpecProg5Chosen</vt:lpstr>
      <vt:lpstr>obalSpecProg5Duration</vt:lpstr>
      <vt:lpstr>obalSpecProg5Year</vt:lpstr>
      <vt:lpstr>obalSpecProg6Chosen</vt:lpstr>
      <vt:lpstr>obalSpecProg6Duration</vt:lpstr>
      <vt:lpstr>obalSpecProg6Year</vt:lpstr>
      <vt:lpstr>obalSpecProg7Chosen</vt:lpstr>
      <vt:lpstr>obalSpecProg7Duration</vt:lpstr>
      <vt:lpstr>obalSpecProg7Year</vt:lpstr>
      <vt:lpstr>obalSpecProg8Chosen</vt:lpstr>
      <vt:lpstr>obalSpecProg8Duration</vt:lpstr>
      <vt:lpstr>obalSpecProg8Year</vt:lpstr>
      <vt:lpstr>obalSpecProg9Chosen</vt:lpstr>
      <vt:lpstr>obalSpecProg9Duration</vt:lpstr>
      <vt:lpstr>obalSpecProg9Year</vt:lpstr>
      <vt:lpstr>obalTotalLiabilities</vt:lpstr>
      <vt:lpstr>obalTotalRevY0</vt:lpstr>
      <vt:lpstr>obalTotalRevY1</vt:lpstr>
      <vt:lpstr>obalTotalRevY2</vt:lpstr>
      <vt:lpstr>obalTotalRevY3</vt:lpstr>
      <vt:lpstr>paramAPDays</vt:lpstr>
      <vt:lpstr>paramBaseAdminExp</vt:lpstr>
      <vt:lpstr>paramBrand</vt:lpstr>
      <vt:lpstr>paramCapitalizedPerc</vt:lpstr>
      <vt:lpstr>paramCashIntRate</vt:lpstr>
      <vt:lpstr>paramContentAddLvl</vt:lpstr>
      <vt:lpstr>paramContentDCCapacityPLvl</vt:lpstr>
      <vt:lpstr>paramContentFTEsMethodAdj</vt:lpstr>
      <vt:lpstr>paramContentFTEsPLvl</vt:lpstr>
      <vt:lpstr>paramCorporateLabor</vt:lpstr>
      <vt:lpstr>paramCostPExternalFTE</vt:lpstr>
      <vt:lpstr>paramCreditDays</vt:lpstr>
      <vt:lpstr>paramCSATAdj</vt:lpstr>
      <vt:lpstr>paramCStockParValue</vt:lpstr>
      <vt:lpstr>paramDaysPerYear</vt:lpstr>
      <vt:lpstr>paramDCConsolidationEmp1Req</vt:lpstr>
      <vt:lpstr>paramDividendRatio</vt:lpstr>
      <vt:lpstr>paramEmp1AdminCostPct</vt:lpstr>
      <vt:lpstr>paramEmp1AttRate</vt:lpstr>
      <vt:lpstr>paramEmp1Dismissal</vt:lpstr>
      <vt:lpstr>paramEmp1Exp</vt:lpstr>
      <vt:lpstr>paramEmp1FTECoefficient</vt:lpstr>
      <vt:lpstr>paramEmp1HoursPYear</vt:lpstr>
      <vt:lpstr>paramEmp1OTRate</vt:lpstr>
      <vt:lpstr>paramEmp1RecDismCost</vt:lpstr>
      <vt:lpstr>paramEmp1Recruitment</vt:lpstr>
      <vt:lpstr>paramEmp2AdminCostPct</vt:lpstr>
      <vt:lpstr>paramEmp2AttRate</vt:lpstr>
      <vt:lpstr>paramEmp2Exp</vt:lpstr>
      <vt:lpstr>paramEmp2HoursPYear</vt:lpstr>
      <vt:lpstr>paramEmp2OTRate</vt:lpstr>
      <vt:lpstr>paramEmp2RecDismCost</vt:lpstr>
      <vt:lpstr>paramEmp3AdminCostPct</vt:lpstr>
      <vt:lpstr>paramEmp3AttRate</vt:lpstr>
      <vt:lpstr>paramEmp3Exp</vt:lpstr>
      <vt:lpstr>paramEmp3HoursPYear</vt:lpstr>
      <vt:lpstr>paramEmp3OTRate</vt:lpstr>
      <vt:lpstr>paramEmp3RecDismCost</vt:lpstr>
      <vt:lpstr>paramESATAdj</vt:lpstr>
      <vt:lpstr>paramEventEmp1Req</vt:lpstr>
      <vt:lpstr>paramGGORevenue</vt:lpstr>
      <vt:lpstr>paramGlobalExpansionEmp1Req</vt:lpstr>
      <vt:lpstr>paramGlobalExpansionLaborPLvl</vt:lpstr>
      <vt:lpstr>paramGlobalExpCapExPLvl</vt:lpstr>
      <vt:lpstr>paramGlobalSalesMktPLvl</vt:lpstr>
      <vt:lpstr>paramGoodwillPerc</vt:lpstr>
      <vt:lpstr>paramInternalCreditDays</vt:lpstr>
      <vt:lpstr>paramInternalDevelopmentBaseExp</vt:lpstr>
      <vt:lpstr>paramLTDebtIntRate</vt:lpstr>
      <vt:lpstr>paramMarketingDecay</vt:lpstr>
      <vt:lpstr>paramNetOutsideServiceBaseExp</vt:lpstr>
      <vt:lpstr>paramOptimizeRange</vt:lpstr>
      <vt:lpstr>paramOtherCurrLiabGrowth</vt:lpstr>
      <vt:lpstr>paramOtherTLLiabGrowth</vt:lpstr>
      <vt:lpstr>paramPlant13rdPartyExp</vt:lpstr>
      <vt:lpstr>paramPlant1CapacityPUnit</vt:lpstr>
      <vt:lpstr>paramPlant1CapacityPUnitConsolidate</vt:lpstr>
      <vt:lpstr>paramPlant1DepRate</vt:lpstr>
      <vt:lpstr>paramPlant1DivRevenue</vt:lpstr>
      <vt:lpstr>paramPlant1FixedExp</vt:lpstr>
      <vt:lpstr>paramPlant1InvCost</vt:lpstr>
      <vt:lpstr>paramPlant1LaborPUnit</vt:lpstr>
      <vt:lpstr>paramPlant1LaborPUnitConsolidate</vt:lpstr>
      <vt:lpstr>paramPlant1MachCostPHr</vt:lpstr>
      <vt:lpstr>paramPlant1MachHrsPUnit</vt:lpstr>
      <vt:lpstr>paramPlant1MachHrsPUnitConsolidate</vt:lpstr>
      <vt:lpstr>paramPlant1RampUpPct</vt:lpstr>
      <vt:lpstr>paramPlant1SalesPercBook</vt:lpstr>
      <vt:lpstr>paramPlant1ShutDownTrigger</vt:lpstr>
      <vt:lpstr>paramPlant2DepRate</vt:lpstr>
      <vt:lpstr>paramPlant2FixedExp</vt:lpstr>
      <vt:lpstr>paramPlant2InvCost</vt:lpstr>
      <vt:lpstr>paramPlant2LaborPUnit</vt:lpstr>
      <vt:lpstr>paramPlant2SalesPercBook</vt:lpstr>
      <vt:lpstr>paramProd1AddProdTechLvl</vt:lpstr>
      <vt:lpstr>paramProd1AddSubs</vt:lpstr>
      <vt:lpstr>paramProd1BaseSoftwareValue</vt:lpstr>
      <vt:lpstr>paramProd1BaseTTM</vt:lpstr>
      <vt:lpstr>paramProd1CancellationRate</vt:lpstr>
      <vt:lpstr>paramProd1CancelSubsReenter</vt:lpstr>
      <vt:lpstr>paramProd1DCCapacityPSub</vt:lpstr>
      <vt:lpstr>paramProd1FTEsPCapLvl</vt:lpstr>
      <vt:lpstr>paramProd1LabHrsReqPSub</vt:lpstr>
      <vt:lpstr>paramProd1OtherCost</vt:lpstr>
      <vt:lpstr>paramProd1OtherRevCostPSub</vt:lpstr>
      <vt:lpstr>paramProd1PrintCostPSub</vt:lpstr>
      <vt:lpstr>paramProd1PrintPerc</vt:lpstr>
      <vt:lpstr>paramProd1RoyaltyPSub</vt:lpstr>
      <vt:lpstr>paramProd1ServiceAttachRate</vt:lpstr>
      <vt:lpstr>paramProd1ServiceHoursPContract</vt:lpstr>
      <vt:lpstr>paramProd1ServicePrice</vt:lpstr>
      <vt:lpstr>paramProd1SubtractSubs</vt:lpstr>
      <vt:lpstr>paramProd1ThirdPartyPerc</vt:lpstr>
      <vt:lpstr>paramProd2AddProdTechLvl</vt:lpstr>
      <vt:lpstr>paramProd2AddSubs</vt:lpstr>
      <vt:lpstr>paramProd2BaseSoftwareValue</vt:lpstr>
      <vt:lpstr>paramProd2BaseTTM</vt:lpstr>
      <vt:lpstr>paramProd2CancellationRate</vt:lpstr>
      <vt:lpstr>paramProd2CancelSubsReenter</vt:lpstr>
      <vt:lpstr>paramProd2DCCapacityPSub</vt:lpstr>
      <vt:lpstr>paramProd2FTEsPCapLvl</vt:lpstr>
      <vt:lpstr>paramProd2LabHrsReqPSub</vt:lpstr>
      <vt:lpstr>paramProd2OtherCost</vt:lpstr>
      <vt:lpstr>paramProd2OtherRevCostPSub</vt:lpstr>
      <vt:lpstr>paramProd2PrintCostPSub</vt:lpstr>
      <vt:lpstr>paramProd2PrintPerc</vt:lpstr>
      <vt:lpstr>paramProd2RoyaltyPSub</vt:lpstr>
      <vt:lpstr>paramProd2ServiceAttachRate</vt:lpstr>
      <vt:lpstr>paramProd2ServiceHoursPContract</vt:lpstr>
      <vt:lpstr>paramProd2ServicePrice</vt:lpstr>
      <vt:lpstr>paramProd2SubtractSubs</vt:lpstr>
      <vt:lpstr>paramProd2ThirdPartyPerc</vt:lpstr>
      <vt:lpstr>paramSalesCoverageEmp1Req</vt:lpstr>
      <vt:lpstr>paramSalesForceProductivity</vt:lpstr>
      <vt:lpstr>paramSoftwareAmortRate</vt:lpstr>
      <vt:lpstr>paramSpecLoansIntRate</vt:lpstr>
      <vt:lpstr>paramSpecLoansRate</vt:lpstr>
      <vt:lpstr>paramSpecProgEmp1Req</vt:lpstr>
      <vt:lpstr>paramSpecProgExp</vt:lpstr>
      <vt:lpstr>paramSpecProgProd1AcqCapEx</vt:lpstr>
      <vt:lpstr>paramSpecProgProd1Emp1Req</vt:lpstr>
      <vt:lpstr>paramSpecProgProd1Exp</vt:lpstr>
      <vt:lpstr>paramSpecProgProd1Sales</vt:lpstr>
      <vt:lpstr>paramSpecProgProd1TechCapEx</vt:lpstr>
      <vt:lpstr>paramSpecProgProd2AcqCapEx</vt:lpstr>
      <vt:lpstr>paramSpecProgProd2Emp1Req</vt:lpstr>
      <vt:lpstr>paramSpecProgProd2Exp</vt:lpstr>
      <vt:lpstr>paramSpecProgProd2Sales</vt:lpstr>
      <vt:lpstr>paramSpecProgProd2TechCapEx</vt:lpstr>
      <vt:lpstr>paramSpecProgProd3Sales</vt:lpstr>
      <vt:lpstr>paramSpecProgProd4Sales</vt:lpstr>
      <vt:lpstr>paramSpecProgProd5Sales</vt:lpstr>
      <vt:lpstr>paramSpecProgProd6Sales</vt:lpstr>
      <vt:lpstr>paramTaxRate</vt:lpstr>
      <vt:lpstr>paramTrainingExpPLvl</vt:lpstr>
      <vt:lpstr>paramTrainingFTEs</vt:lpstr>
      <vt:lpstr>paramWACC</vt:lpstr>
      <vt:lpstr>Analysis!Print_Area</vt:lpstr>
      <vt:lpstr>prob1toggle</vt:lpstr>
      <vt:lpstr>prob2toggle</vt:lpstr>
      <vt:lpstr>prob3toggle</vt:lpstr>
      <vt:lpstr>Prod1Seg1</vt:lpstr>
      <vt:lpstr>Prod1Seg2</vt:lpstr>
      <vt:lpstr>Prod1Seg3</vt:lpstr>
      <vt:lpstr>Prod1Seg4</vt:lpstr>
      <vt:lpstr>Prod1Seg5</vt:lpstr>
      <vt:lpstr>RAreatoolBalSheet</vt:lpstr>
      <vt:lpstr>RAreatoolCashFlow</vt:lpstr>
      <vt:lpstr>RAreatoolPNL</vt:lpstr>
      <vt:lpstr>RAreatoolProfitTree</vt:lpstr>
      <vt:lpstr>RAreatoolPrograms</vt:lpstr>
      <vt:lpstr>satIndexCbalCSATService</vt:lpstr>
      <vt:lpstr>ScreentoolBalSheet</vt:lpstr>
      <vt:lpstr>ScreentoolCashFlow</vt:lpstr>
      <vt:lpstr>ScreentoolContent</vt:lpstr>
      <vt:lpstr>ScreentoolEvents</vt:lpstr>
      <vt:lpstr>ScreentoolIntro</vt:lpstr>
      <vt:lpstr>ScreentoolOperations</vt:lpstr>
      <vt:lpstr>ScreentoolPeople</vt:lpstr>
      <vt:lpstr>ScreentoolPNL</vt:lpstr>
      <vt:lpstr>ScreentoolProd1Forecast</vt:lpstr>
      <vt:lpstr>ScreentoolProd2Forecast</vt:lpstr>
      <vt:lpstr>ScreentoolProfitTree</vt:lpstr>
      <vt:lpstr>ScreentoolPrograms</vt:lpstr>
      <vt:lpstr>ScreentoolRD</vt:lpstr>
      <vt:lpstr>tlInputContentLvl</vt:lpstr>
      <vt:lpstr>tlInputContentMethod</vt:lpstr>
      <vt:lpstr>tlInputDCConsolidation</vt:lpstr>
      <vt:lpstr>tlInputEmp1Change</vt:lpstr>
      <vt:lpstr>tlInputEmp1TrainingLvl</vt:lpstr>
      <vt:lpstr>tlInputEvent101Chosen</vt:lpstr>
      <vt:lpstr>tlInputEvent102Chosen</vt:lpstr>
      <vt:lpstr>tlInputEvent103Chosen</vt:lpstr>
      <vt:lpstr>tlInputEvent201Chosen</vt:lpstr>
      <vt:lpstr>tlInputEvent202Chosen</vt:lpstr>
      <vt:lpstr>tlInputEvent203Chosen</vt:lpstr>
      <vt:lpstr>tlInputEvent301Chosen</vt:lpstr>
      <vt:lpstr>tlInputEvent302Chosen</vt:lpstr>
      <vt:lpstr>tlInputEvent401Chosen</vt:lpstr>
      <vt:lpstr>tlInputEvent402Chosen</vt:lpstr>
      <vt:lpstr>tlInputEvent403Chosen</vt:lpstr>
      <vt:lpstr>tlInputEvent501Chosen</vt:lpstr>
      <vt:lpstr>tlInputEvent502Chosen</vt:lpstr>
      <vt:lpstr>tlInputEvent503Chosen</vt:lpstr>
      <vt:lpstr>tlInputEvent601Chosen</vt:lpstr>
      <vt:lpstr>tlInputEvent602Chosen</vt:lpstr>
      <vt:lpstr>tlInputEvent603Chosen</vt:lpstr>
      <vt:lpstr>tlInputEvent701Chosen</vt:lpstr>
      <vt:lpstr>tlInputEvent702Chosen</vt:lpstr>
      <vt:lpstr>tlInputEvent703Chosen</vt:lpstr>
      <vt:lpstr>tlInputEvent801Chosen</vt:lpstr>
      <vt:lpstr>tlInputEvent802Chosen</vt:lpstr>
      <vt:lpstr>tlInputEvent803Chosen</vt:lpstr>
      <vt:lpstr>tlInputEvent901Chosen</vt:lpstr>
      <vt:lpstr>tlInputEvent902Chosen</vt:lpstr>
      <vt:lpstr>tlInputGlobalExpansion</vt:lpstr>
      <vt:lpstr>tlInputInd1Team0</vt:lpstr>
      <vt:lpstr>tlInputMarketing</vt:lpstr>
      <vt:lpstr>tlInputMaxTeams</vt:lpstr>
      <vt:lpstr>tlInputmmProd1Driver1_2</vt:lpstr>
      <vt:lpstr>tlInputmmProd1Driver1_3</vt:lpstr>
      <vt:lpstr>tlInputmmProd1Driver10_2</vt:lpstr>
      <vt:lpstr>tlInputmmProd1Driver10_3</vt:lpstr>
      <vt:lpstr>tlInputmmProd1Driver2_2</vt:lpstr>
      <vt:lpstr>tlInputmmProd1Driver2_3</vt:lpstr>
      <vt:lpstr>tlInputmmProd1Driver3_2</vt:lpstr>
      <vt:lpstr>tlInputmmProd1Driver3_3</vt:lpstr>
      <vt:lpstr>tlInputmmProd1Driver4_2</vt:lpstr>
      <vt:lpstr>tlInputmmProd1Driver4_3</vt:lpstr>
      <vt:lpstr>tlInputmmProd1Driver5_2</vt:lpstr>
      <vt:lpstr>tlInputmmProd1Driver5_3</vt:lpstr>
      <vt:lpstr>tlInputmmProd1Driver6_2</vt:lpstr>
      <vt:lpstr>tlInputmmProd1Driver6_3</vt:lpstr>
      <vt:lpstr>tlInputmmProd1Driver7_2</vt:lpstr>
      <vt:lpstr>tlInputmmProd1Driver7_3</vt:lpstr>
      <vt:lpstr>tlInputmmProd1Driver8_2</vt:lpstr>
      <vt:lpstr>tlInputmmProd1Driver8_3</vt:lpstr>
      <vt:lpstr>tlInputmmProd1Driver9_2</vt:lpstr>
      <vt:lpstr>tlInputmmProd1Driver9_3</vt:lpstr>
      <vt:lpstr>tlInputmmProd1PctAdjust1</vt:lpstr>
      <vt:lpstr>tlInputmmProd1PctAdjust2</vt:lpstr>
      <vt:lpstr>tlInputmmProd1PctAdjust3</vt:lpstr>
      <vt:lpstr>tlInputmmProd1UnitAdjust1</vt:lpstr>
      <vt:lpstr>tlInputmmProd1UnitAdjust2</vt:lpstr>
      <vt:lpstr>tlInputmmProd1UnitAdjust3</vt:lpstr>
      <vt:lpstr>tlInputmmProd1Units</vt:lpstr>
      <vt:lpstr>tlInputmmProd1UnitsAvail_2</vt:lpstr>
      <vt:lpstr>tlInputmmProd1UnitsAvail_3</vt:lpstr>
      <vt:lpstr>tlInputmmProd2Driver1_2</vt:lpstr>
      <vt:lpstr>tlInputmmProd2Driver1_3</vt:lpstr>
      <vt:lpstr>tlInputmmProd2Driver2_2</vt:lpstr>
      <vt:lpstr>tlInputmmProd2Driver2_3</vt:lpstr>
      <vt:lpstr>tlInputmmProd2Driver3_2</vt:lpstr>
      <vt:lpstr>tlInputmmProd2Driver3_3</vt:lpstr>
      <vt:lpstr>tlInputmmProd2Driver4_2</vt:lpstr>
      <vt:lpstr>tlInputmmProd2Driver4_3</vt:lpstr>
      <vt:lpstr>tlInputmmProd2Driver5_2</vt:lpstr>
      <vt:lpstr>tlInputmmProd2Driver5_3</vt:lpstr>
      <vt:lpstr>tlInputmmProd2Driver6_2</vt:lpstr>
      <vt:lpstr>tlInputmmProd2Driver6_3</vt:lpstr>
      <vt:lpstr>tlInputmmProd2Driver7_2</vt:lpstr>
      <vt:lpstr>tlInputmmProd2Driver7_3</vt:lpstr>
      <vt:lpstr>tlInputmmProd2Driver8_2</vt:lpstr>
      <vt:lpstr>tlInputmmProd2Driver8_3</vt:lpstr>
      <vt:lpstr>tlInputmmProd2Driver9_2</vt:lpstr>
      <vt:lpstr>tlInputmmProd2Driver9_3</vt:lpstr>
      <vt:lpstr>tlInputmmProd2PctAdjust1</vt:lpstr>
      <vt:lpstr>tlInputmmProd2PctAdjust2</vt:lpstr>
      <vt:lpstr>tlInputmmProd2PctAdjust3</vt:lpstr>
      <vt:lpstr>tlInputmmProd2UnitAdjust1</vt:lpstr>
      <vt:lpstr>tlInputmmProd2UnitAdjust2</vt:lpstr>
      <vt:lpstr>tlInputmmProd2UnitAdjust3</vt:lpstr>
      <vt:lpstr>tlInputmmProd2Units</vt:lpstr>
      <vt:lpstr>tlInputmmProd2UnitsAvail_2</vt:lpstr>
      <vt:lpstr>tlInputmmProd2UnitsAvail_3</vt:lpstr>
      <vt:lpstr>tlInputNumTeams</vt:lpstr>
      <vt:lpstr>tlInputProd1Price</vt:lpstr>
      <vt:lpstr>tlInputProd1ProdTechLvl</vt:lpstr>
      <vt:lpstr>tlInputProd1TTMConFTEs</vt:lpstr>
      <vt:lpstr>tlInputProd1TTMIntFTEs</vt:lpstr>
      <vt:lpstr>tlInputProd1Units</vt:lpstr>
      <vt:lpstr>tlInputProd2Price</vt:lpstr>
      <vt:lpstr>tlInputProd2ProdTechLvl</vt:lpstr>
      <vt:lpstr>tlInputProd2TTMConFTEs</vt:lpstr>
      <vt:lpstr>tlInputProd2TTMIntFTEs</vt:lpstr>
      <vt:lpstr>tlInputProd2Units</vt:lpstr>
      <vt:lpstr>tlInputSalesNewPerc</vt:lpstr>
      <vt:lpstr>tlInputSFCoverage</vt:lpstr>
      <vt:lpstr>tlInputSpecProg10Chosen</vt:lpstr>
      <vt:lpstr>tlInputSpecProg11Chosen</vt:lpstr>
      <vt:lpstr>tlInputSpecProg12Chosen</vt:lpstr>
      <vt:lpstr>tlInputSpecProg13Chosen</vt:lpstr>
      <vt:lpstr>tlInputSpecProg14Chosen</vt:lpstr>
      <vt:lpstr>tlInputSpecProg15Chosen</vt:lpstr>
      <vt:lpstr>tlInputSpecProg16Chosen</vt:lpstr>
      <vt:lpstr>tlInputSpecProg17Chosen</vt:lpstr>
      <vt:lpstr>tlInputSpecProg18Chosen</vt:lpstr>
      <vt:lpstr>tlInputSpecProg19Chosen</vt:lpstr>
      <vt:lpstr>tlInputSpecProg1Check</vt:lpstr>
      <vt:lpstr>tlInputSpecProg1Chosen</vt:lpstr>
      <vt:lpstr>tlInputSpecProg20Chosen</vt:lpstr>
      <vt:lpstr>tlInputSpecProg21Chosen</vt:lpstr>
      <vt:lpstr>tlInputSpecProg22Chosen</vt:lpstr>
      <vt:lpstr>tlInputSpecProg23Chosen</vt:lpstr>
      <vt:lpstr>tlInputSpecProg24Chosen</vt:lpstr>
      <vt:lpstr>tlInputSpecProg2Check</vt:lpstr>
      <vt:lpstr>tlInputSpecProg2Chosen</vt:lpstr>
      <vt:lpstr>tlInputSpecProg3Check</vt:lpstr>
      <vt:lpstr>tlInputSpecProg3Chosen</vt:lpstr>
      <vt:lpstr>tlInputSpecProg4Check</vt:lpstr>
      <vt:lpstr>tlInputSpecProg4Chosen</vt:lpstr>
      <vt:lpstr>tlInputSpecProg5Check</vt:lpstr>
      <vt:lpstr>tlInputSpecProg5Chosen</vt:lpstr>
      <vt:lpstr>tlInputSpecProg6Check</vt:lpstr>
      <vt:lpstr>tlInputSpecProg6Chosen</vt:lpstr>
      <vt:lpstr>tlInputSpecProg7Check</vt:lpstr>
      <vt:lpstr>tlInputSpecProg7Chosen</vt:lpstr>
      <vt:lpstr>tlInputSpecProg8Check</vt:lpstr>
      <vt:lpstr>tlInputSpecProg8Chosen</vt:lpstr>
      <vt:lpstr>tlInputSpecProg9Chosen</vt:lpstr>
      <vt:lpstr>tlInputStandAlone</vt:lpstr>
      <vt:lpstr>tlInputTeamName</vt:lpstr>
      <vt:lpstr>tlInputTeamNumber</vt:lpstr>
      <vt:lpstr>tlInputTeamYear</vt:lpstr>
      <vt:lpstr>tlOutputAdminInfraExp</vt:lpstr>
      <vt:lpstr>tlOutputAnalyBuildingsT1</vt:lpstr>
      <vt:lpstr>tlOutputAnalyCAGRT1</vt:lpstr>
      <vt:lpstr>tlOutputAnalyCashOIMarginT1</vt:lpstr>
      <vt:lpstr>tlOutputAnalyCashOIT1</vt:lpstr>
      <vt:lpstr>tlOutputAnalyCRImpact10T1</vt:lpstr>
      <vt:lpstr>tlOutputAnalyCRImpact11T1</vt:lpstr>
      <vt:lpstr>tlOutputAnalyCRImpact12T1</vt:lpstr>
      <vt:lpstr>tlOutputAnalyCRImpact13T1</vt:lpstr>
      <vt:lpstr>tlOutputAnalyCRImpact14T1</vt:lpstr>
      <vt:lpstr>tlOutputAnalyCRImpact1T1</vt:lpstr>
      <vt:lpstr>tlOutputAnalyCRImpact2T1</vt:lpstr>
      <vt:lpstr>tlOutputAnalyCRImpact3T1</vt:lpstr>
      <vt:lpstr>tlOutputAnalyCRImpact4T1</vt:lpstr>
      <vt:lpstr>tlOutputAnalyCRImpact5T1</vt:lpstr>
      <vt:lpstr>tlOutputAnalyCRImpact6T1</vt:lpstr>
      <vt:lpstr>tlOutputAnalyCRImpact7T1</vt:lpstr>
      <vt:lpstr>tlOutputAnalyCRImpact8T1</vt:lpstr>
      <vt:lpstr>tlOutputAnalyCRImpact9T1</vt:lpstr>
      <vt:lpstr>tlOutputAnalyCSATImpact10T1</vt:lpstr>
      <vt:lpstr>tlOutputAnalyCSATImpact11T1</vt:lpstr>
      <vt:lpstr>tlOutputAnalyCSATImpact12T1</vt:lpstr>
      <vt:lpstr>tlOutputAnalyCSATImpact13T1</vt:lpstr>
      <vt:lpstr>tlOutputAnalyCSATImpact14T1</vt:lpstr>
      <vt:lpstr>tlOutputAnalyCSATImpact15T1</vt:lpstr>
      <vt:lpstr>tlOutputAnalyCSATImpact16T1</vt:lpstr>
      <vt:lpstr>tlOutputAnalyCSATImpact1T1</vt:lpstr>
      <vt:lpstr>tlOutputAnalyCSATImpact2T1</vt:lpstr>
      <vt:lpstr>tlOutputAnalyCSATImpact3T1</vt:lpstr>
      <vt:lpstr>tlOutputAnalyCSATImpact4T1</vt:lpstr>
      <vt:lpstr>tlOutputAnalyCSATImpact5T1</vt:lpstr>
      <vt:lpstr>tlOutputAnalyCSATImpact6T1</vt:lpstr>
      <vt:lpstr>tlOutputAnalyCSATImpact7T1</vt:lpstr>
      <vt:lpstr>tlOutputAnalyCSATImpact8T1</vt:lpstr>
      <vt:lpstr>tlOutputAnalyCSATImpact9T1</vt:lpstr>
      <vt:lpstr>tlOutputAnalyCSATT1</vt:lpstr>
      <vt:lpstr>tlOutputAnalyDCConsolidateT1</vt:lpstr>
      <vt:lpstr>tlOutputAnalyDCsT1</vt:lpstr>
      <vt:lpstr>tlOutputAnalyDCUtilizationT1</vt:lpstr>
      <vt:lpstr>tlOutputAnalyEEImpact10T1</vt:lpstr>
      <vt:lpstr>tlOutputAnalyEEImpact11T1</vt:lpstr>
      <vt:lpstr>tlOutputAnalyEEImpact12T1</vt:lpstr>
      <vt:lpstr>tlOutputAnalyEEImpact13T1</vt:lpstr>
      <vt:lpstr>tlOutputAnalyEEImpact14T1</vt:lpstr>
      <vt:lpstr>tlOutputAnalyEEImpact15T1</vt:lpstr>
      <vt:lpstr>tlOutputAnalyEEImpact16T1</vt:lpstr>
      <vt:lpstr>tlOutputAnalyEEImpact17T1</vt:lpstr>
      <vt:lpstr>tlOutputAnalyEEImpact1T1</vt:lpstr>
      <vt:lpstr>tlOutputAnalyEEImpact2T1</vt:lpstr>
      <vt:lpstr>tlOutputAnalyEEImpact3T1</vt:lpstr>
      <vt:lpstr>tlOutputAnalyEEImpact4T1</vt:lpstr>
      <vt:lpstr>tlOutputAnalyEEImpact5T1</vt:lpstr>
      <vt:lpstr>tlOutputAnalyEEImpact6T1</vt:lpstr>
      <vt:lpstr>tlOutputAnalyEEImpact7T1</vt:lpstr>
      <vt:lpstr>tlOutputAnalyEEImpact8T1</vt:lpstr>
      <vt:lpstr>tlOutputAnalyEEImpact9T1</vt:lpstr>
      <vt:lpstr>tlOutputAnalyESATT1</vt:lpstr>
      <vt:lpstr>tlOutputAnalyEvent1Yr1T1</vt:lpstr>
      <vt:lpstr>tlOutputAnalyEvent1Yr2T1</vt:lpstr>
      <vt:lpstr>tlOutputAnalyEvent1Yr3T1</vt:lpstr>
      <vt:lpstr>tlOutputAnalyEvent2Yr1T1</vt:lpstr>
      <vt:lpstr>tlOutputAnalyEvent2Yr2T1</vt:lpstr>
      <vt:lpstr>tlOutputAnalyEvent2Yr3T1</vt:lpstr>
      <vt:lpstr>tlOutputAnalyEvent3Yr1T1</vt:lpstr>
      <vt:lpstr>tlOutputAnalyEvent3Yr2T1</vt:lpstr>
      <vt:lpstr>tlOutputAnalyEvent3Yr3T1</vt:lpstr>
      <vt:lpstr>tlOutputAnalyFTEContentT1</vt:lpstr>
      <vt:lpstr>tlOutputAnalyFTEDConsolidateT1</vt:lpstr>
      <vt:lpstr>tlOutputAnalyFTEGlobalAccessT1</vt:lpstr>
      <vt:lpstr>tlOutputAnalyFTEInitT1</vt:lpstr>
      <vt:lpstr>tlOutputAnalyFTEProd1TechT1</vt:lpstr>
      <vt:lpstr>tlOutputAnalyFTEProd2TechT1</vt:lpstr>
      <vt:lpstr>tlOutputAnalyFTEProdImpact1T1</vt:lpstr>
      <vt:lpstr>tlOutputAnalyFTEProdImpact2T1</vt:lpstr>
      <vt:lpstr>tlOutputAnalyFTEProdImpact3T1</vt:lpstr>
      <vt:lpstr>tlOutputAnalyFTEProdImpact4T1</vt:lpstr>
      <vt:lpstr>tlOutputAnalyFTEProdImpact5T1</vt:lpstr>
      <vt:lpstr>tlOutputAnalyFTEProdImpact6T1</vt:lpstr>
      <vt:lpstr>tlOutputAnalyFTEProdImpact7T1</vt:lpstr>
      <vt:lpstr>tlOutputAnalyFTEProductivtyT1</vt:lpstr>
      <vt:lpstr>tlOutputAnalyFTESalesCoverageT1</vt:lpstr>
      <vt:lpstr>tlOutputAnalyFTEsT1</vt:lpstr>
      <vt:lpstr>tlOutputAnalyFTETrainingT1</vt:lpstr>
      <vt:lpstr>tlOutputAnalyGlobalAccessT1</vt:lpstr>
      <vt:lpstr>tlOutputAnalyHeadcountT1</vt:lpstr>
      <vt:lpstr>tlOutputAnalyInit1Yr1T1</vt:lpstr>
      <vt:lpstr>tlOutputAnalyInit1Yr2T1</vt:lpstr>
      <vt:lpstr>tlOutputAnalyInit1Yr3T1</vt:lpstr>
      <vt:lpstr>tlOutputAnalyInit2Yr1T1</vt:lpstr>
      <vt:lpstr>tlOutputAnalyInit2Yr2T1</vt:lpstr>
      <vt:lpstr>tlOutputAnalyInit2Yr3T1</vt:lpstr>
      <vt:lpstr>tlOutputAnalyInit3Yr1T1</vt:lpstr>
      <vt:lpstr>tlOutputAnalyInit3Yr2T1</vt:lpstr>
      <vt:lpstr>tlOutputAnalyInit3Yr3T1</vt:lpstr>
      <vt:lpstr>tlOutputAnalyMSImpact10T1</vt:lpstr>
      <vt:lpstr>tlOutputAnalyMSImpact11T1</vt:lpstr>
      <vt:lpstr>tlOutputAnalyMSImpact12T1</vt:lpstr>
      <vt:lpstr>tlOutputAnalyMSImpact13T1</vt:lpstr>
      <vt:lpstr>tlOutputAnalyMSImpact14T1</vt:lpstr>
      <vt:lpstr>tlOutputAnalyMSImpact15T1</vt:lpstr>
      <vt:lpstr>tlOutputAnalyMSImpact16T1</vt:lpstr>
      <vt:lpstr>tlOutputAnalyMSImpact17T1</vt:lpstr>
      <vt:lpstr>tlOutputAnalyMSImpact18T1</vt:lpstr>
      <vt:lpstr>tlOutputAnalyMSImpact19T1</vt:lpstr>
      <vt:lpstr>tlOutputAnalyMSImpact1T1</vt:lpstr>
      <vt:lpstr>tlOutputAnalyMSImpact20T1</vt:lpstr>
      <vt:lpstr>tlOutputAnalyMSImpact21T1</vt:lpstr>
      <vt:lpstr>tlOutputAnalyMSImpact2T1</vt:lpstr>
      <vt:lpstr>tlOutputAnalyMSImpact3T1</vt:lpstr>
      <vt:lpstr>tlOutputAnalyMSImpact4T1</vt:lpstr>
      <vt:lpstr>tlOutputAnalyMSImpact5T1</vt:lpstr>
      <vt:lpstr>tlOutputAnalyMSImpact6T1</vt:lpstr>
      <vt:lpstr>tlOutputAnalyMSImpact7T1</vt:lpstr>
      <vt:lpstr>tlOutputAnalyMSImpact8T1</vt:lpstr>
      <vt:lpstr>tlOutputAnalyMSImpact9T1</vt:lpstr>
      <vt:lpstr>tlOutputAnalyOperatingIncomeT1</vt:lpstr>
      <vt:lpstr>tlOutputAnalyOperatingMarginT1</vt:lpstr>
      <vt:lpstr>tlOutputAnalyParamFTE8T1</vt:lpstr>
      <vt:lpstr>tlOutputAnalyParamGrw13T1</vt:lpstr>
      <vt:lpstr>tlOutputAnalyParamGrw16T1</vt:lpstr>
      <vt:lpstr>tlOutputAnalyParamGrw17T1</vt:lpstr>
      <vt:lpstr>tlOutputAnalyParamGrw1T1</vt:lpstr>
      <vt:lpstr>tlOutputAnalyParamGrw2T1</vt:lpstr>
      <vt:lpstr>tlOutputAnalyParamGrw3T1</vt:lpstr>
      <vt:lpstr>tlOutputAnalyParamGrw5T1</vt:lpstr>
      <vt:lpstr>tlOutputAnalyParamGrw7T1</vt:lpstr>
      <vt:lpstr>tlOutputAnalyParamMisc26T1</vt:lpstr>
      <vt:lpstr>tlOutputAnalyParamMisc4T1</vt:lpstr>
      <vt:lpstr>tlOutputAnalyParamMisc5T1</vt:lpstr>
      <vt:lpstr>tlOutputAnalyParamOther1T1</vt:lpstr>
      <vt:lpstr>tlOutputAnalyParamOther2T1</vt:lpstr>
      <vt:lpstr>tlOutputAnalyParamSP10T1</vt:lpstr>
      <vt:lpstr>tlOutputAnalyParamSP11T1</vt:lpstr>
      <vt:lpstr>tlOutputAnalyParamSP2T1</vt:lpstr>
      <vt:lpstr>tlOutputAnalyParamSP3T1</vt:lpstr>
      <vt:lpstr>tlOutputAnalyParamSP4T1</vt:lpstr>
      <vt:lpstr>tlOutputAnalyParamSP5T1</vt:lpstr>
      <vt:lpstr>tlOutputAnalyParamTrns13T1</vt:lpstr>
      <vt:lpstr>tlOutputAnalyParamTrns16T1</vt:lpstr>
      <vt:lpstr>tlOutputAnalyParamTrns17T1</vt:lpstr>
      <vt:lpstr>tlOutputAnalyParamTrns1T1</vt:lpstr>
      <vt:lpstr>tlOutputAnalyParamTrns2T1</vt:lpstr>
      <vt:lpstr>tlOutputAnalyParamTrns3T1</vt:lpstr>
      <vt:lpstr>tlOutputAnalyParamTrns5T1</vt:lpstr>
      <vt:lpstr>tlOutputAnalyParamTrns7T1</vt:lpstr>
      <vt:lpstr>tlOutputAnalyParamTSGrw3T1</vt:lpstr>
      <vt:lpstr>tlOutputAnalyParamTSTrns3T1</vt:lpstr>
      <vt:lpstr>tlOutputAnalyProd1AttachRateT1</vt:lpstr>
      <vt:lpstr>tlOutputAnalyProd1CancellationT1</vt:lpstr>
      <vt:lpstr>tlOutputAnalyProd1ContentT1</vt:lpstr>
      <vt:lpstr>tlOutputAnalyProd1CSATTrainingT1</vt:lpstr>
      <vt:lpstr>tlOutputAnalyProd1CustomerServiceT1</vt:lpstr>
      <vt:lpstr>tlOutputAnalyProd1EBITDAMarginT1</vt:lpstr>
      <vt:lpstr>tlOutputAnalyProd1EBITDAT1</vt:lpstr>
      <vt:lpstr>tlOutputAnalyProd1EIFTEsT1</vt:lpstr>
      <vt:lpstr>tlOutputAnalyProd1ESATTrainingT1</vt:lpstr>
      <vt:lpstr>tlOutputAnalyProd1IFTEsT1</vt:lpstr>
      <vt:lpstr>tlOutputAnalyProd1MarketShareT1</vt:lpstr>
      <vt:lpstr>tlOutputAnalyProd1MktT1</vt:lpstr>
      <vt:lpstr>tlOutputAnalyProd1MMDriver1T1</vt:lpstr>
      <vt:lpstr>tlOutputAnalyProd1MMDriver2T1</vt:lpstr>
      <vt:lpstr>tlOutputAnalyProd1MMDriver3T1</vt:lpstr>
      <vt:lpstr>tlOutputAnalyProd1MMDriver4T1</vt:lpstr>
      <vt:lpstr>tlOutputAnalyProd1MMDriver5T1</vt:lpstr>
      <vt:lpstr>tlOutputAnalyProd1MMDriver6T1</vt:lpstr>
      <vt:lpstr>tlOutputAnalyProd1MMSPT1</vt:lpstr>
      <vt:lpstr>tlOutputAnalyProd1MMTotalT1</vt:lpstr>
      <vt:lpstr>tlOutputAnalyProd1NRevT1</vt:lpstr>
      <vt:lpstr>tlOutputAnalyProd1OperatingIncomeT1</vt:lpstr>
      <vt:lpstr>tlOutputAnalyProd1OperatingMarginT1</vt:lpstr>
      <vt:lpstr>tlOutputAnalyProd1PercIntT1</vt:lpstr>
      <vt:lpstr>tlOutputAnalyProd1PercNewT1</vt:lpstr>
      <vt:lpstr>tlOutputAnalyProd1PriceT1</vt:lpstr>
      <vt:lpstr>tlOutputAnalyProd1RevT1</vt:lpstr>
      <vt:lpstr>tlOutputAnalyProd1RRevT1</vt:lpstr>
      <vt:lpstr>tlOutputAnalyProd1SalesForceT1</vt:lpstr>
      <vt:lpstr>tlOutputAnalyProd1SalesInitsT1</vt:lpstr>
      <vt:lpstr>tlOutputAnalyProd1SubGrowthT1</vt:lpstr>
      <vt:lpstr>tlOutputAnalyProd1TechT1</vt:lpstr>
      <vt:lpstr>tlOutputAnalyProd1TrainingT1</vt:lpstr>
      <vt:lpstr>tlOutputAnalyProd1TRevT1</vt:lpstr>
      <vt:lpstr>tlOutputAnalyProd1TTMT1</vt:lpstr>
      <vt:lpstr>tlOutputAnalyProd2AttachRateT1</vt:lpstr>
      <vt:lpstr>tlOutputAnalyProd2CancellationT1</vt:lpstr>
      <vt:lpstr>tlOutputAnalyProd2ContentT1</vt:lpstr>
      <vt:lpstr>tlOutputAnalyProd2CSATTrainingT1</vt:lpstr>
      <vt:lpstr>tlOutputAnalyProd2CustomerServiceT1</vt:lpstr>
      <vt:lpstr>tlOutputAnalyProd2EBITDAMarginT1</vt:lpstr>
      <vt:lpstr>tlOutputAnalyProd2EBITDAT1</vt:lpstr>
      <vt:lpstr>tlOutputAnalyProd2EIFTEsT1</vt:lpstr>
      <vt:lpstr>tlOutputAnalyProd2ESATTrainingT1</vt:lpstr>
      <vt:lpstr>tlOutputAnalyProd2IFTEsT1</vt:lpstr>
      <vt:lpstr>tlOutputAnalyProd2MarketShareT1</vt:lpstr>
      <vt:lpstr>tlOutputAnalyProd2MktT1</vt:lpstr>
      <vt:lpstr>tlOutputAnalyProd2MMDriver1T1</vt:lpstr>
      <vt:lpstr>tlOutputAnalyProd2MMDriver2T1</vt:lpstr>
      <vt:lpstr>tlOutputAnalyProd2MMDriver3T1</vt:lpstr>
      <vt:lpstr>tlOutputAnalyProd2MMDriver4T1</vt:lpstr>
      <vt:lpstr>tlOutputAnalyProd2MMDriver5T1</vt:lpstr>
      <vt:lpstr>tlOutputAnalyProd2MMDriver6T1</vt:lpstr>
      <vt:lpstr>tlOutputAnalyProd2MMSPT1</vt:lpstr>
      <vt:lpstr>tlOutputAnalyProd2MMTotalT1</vt:lpstr>
      <vt:lpstr>tlOutputAnalyProd2NRevT1</vt:lpstr>
      <vt:lpstr>tlOutputAnalyProd2OperatingIncomeT1</vt:lpstr>
      <vt:lpstr>tlOutputAnalyProd2OperatingMarginT1</vt:lpstr>
      <vt:lpstr>tlOutputAnalyProd2PercIntT1</vt:lpstr>
      <vt:lpstr>tlOutputAnalyProd2PercNewT1</vt:lpstr>
      <vt:lpstr>tlOutputAnalyProd2PriceT1</vt:lpstr>
      <vt:lpstr>tlOutputAnalyProd2RevT1</vt:lpstr>
      <vt:lpstr>tlOutputAnalyProd2RRevT1</vt:lpstr>
      <vt:lpstr>tlOutputAnalyProd2SalesForceT1</vt:lpstr>
      <vt:lpstr>tlOutputAnalyProd2SalesInitsT1</vt:lpstr>
      <vt:lpstr>tlOutputAnalyProd2SubGrowthT1</vt:lpstr>
      <vt:lpstr>tlOutputAnalyProd2TechT1</vt:lpstr>
      <vt:lpstr>tlOutputAnalyProd2TrainingT1</vt:lpstr>
      <vt:lpstr>tlOutputAnalyProd2TRevT1</vt:lpstr>
      <vt:lpstr>tlOutputAnalyProd2TTMT1</vt:lpstr>
      <vt:lpstr>tlOutputAnalyRevenueT1</vt:lpstr>
      <vt:lpstr>tlOutputAnalyRGImpact10T1</vt:lpstr>
      <vt:lpstr>tlOutputAnalyRGImpact11T1</vt:lpstr>
      <vt:lpstr>tlOutputAnalyRGImpact12T1</vt:lpstr>
      <vt:lpstr>tlOutputAnalyRGImpact13T1</vt:lpstr>
      <vt:lpstr>tlOutputAnalyRGImpact14T1</vt:lpstr>
      <vt:lpstr>tlOutputAnalyRGImpact15T1</vt:lpstr>
      <vt:lpstr>tlOutputAnalyRGImpact16T1</vt:lpstr>
      <vt:lpstr>tlOutputAnalyRGImpact17T1</vt:lpstr>
      <vt:lpstr>tlOutputAnalyRGImpact18T1</vt:lpstr>
      <vt:lpstr>tlOutputAnalyRGImpact19T1</vt:lpstr>
      <vt:lpstr>tlOutputAnalyRGImpact1T1</vt:lpstr>
      <vt:lpstr>tlOutputAnalyRGImpact20T1</vt:lpstr>
      <vt:lpstr>tlOutputAnalyRGImpact2T1</vt:lpstr>
      <vt:lpstr>tlOutputAnalyRGImpact3T1</vt:lpstr>
      <vt:lpstr>tlOutputAnalyRGImpact4T1</vt:lpstr>
      <vt:lpstr>tlOutputAnalyRGImpact5T1</vt:lpstr>
      <vt:lpstr>tlOutputAnalyRGImpact6T1</vt:lpstr>
      <vt:lpstr>tlOutputAnalyRGImpact7T1</vt:lpstr>
      <vt:lpstr>tlOutputAnalyRGImpact8T1</vt:lpstr>
      <vt:lpstr>tlOutputAnalyRGImpact9T1</vt:lpstr>
      <vt:lpstr>tlOutputAnalySalesCoverageT1</vt:lpstr>
      <vt:lpstr>tlOutputAnalySBImpact10T1</vt:lpstr>
      <vt:lpstr>tlOutputAnalySBImpact11T1</vt:lpstr>
      <vt:lpstr>tlOutputAnalySBImpact12T1</vt:lpstr>
      <vt:lpstr>tlOutputAnalySBImpact13T1</vt:lpstr>
      <vt:lpstr>tlOutputAnalySBImpact14T1</vt:lpstr>
      <vt:lpstr>tlOutputAnalySBImpact1T1</vt:lpstr>
      <vt:lpstr>tlOutputAnalySBImpact2T1</vt:lpstr>
      <vt:lpstr>tlOutputAnalySBImpact3T1</vt:lpstr>
      <vt:lpstr>tlOutputAnalySBImpact4T1</vt:lpstr>
      <vt:lpstr>tlOutputAnalySBImpact5T1</vt:lpstr>
      <vt:lpstr>tlOutputAnalySBImpact6T1</vt:lpstr>
      <vt:lpstr>tlOutputAnalySBImpact7T1</vt:lpstr>
      <vt:lpstr>tlOutputAnalySBImpact8T1</vt:lpstr>
      <vt:lpstr>tlOutputAnalySBImpact9T1</vt:lpstr>
      <vt:lpstr>tlOutputAnalyServiceT1</vt:lpstr>
      <vt:lpstr>tlOutputAnalyStaffT1</vt:lpstr>
      <vt:lpstr>tlOutputAnalyTeamNameT1</vt:lpstr>
      <vt:lpstr>tlOutputAnalyWinMetricCashOIT1</vt:lpstr>
      <vt:lpstr>tlOutputAnalyWinMetricYr0T1</vt:lpstr>
      <vt:lpstr>tlOutputAnalyWinMetricYr1T1</vt:lpstr>
      <vt:lpstr>tlOutputAnalyWinMetricYr2T1</vt:lpstr>
      <vt:lpstr>tlOutputAnalyWinMetricYr3T1</vt:lpstr>
      <vt:lpstr>tlOutputCancelledSales</vt:lpstr>
      <vt:lpstr>tlOutputCashClosingValue</vt:lpstr>
      <vt:lpstr>tlOutputCashFlowAcquireInvest</vt:lpstr>
      <vt:lpstr>tlOutputCashFlowAPChange</vt:lpstr>
      <vt:lpstr>tlOutputCashFlowARChange</vt:lpstr>
      <vt:lpstr>tlOutputCashFlowAssetLoss</vt:lpstr>
      <vt:lpstr>tlOutputCashFlowDep_tlOutputCashFlowAmort</vt:lpstr>
      <vt:lpstr>tlOutputCashFlowDividendPayOut</vt:lpstr>
      <vt:lpstr>tlOutputCashFlowInvest</vt:lpstr>
      <vt:lpstr>tlOutputCashFlowLTDebtChange</vt:lpstr>
      <vt:lpstr>tlOutputCashFlowOperating</vt:lpstr>
      <vt:lpstr>tlOutputCashFlowOtherCurrAssetsChange</vt:lpstr>
      <vt:lpstr>tlOutputCashFlowOtherCurrLiabChange</vt:lpstr>
      <vt:lpstr>tlOutputCashFlowPropertyDivest</vt:lpstr>
      <vt:lpstr>tlOutputCashFlowPropertyInvest</vt:lpstr>
      <vt:lpstr>tlOutputCashFlowtlOutputance</vt:lpstr>
      <vt:lpstr>tlOutputCashFlowWorkCap</vt:lpstr>
      <vt:lpstr>tlOutputcbalAPValue</vt:lpstr>
      <vt:lpstr>tlOutputcbalARValue</vt:lpstr>
      <vt:lpstr>tlOutputcbalAssetsValue</vt:lpstr>
      <vt:lpstr>tlOutputcbalCashValue</vt:lpstr>
      <vt:lpstr>tlOutputcbalCSAT</vt:lpstr>
      <vt:lpstr>tlOutputcbalCStockValue</vt:lpstr>
      <vt:lpstr>tlOutputcbalCurrentAssets</vt:lpstr>
      <vt:lpstr>tlOutputcbalCurrentLiabValue</vt:lpstr>
      <vt:lpstr>tlOutputcbalEquity</vt:lpstr>
      <vt:lpstr>tlOutputcbalESAT</vt:lpstr>
      <vt:lpstr>tlOutputcbalGoodwillValue</vt:lpstr>
      <vt:lpstr>tlOutputcbalLTDebtValue</vt:lpstr>
      <vt:lpstr>tlOutputCbalOMPerc</vt:lpstr>
      <vt:lpstr>tlOutputcbalOtherCurrentAssets</vt:lpstr>
      <vt:lpstr>tlOutputcbalOtherCurrLiabValue</vt:lpstr>
      <vt:lpstr>tlOutputcbalOtherLTLiabValue</vt:lpstr>
      <vt:lpstr>tlOutputcbalOtherValue</vt:lpstr>
      <vt:lpstr>tlOutputcbalPNLCashOI</vt:lpstr>
      <vt:lpstr>tlOutputcbalPNLRevCAGR</vt:lpstr>
      <vt:lpstr>tlOutputcbalPropertyValue</vt:lpstr>
      <vt:lpstr>tlOutputcbalRetEarnValue</vt:lpstr>
      <vt:lpstr>tlOutputcbalSoftwareValue</vt:lpstr>
      <vt:lpstr>tlOutputcbalSpecLoansValue</vt:lpstr>
      <vt:lpstr>tlOutputcbalTotalLiabilities</vt:lpstr>
      <vt:lpstr>tlOutputcbalTotalLiabilitiesEquity</vt:lpstr>
      <vt:lpstr>tlOutputCFCashValue</vt:lpstr>
      <vt:lpstr>tlOutputCFPNLNetEarn</vt:lpstr>
      <vt:lpstr>tlOutputCOICapEx</vt:lpstr>
      <vt:lpstr>tlOutputCOICashOI</vt:lpstr>
      <vt:lpstr>tlOutputCOIEBITDA</vt:lpstr>
      <vt:lpstr>tlOutputCOIOperatingExp</vt:lpstr>
      <vt:lpstr>tlOutputCOIRev</vt:lpstr>
      <vt:lpstr>tlOutputComp2Prod1Price</vt:lpstr>
      <vt:lpstr>tlOutputComp2Prod1RevPerc</vt:lpstr>
      <vt:lpstr>tlOutputComp2Prod2Price</vt:lpstr>
      <vt:lpstr>tlOutputComp2Prod2RevPerc</vt:lpstr>
      <vt:lpstr>tlOutputComp3Prod1Price</vt:lpstr>
      <vt:lpstr>tlOutputComp3Prod1RevPerc</vt:lpstr>
      <vt:lpstr>tlOutputComp3Prod2Price</vt:lpstr>
      <vt:lpstr>tlOutputComp3Prod2RevPerc</vt:lpstr>
      <vt:lpstr>tlOutputCSAdminInfraExp</vt:lpstr>
      <vt:lpstr>tlOutputCSAPValue</vt:lpstr>
      <vt:lpstr>tlOutputCSARValue</vt:lpstr>
      <vt:lpstr>tlOutputCSAssetsValue</vt:lpstr>
      <vt:lpstr>tlOutputCSATThreshold</vt:lpstr>
      <vt:lpstr>tlOutputCSCashValue</vt:lpstr>
      <vt:lpstr>tlOutputCSCStockValue</vt:lpstr>
      <vt:lpstr>tlOutputCSCurrentAssets</vt:lpstr>
      <vt:lpstr>tlOutputCSCurrentLiabValue</vt:lpstr>
      <vt:lpstr>tlOutputCSDeprAmortExp</vt:lpstr>
      <vt:lpstr>tlOutputCSEBITDA</vt:lpstr>
      <vt:lpstr>tlOutputCSEmpExp</vt:lpstr>
      <vt:lpstr>tlOutputCSEquity</vt:lpstr>
      <vt:lpstr>tlOutputCSExtraOrdExp</vt:lpstr>
      <vt:lpstr>tlOutputCSGoodwillValue</vt:lpstr>
      <vt:lpstr>tlOutputCSLTDebtValue</vt:lpstr>
      <vt:lpstr>tlOutputCSNetEarn</vt:lpstr>
      <vt:lpstr>tlOutputCSNetIntExp</vt:lpstr>
      <vt:lpstr>tlOutputCSOperatingExp</vt:lpstr>
      <vt:lpstr>tlOutputCSOperatingIncome</vt:lpstr>
      <vt:lpstr>tlOutputCSOtherCurrentAssets</vt:lpstr>
      <vt:lpstr>tlOutputCSOtherCurrLiabValue</vt:lpstr>
      <vt:lpstr>tlOutputCSOtherLTLiabValue</vt:lpstr>
      <vt:lpstr>tlOutputCSOtherOpExp</vt:lpstr>
      <vt:lpstr>tlOutputCSOtherValue</vt:lpstr>
      <vt:lpstr>tlOutputCSProdDevExp</vt:lpstr>
      <vt:lpstr>tlOutputCSPropertyValue</vt:lpstr>
      <vt:lpstr>tlOutputCSRetEarnValue</vt:lpstr>
      <vt:lpstr>tlOutputCSRev</vt:lpstr>
      <vt:lpstr>tlOutputCSRevExp</vt:lpstr>
      <vt:lpstr>tlOutputCSServiceRev</vt:lpstr>
      <vt:lpstr>tlOutputCSSoftwareValue</vt:lpstr>
      <vt:lpstr>tlOutputCSSpecLoansValue</vt:lpstr>
      <vt:lpstr>tlOutputCSSubRev</vt:lpstr>
      <vt:lpstr>tlOutputCSTaxExp</vt:lpstr>
      <vt:lpstr>tlOutputCSTotalLiabilities</vt:lpstr>
      <vt:lpstr>tlOutputCSTotalLiabilitiesEquity</vt:lpstr>
      <vt:lpstr>tlOutputCTcapContentEmp1Req</vt:lpstr>
      <vt:lpstr>tlOutputCTContentMethod</vt:lpstr>
      <vt:lpstr>tlOutputCTDAcapContentEmp1Req</vt:lpstr>
      <vt:lpstr>tlOutputCTDAcapInternalContentDevExp</vt:lpstr>
      <vt:lpstr>tlOutputCTDAcbalContentLvl</vt:lpstr>
      <vt:lpstr>tlOutputCTDAfinPNLRoyalityExp</vt:lpstr>
      <vt:lpstr>tlOutputCTobalContentEmp1Req</vt:lpstr>
      <vt:lpstr>tlOutputCTobalContentMethod</vt:lpstr>
      <vt:lpstr>tlOutputCurrentYear</vt:lpstr>
      <vt:lpstr>tlOutputCurYearInitsRemaining</vt:lpstr>
      <vt:lpstr>tlOutputDBcapCSAT</vt:lpstr>
      <vt:lpstr>tlOutputDBcapEmp1FTERemaining</vt:lpstr>
      <vt:lpstr>tlOutputDBcapESAT</vt:lpstr>
      <vt:lpstr>tlOutputDBfinCashOI</vt:lpstr>
      <vt:lpstr>tlOutputDBfinPNLOperatingMargin</vt:lpstr>
      <vt:lpstr>tlOutputDBfinPNLRev</vt:lpstr>
      <vt:lpstr>tlOutputDBTScapCSAT</vt:lpstr>
      <vt:lpstr>tlOutputDBTScapESAT</vt:lpstr>
      <vt:lpstr>tlOutputDBTSfinCashOI</vt:lpstr>
      <vt:lpstr>tlOutputDBTSfinPNLOperatingMargin</vt:lpstr>
      <vt:lpstr>tlOutputDBTSfinPNLRev</vt:lpstr>
      <vt:lpstr>tlOutputDeprAmortExp</vt:lpstr>
      <vt:lpstr>tlOutputEBITDA</vt:lpstr>
      <vt:lpstr>tlOutputEBITDAMargin</vt:lpstr>
      <vt:lpstr>tlOutputEmp1FTERemaining</vt:lpstr>
      <vt:lpstr>tlOutputEmp1ReqInit</vt:lpstr>
      <vt:lpstr>tlOutputEmpExp</vt:lpstr>
      <vt:lpstr>tlOutputESATThreshold</vt:lpstr>
      <vt:lpstr>tlOutputEvent101Chosen</vt:lpstr>
      <vt:lpstr>tlOutputEvent102Chosen</vt:lpstr>
      <vt:lpstr>tlOutputEvent103Chosen</vt:lpstr>
      <vt:lpstr>tlOutputEvent201Chosen</vt:lpstr>
      <vt:lpstr>tlOutputEvent202Chosen</vt:lpstr>
      <vt:lpstr>tlOutputEvent203Chosen</vt:lpstr>
      <vt:lpstr>tlOutputEvent301Chosen</vt:lpstr>
      <vt:lpstr>tlOutputEvent302Chosen</vt:lpstr>
      <vt:lpstr>tlOutputEvent401Chosen</vt:lpstr>
      <vt:lpstr>tlOutputEvent402Chosen</vt:lpstr>
      <vt:lpstr>tlOutputEvent403Chosen</vt:lpstr>
      <vt:lpstr>tlOutputEvent501Chosen</vt:lpstr>
      <vt:lpstr>tlOutputEvent502Chosen</vt:lpstr>
      <vt:lpstr>tlOutputEvent503Chosen</vt:lpstr>
      <vt:lpstr>tlOutputEvent601Chosen</vt:lpstr>
      <vt:lpstr>tlOutputEvent602Chosen</vt:lpstr>
      <vt:lpstr>tlOutputEvent603Chosen</vt:lpstr>
      <vt:lpstr>tlOutputEvent701Chosen</vt:lpstr>
      <vt:lpstr>tlOutputEvent702Chosen</vt:lpstr>
      <vt:lpstr>tlOutputEvent703Chosen</vt:lpstr>
      <vt:lpstr>tlOutputEvent801Chosen</vt:lpstr>
      <vt:lpstr>tlOutputEvent802Chosen</vt:lpstr>
      <vt:lpstr>tlOutputEvent803Chosen</vt:lpstr>
      <vt:lpstr>tlOutputEvent901Chosen</vt:lpstr>
      <vt:lpstr>tlOutputEvent902Chosen</vt:lpstr>
      <vt:lpstr>tlOutputExtraOrdExp</vt:lpstr>
      <vt:lpstr>tlOutputF1capProd1CancellationRate</vt:lpstr>
      <vt:lpstr>tlOutputF1capProd1Cancellations</vt:lpstr>
      <vt:lpstr>tlOutputF1capProd1Emp1Req</vt:lpstr>
      <vt:lpstr>tlOutputF1capProd1EndSubs</vt:lpstr>
      <vt:lpstr>tlOutputF1capProd1MS</vt:lpstr>
      <vt:lpstr>tlOutputF1capProd1NetNewSales</vt:lpstr>
      <vt:lpstr>tlOutputF1capProd1NewSubs</vt:lpstr>
      <vt:lpstr>tlOutputF1capProd1OpenSubs</vt:lpstr>
      <vt:lpstr>tlOutputF1cbalContentLvl</vt:lpstr>
      <vt:lpstr>tlOutputF1cbalProd1EBITDAPerc</vt:lpstr>
      <vt:lpstr>tlOutputF1cbalProd1OM</vt:lpstr>
      <vt:lpstr>tlOutputF1cbalProd1ProdTechLvl</vt:lpstr>
      <vt:lpstr>tlOutputF1cbalProd1SubGrowth</vt:lpstr>
      <vt:lpstr>tlOutputF1cbalProd1TTM</vt:lpstr>
      <vt:lpstr>tlOutputF1DAcapProd1CancellationRate</vt:lpstr>
      <vt:lpstr>tlOutputF1DAcapProd1MS</vt:lpstr>
      <vt:lpstr>tlOutputF1DAdecProd1PriceChange</vt:lpstr>
      <vt:lpstr>tlOutputF1DAfinPNLProd1Rev</vt:lpstr>
      <vt:lpstr>tlOutputF1finPNLProd1Rev</vt:lpstr>
      <vt:lpstr>tlOutputF1obalContentLvl</vt:lpstr>
      <vt:lpstr>tlOutputF1obalProd1CancellationRate</vt:lpstr>
      <vt:lpstr>tlOutputF1obalProd1Cancellations</vt:lpstr>
      <vt:lpstr>tlOutputF1obalProd1EBITDAPerc</vt:lpstr>
      <vt:lpstr>tlOutputF1obalProd1EndSubs</vt:lpstr>
      <vt:lpstr>tlOutputF1obalProd1MS</vt:lpstr>
      <vt:lpstr>tlOutputF1obalProd1NetNewSales</vt:lpstr>
      <vt:lpstr>tlOutputF1obalProd1NewSubs</vt:lpstr>
      <vt:lpstr>tlOutputF1obalProd1OM</vt:lpstr>
      <vt:lpstr>tlOutputF1obalProd1OpenSubs</vt:lpstr>
      <vt:lpstr>tlOutputF1obalProd1ProdTechLvl</vt:lpstr>
      <vt:lpstr>tlOutputF1obalProd1Rev</vt:lpstr>
      <vt:lpstr>tlOutputF1obalProd1SubGrowth</vt:lpstr>
      <vt:lpstr>tlOutputF1obalProd1TTM</vt:lpstr>
      <vt:lpstr>tlOutputF2capProd1NewSubsEvents</vt:lpstr>
      <vt:lpstr>tlOutputF2capProd2CancellationRate</vt:lpstr>
      <vt:lpstr>tlOutputF2capProd2Cancellations</vt:lpstr>
      <vt:lpstr>tlOutputF2capProd2Emp1Req</vt:lpstr>
      <vt:lpstr>tlOutputF2capProd2EndSubs</vt:lpstr>
      <vt:lpstr>tlOutputF2capProd2MS</vt:lpstr>
      <vt:lpstr>tlOutputF2capProd2NetNewSales</vt:lpstr>
      <vt:lpstr>tlOutputF2capProd2NewSubs</vt:lpstr>
      <vt:lpstr>tlOutputF2capProd2NewSubsEvents</vt:lpstr>
      <vt:lpstr>tlOutputF2capProd2OpenSubs</vt:lpstr>
      <vt:lpstr>tlOutputF2cbalProd2ContentLvl</vt:lpstr>
      <vt:lpstr>tlOutputF2cbalProd2EBITDAPerc</vt:lpstr>
      <vt:lpstr>tlOutputF2cbalProd2OM</vt:lpstr>
      <vt:lpstr>tlOutputF2cbalProd2ProdTechLvl</vt:lpstr>
      <vt:lpstr>tlOutputF2cbalProd2SubGrowth</vt:lpstr>
      <vt:lpstr>tlOutputF2cbalProd2TTM</vt:lpstr>
      <vt:lpstr>tlOutputF2DAcapProd2CancellationRate</vt:lpstr>
      <vt:lpstr>tlOutputF2DAcapProd2MS</vt:lpstr>
      <vt:lpstr>tlOutputF2DAdecProd2PriceChange</vt:lpstr>
      <vt:lpstr>tlOutputF2DAfinPNLProd2Rev</vt:lpstr>
      <vt:lpstr>tlOutputF2finPNLProd2Rev</vt:lpstr>
      <vt:lpstr>tlOutputF2obalProd1NewSubsEvents</vt:lpstr>
      <vt:lpstr>tlOutputF2obalProd2CancellationRate</vt:lpstr>
      <vt:lpstr>tlOutputF2obalProd2Cancellations</vt:lpstr>
      <vt:lpstr>tlOutputF2obalProd2ContentLvl</vt:lpstr>
      <vt:lpstr>tlOutputF2obalProd2EBITDAPerc</vt:lpstr>
      <vt:lpstr>tlOutputF2obalProd2EndSubs</vt:lpstr>
      <vt:lpstr>tlOutputF2obalProd2MS</vt:lpstr>
      <vt:lpstr>tlOutputF2obalProd2NetNewSales</vt:lpstr>
      <vt:lpstr>tlOutputF2obalProd2NewSubs</vt:lpstr>
      <vt:lpstr>tlOutputF2obalProd2NewSubsEvents</vt:lpstr>
      <vt:lpstr>tlOutputF2obalProd2OM</vt:lpstr>
      <vt:lpstr>tlOutputF2obalProd2OpenSubs</vt:lpstr>
      <vt:lpstr>tlOutputF2obalProd2ProdTechLvl</vt:lpstr>
      <vt:lpstr>tlOutputF2obalProd2Rev</vt:lpstr>
      <vt:lpstr>tlOutputF2obalProd2SubGrowth</vt:lpstr>
      <vt:lpstr>tlOutputF2obalProd2TTM</vt:lpstr>
      <vt:lpstr>tlOutputFALSE</vt:lpstr>
      <vt:lpstr>tlOutputFBcapCSAT</vt:lpstr>
      <vt:lpstr>tlOutputFBcapCSATT1</vt:lpstr>
      <vt:lpstr>tlOutputFBcapCSATT2</vt:lpstr>
      <vt:lpstr>tlOutputFBcapCSATT3</vt:lpstr>
      <vt:lpstr>tlOutputFBcapCSATThreeTeam</vt:lpstr>
      <vt:lpstr>tlOutputFBcapESAT</vt:lpstr>
      <vt:lpstr>tlOutputFBcapESATT1</vt:lpstr>
      <vt:lpstr>tlOutputFBcapESATT2</vt:lpstr>
      <vt:lpstr>tlOutputFBcapESATT3</vt:lpstr>
      <vt:lpstr>tlOutputFBcapESATThreeTeam</vt:lpstr>
      <vt:lpstr>tlOutputFBcapTotalCancellationRate</vt:lpstr>
      <vt:lpstr>tlOutputFBcapTotalCancellationRateT1</vt:lpstr>
      <vt:lpstr>tlOutputFBcapTotalCancellationRateT2</vt:lpstr>
      <vt:lpstr>tlOutputFBcapTotalCancellationRateT3</vt:lpstr>
      <vt:lpstr>tlOutputFBcapTotalCancellationRateThreeTeam</vt:lpstr>
      <vt:lpstr>tlOutputFBcbalCashOIY0</vt:lpstr>
      <vt:lpstr>tlOutputFBcbalCashOIY0T1</vt:lpstr>
      <vt:lpstr>tlOutputFBcbalCashOIY0T2</vt:lpstr>
      <vt:lpstr>tlOutputFBcbalCashOIY0T3</vt:lpstr>
      <vt:lpstr>tlOutputFBcbalCashOIY0ThreeTeam</vt:lpstr>
      <vt:lpstr>tlOutputFBcbalCashOIY1</vt:lpstr>
      <vt:lpstr>tlOutputFBcbalCashOIY1T1</vt:lpstr>
      <vt:lpstr>tlOutputFBcbalCashOIY1T2</vt:lpstr>
      <vt:lpstr>tlOutputFBcbalCashOIY1T3</vt:lpstr>
      <vt:lpstr>tlOutputFBcbalCashOIY1ThreeTeam</vt:lpstr>
      <vt:lpstr>tlOutputFBcbalCashOIY2</vt:lpstr>
      <vt:lpstr>tlOutputFBcbalCashOIY2T1</vt:lpstr>
      <vt:lpstr>tlOutputFBcbalCashOIY2T2</vt:lpstr>
      <vt:lpstr>tlOutputFBcbalCashOIY2T3</vt:lpstr>
      <vt:lpstr>tlOutputFBcbalCashOIY2ThreeTeam</vt:lpstr>
      <vt:lpstr>tlOutputFBcbalCashOIY3</vt:lpstr>
      <vt:lpstr>tlOutputFBcbalCashOIY3T1</vt:lpstr>
      <vt:lpstr>tlOutputFBcbalCashOIY3T2</vt:lpstr>
      <vt:lpstr>tlOutputFBcbalCashOIY3T3</vt:lpstr>
      <vt:lpstr>tlOutputFBcbalCashOIY3ThreeTeam</vt:lpstr>
      <vt:lpstr>tlOutputFBcbalCSATY0</vt:lpstr>
      <vt:lpstr>tlOutputFBcbalCSATY0T1</vt:lpstr>
      <vt:lpstr>tlOutputFBcbalCSATY0T2</vt:lpstr>
      <vt:lpstr>tlOutputFBcbalCSATY0T3</vt:lpstr>
      <vt:lpstr>tlOutputFBcbalCSATY0ThreeTeam</vt:lpstr>
      <vt:lpstr>tlOutputFBcbalCSATY1</vt:lpstr>
      <vt:lpstr>tlOutputFBcbalCSATY1T1</vt:lpstr>
      <vt:lpstr>tlOutputFBcbalCSATY1T2</vt:lpstr>
      <vt:lpstr>tlOutputFBcbalCSATY1T3</vt:lpstr>
      <vt:lpstr>tlOutputFBcbalCSATY1ThreeTeam</vt:lpstr>
      <vt:lpstr>tlOutputFBcbalCSATY2</vt:lpstr>
      <vt:lpstr>tlOutputFBcbalCSATY2T1</vt:lpstr>
      <vt:lpstr>tlOutputFBcbalCSATY2T2</vt:lpstr>
      <vt:lpstr>tlOutputFBcbalCSATY2T3</vt:lpstr>
      <vt:lpstr>tlOutputFBcbalCSATY2ThreeTeam</vt:lpstr>
      <vt:lpstr>tlOutputFBcbalCSATY3</vt:lpstr>
      <vt:lpstr>tlOutputFBcbalCSATY3T1</vt:lpstr>
      <vt:lpstr>tlOutputFBcbalCSATY3T2</vt:lpstr>
      <vt:lpstr>tlOutputFBcbalCSATY3T3</vt:lpstr>
      <vt:lpstr>tlOutputFBcbalCSATY3ThreeTeam</vt:lpstr>
      <vt:lpstr>tlOutputFBcbalESATY0</vt:lpstr>
      <vt:lpstr>tlOutputFBcbalESATY0T1</vt:lpstr>
      <vt:lpstr>tlOutputFBcbalESATY0T2</vt:lpstr>
      <vt:lpstr>tlOutputFBcbalESATY0T3</vt:lpstr>
      <vt:lpstr>tlOutputFBcbalESATY0ThreeTeam</vt:lpstr>
      <vt:lpstr>tlOutputFBcbalESATY1</vt:lpstr>
      <vt:lpstr>tlOutputFBcbalESATY1T1</vt:lpstr>
      <vt:lpstr>tlOutputFBcbalESATY1T2</vt:lpstr>
      <vt:lpstr>tlOutputFBcbalESATY1T3</vt:lpstr>
      <vt:lpstr>tlOutputFBcbalESATY1ThreeTeam</vt:lpstr>
      <vt:lpstr>tlOutputFBcbalESATY2</vt:lpstr>
      <vt:lpstr>tlOutputFBcbalESATY2T1</vt:lpstr>
      <vt:lpstr>tlOutputFBcbalESATY2T2</vt:lpstr>
      <vt:lpstr>tlOutputFBcbalESATY2T3</vt:lpstr>
      <vt:lpstr>tlOutputFBcbalESATY2ThreeTeam</vt:lpstr>
      <vt:lpstr>tlOutputFBcbalESATY3</vt:lpstr>
      <vt:lpstr>tlOutputFBcbalESATY3T1</vt:lpstr>
      <vt:lpstr>tlOutputFBcbalESATY3T2</vt:lpstr>
      <vt:lpstr>tlOutputFBcbalESATY3T3</vt:lpstr>
      <vt:lpstr>tlOutputFBcbalESATY3ThreeTeam</vt:lpstr>
      <vt:lpstr>tlOutputFBcbalEVT1Y1Choice1</vt:lpstr>
      <vt:lpstr>tlOutputFBcbalEVT1Y1Choice1T1</vt:lpstr>
      <vt:lpstr>tlOutputFBcbalEVT1Y1Choice1T2</vt:lpstr>
      <vt:lpstr>tlOutputFBcbalEVT1Y1Choice1T3</vt:lpstr>
      <vt:lpstr>tlOutputFBcbalEVT1Y1Choice1ThreeTeam</vt:lpstr>
      <vt:lpstr>tlOutputFBcbalEVT1Y1Choice2</vt:lpstr>
      <vt:lpstr>tlOutputFBcbalEVT1Y1Choice2T1</vt:lpstr>
      <vt:lpstr>tlOutputFBcbalEVT1Y1Choice2T2</vt:lpstr>
      <vt:lpstr>tlOutputFBcbalEVT1Y1Choice2T3</vt:lpstr>
      <vt:lpstr>tlOutputFBcbalEVT1Y1Choice2ThreeTeam</vt:lpstr>
      <vt:lpstr>tlOutputFBcbalEVT1Y1Choice3</vt:lpstr>
      <vt:lpstr>tlOutputFBcbalEVT1Y1Choice3T1</vt:lpstr>
      <vt:lpstr>tlOutputFBcbalEVT1Y1Choice3T2</vt:lpstr>
      <vt:lpstr>tlOutputFBcbalEVT1Y1Choice3T3</vt:lpstr>
      <vt:lpstr>tlOutputFBcbalEVT1Y1Choice3ThreeTeam</vt:lpstr>
      <vt:lpstr>tlOutputFBcbalEVT1Y2Choice1</vt:lpstr>
      <vt:lpstr>tlOutputFBcbalEVT1Y2Choice1T1</vt:lpstr>
      <vt:lpstr>tlOutputFBcbalEVT1Y2Choice1T2</vt:lpstr>
      <vt:lpstr>tlOutputFBcbalEVT1Y2Choice1T3</vt:lpstr>
      <vt:lpstr>tlOutputFBcbalEVT1Y2Choice1ThreeTeam</vt:lpstr>
      <vt:lpstr>tlOutputFBcbalEVT1Y2Choice2</vt:lpstr>
      <vt:lpstr>tlOutputFBcbalEVT1Y2Choice2T1</vt:lpstr>
      <vt:lpstr>tlOutputFBcbalEVT1Y2Choice2T2</vt:lpstr>
      <vt:lpstr>tlOutputFBcbalEVT1Y2Choice2T3</vt:lpstr>
      <vt:lpstr>tlOutputFBcbalEVT1Y2Choice2ThreeTeam</vt:lpstr>
      <vt:lpstr>tlOutputFBcbalEVT1Y2Choice3</vt:lpstr>
      <vt:lpstr>tlOutputFBcbalEVT1Y2Choice3T1</vt:lpstr>
      <vt:lpstr>tlOutputFBcbalEVT1Y2Choice3T2</vt:lpstr>
      <vt:lpstr>tlOutputFBcbalEVT1Y2Choice3T3</vt:lpstr>
      <vt:lpstr>tlOutputFBcbalEVT1Y2Choice3ThreeTeam</vt:lpstr>
      <vt:lpstr>tlOutputFBcbalEVT1Y3Choice1</vt:lpstr>
      <vt:lpstr>tlOutputFBcbalEVT1Y3Choice1T1</vt:lpstr>
      <vt:lpstr>tlOutputFBcbalEVT1Y3Choice1T2</vt:lpstr>
      <vt:lpstr>tlOutputFBcbalEVT1Y3Choice1T3</vt:lpstr>
      <vt:lpstr>tlOutputFBcbalEVT1Y3Choice1ThreeTeam</vt:lpstr>
      <vt:lpstr>tlOutputFBcbalEVT1Y3Choice2</vt:lpstr>
      <vt:lpstr>tlOutputFBcbalEVT1Y3Choice2T1</vt:lpstr>
      <vt:lpstr>tlOutputFBcbalEVT1Y3Choice2T2</vt:lpstr>
      <vt:lpstr>tlOutputFBcbalEVT1Y3Choice2T3</vt:lpstr>
      <vt:lpstr>tlOutputFBcbalEVT1Y3Choice2ThreeTeam</vt:lpstr>
      <vt:lpstr>tlOutputFBcbalEVT1Y3Choice3</vt:lpstr>
      <vt:lpstr>tlOutputFBcbalEVT1Y3Choice3T1</vt:lpstr>
      <vt:lpstr>tlOutputFBcbalEVT1Y3Choice3T2</vt:lpstr>
      <vt:lpstr>tlOutputFBcbalEVT1Y3Choice3T3</vt:lpstr>
      <vt:lpstr>tlOutputFBcbalEVT1Y3Choice3ThreeTeam</vt:lpstr>
      <vt:lpstr>tlOutputFBcbalEVT2Y1Choice1</vt:lpstr>
      <vt:lpstr>tlOutputFBcbalEVT2Y1Choice1T1</vt:lpstr>
      <vt:lpstr>tlOutputFBcbalEVT2Y1Choice1T2</vt:lpstr>
      <vt:lpstr>tlOutputFBcbalEVT2Y1Choice1T3</vt:lpstr>
      <vt:lpstr>tlOutputFBcbalEVT2Y1Choice1ThreeTeam</vt:lpstr>
      <vt:lpstr>tlOutputFBcbalEVT2Y1Choice2</vt:lpstr>
      <vt:lpstr>tlOutputFBcbalEVT2Y1Choice2T1</vt:lpstr>
      <vt:lpstr>tlOutputFBcbalEVT2Y1Choice2T2</vt:lpstr>
      <vt:lpstr>tlOutputFBcbalEVT2Y1Choice2T3</vt:lpstr>
      <vt:lpstr>tlOutputFBcbalEVT2Y1Choice2ThreeTeam</vt:lpstr>
      <vt:lpstr>tlOutputFBcbalEVT2Y1Choice3</vt:lpstr>
      <vt:lpstr>tlOutputFBcbalEVT2Y1Choice3T1</vt:lpstr>
      <vt:lpstr>tlOutputFBcbalEVT2Y1Choice3T2</vt:lpstr>
      <vt:lpstr>tlOutputFBcbalEVT2Y1Choice3T3</vt:lpstr>
      <vt:lpstr>tlOutputFBcbalEVT2Y1Choice3ThreeTeam</vt:lpstr>
      <vt:lpstr>tlOutputFBcbalEVT2Y2Choice1</vt:lpstr>
      <vt:lpstr>tlOutputFBcbalEVT2Y2Choice1T1</vt:lpstr>
      <vt:lpstr>tlOutputFBcbalEVT2Y2Choice1T2</vt:lpstr>
      <vt:lpstr>tlOutputFBcbalEVT2Y2Choice1T3</vt:lpstr>
      <vt:lpstr>tlOutputFBcbalEVT2Y2Choice1ThreeTeam</vt:lpstr>
      <vt:lpstr>tlOutputFBcbalEVT2Y2Choice2</vt:lpstr>
      <vt:lpstr>tlOutputFBcbalEVT2Y2Choice2T1</vt:lpstr>
      <vt:lpstr>tlOutputFBcbalEVT2Y2Choice2T2</vt:lpstr>
      <vt:lpstr>tlOutputFBcbalEVT2Y2Choice2T3</vt:lpstr>
      <vt:lpstr>tlOutputFBcbalEVT2Y2Choice2ThreeTeam</vt:lpstr>
      <vt:lpstr>tlOutputFBcbalEVT2Y2Choice3</vt:lpstr>
      <vt:lpstr>tlOutputFBcbalEVT2Y2Choice3T1</vt:lpstr>
      <vt:lpstr>tlOutputFBcbalEVT2Y2Choice3T2</vt:lpstr>
      <vt:lpstr>tlOutputFBcbalEVT2Y2Choice3T3</vt:lpstr>
      <vt:lpstr>tlOutputFBcbalEVT2Y2Choice3ThreeTeam</vt:lpstr>
      <vt:lpstr>tlOutputFBcbalEVT2Y3Choice1</vt:lpstr>
      <vt:lpstr>tlOutputFBcbalEVT2Y3Choice1T1</vt:lpstr>
      <vt:lpstr>tlOutputFBcbalEVT2Y3Choice1T2</vt:lpstr>
      <vt:lpstr>tlOutputFBcbalEVT2Y3Choice1T3</vt:lpstr>
      <vt:lpstr>tlOutputFBcbalEVT2Y3Choice1ThreeTeam</vt:lpstr>
      <vt:lpstr>tlOutputFBcbalEVT2Y3Choice2</vt:lpstr>
      <vt:lpstr>tlOutputFBcbalEVT2Y3Choice2T1</vt:lpstr>
      <vt:lpstr>tlOutputFBcbalEVT2Y3Choice2T2</vt:lpstr>
      <vt:lpstr>tlOutputFBcbalEVT2Y3Choice2T3</vt:lpstr>
      <vt:lpstr>tlOutputFBcbalEVT2Y3Choice2ThreeTeam</vt:lpstr>
      <vt:lpstr>tlOutputFBcbalEVT2Y3Choice3</vt:lpstr>
      <vt:lpstr>tlOutputFBcbalEVT2Y3Choice3T1</vt:lpstr>
      <vt:lpstr>tlOutputFBcbalEVT2Y3Choice3T2</vt:lpstr>
      <vt:lpstr>tlOutputFBcbalEVT2Y3Choice3T3</vt:lpstr>
      <vt:lpstr>tlOutputFBcbalEVT2Y3Choice3ThreeTeam</vt:lpstr>
      <vt:lpstr>tlOutputFBcbalEVT3Y1Choice1</vt:lpstr>
      <vt:lpstr>tlOutputFBcbalEVT3Y1Choice1T1</vt:lpstr>
      <vt:lpstr>tlOutputFBcbalEVT3Y1Choice1T2</vt:lpstr>
      <vt:lpstr>tlOutputFBcbalEVT3Y1Choice1T3</vt:lpstr>
      <vt:lpstr>tlOutputFBcbalEVT3Y1Choice1ThreeTeam</vt:lpstr>
      <vt:lpstr>tlOutputFBcbalEVT3Y1Choice2</vt:lpstr>
      <vt:lpstr>tlOutputFBcbalEVT3Y1Choice2T1</vt:lpstr>
      <vt:lpstr>tlOutputFBcbalEVT3Y1Choice2T2</vt:lpstr>
      <vt:lpstr>tlOutputFBcbalEVT3Y1Choice2T3</vt:lpstr>
      <vt:lpstr>tlOutputFBcbalEVT3Y1Choice2ThreeTeam</vt:lpstr>
      <vt:lpstr>tlOutputFBcbalEVT3Y1Choice3</vt:lpstr>
      <vt:lpstr>tlOutputFBcbalEVT3Y1Choice3T1</vt:lpstr>
      <vt:lpstr>tlOutputFBcbalEVT3Y1Choice3T2</vt:lpstr>
      <vt:lpstr>tlOutputFBcbalEVT3Y1Choice3T3</vt:lpstr>
      <vt:lpstr>tlOutputFBcbalEVT3Y1Choice3ThreeTeam</vt:lpstr>
      <vt:lpstr>tlOutputFBcbalEVT3Y2Choice1</vt:lpstr>
      <vt:lpstr>tlOutputFBcbalEVT3Y2Choice1T1</vt:lpstr>
      <vt:lpstr>tlOutputFBcbalEVT3Y2Choice1T2</vt:lpstr>
      <vt:lpstr>tlOutputFBcbalEVT3Y2Choice1T3</vt:lpstr>
      <vt:lpstr>tlOutputFBcbalEVT3Y2Choice1ThreeTeam</vt:lpstr>
      <vt:lpstr>tlOutputFBcbalEVT3Y2Choice2</vt:lpstr>
      <vt:lpstr>tlOutputFBcbalEVT3Y2Choice2T1</vt:lpstr>
      <vt:lpstr>tlOutputFBcbalEVT3Y2Choice2T2</vt:lpstr>
      <vt:lpstr>tlOutputFBcbalEVT3Y2Choice2T3</vt:lpstr>
      <vt:lpstr>tlOutputFBcbalEVT3Y2Choice2ThreeTeam</vt:lpstr>
      <vt:lpstr>tlOutputFBcbalEVT3Y2Choice3</vt:lpstr>
      <vt:lpstr>tlOutputFBcbalEVT3Y2Choice3T1</vt:lpstr>
      <vt:lpstr>tlOutputFBcbalEVT3Y2Choice3T2</vt:lpstr>
      <vt:lpstr>tlOutputFBcbalEVT3Y2Choice3T3</vt:lpstr>
      <vt:lpstr>tlOutputFBcbalEVT3Y2Choice3ThreeTeam</vt:lpstr>
      <vt:lpstr>tlOutputFBcbalEVT3Y3Choice1</vt:lpstr>
      <vt:lpstr>tlOutputFBcbalEVT3Y3Choice1T1</vt:lpstr>
      <vt:lpstr>tlOutputFBcbalEVT3Y3Choice1T2</vt:lpstr>
      <vt:lpstr>tlOutputFBcbalEVT3Y3Choice1T3</vt:lpstr>
      <vt:lpstr>tlOutputFBcbalEVT3Y3Choice1ThreeTeam</vt:lpstr>
      <vt:lpstr>tlOutputFBcbalEVT3Y3Choice2</vt:lpstr>
      <vt:lpstr>tlOutputFBcbalEVT3Y3Choice2T1</vt:lpstr>
      <vt:lpstr>tlOutputFBcbalEVT3Y3Choice2T2</vt:lpstr>
      <vt:lpstr>tlOutputFBcbalEVT3Y3Choice2T3</vt:lpstr>
      <vt:lpstr>tlOutputFBcbalEVT3Y3Choice2ThreeTeam</vt:lpstr>
      <vt:lpstr>tlOutputFBcbalEVT3Y3Choice3</vt:lpstr>
      <vt:lpstr>tlOutputFBcbalEVT3Y3Choice3T1</vt:lpstr>
      <vt:lpstr>tlOutputFBcbalEVT3Y3Choice3T2</vt:lpstr>
      <vt:lpstr>tlOutputFBcbalEVT3Y3Choice3T3</vt:lpstr>
      <vt:lpstr>tlOutputFBcbalEVT3Y3Choice3ThreeTeam</vt:lpstr>
      <vt:lpstr>tlOutputFBcbalOperatingMarginY0</vt:lpstr>
      <vt:lpstr>tlOutputFBcbalOperatingMarginY0T1</vt:lpstr>
      <vt:lpstr>tlOutputFBcbalOperatingMarginY0T2</vt:lpstr>
      <vt:lpstr>tlOutputFBcbalOperatingMarginY0T3</vt:lpstr>
      <vt:lpstr>tlOutputFBcbalOperatingMarginY0ThreeTeam</vt:lpstr>
      <vt:lpstr>tlOutputFBcbalOperatingMarginY1</vt:lpstr>
      <vt:lpstr>tlOutputFBcbalOperatingMarginY1T1</vt:lpstr>
      <vt:lpstr>tlOutputFBcbalOperatingMarginY1T2</vt:lpstr>
      <vt:lpstr>tlOutputFBcbalOperatingMarginY1T3</vt:lpstr>
      <vt:lpstr>tlOutputFBcbalOperatingMarginY1ThreeTeam</vt:lpstr>
      <vt:lpstr>tlOutputFBcbalOperatingMarginY2</vt:lpstr>
      <vt:lpstr>tlOutputFBcbalOperatingMarginY2T1</vt:lpstr>
      <vt:lpstr>tlOutputFBcbalOperatingMarginY2T2</vt:lpstr>
      <vt:lpstr>tlOutputFBcbalOperatingMarginY2T3</vt:lpstr>
      <vt:lpstr>tlOutputFBcbalOperatingMarginY2ThreeTeam</vt:lpstr>
      <vt:lpstr>tlOutputFBcbalOperatingMarginY3</vt:lpstr>
      <vt:lpstr>tlOutputFBcbalOperatingMarginY3T1</vt:lpstr>
      <vt:lpstr>tlOutputFBcbalOperatingMarginY3T2</vt:lpstr>
      <vt:lpstr>tlOutputFBcbalOperatingMarginY3T3</vt:lpstr>
      <vt:lpstr>tlOutputFBcbalOperatingMarginY3ThreeTeam</vt:lpstr>
      <vt:lpstr>tlOutputFBcbalTotalRevY0</vt:lpstr>
      <vt:lpstr>tlOutputFBcbalTotalRevY0T1</vt:lpstr>
      <vt:lpstr>tlOutputFBcbalTotalRevY0T2</vt:lpstr>
      <vt:lpstr>tlOutputFBcbalTotalRevY0T3</vt:lpstr>
      <vt:lpstr>tlOutputFBcbalTotalRevY0ThreeTeam</vt:lpstr>
      <vt:lpstr>tlOutputFBcbalTotalRevY1</vt:lpstr>
      <vt:lpstr>tlOutputFBcbalTotalRevY1T1</vt:lpstr>
      <vt:lpstr>tlOutputFBcbalTotalRevY1T2</vt:lpstr>
      <vt:lpstr>tlOutputFBcbalTotalRevY1T3</vt:lpstr>
      <vt:lpstr>tlOutputFBcbalTotalRevY1ThreeTeam</vt:lpstr>
      <vt:lpstr>tlOutputFBcbalTotalRevY2</vt:lpstr>
      <vt:lpstr>tlOutputFBcbalTotalRevY2T1</vt:lpstr>
      <vt:lpstr>tlOutputFBcbalTotalRevY2T2</vt:lpstr>
      <vt:lpstr>tlOutputFBcbalTotalRevY2T3</vt:lpstr>
      <vt:lpstr>tlOutputFBcbalTotalRevY2ThreeTeam</vt:lpstr>
      <vt:lpstr>tlOutputFBcbalTotalRevY3</vt:lpstr>
      <vt:lpstr>tlOutputFBcbalTotalRevY3T1</vt:lpstr>
      <vt:lpstr>tlOutputFBcbalTotalRevY3T2</vt:lpstr>
      <vt:lpstr>tlOutputFBcbalTotalRevY3T3</vt:lpstr>
      <vt:lpstr>tlOutputFBcbalTotalRevY3ThreeTeam</vt:lpstr>
      <vt:lpstr>tlOutputFBCSATDriver1</vt:lpstr>
      <vt:lpstr>tlOutputFBCSATDriver10</vt:lpstr>
      <vt:lpstr>tlOutputFBCSATDriver10T1</vt:lpstr>
      <vt:lpstr>tlOutputFBCSATDriver10T2</vt:lpstr>
      <vt:lpstr>tlOutputFBCSATDriver10T3</vt:lpstr>
      <vt:lpstr>tlOutputFBCSATDriver10ThreeTeam</vt:lpstr>
      <vt:lpstr>tlOutputFBCSATDriver1T1</vt:lpstr>
      <vt:lpstr>tlOutputFBCSATDriver1T2</vt:lpstr>
      <vt:lpstr>tlOutputFBCSATDriver1T3</vt:lpstr>
      <vt:lpstr>tlOutputFBCSATDriver1ThreeTeam</vt:lpstr>
      <vt:lpstr>tlOutputFBCSATDriver2</vt:lpstr>
      <vt:lpstr>tlOutputFBCSATDriver2T1</vt:lpstr>
      <vt:lpstr>tlOutputFBCSATDriver2T2</vt:lpstr>
      <vt:lpstr>tlOutputFBCSATDriver2T3</vt:lpstr>
      <vt:lpstr>tlOutputFBCSATDriver2ThreeTeam</vt:lpstr>
      <vt:lpstr>tlOutputFBCSATDriver3</vt:lpstr>
      <vt:lpstr>tlOutputFBCSATDriver3T1</vt:lpstr>
      <vt:lpstr>tlOutputFBCSATDriver3T2</vt:lpstr>
      <vt:lpstr>tlOutputFBCSATDriver3T3</vt:lpstr>
      <vt:lpstr>tlOutputFBCSATDriver3ThreeTeam</vt:lpstr>
      <vt:lpstr>tlOutputFBCSATDriver4</vt:lpstr>
      <vt:lpstr>tlOutputFBCSATDriver4T1</vt:lpstr>
      <vt:lpstr>tlOutputFBCSATDriver4T2</vt:lpstr>
      <vt:lpstr>tlOutputFBCSATDriver4T3</vt:lpstr>
      <vt:lpstr>tlOutputFBCSATDriver4ThreeTeam</vt:lpstr>
      <vt:lpstr>tlOutputFBCSATDriver5</vt:lpstr>
      <vt:lpstr>tlOutputFBCSATDriver5T1</vt:lpstr>
      <vt:lpstr>tlOutputFBCSATDriver5T2</vt:lpstr>
      <vt:lpstr>tlOutputFBCSATDriver5T3</vt:lpstr>
      <vt:lpstr>tlOutputFBCSATDriver5ThreeTeam</vt:lpstr>
      <vt:lpstr>tlOutputFBCSATDriver6</vt:lpstr>
      <vt:lpstr>tlOutputFBCSATDriver6T1</vt:lpstr>
      <vt:lpstr>tlOutputFBCSATDriver6T2</vt:lpstr>
      <vt:lpstr>tlOutputFBCSATDriver6T3</vt:lpstr>
      <vt:lpstr>tlOutputFBCSATDriver6ThreeTeam</vt:lpstr>
      <vt:lpstr>tlOutputFBCSATDriver7</vt:lpstr>
      <vt:lpstr>tlOutputFBCSATDriver7T1</vt:lpstr>
      <vt:lpstr>tlOutputFBCSATDriver7T2</vt:lpstr>
      <vt:lpstr>tlOutputFBCSATDriver7T3</vt:lpstr>
      <vt:lpstr>tlOutputFBCSATDriver7ThreeTeam</vt:lpstr>
      <vt:lpstr>tlOutputFBCSATDriver8</vt:lpstr>
      <vt:lpstr>tlOutputFBCSATDriver8T1</vt:lpstr>
      <vt:lpstr>tlOutputFBCSATDriver8T2</vt:lpstr>
      <vt:lpstr>tlOutputFBCSATDriver8T3</vt:lpstr>
      <vt:lpstr>tlOutputFBCSATDriver8ThreeTeam</vt:lpstr>
      <vt:lpstr>tlOutputFBCSATDriver9</vt:lpstr>
      <vt:lpstr>tlOutputFBCSATDriver9T1</vt:lpstr>
      <vt:lpstr>tlOutputFBCSATDriver9T2</vt:lpstr>
      <vt:lpstr>tlOutputFBCSATDriver9T3</vt:lpstr>
      <vt:lpstr>tlOutputFBCSATDriver9ThreeTeam</vt:lpstr>
      <vt:lpstr>tlOutputFBCSATDriverTeam1</vt:lpstr>
      <vt:lpstr>tlOutputFBCSATDriverTeam2</vt:lpstr>
      <vt:lpstr>tlOutputFBCSATDriverTeam3</vt:lpstr>
      <vt:lpstr>tlOutputFBdecTeamName</vt:lpstr>
      <vt:lpstr>tlOutputFBdecTeamNameT1</vt:lpstr>
      <vt:lpstr>tlOutputFBdecTeamNameT2</vt:lpstr>
      <vt:lpstr>tlOutputFBdecTeamNameT3</vt:lpstr>
      <vt:lpstr>tlOutputFBdecTeamNameThreeTeam</vt:lpstr>
      <vt:lpstr>tlOutputFBESATDriver1</vt:lpstr>
      <vt:lpstr>tlOutputFBESATDriver1T1</vt:lpstr>
      <vt:lpstr>tlOutputFBESATDriver1T2</vt:lpstr>
      <vt:lpstr>tlOutputFBESATDriver1T3</vt:lpstr>
      <vt:lpstr>tlOutputFBESATDriver1ThreeTeam</vt:lpstr>
      <vt:lpstr>tlOutputFBESATDriver2</vt:lpstr>
      <vt:lpstr>tlOutputFBESATDriver2T1</vt:lpstr>
      <vt:lpstr>tlOutputFBESATDriver2T2</vt:lpstr>
      <vt:lpstr>tlOutputFBESATDriver2T3</vt:lpstr>
      <vt:lpstr>tlOutputFBESATDriver2ThreeTeam</vt:lpstr>
      <vt:lpstr>tlOutputFBESATDriver3</vt:lpstr>
      <vt:lpstr>tlOutputFBESATDriver3T1</vt:lpstr>
      <vt:lpstr>tlOutputFBESATDriver3T2</vt:lpstr>
      <vt:lpstr>tlOutputFBESATDriver3T3</vt:lpstr>
      <vt:lpstr>tlOutputFBESATDriver3ThreeTeam</vt:lpstr>
      <vt:lpstr>tlOutputFBESATDriver4</vt:lpstr>
      <vt:lpstr>tlOutputFBESATDriver4T1</vt:lpstr>
      <vt:lpstr>tlOutputFBESATDriver4T2</vt:lpstr>
      <vt:lpstr>tlOutputFBESATDriver4T3</vt:lpstr>
      <vt:lpstr>tlOutputFBESATDriver4ThreeTeam</vt:lpstr>
      <vt:lpstr>tlOutputFBESATDriver5</vt:lpstr>
      <vt:lpstr>tlOutputFBESATDriver5T1</vt:lpstr>
      <vt:lpstr>tlOutputFBESATDriver5T2</vt:lpstr>
      <vt:lpstr>tlOutputFBESATDriver5T3</vt:lpstr>
      <vt:lpstr>tlOutputFBESATDriver5ThreeTeam</vt:lpstr>
      <vt:lpstr>tlOutputFBESATDriver6</vt:lpstr>
      <vt:lpstr>tlOutputFBESATDriver6T1</vt:lpstr>
      <vt:lpstr>tlOutputFBESATDriver6T2</vt:lpstr>
      <vt:lpstr>tlOutputFBESATDriver6T3</vt:lpstr>
      <vt:lpstr>tlOutputFBESATDriver6ThreeTeam</vt:lpstr>
      <vt:lpstr>tlOutputFBESATDriverTeam1</vt:lpstr>
      <vt:lpstr>tlOutputFBESATDriverTeam2</vt:lpstr>
      <vt:lpstr>tlOutputFBESATDriverTeam3</vt:lpstr>
      <vt:lpstr>tlOutputFBfinCAGR</vt:lpstr>
      <vt:lpstr>tlOutputFBfinCAGRT1</vt:lpstr>
      <vt:lpstr>tlOutputFBfinCAGRT2</vt:lpstr>
      <vt:lpstr>tlOutputFBfinCAGRT3</vt:lpstr>
      <vt:lpstr>tlOutputFBfinCAGRThreeTeam</vt:lpstr>
      <vt:lpstr>tlOutputFBfinCashOI</vt:lpstr>
      <vt:lpstr>tlOutputFBfinCashOIMargin</vt:lpstr>
      <vt:lpstr>tlOutputFBfinCashOIMarginT1</vt:lpstr>
      <vt:lpstr>tlOutputFBfinCashOIMarginT2</vt:lpstr>
      <vt:lpstr>tlOutputFBfinCashOIMarginT3</vt:lpstr>
      <vt:lpstr>tlOutputFBfinCashOIMarginThreeTeam</vt:lpstr>
      <vt:lpstr>tlOutputFBfinCashOIT1</vt:lpstr>
      <vt:lpstr>tlOutputFBfinCashOIT2</vt:lpstr>
      <vt:lpstr>tlOutputFBfinCashOIT3</vt:lpstr>
      <vt:lpstr>tlOutputFBfinCashOIThreeTeam</vt:lpstr>
      <vt:lpstr>tlOutputFBfinGGORev</vt:lpstr>
      <vt:lpstr>tlOutputFBfinGGORevT1</vt:lpstr>
      <vt:lpstr>tlOutputFBfinGGORevT2</vt:lpstr>
      <vt:lpstr>tlOutputFBfinGGORevT3</vt:lpstr>
      <vt:lpstr>tlOutputFBfinGGORevThreeTeam</vt:lpstr>
      <vt:lpstr>tlOutputFBfinPNLAdminInfraExp</vt:lpstr>
      <vt:lpstr>tlOutputFBfinPNLAdminInfraExpT1</vt:lpstr>
      <vt:lpstr>tlOutputFBfinPNLAdminInfraExpT2</vt:lpstr>
      <vt:lpstr>tlOutputFBfinPNLAdminInfraExpT3</vt:lpstr>
      <vt:lpstr>tlOutputFBfinPNLAdminInfraExpThreeTeam</vt:lpstr>
      <vt:lpstr>tlOutputFBfinPNLDeprAmortExp</vt:lpstr>
      <vt:lpstr>tlOutputFBfinPNLDeprAmortExpT1</vt:lpstr>
      <vt:lpstr>tlOutputFBfinPNLDeprAmortExpT2</vt:lpstr>
      <vt:lpstr>tlOutputFBfinPNLDeprAmortExpT3</vt:lpstr>
      <vt:lpstr>tlOutputFBfinPNLDeprAmortExpThreeTeam</vt:lpstr>
      <vt:lpstr>tlOutputFBfinPNLEmpExp</vt:lpstr>
      <vt:lpstr>tlOutputFBfinPNLEmpExpT1</vt:lpstr>
      <vt:lpstr>tlOutputFBfinPNLEmpExpT2</vt:lpstr>
      <vt:lpstr>tlOutputFBfinPNLEmpExpT3</vt:lpstr>
      <vt:lpstr>tlOutputFBfinPNLEmpExpThreeTeam</vt:lpstr>
      <vt:lpstr>tlOutputFBfinPNLExistSubRev</vt:lpstr>
      <vt:lpstr>tlOutputFBfinPNLExistSubRevT1</vt:lpstr>
      <vt:lpstr>tlOutputFBfinPNLExistSubRevT2</vt:lpstr>
      <vt:lpstr>tlOutputFBfinPNLExistSubRevT3</vt:lpstr>
      <vt:lpstr>tlOutputFBfinPNLExistSubRevThreeTeam</vt:lpstr>
      <vt:lpstr>tlOutputFBfinPNLOperatingIncome</vt:lpstr>
      <vt:lpstr>tlOutputFBfinPNLOperatingIncomeT1</vt:lpstr>
      <vt:lpstr>tlOutputFBfinPNLOperatingIncomeT2</vt:lpstr>
      <vt:lpstr>tlOutputFBfinPNLOperatingIncomeT3</vt:lpstr>
      <vt:lpstr>tlOutputFBfinPNLOperatingIncomeThreeTeam</vt:lpstr>
      <vt:lpstr>tlOutputFBfinPNLOperatingMargin</vt:lpstr>
      <vt:lpstr>tlOutputFBfinPNLOperatingMarginT1</vt:lpstr>
      <vt:lpstr>tlOutputFBfinPNLOperatingMarginT2</vt:lpstr>
      <vt:lpstr>tlOutputFBfinPNLOperatingMarginT3</vt:lpstr>
      <vt:lpstr>tlOutputFBfinPNLOperatingMarginThreeTeam</vt:lpstr>
      <vt:lpstr>tlOutputFBfinPNLOtherOpExp</vt:lpstr>
      <vt:lpstr>tlOutputFBfinPNLOtherOpExpT1</vt:lpstr>
      <vt:lpstr>tlOutputFBfinPNLOtherOpExpT2</vt:lpstr>
      <vt:lpstr>tlOutputFBfinPNLOtherOpExpT3</vt:lpstr>
      <vt:lpstr>tlOutputFBfinPNLOtherOpExpThreeTeam</vt:lpstr>
      <vt:lpstr>tlOutputFBfinPNLProd1Rev</vt:lpstr>
      <vt:lpstr>tlOutputFBfinPNLProd1RevT1</vt:lpstr>
      <vt:lpstr>tlOutputFBfinPNLProd1RevT2</vt:lpstr>
      <vt:lpstr>tlOutputFBfinPNLProd1RevT3</vt:lpstr>
      <vt:lpstr>tlOutputFBfinPNLProd1RevThreeTeam</vt:lpstr>
      <vt:lpstr>tlOutputFBfinPNLProd2Rev</vt:lpstr>
      <vt:lpstr>tlOutputFBfinPNLProd2RevT1</vt:lpstr>
      <vt:lpstr>tlOutputFBfinPNLProd2RevT2</vt:lpstr>
      <vt:lpstr>tlOutputFBfinPNLProd2RevT3</vt:lpstr>
      <vt:lpstr>tlOutputFBfinPNLProd2RevThreeTeam</vt:lpstr>
      <vt:lpstr>tlOutputFBfinPNLProdDevExp</vt:lpstr>
      <vt:lpstr>tlOutputFBfinPNLProdDevExpT1</vt:lpstr>
      <vt:lpstr>tlOutputFBfinPNLProdDevExpT2</vt:lpstr>
      <vt:lpstr>tlOutputFBfinPNLProdDevExpT3</vt:lpstr>
      <vt:lpstr>tlOutputFBfinPNLProdDevExpThreeTeam</vt:lpstr>
      <vt:lpstr>tlOutputFBfinPNLRevExp</vt:lpstr>
      <vt:lpstr>tlOutputFBfinPNLRevExpT1</vt:lpstr>
      <vt:lpstr>tlOutputFBfinPNLRevExpT2</vt:lpstr>
      <vt:lpstr>tlOutputFBfinPNLRevExpT3</vt:lpstr>
      <vt:lpstr>tlOutputFBfinPNLRevExpThreeTeam</vt:lpstr>
      <vt:lpstr>tlOutputFBfinPNLRevNew</vt:lpstr>
      <vt:lpstr>tlOutputFBfinPNLRevNewT1</vt:lpstr>
      <vt:lpstr>tlOutputFBfinPNLRevNewT2</vt:lpstr>
      <vt:lpstr>tlOutputFBfinPNLRevNewT3</vt:lpstr>
      <vt:lpstr>tlOutputFBfinPNLRevNewThreeTeam</vt:lpstr>
      <vt:lpstr>tlOutputFBNewVsRecurringTeam1</vt:lpstr>
      <vt:lpstr>tlOutputFBNewVsRecurringTeam2</vt:lpstr>
      <vt:lpstr>tlOutputFBNewVsRecurringTeam3</vt:lpstr>
      <vt:lpstr>tlOutputFBOperProfitTeam1</vt:lpstr>
      <vt:lpstr>tlOutputFBOperProfitTeam2</vt:lpstr>
      <vt:lpstr>tlOutputFBOperProfitTeam3</vt:lpstr>
      <vt:lpstr>tlOutputFBOverallRevenueTeam1</vt:lpstr>
      <vt:lpstr>tlOutputFBOverallRevenueTeam2</vt:lpstr>
      <vt:lpstr>tlOutputFBOverallRevenueTeam3</vt:lpstr>
      <vt:lpstr>tlOutputFBProd2VOCDriver1</vt:lpstr>
      <vt:lpstr>tlOutputFBProd2VOCDriver1T1</vt:lpstr>
      <vt:lpstr>tlOutputFBProd2VOCDriver1T2</vt:lpstr>
      <vt:lpstr>tlOutputFBProd2VOCDriver1T3</vt:lpstr>
      <vt:lpstr>tlOutputFBProd2VOCDriver1ThreeTeam</vt:lpstr>
      <vt:lpstr>tlOutputFBProd2VOCDriver2</vt:lpstr>
      <vt:lpstr>tlOutputFBProd2VOCDriver2T1</vt:lpstr>
      <vt:lpstr>tlOutputFBProd2VOCDriver2T2</vt:lpstr>
      <vt:lpstr>tlOutputFBProd2VOCDriver2T3</vt:lpstr>
      <vt:lpstr>tlOutputFBProd2VOCDriver2ThreeTeam</vt:lpstr>
      <vt:lpstr>tlOutputFBProd2VOCDriver3</vt:lpstr>
      <vt:lpstr>tlOutputFBProd2VOCDriver3T1</vt:lpstr>
      <vt:lpstr>tlOutputFBProd2VOCDriver3T2</vt:lpstr>
      <vt:lpstr>tlOutputFBProd2VOCDriver3T3</vt:lpstr>
      <vt:lpstr>tlOutputFBProd2VOCDriver3ThreeTeam</vt:lpstr>
      <vt:lpstr>tlOutputFBProd2VOCDriver4</vt:lpstr>
      <vt:lpstr>tlOutputFBProd2VOCDriver4T1</vt:lpstr>
      <vt:lpstr>tlOutputFBProd2VOCDriver4T2</vt:lpstr>
      <vt:lpstr>tlOutputFBProd2VOCDriver4T3</vt:lpstr>
      <vt:lpstr>tlOutputFBProd2VOCDriver4ThreeTeam</vt:lpstr>
      <vt:lpstr>tlOutputFBProd2VOCDriver5</vt:lpstr>
      <vt:lpstr>tlOutputFBProd2VOCDriver5T1</vt:lpstr>
      <vt:lpstr>tlOutputFBProd2VOCDriver5T2</vt:lpstr>
      <vt:lpstr>tlOutputFBProd2VOCDriver5T3</vt:lpstr>
      <vt:lpstr>tlOutputFBProd2VOCDriver5ThreeTeam</vt:lpstr>
      <vt:lpstr>tlOutputFBProd2VOCDriver6</vt:lpstr>
      <vt:lpstr>tlOutputFBProd2VOCDriver6T1</vt:lpstr>
      <vt:lpstr>tlOutputFBProd2VOCDriver6T2</vt:lpstr>
      <vt:lpstr>tlOutputFBProd2VOCDriver6T3</vt:lpstr>
      <vt:lpstr>tlOutputFBProd2VOCDriver6ThreeTeam</vt:lpstr>
      <vt:lpstr>tlOutputfinPNLOperatingIncome</vt:lpstr>
      <vt:lpstr>tlOutputfinPNLRev</vt:lpstr>
      <vt:lpstr>tlOutputFreeCashFlow</vt:lpstr>
      <vt:lpstr>tlOutputGraphComp1finPNLDeprAmortExp</vt:lpstr>
      <vt:lpstr>tlOutputGraphComp1finPNLDeprAmortExpT</vt:lpstr>
      <vt:lpstr>tlOutputGraphComp1finPNLExistSubRev</vt:lpstr>
      <vt:lpstr>tlOutputGraphComp1finPNLExistSubRevT</vt:lpstr>
      <vt:lpstr>tlOutputGraphComp1finPNLNewSubRev_finPNLServiceRev</vt:lpstr>
      <vt:lpstr>tlOutputGraphComp1finPNLNewSubRev_finPNLServiceRevT</vt:lpstr>
      <vt:lpstr>tlOutputGraphComp1finPNLOperatingExp</vt:lpstr>
      <vt:lpstr>tlOutputGraphComp1finPNLOperatingExpT</vt:lpstr>
      <vt:lpstr>tlOutputGraphComp1finPNLOperatingIncome</vt:lpstr>
      <vt:lpstr>tlOutputGraphComp1finPNLOperatingIncomeT</vt:lpstr>
      <vt:lpstr>tlOutputGraphComp1obalPNLDeprAmortExp</vt:lpstr>
      <vt:lpstr>tlOutputGraphComp1obalPNLDeprAmortExpT</vt:lpstr>
      <vt:lpstr>tlOutputGraphComp1obalPNLOperatingExp</vt:lpstr>
      <vt:lpstr>tlOutputGraphComp1obalPNLOperatingExpT</vt:lpstr>
      <vt:lpstr>tlOutputGraphComp1obalPNLOperatingIncome</vt:lpstr>
      <vt:lpstr>tlOutputGraphComp1obalPNLOperatingIncomeT</vt:lpstr>
      <vt:lpstr>tlOutputGraphComp2finPNLDeprAmortExp</vt:lpstr>
      <vt:lpstr>tlOutputGraphComp2finPNLDeprAmortExpT</vt:lpstr>
      <vt:lpstr>tlOutputGraphComp2finPNLExistSubRev</vt:lpstr>
      <vt:lpstr>tlOutputGraphComp2finPNLExistSubRevT</vt:lpstr>
      <vt:lpstr>tlOutputGraphComp2finPNLNewSubRev_finPNLServiceRev</vt:lpstr>
      <vt:lpstr>tlOutputGraphComp2finPNLNewSubRev_finPNLServiceRevT</vt:lpstr>
      <vt:lpstr>tlOutputGraphComp2finPNLOperatingExp</vt:lpstr>
      <vt:lpstr>tlOutputGraphComp2finPNLOperatingExpT</vt:lpstr>
      <vt:lpstr>tlOutputGraphComp2finPNLOperatingIncome</vt:lpstr>
      <vt:lpstr>tlOutputGraphComp2finPNLOperatingIncomeT</vt:lpstr>
      <vt:lpstr>tlOutputGraphComp2obalPNLDeprAmortExp</vt:lpstr>
      <vt:lpstr>tlOutputGraphComp2obalPNLDeprAmortExpT</vt:lpstr>
      <vt:lpstr>tlOutputGraphComp2obalPNLOperatingExp</vt:lpstr>
      <vt:lpstr>tlOutputGraphComp2obalPNLOperatingExpT</vt:lpstr>
      <vt:lpstr>tlOutputGraphComp2obalPNLOperatingIncome</vt:lpstr>
      <vt:lpstr>tlOutputGraphComp2obalPNLOperatingIncomeT</vt:lpstr>
      <vt:lpstr>tlOutputGraphFPfinPNLProd1DeprAmortExp</vt:lpstr>
      <vt:lpstr>tlOutputGraphFPfinPNLProd1DeprAmortExpT</vt:lpstr>
      <vt:lpstr>tlOutputGraphFPfinPNLProd1OperatingExp</vt:lpstr>
      <vt:lpstr>tlOutputGraphFPfinPNLProd1OperatingExpT</vt:lpstr>
      <vt:lpstr>tlOutputGraphFPfinPNLProd1OperatingIncome</vt:lpstr>
      <vt:lpstr>tlOutputGraphFPfinPNLProd1OperatingIncomeT</vt:lpstr>
      <vt:lpstr>tlOutputGraphFPfinPNLProd2DeprAmortExp</vt:lpstr>
      <vt:lpstr>tlOutputGraphFPfinPNLProd2DeprAmortExpT</vt:lpstr>
      <vt:lpstr>tlOutputGraphFPfinPNLProd2OperatingExp</vt:lpstr>
      <vt:lpstr>tlOutputGraphFPfinPNLProd2OperatingExpT</vt:lpstr>
      <vt:lpstr>tlOutputGraphFPfinPNLProd2OperatingIncome</vt:lpstr>
      <vt:lpstr>tlOutputGraphFPfinPNLProd2OperatingIncomeT</vt:lpstr>
      <vt:lpstr>tlOutputGraphFPobalPNLProd1DeprAmortExp</vt:lpstr>
      <vt:lpstr>tlOutputGraphFPobalPNLProd1DeprAmortExpT</vt:lpstr>
      <vt:lpstr>tlOutputGraphFPobalPNLProd1OperatingExp</vt:lpstr>
      <vt:lpstr>tlOutputGraphFPobalPNLProd1OperatingExpT</vt:lpstr>
      <vt:lpstr>tlOutputGraphFPobalPNLProd1OperatingIncome</vt:lpstr>
      <vt:lpstr>tlOutputGraphFPobalPNLProd1OperatingIncomeT</vt:lpstr>
      <vt:lpstr>tlOutputGraphFPobalPNLProd2DeprAmortExp</vt:lpstr>
      <vt:lpstr>tlOutputGraphFPobalPNLProd2DeprAmortExpT</vt:lpstr>
      <vt:lpstr>tlOutputGraphFPobalPNLProd2OperatingExp</vt:lpstr>
      <vt:lpstr>tlOutputGraphFPobalPNLProd2OperatingExpT</vt:lpstr>
      <vt:lpstr>tlOutputGraphFPobalPNLProd2OperatingIncome</vt:lpstr>
      <vt:lpstr>tlOutputGraphFPobalPNLProd2OperatingIncomeT</vt:lpstr>
      <vt:lpstr>tlOutputGraphFPobalProd1Emp1Req</vt:lpstr>
      <vt:lpstr>tlOutputGraphFPobalProd1Emp1ReqT</vt:lpstr>
      <vt:lpstr>tlOutputGraphFPobalProd1TTMConFTEs</vt:lpstr>
      <vt:lpstr>tlOutputGraphFPobalProd1TTMConFTEsT</vt:lpstr>
      <vt:lpstr>tlOutputGraphFPobalProd2Emp1Req</vt:lpstr>
      <vt:lpstr>tlOutputGraphFPobalProd2Emp1ReqT</vt:lpstr>
      <vt:lpstr>tlOutputGraphFPobalProd2TTMConFTEs</vt:lpstr>
      <vt:lpstr>tlOutputGraphFPobalProd2TTMConFTEsT</vt:lpstr>
      <vt:lpstr>tlOutputGraphFPobalSalesExistingPerc</vt:lpstr>
      <vt:lpstr>tlOutputGraphFPobalSalesExistingPercT</vt:lpstr>
      <vt:lpstr>tlOutputGraphFPobalSalesNewPerc</vt:lpstr>
      <vt:lpstr>tlOutputGraphFPobalSalesNewPercT</vt:lpstr>
      <vt:lpstr>tlOutputGraphFPSalesAdminPerc</vt:lpstr>
      <vt:lpstr>tlOutputGraphFPSalesAdminPercT</vt:lpstr>
      <vt:lpstr>tlOutputGraphMktRepProd1Yr1</vt:lpstr>
      <vt:lpstr>tlOutputGraphMktRepProd1Yr1T</vt:lpstr>
      <vt:lpstr>tlOutputGraphMktRepProd1Yr2</vt:lpstr>
      <vt:lpstr>tlOutputGraphMktRepProd1Yr2T</vt:lpstr>
      <vt:lpstr>tlOutputGraphMktRepProd1Yr3</vt:lpstr>
      <vt:lpstr>tlOutputGraphMktRepProd1Yr3T</vt:lpstr>
      <vt:lpstr>tlOutputGraphMktRepProd2Yr1</vt:lpstr>
      <vt:lpstr>tlOutputGraphMktRepProd2Yr1T</vt:lpstr>
      <vt:lpstr>tlOutputGraphMktRepProd2Yr2</vt:lpstr>
      <vt:lpstr>tlOutputGraphMktRepProd2Yr2T</vt:lpstr>
      <vt:lpstr>tlOutputGraphMktRepProd2Yr3</vt:lpstr>
      <vt:lpstr>tlOutputGraphMktRepProd2Yr3T</vt:lpstr>
      <vt:lpstr>tlOutputGraphMktRepYr1</vt:lpstr>
      <vt:lpstr>tlOutputGraphMktRepYr2</vt:lpstr>
      <vt:lpstr>tlOutputGraphMktRepYr3</vt:lpstr>
      <vt:lpstr>tlOutputGraphOpscapPlant1NonUtiliz</vt:lpstr>
      <vt:lpstr>tlOutputGraphOpscapPlant1NonUtilizT</vt:lpstr>
      <vt:lpstr>tlOutputGraphOpscapPlant1Utiliz</vt:lpstr>
      <vt:lpstr>tlOutputGraphOpscapPlant1UtilizT</vt:lpstr>
      <vt:lpstr>tlOutputGraphOpsfinPNLAdminInfraExp</vt:lpstr>
      <vt:lpstr>tlOutputGraphOpsfinPNLAdminInfraExpT</vt:lpstr>
      <vt:lpstr>tlOutputGraphOpsfinPNLEmpExp</vt:lpstr>
      <vt:lpstr>tlOutputGraphOpsfinPNLEmpExpT</vt:lpstr>
      <vt:lpstr>tlOutputGraphOpsfinPNLOtherOpExp</vt:lpstr>
      <vt:lpstr>tlOutputGraphOpsfinPNLOtherOpExpT</vt:lpstr>
      <vt:lpstr>tlOutputGraphOpsfinPNLProdDevExp</vt:lpstr>
      <vt:lpstr>tlOutputGraphOpsfinPNLProdDevExpT</vt:lpstr>
      <vt:lpstr>tlOutputGraphOpsfinPNLRevExp</vt:lpstr>
      <vt:lpstr>tlOutputGraphOpsfinPNLRevExpT</vt:lpstr>
      <vt:lpstr>tlOutputGraphOpsobalPNLAdminInfraExp</vt:lpstr>
      <vt:lpstr>tlOutputGraphOpsobalPNLAdminInfraExpT</vt:lpstr>
      <vt:lpstr>tlOutputGraphOpsobalPNLEmpExp</vt:lpstr>
      <vt:lpstr>tlOutputGraphOpsobalPNLEmpExpT</vt:lpstr>
      <vt:lpstr>tlOutputGraphOpsobalPNLOtherOpExp</vt:lpstr>
      <vt:lpstr>tlOutputGraphOpsobalPNLOtherOpExpT</vt:lpstr>
      <vt:lpstr>tlOutputGraphOpsobalPNLProdDevExp</vt:lpstr>
      <vt:lpstr>tlOutputGraphOpsobalPNLProdDevExpT</vt:lpstr>
      <vt:lpstr>tlOutputGraphOpsobalPNLRevExp</vt:lpstr>
      <vt:lpstr>tlOutputGraphOpsobalPNLRevExpT</vt:lpstr>
      <vt:lpstr>tlOutputGraphPeoplecapContentEmp1Req</vt:lpstr>
      <vt:lpstr>tlOutputGraphPeoplecapContentEmp1ReqT</vt:lpstr>
      <vt:lpstr>tlOutputGraphPeoplecapInitsEmp1Req</vt:lpstr>
      <vt:lpstr>tlOutputGraphPeoplecapInitsEmp1ReqT</vt:lpstr>
      <vt:lpstr>tlOutputGraphPeoplecapProd1Emp1Req</vt:lpstr>
      <vt:lpstr>tlOutputGraphPeoplecapProd1Emp1ReqT</vt:lpstr>
      <vt:lpstr>tlOutputGraphPeoplecapProd2Emp1Req</vt:lpstr>
      <vt:lpstr>tlOutputGraphPeoplecapProd2Emp1ReqT</vt:lpstr>
      <vt:lpstr>tlOutputGraphPeoplecapUnderAllocateEmp1Req</vt:lpstr>
      <vt:lpstr>tlOutputGraphPeoplecapUnderAllocateEmp1ReqT</vt:lpstr>
      <vt:lpstr>tlOutputGraphPeopledecSalesAdminPerc</vt:lpstr>
      <vt:lpstr>tlOutputGraphPeopledecSalesAdminPercT</vt:lpstr>
      <vt:lpstr>tlOutputGraphPeopledecSalesExistingPerc</vt:lpstr>
      <vt:lpstr>tlOutputGraphPeopledecSalesExistingPercT</vt:lpstr>
      <vt:lpstr>tlOutputGraphPeopledecSalesNewPerc</vt:lpstr>
      <vt:lpstr>tlOutputGraphPeopledecSalesNewPercT</vt:lpstr>
      <vt:lpstr>tlOutputGraphPeopleOperationsEmp1Req</vt:lpstr>
      <vt:lpstr>tlOutputGraphPeopleOperationsEmp1ReqT</vt:lpstr>
      <vt:lpstr>tlOutputGraphRDcapContentEmp1Req</vt:lpstr>
      <vt:lpstr>tlOutputGraphRDcapContentEmp1ReqT</vt:lpstr>
      <vt:lpstr>tlOutputGraphRDcapProd1Emp1Req</vt:lpstr>
      <vt:lpstr>tlOutputGraphRDcapProd1Emp1ReqT</vt:lpstr>
      <vt:lpstr>tlOutputGraphRDcapProd1TTM</vt:lpstr>
      <vt:lpstr>tlOutputGraphRDcapProd1TTMT</vt:lpstr>
      <vt:lpstr>tlOutputGraphRDcapProd2Emp1Req</vt:lpstr>
      <vt:lpstr>tlOutputGraphRDcapProd2Emp1ReqT</vt:lpstr>
      <vt:lpstr>tlOutputGraphRDcapProd2TTM</vt:lpstr>
      <vt:lpstr>tlOutputGraphRDcapProd2TTMT</vt:lpstr>
      <vt:lpstr>tlOutputGraphRDcbalContentLvl</vt:lpstr>
      <vt:lpstr>tlOutputGraphRDcbalContentLvlT</vt:lpstr>
      <vt:lpstr>tlOutputGraphRDdecProd1TTMConFTEs</vt:lpstr>
      <vt:lpstr>tlOutputGraphRDdecProd1TTMConFTEsT</vt:lpstr>
      <vt:lpstr>tlOutputGraphRDdecProd2TTMConFTEs</vt:lpstr>
      <vt:lpstr>tlOutputGraphRDdecProd2TTMConFTEsT</vt:lpstr>
      <vt:lpstr>tlOutputGraphRDfinPNLRoyalityExp</vt:lpstr>
      <vt:lpstr>tlOutputGraphRDfinPNLRoyalityExpT</vt:lpstr>
      <vt:lpstr>tlOutputGraphRDobalContentLvlIndAvg</vt:lpstr>
      <vt:lpstr>tlOutputGraphRDobalContentLvlIndAvgT</vt:lpstr>
      <vt:lpstr>tlOutputGraphRDobalPNLRoyality</vt:lpstr>
      <vt:lpstr>tlOutputGraphRDobalPNLRoyalityT</vt:lpstr>
      <vt:lpstr>tlOutputGraphRDobalProd5Ftr1Emp1Req</vt:lpstr>
      <vt:lpstr>tlOutputGraphRDobalProd5Ftr1Emp1ReqT</vt:lpstr>
      <vt:lpstr>tlOutputInvestReqInit</vt:lpstr>
      <vt:lpstr>tlOutputISSummaryChartLastYear</vt:lpstr>
      <vt:lpstr>tlOutputISSummaryChartThisYear</vt:lpstr>
      <vt:lpstr>tlOutputMarketing</vt:lpstr>
      <vt:lpstr>tlOutputMarketReportChartProd1</vt:lpstr>
      <vt:lpstr>tlOutputMarketReportChartProd2</vt:lpstr>
      <vt:lpstr>tlOutputMarketReportChartYear0</vt:lpstr>
      <vt:lpstr>tlOutputMarketReportChartYear1</vt:lpstr>
      <vt:lpstr>tlOutputMarketReportChartYear2</vt:lpstr>
      <vt:lpstr>tlOutputMarketReportChartYear3</vt:lpstr>
      <vt:lpstr>tlOutputMarketReportChartYear4</vt:lpstr>
      <vt:lpstr>tlOutputMarketReportChartYear5</vt:lpstr>
      <vt:lpstr>tlOutputMarketReportChartYearMinus1</vt:lpstr>
      <vt:lpstr>tlOutputMarketReportChartYearMinus2</vt:lpstr>
      <vt:lpstr>tlOutputMaxcbalPNLRevCAGR</vt:lpstr>
      <vt:lpstr>tlOutputMaxfinPNLRev</vt:lpstr>
      <vt:lpstr>tlOutputMaxTeams</vt:lpstr>
      <vt:lpstr>tlOutputmmProd1Driver1</vt:lpstr>
      <vt:lpstr>tlOutputmmProd1Driver10</vt:lpstr>
      <vt:lpstr>tlOutputmmProd1Driver2</vt:lpstr>
      <vt:lpstr>tlOutputmmProd1Driver3</vt:lpstr>
      <vt:lpstr>tlOutputmmProd1Driver4</vt:lpstr>
      <vt:lpstr>tlOutputmmProd1Driver5</vt:lpstr>
      <vt:lpstr>tlOutputmmProd1Driver6</vt:lpstr>
      <vt:lpstr>tlOutputmmProd1Driver7</vt:lpstr>
      <vt:lpstr>tlOutputmmProd1Driver8</vt:lpstr>
      <vt:lpstr>tlOutputmmProd1Driver9</vt:lpstr>
      <vt:lpstr>tlOutputmmProd1MarketShare</vt:lpstr>
      <vt:lpstr>tlOutputmmProd1ShareCopy1</vt:lpstr>
      <vt:lpstr>tlOutputmmProd1ShareCopy2</vt:lpstr>
      <vt:lpstr>tlOutputmmProd1ShareCopy3</vt:lpstr>
      <vt:lpstr>tlOutputmmProd1ShareCopyUnits</vt:lpstr>
      <vt:lpstr>tlOutputmmProd1TotalUnits</vt:lpstr>
      <vt:lpstr>tlOutputmmProd1UnitsAvail</vt:lpstr>
      <vt:lpstr>tlOutputmmProd1VolumePerSegment</vt:lpstr>
      <vt:lpstr>tlOutputmmProd2Driver1</vt:lpstr>
      <vt:lpstr>tlOutputmmProd2Driver10</vt:lpstr>
      <vt:lpstr>tlOutputmmProd2Driver10_2</vt:lpstr>
      <vt:lpstr>tlOutputmmProd2Driver10_3</vt:lpstr>
      <vt:lpstr>tlOutputmmProd2Driver2</vt:lpstr>
      <vt:lpstr>tlOutputmmProd2Driver3</vt:lpstr>
      <vt:lpstr>tlOutputmmProd2Driver4</vt:lpstr>
      <vt:lpstr>tlOutputmmProd2Driver5</vt:lpstr>
      <vt:lpstr>tlOutputmmProd2Driver6</vt:lpstr>
      <vt:lpstr>tlOutputmmProd2Driver7</vt:lpstr>
      <vt:lpstr>tlOutputmmProd2Driver8</vt:lpstr>
      <vt:lpstr>tlOutputmmProd2Driver9</vt:lpstr>
      <vt:lpstr>tlOutputmmProd2MarketShare</vt:lpstr>
      <vt:lpstr>tlOutputmmProd2ShareCopy1</vt:lpstr>
      <vt:lpstr>tlOutputmmProd2ShareCopy2</vt:lpstr>
      <vt:lpstr>tlOutputmmProd2ShareCopy3</vt:lpstr>
      <vt:lpstr>tlOutputmmProd2ShareCopyUnits</vt:lpstr>
      <vt:lpstr>tlOutputmmProd2TotalUnits</vt:lpstr>
      <vt:lpstr>tlOutputmmProd2UnitsAvail</vt:lpstr>
      <vt:lpstr>tlOutputmmProd2VolumePerSegment</vt:lpstr>
      <vt:lpstr>tlOutputNetEarn</vt:lpstr>
      <vt:lpstr>tlOutputNetIntExp</vt:lpstr>
      <vt:lpstr>tlOutputNetNewSales</vt:lpstr>
      <vt:lpstr>tlOutputNewSales</vt:lpstr>
      <vt:lpstr>tlOutputNumTeams</vt:lpstr>
      <vt:lpstr>tlOutputobalAPValue</vt:lpstr>
      <vt:lpstr>tlOutputobalARValue</vt:lpstr>
      <vt:lpstr>tlOutputobalAssetsValue</vt:lpstr>
      <vt:lpstr>tlOutputobalCashValue</vt:lpstr>
      <vt:lpstr>tlOutputObalCSAT</vt:lpstr>
      <vt:lpstr>tlOutputobalCStockValue</vt:lpstr>
      <vt:lpstr>tlOutputobalCurrentAssets</vt:lpstr>
      <vt:lpstr>tlOutputobalCurrentLiabValue</vt:lpstr>
      <vt:lpstr>tlOutputobalEquity</vt:lpstr>
      <vt:lpstr>tlOutputObalESAT</vt:lpstr>
      <vt:lpstr>tlOutputobalGoodwillValue</vt:lpstr>
      <vt:lpstr>tlOutputobalLTDebtValue</vt:lpstr>
      <vt:lpstr>tlOutputObalMarginPercBB</vt:lpstr>
      <vt:lpstr>tlOutputObalMarginPercRR</vt:lpstr>
      <vt:lpstr>tlOutputobalOtherCurrentAssets</vt:lpstr>
      <vt:lpstr>tlOutputobalOtherCurrLiabValue</vt:lpstr>
      <vt:lpstr>tlOutputobalOtherLTLiabValue</vt:lpstr>
      <vt:lpstr>tlOutputobalOtherValue</vt:lpstr>
      <vt:lpstr>tlOutputobalPNLCashOI</vt:lpstr>
      <vt:lpstr>tlOutputobalPNLOperatingIncome</vt:lpstr>
      <vt:lpstr>tlOutputObalPNLRev</vt:lpstr>
      <vt:lpstr>tlOutputobalPNLRevCAGR</vt:lpstr>
      <vt:lpstr>tlOutputobalPropertyValue</vt:lpstr>
      <vt:lpstr>tlOutputobalRetEarnValue</vt:lpstr>
      <vt:lpstr>tlOutputObalRevBB</vt:lpstr>
      <vt:lpstr>tlOutputObalRevRR</vt:lpstr>
      <vt:lpstr>tlOutputobalSoftwareValue</vt:lpstr>
      <vt:lpstr>tlOutputobalSpecLoansValue</vt:lpstr>
      <vt:lpstr>tlOutputobalTotalLiabilities</vt:lpstr>
      <vt:lpstr>tlOutputobalTotalLiabilitiesEquity</vt:lpstr>
      <vt:lpstr>tlOutputOperatingExp</vt:lpstr>
      <vt:lpstr>tlOutputOperatingIncome</vt:lpstr>
      <vt:lpstr>tlOutputOperatingMargin</vt:lpstr>
      <vt:lpstr>tlOutputOpscapPlant1NonUtiliz</vt:lpstr>
      <vt:lpstr>tlOutputOpscapPlant1Utiliz</vt:lpstr>
      <vt:lpstr>tlOutputOpsDAcapCSAT</vt:lpstr>
      <vt:lpstr>tlOutputOpsDAcapGlobalExpansionCapEx</vt:lpstr>
      <vt:lpstr>tlOutputOpsDAcapGlobalExpansionEmp1Req</vt:lpstr>
      <vt:lpstr>tlOutputOpsDAcapPlant1ConsolidationEmp1Req</vt:lpstr>
      <vt:lpstr>tlOutputOpsDAcapPlant1UnitsEnd</vt:lpstr>
      <vt:lpstr>tlOutputOpsDAcapSalesCoverageEmp1Req</vt:lpstr>
      <vt:lpstr>tlOutputOpsDAcbalGlobalExpansionLvl</vt:lpstr>
      <vt:lpstr>tlOutputOpsDAcbalGlobalSalesMktLvl</vt:lpstr>
      <vt:lpstr>tlOutputOpsDAobalPlant1Units</vt:lpstr>
      <vt:lpstr>tlOutputOpsfinPNLOperatingExp</vt:lpstr>
      <vt:lpstr>tlOutputOpsobalPNLOperatingExp</vt:lpstr>
      <vt:lpstr>tlOutputOtherOpExp</vt:lpstr>
      <vt:lpstr>tlOutputPCAdminInfraExp</vt:lpstr>
      <vt:lpstr>tlOutputPCAPValue</vt:lpstr>
      <vt:lpstr>tlOutputPCARValue</vt:lpstr>
      <vt:lpstr>tlOutputPCAssetsValue</vt:lpstr>
      <vt:lpstr>tlOutputPCCashValue</vt:lpstr>
      <vt:lpstr>tlOutputPCCStockValue</vt:lpstr>
      <vt:lpstr>tlOutputPCCurrentAssets</vt:lpstr>
      <vt:lpstr>tlOutputPCCurrentLiabValue</vt:lpstr>
      <vt:lpstr>tlOutputPCDeprAmortExp</vt:lpstr>
      <vt:lpstr>tlOutputPCEBITDA</vt:lpstr>
      <vt:lpstr>tlOutputPCEmpExp</vt:lpstr>
      <vt:lpstr>tlOutputPCEquity</vt:lpstr>
      <vt:lpstr>tlOutputPCExtraOrdExp</vt:lpstr>
      <vt:lpstr>tlOutputPCGoodwillValue</vt:lpstr>
      <vt:lpstr>tlOutputPCLTDebtValue</vt:lpstr>
      <vt:lpstr>tlOutputPCNetEarn</vt:lpstr>
      <vt:lpstr>tlOutputPCNetIntExp</vt:lpstr>
      <vt:lpstr>tlOutputPCOperatingExp</vt:lpstr>
      <vt:lpstr>tlOutputPCOperatingIncome</vt:lpstr>
      <vt:lpstr>tlOutputPCOtherCurrentAssets</vt:lpstr>
      <vt:lpstr>tlOutputPCOtherCurrLiabValue</vt:lpstr>
      <vt:lpstr>tlOutputPCOtherLTLiabValue</vt:lpstr>
      <vt:lpstr>tlOutputPCOtherOpExp</vt:lpstr>
      <vt:lpstr>tlOutputPCOtherValue</vt:lpstr>
      <vt:lpstr>tlOutputPCProdDevExp</vt:lpstr>
      <vt:lpstr>tlOutputPCPropertyValue</vt:lpstr>
      <vt:lpstr>tlOutputPCRetEarnValue</vt:lpstr>
      <vt:lpstr>tlOutputPCRev</vt:lpstr>
      <vt:lpstr>tlOutputPCRevExp</vt:lpstr>
      <vt:lpstr>tlOutputPCServiceRev</vt:lpstr>
      <vt:lpstr>tlOutputPCSoftwareValue</vt:lpstr>
      <vt:lpstr>tlOutputPCSpecLoansValue</vt:lpstr>
      <vt:lpstr>tlOutputPCSubRev</vt:lpstr>
      <vt:lpstr>tlOutputPCTotalLiabilities</vt:lpstr>
      <vt:lpstr>tlOutputPCTotalLiabilitiesEquity</vt:lpstr>
      <vt:lpstr>tlOutputPeoplecapEmp1Att</vt:lpstr>
      <vt:lpstr>tlOutputPeoplecapEmp1End</vt:lpstr>
      <vt:lpstr>tlOutputPeoplecapEmp1FTERemaining</vt:lpstr>
      <vt:lpstr>tlOutputPeoplecapEmp1Recruited__tlOutputPeoplecapEmp1Dismissed</vt:lpstr>
      <vt:lpstr>tlOutputPeoplecapEmp1Total</vt:lpstr>
      <vt:lpstr>tlOutputPeoplecapInitsEmp1Req</vt:lpstr>
      <vt:lpstr>tlOutputPeoplecapOpsEmp1Req</vt:lpstr>
      <vt:lpstr>tlOutputPeoplecapProd1Ftr1Emp1Req</vt:lpstr>
      <vt:lpstr>tlOutputPeoplecapProd2Ftr1Emp1Req</vt:lpstr>
      <vt:lpstr>tlOutputPeoplecapProd5Ftr1Emp1Req</vt:lpstr>
      <vt:lpstr>tlOutputPeopleDAcapEmp1NotUtiliz</vt:lpstr>
      <vt:lpstr>tlOutputPeopleDAcapEmp1Utiliz</vt:lpstr>
      <vt:lpstr>tlOutputPeopleDAcapTrainingEmp1Req</vt:lpstr>
      <vt:lpstr>tlOutputPeopleDAExistingAccountsPerc</vt:lpstr>
      <vt:lpstr>tlOutputPeopleDAparamEmp1FTECoefficient</vt:lpstr>
      <vt:lpstr>tlOutputPeopleobalEmp1</vt:lpstr>
      <vt:lpstr>tlOutputPeopleparamEmp1FTECoefficient</vt:lpstr>
      <vt:lpstr>tlOutputPNLComp1LastYear</vt:lpstr>
      <vt:lpstr>tlOutputPNLComp1ThisYear</vt:lpstr>
      <vt:lpstr>tlOutputPNLComp2LastYear</vt:lpstr>
      <vt:lpstr>tlOutputPNLComp2ThisYear</vt:lpstr>
      <vt:lpstr>tlOutputProd1AdminInfraExp</vt:lpstr>
      <vt:lpstr>tlOutputProd1CAGRGoal</vt:lpstr>
      <vt:lpstr>tlOutputProd1CancelledSales</vt:lpstr>
      <vt:lpstr>tlOutputProd1DeprAmortExp</vt:lpstr>
      <vt:lpstr>tlOutputProd1Driver10Name</vt:lpstr>
      <vt:lpstr>tlOutputProd1Driver1Name</vt:lpstr>
      <vt:lpstr>tlOutputProd1Driver2Name</vt:lpstr>
      <vt:lpstr>tlOutputProd1Driver3Name</vt:lpstr>
      <vt:lpstr>tlOutputProd1Driver4Name</vt:lpstr>
      <vt:lpstr>tlOutputProd1Driver5Name</vt:lpstr>
      <vt:lpstr>tlOutputProd1Driver6Name</vt:lpstr>
      <vt:lpstr>tlOutputProd1Driver7Name</vt:lpstr>
      <vt:lpstr>tlOutputProd1Driver8Name</vt:lpstr>
      <vt:lpstr>tlOutputProd1Driver9Name</vt:lpstr>
      <vt:lpstr>tlOutputProd1EBITDA</vt:lpstr>
      <vt:lpstr>tlOutputProd1EBITDAMargin</vt:lpstr>
      <vt:lpstr>tlOutputProd1EmpExp</vt:lpstr>
      <vt:lpstr>tlOutputProd1NetNewSales</vt:lpstr>
      <vt:lpstr>tlOutputProd1NewSales</vt:lpstr>
      <vt:lpstr>tlOutputProd1OperatingExp</vt:lpstr>
      <vt:lpstr>tlOutputProd1OperatingIncome</vt:lpstr>
      <vt:lpstr>tlOutputProd1OperatingMargin</vt:lpstr>
      <vt:lpstr>tlOutputProd1OtherOpExp</vt:lpstr>
      <vt:lpstr>tlOutputProd1ProdDevExp</vt:lpstr>
      <vt:lpstr>tlOutputProd1Rev</vt:lpstr>
      <vt:lpstr>tlOutputProd1RevExp</vt:lpstr>
      <vt:lpstr>tlOutputProd1ServiceRev</vt:lpstr>
      <vt:lpstr>tlOutputProd1ServiceSales</vt:lpstr>
      <vt:lpstr>tlOutputProd1SubRev</vt:lpstr>
      <vt:lpstr>tlOutputProd2AdminInfraExp</vt:lpstr>
      <vt:lpstr>tlOutputProd2CAGRGoal</vt:lpstr>
      <vt:lpstr>tlOutputProd2CancelledSales</vt:lpstr>
      <vt:lpstr>tlOutputProd2DeprAmortExp</vt:lpstr>
      <vt:lpstr>tlOutputProd2Driver10Name</vt:lpstr>
      <vt:lpstr>tlOutputProd2Driver1Name</vt:lpstr>
      <vt:lpstr>tlOutputProd2Driver2Name</vt:lpstr>
      <vt:lpstr>tlOutputProd2Driver3Name</vt:lpstr>
      <vt:lpstr>tlOutputProd2Driver4Name</vt:lpstr>
      <vt:lpstr>tlOutputProd2Driver5Name</vt:lpstr>
      <vt:lpstr>tlOutputProd2Driver6Name</vt:lpstr>
      <vt:lpstr>tlOutputProd2Driver7Name</vt:lpstr>
      <vt:lpstr>tlOutputProd2Driver8Name</vt:lpstr>
      <vt:lpstr>tlOutputProd2Driver9Name</vt:lpstr>
      <vt:lpstr>tlOutputProd2EBITDA</vt:lpstr>
      <vt:lpstr>tlOutputProd2EBITDAMargin</vt:lpstr>
      <vt:lpstr>tlOutputProd2EmpExp</vt:lpstr>
      <vt:lpstr>tlOutputProd2NetNewSales</vt:lpstr>
      <vt:lpstr>tlOutputProd2NewSales</vt:lpstr>
      <vt:lpstr>tlOutputProd2OperatingExp</vt:lpstr>
      <vt:lpstr>tlOutputProd2OperatingIncome</vt:lpstr>
      <vt:lpstr>tlOutputProd2OperatingMargin</vt:lpstr>
      <vt:lpstr>tlOutputProd2OtherOpExp</vt:lpstr>
      <vt:lpstr>tlOutputProd2ProdDevExp</vt:lpstr>
      <vt:lpstr>tlOutputProd2Rev</vt:lpstr>
      <vt:lpstr>tlOutputProd2RevExp</vt:lpstr>
      <vt:lpstr>tlOutputProd2ServiceRev</vt:lpstr>
      <vt:lpstr>tlOutputProd2ServiceSales</vt:lpstr>
      <vt:lpstr>tlOutputProd2SubRev</vt:lpstr>
      <vt:lpstr>tlOutputProd3Driver10Name</vt:lpstr>
      <vt:lpstr>tlOutputProd3Driver1Name</vt:lpstr>
      <vt:lpstr>tlOutputProd3Driver2Name</vt:lpstr>
      <vt:lpstr>tlOutputProd3Driver3Name</vt:lpstr>
      <vt:lpstr>tlOutputProd3Driver4Name</vt:lpstr>
      <vt:lpstr>tlOutputProd3Driver5Name</vt:lpstr>
      <vt:lpstr>tlOutputProd3Driver6Name</vt:lpstr>
      <vt:lpstr>tlOutputProd3Driver7Name</vt:lpstr>
      <vt:lpstr>tlOutputProd3Driver8Name</vt:lpstr>
      <vt:lpstr>tlOutputProd3Driver9Name</vt:lpstr>
      <vt:lpstr>tlOutputProd4Driver10Name</vt:lpstr>
      <vt:lpstr>tlOutputProd4Driver1Name</vt:lpstr>
      <vt:lpstr>tlOutputProd4Driver2Name</vt:lpstr>
      <vt:lpstr>tlOutputProd4Driver3Name</vt:lpstr>
      <vt:lpstr>tlOutputProd4Driver4Name</vt:lpstr>
      <vt:lpstr>tlOutputProd4Driver5Name</vt:lpstr>
      <vt:lpstr>tlOutputProd4Driver6Name</vt:lpstr>
      <vt:lpstr>tlOutputProd4Driver7Name</vt:lpstr>
      <vt:lpstr>tlOutputProd4Driver8Name</vt:lpstr>
      <vt:lpstr>tlOutputProd4Driver9Name</vt:lpstr>
      <vt:lpstr>tlOutputProd5Driver10Name</vt:lpstr>
      <vt:lpstr>tlOutputProd5Driver1Name</vt:lpstr>
      <vt:lpstr>tlOutputProd5Driver2Name</vt:lpstr>
      <vt:lpstr>tlOutputProd5Driver3Name</vt:lpstr>
      <vt:lpstr>tlOutputProd5Driver4Name</vt:lpstr>
      <vt:lpstr>tlOutputProd5Driver5Name</vt:lpstr>
      <vt:lpstr>tlOutputProd5Driver6Name</vt:lpstr>
      <vt:lpstr>tlOutputProd5Driver7Name</vt:lpstr>
      <vt:lpstr>tlOutputProd5Driver8Name</vt:lpstr>
      <vt:lpstr>tlOutputProd5Driver9Name</vt:lpstr>
      <vt:lpstr>tlOutputProd6Driver10Name</vt:lpstr>
      <vt:lpstr>tlOutputProd6Driver1Name</vt:lpstr>
      <vt:lpstr>tlOutputProd6Driver2Name</vt:lpstr>
      <vt:lpstr>tlOutputProd6Driver3Name</vt:lpstr>
      <vt:lpstr>tlOutputProd6Driver4Name</vt:lpstr>
      <vt:lpstr>tlOutputProd6Driver5Name</vt:lpstr>
      <vt:lpstr>tlOutputProd6Driver6Name</vt:lpstr>
      <vt:lpstr>tlOutputProd6Driver7Name</vt:lpstr>
      <vt:lpstr>tlOutputProd6Driver8Name</vt:lpstr>
      <vt:lpstr>tlOutputProd6Driver9Name</vt:lpstr>
      <vt:lpstr>tlOutputProdDevExp</vt:lpstr>
      <vt:lpstr>tlOutputProfitMargin</vt:lpstr>
      <vt:lpstr>tlOutputProgramsDAMktChange</vt:lpstr>
      <vt:lpstr>tlOutputProgramsYearChosenInit1</vt:lpstr>
      <vt:lpstr>tlOutputProgramsYearChosenInit10</vt:lpstr>
      <vt:lpstr>tlOutputProgramsYearChosenInit11</vt:lpstr>
      <vt:lpstr>tlOutputProgramsYearChosenInit12</vt:lpstr>
      <vt:lpstr>tlOutputProgramsYearChosenInit13</vt:lpstr>
      <vt:lpstr>tlOutputProgramsYearChosenInit14</vt:lpstr>
      <vt:lpstr>tlOutputProgramsYearChosenInit15</vt:lpstr>
      <vt:lpstr>tlOutputProgramsYearChosenInit16</vt:lpstr>
      <vt:lpstr>tlOutputProgramsYearChosenInit17</vt:lpstr>
      <vt:lpstr>tlOutputProgramsYearChosenInit18</vt:lpstr>
      <vt:lpstr>tlOutputProgramsYearChosenInit19</vt:lpstr>
      <vt:lpstr>tlOutputProgramsYearChosenInit2</vt:lpstr>
      <vt:lpstr>tlOutputProgramsYearChosenInit20</vt:lpstr>
      <vt:lpstr>tlOutputProgramsYearChosenInit21</vt:lpstr>
      <vt:lpstr>tlOutputProgramsYearChosenInit22</vt:lpstr>
      <vt:lpstr>tlOutputProgramsYearChosenInit3</vt:lpstr>
      <vt:lpstr>tlOutputProgramsYearChosenInit4</vt:lpstr>
      <vt:lpstr>tlOutputProgramsYearChosenInit5</vt:lpstr>
      <vt:lpstr>tlOutputProgramsYearChosenInit6</vt:lpstr>
      <vt:lpstr>tlOutputProgramsYearChosenInit7</vt:lpstr>
      <vt:lpstr>tlOutputProgramsYearChosenInit8</vt:lpstr>
      <vt:lpstr>tlOutputProgramsYearChosenInit9</vt:lpstr>
      <vt:lpstr>tlOutputRDcapCSAT</vt:lpstr>
      <vt:lpstr>tlOutputRDcapProd1EmpReq</vt:lpstr>
      <vt:lpstr>tlOutputRDcapProd2EmpReq</vt:lpstr>
      <vt:lpstr>tlOutputRDcbalProd1ProdTechLvl</vt:lpstr>
      <vt:lpstr>tlOutputRDcbalProd2ProdTechLvl</vt:lpstr>
      <vt:lpstr>tlOutputRDDAcapProd1DevExp</vt:lpstr>
      <vt:lpstr>tlOutputRDDAcapProd1Ftr1Emp1Req</vt:lpstr>
      <vt:lpstr>tlOutputRDDAcapProd1TTM</vt:lpstr>
      <vt:lpstr>tlOutputRDDAcapProd2DevExp</vt:lpstr>
      <vt:lpstr>tlOutputRDDAcapProd2Ftr1Emp1Req</vt:lpstr>
      <vt:lpstr>tlOutputRDDAcapProd2TTM</vt:lpstr>
      <vt:lpstr>tlOutputRDDAcbalProd1ProdTechLvl</vt:lpstr>
      <vt:lpstr>tlOutputRDDAcbalProd2ProdTechLvl</vt:lpstr>
      <vt:lpstr>tlOutputRDobalCSAT</vt:lpstr>
      <vt:lpstr>tlOutputRDobalProd1EmpReq</vt:lpstr>
      <vt:lpstr>tlOutputRDobalProd1ProdTechLvl</vt:lpstr>
      <vt:lpstr>tlOutputRDobalProd2EmpReq</vt:lpstr>
      <vt:lpstr>tlOutputRDobalProd2ProdTechLvl</vt:lpstr>
      <vt:lpstr>tlOutputRev</vt:lpstr>
      <vt:lpstr>tlOutputRevCAGR</vt:lpstr>
      <vt:lpstr>tlOutputRevenueSourceComp1</vt:lpstr>
      <vt:lpstr>tlOutputRevenueSourceComp2</vt:lpstr>
      <vt:lpstr>tlOutputRevExp</vt:lpstr>
      <vt:lpstr>TLOUTPUTROLLOVERRANGEDATA</vt:lpstr>
      <vt:lpstr>tlOutputSavemmProd1cBalBDevAvg</vt:lpstr>
      <vt:lpstr>tlOutputSavemmProd1cBalMktAvg</vt:lpstr>
      <vt:lpstr>tlOutputSavemmProd1cBalRDDesignAvg</vt:lpstr>
      <vt:lpstr>tlOutputSavemmProd1cBalRDGenAvg</vt:lpstr>
      <vt:lpstr>tlOutputSavemmProd2cBalBDevAvg</vt:lpstr>
      <vt:lpstr>tlOutputSavemmProd2cBalMktAvg</vt:lpstr>
      <vt:lpstr>tlOutputSavemmProd2cBalRDDesignAvg</vt:lpstr>
      <vt:lpstr>tlOutputSavemmProd2cBalRDGenAvg</vt:lpstr>
      <vt:lpstr>tlOutputSavemmProd3cBalBDevAvg</vt:lpstr>
      <vt:lpstr>tlOutputSavemmProd3cBalMktAvg</vt:lpstr>
      <vt:lpstr>tlOutputSavemmProd3cBalRDDesignAvg</vt:lpstr>
      <vt:lpstr>tlOutputSavemmProd3cBalRDGenAvg</vt:lpstr>
      <vt:lpstr>tlOutputSavemmVOCProd1Driver1</vt:lpstr>
      <vt:lpstr>tlOutputSavemmVOCProd1Driver10Rank</vt:lpstr>
      <vt:lpstr>tlOutputSavemmVOCProd1Driver2</vt:lpstr>
      <vt:lpstr>tlOutputSavemmVOCProd1Driver2Rank</vt:lpstr>
      <vt:lpstr>tlOutputSavemmVOCProd1Driver3</vt:lpstr>
      <vt:lpstr>tlOutputSavemmVOCProd1Driver3Rank</vt:lpstr>
      <vt:lpstr>tlOutputSavemmVOCProd1Driver4</vt:lpstr>
      <vt:lpstr>tlOutputSavemmVOCProd1Driver4Rank</vt:lpstr>
      <vt:lpstr>tlOutputSavemmVOCProd1Driver5</vt:lpstr>
      <vt:lpstr>tlOutputSavemmVOCProd1Driver5Rank</vt:lpstr>
      <vt:lpstr>tlOutputSavemmVOCProd1Driver6</vt:lpstr>
      <vt:lpstr>tlOutputSavemmVOCProd1Driver6Rank</vt:lpstr>
      <vt:lpstr>tlOutputSavemmVOCProd1Driver7</vt:lpstr>
      <vt:lpstr>tlOutputSavemmVOCProd1Driver7Rank</vt:lpstr>
      <vt:lpstr>tlOutputSavemmVOCProd1Driver8</vt:lpstr>
      <vt:lpstr>tlOutputSavemmVOCProd1Driver8Rank</vt:lpstr>
      <vt:lpstr>tlOutputSavemmVOCProd1Driver9Rank</vt:lpstr>
      <vt:lpstr>tlOutputSavemmVOCProd2Driver2</vt:lpstr>
      <vt:lpstr>tlOutputSavemmVOCProd2Driver2Rank</vt:lpstr>
      <vt:lpstr>tlOutputSavemmVOCProd2Driver3</vt:lpstr>
      <vt:lpstr>tlOutputSavemmVOCProd2Driver3Rank</vt:lpstr>
      <vt:lpstr>tlOutputSavemmVOCProd2Driver4</vt:lpstr>
      <vt:lpstr>tlOutputSavemmVOCProd2Driver4Rank</vt:lpstr>
      <vt:lpstr>tlOutputSavemmVOCProd2Driver5</vt:lpstr>
      <vt:lpstr>tlOutputSavemmVOCProd2Driver5Rank</vt:lpstr>
      <vt:lpstr>tlOutputSavemmVOCProd2Driver6</vt:lpstr>
      <vt:lpstr>tlOutputSavemmVOCProd2Driver6Rank</vt:lpstr>
      <vt:lpstr>tlOutputSavemmVOCProd2Driver7</vt:lpstr>
      <vt:lpstr>tlOutputSavemmVOCProd2Driver7Rank</vt:lpstr>
      <vt:lpstr>tlOutputSavemmVOCProd2Driver8</vt:lpstr>
      <vt:lpstr>tlOutputSavemmVOCProd2Driver8Rank</vt:lpstr>
      <vt:lpstr>tlOutputServicePeopleReq</vt:lpstr>
      <vt:lpstr>tlOutputServiceRev</vt:lpstr>
      <vt:lpstr>tlOutputServiceSales</vt:lpstr>
      <vt:lpstr>tlOutputSpecProg10Chosen</vt:lpstr>
      <vt:lpstr>tlOutputSpecProg10ChosenYr</vt:lpstr>
      <vt:lpstr>tlOutputSpecProg11Chosen</vt:lpstr>
      <vt:lpstr>tlOutputSpecProg11ChosenYr</vt:lpstr>
      <vt:lpstr>tlOutputSpecProg12Chosen</vt:lpstr>
      <vt:lpstr>tlOutputSpecProg12ChosenYr</vt:lpstr>
      <vt:lpstr>tlOutputSpecProg13Chosen</vt:lpstr>
      <vt:lpstr>tlOutputSpecProg13ChosenYr</vt:lpstr>
      <vt:lpstr>tlOutputSpecProg14Chosen</vt:lpstr>
      <vt:lpstr>tlOutputSpecProg14ChosenYr</vt:lpstr>
      <vt:lpstr>tlOutputSpecProg15Chosen</vt:lpstr>
      <vt:lpstr>tlOutputSpecProg15ChosenYr</vt:lpstr>
      <vt:lpstr>tlOutputSpecProg16Chosen</vt:lpstr>
      <vt:lpstr>tlOutputSpecProg16ChosenYr</vt:lpstr>
      <vt:lpstr>tlOutputSpecProg17Chosen</vt:lpstr>
      <vt:lpstr>tlOutputSpecProg17ChosenYr</vt:lpstr>
      <vt:lpstr>tlOutputSpecProg18Chosen</vt:lpstr>
      <vt:lpstr>tlOutputSpecProg18ChosenYr</vt:lpstr>
      <vt:lpstr>tlOutputSpecProg19Chosen</vt:lpstr>
      <vt:lpstr>tlOutputSpecProg19ChosenYr</vt:lpstr>
      <vt:lpstr>tlOutputSpecProg1Chosen</vt:lpstr>
      <vt:lpstr>tlOutputSpecProg1ChosenYr</vt:lpstr>
      <vt:lpstr>tlOutputSpecProg20Chosen</vt:lpstr>
      <vt:lpstr>tlOutputSpecProg20ChosenYr</vt:lpstr>
      <vt:lpstr>tlOutputSpecProg21Chosen</vt:lpstr>
      <vt:lpstr>tlOutputSpecProg21ChosenYr</vt:lpstr>
      <vt:lpstr>tlOutputSpecProg22Chosen</vt:lpstr>
      <vt:lpstr>tlOutputSpecProg22ChosenYr</vt:lpstr>
      <vt:lpstr>tlOutputSpecProg2Chosen</vt:lpstr>
      <vt:lpstr>tlOutputSpecProg2ChosenYr</vt:lpstr>
      <vt:lpstr>tlOutputSpecProg3Chosen</vt:lpstr>
      <vt:lpstr>tlOutputSpecProg3ChosenYr</vt:lpstr>
      <vt:lpstr>tlOutputSpecProg4Chosen</vt:lpstr>
      <vt:lpstr>tlOutputSpecProg4ChosenYr</vt:lpstr>
      <vt:lpstr>tlOutputSpecProg5Chosen</vt:lpstr>
      <vt:lpstr>tlOutputSpecProg5ChosenYr</vt:lpstr>
      <vt:lpstr>tlOutputSpecProg6Chosen</vt:lpstr>
      <vt:lpstr>tlOutputSpecProg6ChosenYr</vt:lpstr>
      <vt:lpstr>tlOutputSpecProg7Chosen</vt:lpstr>
      <vt:lpstr>tlOutputSpecProg7ChosenYr</vt:lpstr>
      <vt:lpstr>tlOutputSpecProg8Chosen</vt:lpstr>
      <vt:lpstr>tlOutputSpecProg8ChosenYr</vt:lpstr>
      <vt:lpstr>tlOutputSpecProg9Chosen</vt:lpstr>
      <vt:lpstr>tlOutputSpecProg9ChosenYr</vt:lpstr>
      <vt:lpstr>tlOutputSpecProgExpense</vt:lpstr>
      <vt:lpstr>tlOutputSpecProgFTEsReq</vt:lpstr>
      <vt:lpstr>tlOutputSubRev</vt:lpstr>
      <vt:lpstr>tlOutputTaxExp</vt:lpstr>
      <vt:lpstr>tlOutputTransSummaryLastYear</vt:lpstr>
      <vt:lpstr>tlOutputTransSummaryThisYear</vt:lpstr>
      <vt:lpstr>tlOutputTRUE</vt:lpstr>
      <vt:lpstr>tlOutputxxMMProd1Driver1</vt:lpstr>
      <vt:lpstr>tlOutputxxMMProd1Driver10</vt:lpstr>
      <vt:lpstr>tlOutputxxMMProd1Driver2</vt:lpstr>
      <vt:lpstr>tlOutputxxMMProd1Driver3</vt:lpstr>
      <vt:lpstr>tlOutputxxMMProd1Driver4</vt:lpstr>
      <vt:lpstr>tlOutputxxMMProd1Driver5</vt:lpstr>
      <vt:lpstr>tlOutputxxMMProd1Driver6</vt:lpstr>
      <vt:lpstr>tlOutputxxMMProd1Driver7</vt:lpstr>
      <vt:lpstr>tlOutputxxMMProd1Driver8</vt:lpstr>
      <vt:lpstr>tlOutputxxMMProd1Driver9</vt:lpstr>
      <vt:lpstr>tlOutputxxMMProd2Driver1</vt:lpstr>
      <vt:lpstr>tlOutputxxMMProd2Driver10</vt:lpstr>
      <vt:lpstr>tlOutputxxMMProd2Driver2</vt:lpstr>
      <vt:lpstr>tlOutputxxMMProd2Driver3</vt:lpstr>
      <vt:lpstr>tlOutputxxMMProd2Driver4</vt:lpstr>
      <vt:lpstr>tlOutputxxMMProd2Driver5</vt:lpstr>
      <vt:lpstr>tlOutputxxMMProd2Driver6</vt:lpstr>
      <vt:lpstr>tlOutputxxMMProd2Driver7</vt:lpstr>
      <vt:lpstr>tlOutputxxMMProd2Driver8</vt:lpstr>
      <vt:lpstr>tlOutputxxMMProd2Driver9</vt:lpstr>
      <vt:lpstr>tlOutputxxMMProd3Driver1</vt:lpstr>
      <vt:lpstr>tlOutputxxMMProd3Driver2</vt:lpstr>
      <vt:lpstr>tlOutputxxMMProd3Driver3</vt:lpstr>
      <vt:lpstr>tlOutputxxMMProd3Driver4</vt:lpstr>
      <vt:lpstr>tlOutputxxMMProd3Driver5</vt:lpstr>
      <vt:lpstr>tlOutputxxMMProd3Driver6</vt:lpstr>
      <vt:lpstr>tlOutputxxMMProd3Driver7</vt:lpstr>
      <vt:lpstr>tlOutputxxMMProd3Driver8</vt:lpstr>
      <vt:lpstr>tlOutputxxMMProd5Driver1</vt:lpstr>
      <vt:lpstr>tlOutputxxMMProd5Driver10</vt:lpstr>
      <vt:lpstr>tlOutputxxMMProd5Driver2</vt:lpstr>
      <vt:lpstr>tlOutputxxMMProd5Driver3</vt:lpstr>
      <vt:lpstr>tlOutputxxMMProd5Driver4</vt:lpstr>
      <vt:lpstr>tlOutputxxMMProd5Driver5</vt:lpstr>
      <vt:lpstr>tlOutputxxMMProd5Driver6</vt:lpstr>
      <vt:lpstr>tlOutputxxMMProd5Driver7</vt:lpstr>
      <vt:lpstr>tlOutputxxMMProd5Driver8</vt:lpstr>
      <vt:lpstr>tlOutputxxMMProd5Driver9</vt:lpstr>
      <vt:lpstr>tlOutputZero</vt:lpstr>
      <vt:lpstr>TOOLBAR1Cbar</vt:lpstr>
      <vt:lpstr>xxAdjustmentMM</vt:lpstr>
      <vt:lpstr>XXafProducts</vt:lpstr>
      <vt:lpstr>XXafSegments</vt:lpstr>
      <vt:lpstr>xxAnalysisXDataImport</vt:lpstr>
      <vt:lpstr>xxcbalNewYearCopy</vt:lpstr>
      <vt:lpstr>xxContLangCode</vt:lpstr>
      <vt:lpstr>xxControlTeamNames</vt:lpstr>
      <vt:lpstr>xxDashboard</vt:lpstr>
      <vt:lpstr>xxDCOutsource</vt:lpstr>
      <vt:lpstr>xxDecResetValues</vt:lpstr>
      <vt:lpstr>xxDecValuesCopy</vt:lpstr>
      <vt:lpstr>xxDecValuesPaste</vt:lpstr>
      <vt:lpstr>xxDecXDataImport</vt:lpstr>
      <vt:lpstr>xxExcelNumOfTeams</vt:lpstr>
      <vt:lpstr>xxExcelVersion</vt:lpstr>
      <vt:lpstr>xxFeedbackXDataImport</vt:lpstr>
      <vt:lpstr>xxffbResetCopy</vt:lpstr>
      <vt:lpstr>xxffbResetPaste</vt:lpstr>
      <vt:lpstr>xxFloatingBar</vt:lpstr>
      <vt:lpstr>xxHomeMenu</vt:lpstr>
      <vt:lpstr>xxHoodClose</vt:lpstr>
      <vt:lpstr>xxInd1Team0</vt:lpstr>
      <vt:lpstr>xxIndexTeam</vt:lpstr>
      <vt:lpstr>xxMMProd1Driver1</vt:lpstr>
      <vt:lpstr>xxMMProd1Driver10</vt:lpstr>
      <vt:lpstr>xxMMProd1Driver2</vt:lpstr>
      <vt:lpstr>xxMMProd1Driver3</vt:lpstr>
      <vt:lpstr>xxMMProd1Driver4</vt:lpstr>
      <vt:lpstr>xxMMProd1Driver5</vt:lpstr>
      <vt:lpstr>xxMMProd1Driver6</vt:lpstr>
      <vt:lpstr>xxMMProd1Driver7</vt:lpstr>
      <vt:lpstr>xxMMProd1Driver8</vt:lpstr>
      <vt:lpstr>xxMMProd1Driver9</vt:lpstr>
      <vt:lpstr>xxMMProd1Seg1Units</vt:lpstr>
      <vt:lpstr>xxMMProd1Seg2Units</vt:lpstr>
      <vt:lpstr>xxMMProd1Seg3Units</vt:lpstr>
      <vt:lpstr>xxMMProd1Seg4Units</vt:lpstr>
      <vt:lpstr>xxMMProd1Seg5Units</vt:lpstr>
      <vt:lpstr>xxMMProd1Units</vt:lpstr>
      <vt:lpstr>xxMMProd2Driver1</vt:lpstr>
      <vt:lpstr>xxMMProd2Driver10</vt:lpstr>
      <vt:lpstr>xxMMProd2Driver2</vt:lpstr>
      <vt:lpstr>xxMMProd2Driver3</vt:lpstr>
      <vt:lpstr>xxMMProd2Driver4</vt:lpstr>
      <vt:lpstr>xxMMProd2Driver5</vt:lpstr>
      <vt:lpstr>xxMMProd2Driver6</vt:lpstr>
      <vt:lpstr>xxMMProd2Driver7</vt:lpstr>
      <vt:lpstr>xxMMProd2Driver8</vt:lpstr>
      <vt:lpstr>xxMMProd2Driver9</vt:lpstr>
      <vt:lpstr>xxMMProd2Seg1Units</vt:lpstr>
      <vt:lpstr>xxMMProd2Seg2Units</vt:lpstr>
      <vt:lpstr>xxMMProd2Seg3Units</vt:lpstr>
      <vt:lpstr>xxMMProd2Seg4Units</vt:lpstr>
      <vt:lpstr>xxMMProd2Seg5Units</vt:lpstr>
      <vt:lpstr>xxMMProd2Units</vt:lpstr>
      <vt:lpstr>xxMMProd3Driver1</vt:lpstr>
      <vt:lpstr>xxMMProd3Driver10</vt:lpstr>
      <vt:lpstr>xxMMProd3Driver2</vt:lpstr>
      <vt:lpstr>xxMMProd3Driver3</vt:lpstr>
      <vt:lpstr>xxMMProd3Driver4</vt:lpstr>
      <vt:lpstr>xxMMProd3Driver5</vt:lpstr>
      <vt:lpstr>xxMMProd3Driver6</vt:lpstr>
      <vt:lpstr>xxMMProd3Driver7</vt:lpstr>
      <vt:lpstr>xxMMProd3Driver8</vt:lpstr>
      <vt:lpstr>xxMMProd3Driver9</vt:lpstr>
      <vt:lpstr>xxMMProd3Seg1Units</vt:lpstr>
      <vt:lpstr>xxMMProd3Seg2Units</vt:lpstr>
      <vt:lpstr>xxMMProd3Seg3Units</vt:lpstr>
      <vt:lpstr>xxMMProd3Seg4Units</vt:lpstr>
      <vt:lpstr>xxMMProd3Seg5Units</vt:lpstr>
      <vt:lpstr>xxMMProd3Units</vt:lpstr>
      <vt:lpstr>xxMMProd4Driver1</vt:lpstr>
      <vt:lpstr>xxMMProd4Driver10</vt:lpstr>
      <vt:lpstr>xxMMProd4Driver2</vt:lpstr>
      <vt:lpstr>xxMMProd4Driver3</vt:lpstr>
      <vt:lpstr>xxMMProd4Driver4</vt:lpstr>
      <vt:lpstr>xxMMProd4Driver5</vt:lpstr>
      <vt:lpstr>xxMMProd4Driver6</vt:lpstr>
      <vt:lpstr>xxMMProd4Driver7</vt:lpstr>
      <vt:lpstr>xxMMProd4Driver8</vt:lpstr>
      <vt:lpstr>xxMMProd4Driver9</vt:lpstr>
      <vt:lpstr>xxMMProd4Seg1Units</vt:lpstr>
      <vt:lpstr>xxMMProd4Seg2Units</vt:lpstr>
      <vt:lpstr>xxMMProd4Seg3Units</vt:lpstr>
      <vt:lpstr>xxMMProd4Seg4Units</vt:lpstr>
      <vt:lpstr>xxMMProd4Seg5Units</vt:lpstr>
      <vt:lpstr>xxMMProd4Units</vt:lpstr>
      <vt:lpstr>xxMMProd5Driver1</vt:lpstr>
      <vt:lpstr>xxMMProd5Driver10</vt:lpstr>
      <vt:lpstr>xxMMProd5Driver2</vt:lpstr>
      <vt:lpstr>xxMMProd5Driver3</vt:lpstr>
      <vt:lpstr>xxMMProd5Driver4</vt:lpstr>
      <vt:lpstr>xxMMProd5Driver5</vt:lpstr>
      <vt:lpstr>xxMMProd5Driver6</vt:lpstr>
      <vt:lpstr>xxMMProd5Driver7</vt:lpstr>
      <vt:lpstr>xxMMProd5Driver8</vt:lpstr>
      <vt:lpstr>xxMMProd5Driver9</vt:lpstr>
      <vt:lpstr>xxMMProd5Seg1Units</vt:lpstr>
      <vt:lpstr>xxMMProd5Seg2Units</vt:lpstr>
      <vt:lpstr>xxMMProd5Seg3Units</vt:lpstr>
      <vt:lpstr>xxMMProd5Seg4Units</vt:lpstr>
      <vt:lpstr>xxMMProd5Seg5Units</vt:lpstr>
      <vt:lpstr>xxMMProd5Units</vt:lpstr>
      <vt:lpstr>xxMMProd6Driver1</vt:lpstr>
      <vt:lpstr>xxMMProd6Driver10</vt:lpstr>
      <vt:lpstr>xxMMProd6Driver2</vt:lpstr>
      <vt:lpstr>xxMMProd6Driver3</vt:lpstr>
      <vt:lpstr>xxMMProd6Driver4</vt:lpstr>
      <vt:lpstr>xxMMProd6Driver5</vt:lpstr>
      <vt:lpstr>xxMMProd6Driver6</vt:lpstr>
      <vt:lpstr>xxMMProd6Driver7</vt:lpstr>
      <vt:lpstr>xxMMProd6Driver8</vt:lpstr>
      <vt:lpstr>xxMMProd6Driver9</vt:lpstr>
      <vt:lpstr>xxMMProd6Seg1Units</vt:lpstr>
      <vt:lpstr>xxMMProd6Seg2Units</vt:lpstr>
      <vt:lpstr>xxMMProd6Seg3Units</vt:lpstr>
      <vt:lpstr>xxMMProd6Seg4Units</vt:lpstr>
      <vt:lpstr>xxMMProd6Seg5Units</vt:lpstr>
      <vt:lpstr>xxMMProd6Units</vt:lpstr>
      <vt:lpstr>xxNumOfTeams</vt:lpstr>
      <vt:lpstr>xxobalTeam1</vt:lpstr>
      <vt:lpstr>xxobalYear0Copy</vt:lpstr>
      <vt:lpstr>xxobalYear0FormulaCopy</vt:lpstr>
      <vt:lpstr>xxProd1BaseUnits</vt:lpstr>
      <vt:lpstr>xxProd1Growth</vt:lpstr>
      <vt:lpstr>xxProd1Year0Vol</vt:lpstr>
      <vt:lpstr>xxProd2BaseUnits</vt:lpstr>
      <vt:lpstr>xxProd2Growth</vt:lpstr>
      <vt:lpstr>xxProd3BaseUnits</vt:lpstr>
      <vt:lpstr>xxProd3Growth</vt:lpstr>
      <vt:lpstr>xxProd4BaseUnits</vt:lpstr>
      <vt:lpstr>xxProd4Growth</vt:lpstr>
      <vt:lpstr>xxProd5BaseUnits</vt:lpstr>
      <vt:lpstr>xxProd5Growth</vt:lpstr>
      <vt:lpstr>xxProd6BaseUnits</vt:lpstr>
      <vt:lpstr>xxProd6Growth</vt:lpstr>
      <vt:lpstr>xxProtectFile</vt:lpstr>
      <vt:lpstr>xxQAT</vt:lpstr>
      <vt:lpstr>xxRankYear0</vt:lpstr>
      <vt:lpstr>xxRankYear1</vt:lpstr>
      <vt:lpstr>xxRankYear2</vt:lpstr>
      <vt:lpstr>xxRankYear3</vt:lpstr>
      <vt:lpstr>xxRankYear4</vt:lpstr>
      <vt:lpstr>xxResetDecXAutoCompFormulasCopy</vt:lpstr>
      <vt:lpstr>xxResetDecXFormulasCopy</vt:lpstr>
      <vt:lpstr>xxSim0Tool1</vt:lpstr>
      <vt:lpstr>xxSpecProgClear</vt:lpstr>
      <vt:lpstr>xxteamnumber</vt:lpstr>
      <vt:lpstr>xxtlInputColorLocked</vt:lpstr>
      <vt:lpstr>xxtlInputColorUnLocked</vt:lpstr>
      <vt:lpstr>xxtoolIntroZoom</vt:lpstr>
      <vt:lpstr>xxWinMetricYear0</vt:lpstr>
      <vt:lpstr>xxWinMetricYear1</vt:lpstr>
      <vt:lpstr>xxWinMetricYear2</vt:lpstr>
      <vt:lpstr>xxWinMetricYear3</vt:lpstr>
      <vt:lpstr>xxWinMetricYear4</vt:lpstr>
      <vt:lpstr>xxWobblersAvailable</vt:lpstr>
      <vt:lpstr>xxWobblersUsed</vt:lpstr>
      <vt:lpstr>xxWobblersValid</vt:lpstr>
      <vt:lpstr>xxYear</vt:lpstr>
      <vt:lpstr>xxYear0Copy</vt:lpstr>
    </vt:vector>
  </TitlesOfParts>
  <Company>BTS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BTS Inc.</dc:creator>
  <cp:lastModifiedBy>Daniel Bauman</cp:lastModifiedBy>
  <cp:lastPrinted>2013-12-20T19:42:58Z</cp:lastPrinted>
  <dcterms:created xsi:type="dcterms:W3CDTF">1999-02-11T11:08:19Z</dcterms:created>
  <dcterms:modified xsi:type="dcterms:W3CDTF">2014-02-10T14:28:38Z</dcterms:modified>
</cp:coreProperties>
</file>