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8.xml" ContentType="application/vnd.openxmlformats-officedocument.drawing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C:\SVN\Work\Santen_BA2_Isomer\docs\"/>
    </mc:Choice>
  </mc:AlternateContent>
  <bookViews>
    <workbookView xWindow="0" yWindow="0" windowWidth="28800" windowHeight="11910" tabRatio="643" firstSheet="7" activeTab="9"/>
  </bookViews>
  <sheets>
    <sheet name="Instructions" sheetId="17" r:id="rId1"/>
    <sheet name="Controls" sheetId="1" r:id="rId2"/>
    <sheet name="PopUp" sheetId="25" r:id="rId3"/>
    <sheet name="ClearAdj" sheetId="26" r:id="rId4"/>
    <sheet name="Dashboard" sheetId="31" r:id="rId5"/>
    <sheet name="DecErrorMessage" sheetId="6" r:id="rId6"/>
    <sheet name="SIs" sheetId="12" r:id="rId7"/>
    <sheet name="tlIntro" sheetId="2" r:id="rId8"/>
    <sheet name="tlPlan" sheetId="27" r:id="rId9"/>
    <sheet name="tlScenario1" sheetId="20" r:id="rId10"/>
    <sheet name="tlScenario2" sheetId="32" r:id="rId11"/>
    <sheet name="tlScenario3" sheetId="33" r:id="rId12"/>
    <sheet name="tlReport" sheetId="30" r:id="rId13"/>
    <sheet name="tlAction" sheetId="28" r:id="rId14"/>
    <sheet name="tlSIs" sheetId="13" r:id="rId15"/>
    <sheet name="Dec" sheetId="4" r:id="rId16"/>
    <sheet name="Calc" sheetId="14" r:id="rId17"/>
    <sheet name="Fin" sheetId="22" r:id="rId18"/>
    <sheet name="Cbal" sheetId="8" r:id="rId19"/>
    <sheet name="Obal" sheetId="7" r:id="rId20"/>
    <sheet name="param" sheetId="23" r:id="rId21"/>
    <sheet name="adj" sheetId="24" r:id="rId22"/>
    <sheet name="Glossary" sheetId="15" r:id="rId23"/>
    <sheet name="Data" sheetId="21" r:id="rId24"/>
    <sheet name="Graphs" sheetId="34" r:id="rId25"/>
  </sheets>
  <functionGroups builtInGroupCount="18"/>
  <definedNames>
    <definedName name="_6_months">Data!$P$4:$Q$4</definedName>
    <definedName name="adj_CostCode">adj!$B$5</definedName>
    <definedName name="adj_FTECode">adj!$B$4</definedName>
    <definedName name="adj_IndexTeam">adj!$E$2:$I$2</definedName>
    <definedName name="calcAcquisitionTracker">Calc!$E$3</definedName>
    <definedName name="calcDBTriggerMetric1">Calc!$E$10</definedName>
    <definedName name="calcDBTriggerMetric2">Calc!$E$11</definedName>
    <definedName name="calcDBTriggerMetric3">Calc!$E$12</definedName>
    <definedName name="calcDBTriggerMetric4">Calc!$E$13</definedName>
    <definedName name="calcDBTriggerMetric5">Calc!$E$14</definedName>
    <definedName name="calcDBTriggerMetric6">Calc!$E$15</definedName>
    <definedName name="calcDBTriggerMetric7">Calc!$E$16</definedName>
    <definedName name="calcMatchFunc">Calc!$E$18</definedName>
    <definedName name="calcScenario1AverageCOGS">Calc!$E$158</definedName>
    <definedName name="calcScenario1AverageCompliance">Calc!$E$128</definedName>
    <definedName name="calcScenario1AverageDiscount">Calc!$E$148</definedName>
    <definedName name="calcScenario1AveragePenetration">Calc!$E$119</definedName>
    <definedName name="calcScenario1AveragePrice">Calc!$E$140</definedName>
    <definedName name="calcScenario1AverageSnM">Calc!$E$108</definedName>
    <definedName name="calcScenario1FTECostTrigger">Calc!$L$84</definedName>
    <definedName name="calcScenario1MultinationalTrialTrigger">Calc!$J$85</definedName>
    <definedName name="calcScenario1NumberofRegionsEntered">Calc!$K$118</definedName>
    <definedName name="calcScenario1Ph1FTECost">Calc!$F$56</definedName>
    <definedName name="calcScenario1Ph1PTS">Calc!$F$96</definedName>
    <definedName name="calcScenario1Ph1RnDCost">Calc!$F$38</definedName>
    <definedName name="calcScenario1Ph1TimeReq">Calc!$F$75</definedName>
    <definedName name="calcScenario1Ph2FTECost">Calc!$G$56</definedName>
    <definedName name="calcScenario1Ph2PTS">Calc!$G$96</definedName>
    <definedName name="calcScenario1Ph2RnDCost">Calc!$G$38</definedName>
    <definedName name="calcScenario1Ph2TimeReq">Calc!$G$75</definedName>
    <definedName name="calcScenario1Ph3FTECost">Calc!$H$56</definedName>
    <definedName name="calcScenario1Ph3PTS">Calc!$H$96</definedName>
    <definedName name="calcScenario1Ph3RnDCost">Calc!$H$38</definedName>
    <definedName name="calcScenario1Ph3TimeReq">Calc!$H$75</definedName>
    <definedName name="calcScenario1Reg1COGS">Calc!$F$158</definedName>
    <definedName name="calcScenario1Reg1Compliance">Calc!$F$128</definedName>
    <definedName name="calcScenario1Reg1Discount">Calc!$F$148</definedName>
    <definedName name="calcScenario1Reg1Penetration">Calc!$F$119</definedName>
    <definedName name="calcScenario1Reg1Price">Calc!$F$140</definedName>
    <definedName name="calcScenario1Reg1SnM">Calc!$F$108</definedName>
    <definedName name="calcScenario1Reg2COGS">Calc!$G$158</definedName>
    <definedName name="calcScenario1Reg2Compliance">Calc!$G$128</definedName>
    <definedName name="calcScenario1Reg2Discount">Calc!$G$148</definedName>
    <definedName name="calcScenario1Reg2Penetration">Calc!$G$119</definedName>
    <definedName name="calcScenario1Reg2Price">Calc!$G$140</definedName>
    <definedName name="calcScenario1Reg2SnM">Calc!$G$108</definedName>
    <definedName name="calcScenario1Reg3COGS">Calc!$H$158</definedName>
    <definedName name="calcScenario1Reg3Compliance">Calc!$H$128</definedName>
    <definedName name="calcScenario1Reg3Discount">Calc!$H$148</definedName>
    <definedName name="calcScenario1Reg3Penetration">Calc!$H$119</definedName>
    <definedName name="calcScenario1Reg3Price">Calc!$H$140</definedName>
    <definedName name="calcScenario1Reg3SnM">Calc!$H$108</definedName>
    <definedName name="calcScenario1Reg4COGS">Calc!$I$158</definedName>
    <definedName name="calcScenario1Reg4Compliance">Calc!$I$128</definedName>
    <definedName name="calcScenario1Reg4Discount">Calc!$I$148</definedName>
    <definedName name="calcScenario1Reg4Penetration">Calc!$I$119</definedName>
    <definedName name="calcScenario1Reg4Price">Calc!$I$140</definedName>
    <definedName name="calcScenario1Reg4SnM">Calc!$I$108</definedName>
    <definedName name="calcScenario1RegulatorySuccess">Calc!$I$96</definedName>
    <definedName name="calcScenario1ResearchFTECost">Calc!$E$56</definedName>
    <definedName name="calcScenario1ResearchPTS">Calc!$E$96</definedName>
    <definedName name="calcScenario1ResearchRnDCost">Calc!$E$38</definedName>
    <definedName name="calcScenario1ResearchTimeReq">Calc!$E$75</definedName>
    <definedName name="calcScenario1TotFTECost">Calc!$I$56</definedName>
    <definedName name="calcScenario1TotPOS">Calc!$J$96</definedName>
    <definedName name="calcScenario1TotRnDCost">Calc!$I$38</definedName>
    <definedName name="calcScenario1TotTimeReq">Calc!$I$75</definedName>
    <definedName name="calcScenario1TrialDurationPh1Trigger">Calc!$O$85</definedName>
    <definedName name="calcScenario1TrialDurationPh2Trigger">Calc!$P$85</definedName>
    <definedName name="calcScenario1TrialDurationPh3Trigger">Calc!$Q$85</definedName>
    <definedName name="calcScenario2AverageCOGS">Calc!$E$300</definedName>
    <definedName name="calcScenario2AverageCompliance">Calc!$E$270</definedName>
    <definedName name="calcScenario2AverageDiscount">Calc!$E$290</definedName>
    <definedName name="calcScenario2AveragePenetration">Calc!$E$261</definedName>
    <definedName name="calcScenario2AveragePrice">Calc!$E$282</definedName>
    <definedName name="calcScenario2AverageSnM">Calc!$E$250</definedName>
    <definedName name="calcScenario2FTECostTrigger">Calc!$L$226</definedName>
    <definedName name="calcScenario2MultinationalTrialTrigger">Calc!$J$227</definedName>
    <definedName name="calcScenario2NumberofRegionsEntered">Calc!$K$260</definedName>
    <definedName name="calcScenario2Ph1FTECost">Calc!$F$198</definedName>
    <definedName name="calcScenario2Ph1PTS">Calc!$F$238</definedName>
    <definedName name="calcScenario2Ph1RnDCost">Calc!$F$180</definedName>
    <definedName name="calcScenario2Ph1TimeReq">Calc!$F$217</definedName>
    <definedName name="calcScenario2Ph2FTECost">Calc!$G$198</definedName>
    <definedName name="calcScenario2Ph2PTS">Calc!$G$238</definedName>
    <definedName name="calcScenario2Ph2RnDCost">Calc!$G$180</definedName>
    <definedName name="calcScenario2Ph2TimeReq">Calc!$G$217</definedName>
    <definedName name="calcScenario2Ph3FTECost">Calc!$H$198</definedName>
    <definedName name="calcScenario2Ph3PTS">Calc!$H$238</definedName>
    <definedName name="calcScenario2Ph3RnDCost">Calc!$H$180</definedName>
    <definedName name="calcScenario2Ph3TimeReq">Calc!$H$217</definedName>
    <definedName name="calcScenario2Reg1COGS">Calc!$F$300</definedName>
    <definedName name="calcScenario2Reg1Compliance">Calc!$F$270</definedName>
    <definedName name="calcScenario2Reg1Discount">Calc!$F$290</definedName>
    <definedName name="calcScenario2Reg1Penetration">Calc!$F$261</definedName>
    <definedName name="calcScenario2Reg1Price">Calc!$F$282</definedName>
    <definedName name="calcScenario2Reg1SnM">Calc!$F$250</definedName>
    <definedName name="calcScenario2Reg2COGS">Calc!$G$300</definedName>
    <definedName name="calcScenario2Reg2Compliance">Calc!$G$270</definedName>
    <definedName name="calcScenario2Reg2Discount">Calc!$G$290</definedName>
    <definedName name="calcScenario2Reg2Penetration">Calc!$G$261</definedName>
    <definedName name="calcScenario2Reg2Price">Calc!$G$282</definedName>
    <definedName name="calcScenario2Reg2SnM">Calc!$G$250</definedName>
    <definedName name="calcScenario2Reg3COGS">Calc!$H$300</definedName>
    <definedName name="calcScenario2Reg3Compliance">Calc!$H$270</definedName>
    <definedName name="calcScenario2Reg3Discount">Calc!$H$290</definedName>
    <definedName name="calcScenario2Reg3Penetration">Calc!$H$261</definedName>
    <definedName name="calcScenario2Reg3Price">Calc!$H$282</definedName>
    <definedName name="calcScenario2Reg3SnM">Calc!$H$250</definedName>
    <definedName name="calcScenario2Reg4COGS">Calc!$I$300</definedName>
    <definedName name="calcScenario2Reg4Compliance">Calc!$I$270</definedName>
    <definedName name="calcScenario2Reg4Discount">Calc!$I$290</definedName>
    <definedName name="calcScenario2Reg4Penetration">Calc!$I$261</definedName>
    <definedName name="calcScenario2Reg4Price">Calc!$I$282</definedName>
    <definedName name="calcScenario2Reg4SnM">Calc!$I$250</definedName>
    <definedName name="calcScenario2RegulatorySuccess">Calc!$I$238</definedName>
    <definedName name="calcScenario2ResearchFTECost">Calc!$E$198</definedName>
    <definedName name="calcScenario2ResearchPTS">Calc!$E$238</definedName>
    <definedName name="calcScenario2ResearchRnDCost">Calc!$E$180</definedName>
    <definedName name="calcScenario2ResearchTimeReq">Calc!$E$217</definedName>
    <definedName name="calcScenario2TotFTECost">Calc!$I$198</definedName>
    <definedName name="calcScenario2TotPOS">Calc!$J$238</definedName>
    <definedName name="calcScenario2TotRnDCost">Calc!$I$180</definedName>
    <definedName name="calcScenario2TotTimeReq">Calc!$I$217</definedName>
    <definedName name="calcScenario2TrialDurationPh1Trigger">Calc!$O$227</definedName>
    <definedName name="calcScenario2TrialDurationPh2Trigger">Calc!$P$227</definedName>
    <definedName name="calcScenario2TrialDurationPh3Trigger">Calc!$Q$227</definedName>
    <definedName name="calcScenario3AverageCOGS">Calc!$E$443</definedName>
    <definedName name="calcScenario3AverageCompliance">Calc!$E$413</definedName>
    <definedName name="calcScenario3AverageDiscount">Calc!$E$433</definedName>
    <definedName name="calcScenario3AveragePenetration">Calc!$E$404</definedName>
    <definedName name="calcScenario3AveragePrice">Calc!$E$425</definedName>
    <definedName name="calcScenario3AverageSnM">Calc!$E$393</definedName>
    <definedName name="calcScenario3FTECostTrigger">Calc!$L$369</definedName>
    <definedName name="calcScenario3MultinationalTrialTrigger">Calc!$J$370</definedName>
    <definedName name="calcScenario3NumberofRegionsEntered">Calc!$K$403</definedName>
    <definedName name="calcScenario3Ph1FTECost">Calc!$F$341</definedName>
    <definedName name="calcScenario3Ph1PTS">Calc!$F$381</definedName>
    <definedName name="calcScenario3Ph1RnDCost">Calc!$F$323</definedName>
    <definedName name="calcScenario3Ph1TimeReq">Calc!$F$360</definedName>
    <definedName name="calcScenario3Ph2FTECost">Calc!$G$341</definedName>
    <definedName name="calcScenario3Ph2PTS">Calc!$G$381</definedName>
    <definedName name="calcScenario3Ph2RnDCost">Calc!$G$323</definedName>
    <definedName name="calcScenario3Ph2TimeReq">Calc!$G$360</definedName>
    <definedName name="calcScenario3Ph3FTECost">Calc!$H$341</definedName>
    <definedName name="calcScenario3Ph3PTS">Calc!$H$381</definedName>
    <definedName name="calcScenario3Ph3RnDCost">Calc!$H$323</definedName>
    <definedName name="calcScenario3Ph3TimeReq">Calc!$H$360</definedName>
    <definedName name="calcScenario3Reg1COGS">Calc!$F$443</definedName>
    <definedName name="calcScenario3Reg1Compliance">Calc!$F$413</definedName>
    <definedName name="calcScenario3Reg1Discount">Calc!$F$433</definedName>
    <definedName name="calcScenario3Reg1Penetration">Calc!$F$404</definedName>
    <definedName name="calcScenario3Reg1Price">Calc!$F$425</definedName>
    <definedName name="calcScenario3Reg1SnM">Calc!$F$393</definedName>
    <definedName name="calcScenario3Reg2COGS">Calc!$G$443</definedName>
    <definedName name="calcScenario3Reg2Compliance">Calc!$G$413</definedName>
    <definedName name="calcScenario3Reg2Discount">Calc!$G$433</definedName>
    <definedName name="calcScenario3Reg2Penetration">Calc!$G$404</definedName>
    <definedName name="calcScenario3Reg2Price">Calc!$G$425</definedName>
    <definedName name="calcScenario3Reg2SnM">Calc!$G$393</definedName>
    <definedName name="calcScenario3Reg3COGS">Calc!$H$443</definedName>
    <definedName name="calcScenario3Reg3Compliance">Calc!$H$413</definedName>
    <definedName name="calcScenario3Reg3Discount">Calc!$H$433</definedName>
    <definedName name="calcScenario3Reg3Penetration">Calc!$H$404</definedName>
    <definedName name="calcScenario3Reg3Price">Calc!$H$425</definedName>
    <definedName name="calcScenario3Reg3SnM">Calc!$H$393</definedName>
    <definedName name="calcScenario3Reg4COGS">Calc!$I$443</definedName>
    <definedName name="calcScenario3Reg4Compliance">Calc!$I$413</definedName>
    <definedName name="calcScenario3Reg4Discount">Calc!$I$433</definedName>
    <definedName name="calcScenario3Reg4Penetration">Calc!$I$404</definedName>
    <definedName name="calcScenario3Reg4Price">Calc!$I$425</definedName>
    <definedName name="calcScenario3Reg4SnM">Calc!$I$393</definedName>
    <definedName name="calcScenario3RegulatorySuccess">Calc!$I$381</definedName>
    <definedName name="calcScenario3ResearchFTECost">Calc!$E$341</definedName>
    <definedName name="calcScenario3ResearchPTS">Calc!$E$381</definedName>
    <definedName name="calcScenario3ResearchRnDCost">Calc!$E$323</definedName>
    <definedName name="calcScenario3ResearchTimeReq">Calc!$E$360</definedName>
    <definedName name="calcScenario3TotFTECost">Calc!$I$341</definedName>
    <definedName name="calcScenario3TotPOS">Calc!$J$381</definedName>
    <definedName name="calcScenario3TotRnDCost">Calc!$I$323</definedName>
    <definedName name="calcScenario3TotTimeReq">Calc!$I$360</definedName>
    <definedName name="calcScenario3TrialDurationPh1Trigger">Calc!$O$370</definedName>
    <definedName name="calcScenario3TrialDurationPh2Trigger">Calc!$P$370</definedName>
    <definedName name="calcScenario3TrialDurationPh3Trigger">Calc!$Q$370</definedName>
    <definedName name="cbal_Paste">Cbal!$E$3:$I$3</definedName>
    <definedName name="cbalSI1CodeR1">Cbal!$E$6:$I$6</definedName>
    <definedName name="cbalSI1CodeR2">Cbal!$E$12:$I$12</definedName>
    <definedName name="cbalSI1CodeR3">Cbal!$E$18:$I$18</definedName>
    <definedName name="cbalSI2CodeR1">Cbal!$E$7:$I$7</definedName>
    <definedName name="cbalSI2CodeR2">Cbal!$E$13:$I$13</definedName>
    <definedName name="cbalSI2CodeR3">Cbal!$E$19:$I$19</definedName>
    <definedName name="cbalSI3CodeR1">Cbal!$E$8:$I$8</definedName>
    <definedName name="cbalSI3CodeR2">Cbal!$E$14:$I$14</definedName>
    <definedName name="cbalSI3CodeR3">Cbal!$E$20:$I$20</definedName>
    <definedName name="cbalSI4CodeR1">Cbal!$E$9:$I$9</definedName>
    <definedName name="cbalSI4CodeR2">Cbal!$E$15:$I$15</definedName>
    <definedName name="cbalSI4CodeR3">Cbal!$E$21:$I$21</definedName>
    <definedName name="cbalSI5CodeR1">Cbal!$E$10:$I$10</definedName>
    <definedName name="cbalSI5CodeR2">Cbal!$E$16:$I$16</definedName>
    <definedName name="cbalSI5CodeR3">Cbal!$E$22:$I$22</definedName>
    <definedName name="ClearAdjRange1">ClearAdj!$C$21</definedName>
    <definedName name="ClearAdjRange10">ClearAdj!$C$39</definedName>
    <definedName name="ClearAdjRange11">ClearAdj!$C$41</definedName>
    <definedName name="ClearAdjRange12">ClearAdj!$C$43</definedName>
    <definedName name="ClearAdjRange13">ClearAdj!$C$45</definedName>
    <definedName name="ClearAdjRange14">ClearAdj!$C$47</definedName>
    <definedName name="ClearAdjRange15">ClearAdj!$C$49</definedName>
    <definedName name="ClearAdjRange16">ClearAdj!$C$51</definedName>
    <definedName name="ClearAdjRange17">ClearAdj!$C$53</definedName>
    <definedName name="ClearAdjRange18">ClearAdj!$C$55</definedName>
    <definedName name="ClearAdjRange19">ClearAdj!$C$57</definedName>
    <definedName name="ClearAdjRange2">ClearAdj!$C$23</definedName>
    <definedName name="ClearAdjRange20">ClearAdj!$C$59</definedName>
    <definedName name="ClearAdjRange21">ClearAdj!$C$61</definedName>
    <definedName name="ClearAdjRange22">ClearAdj!$C$63</definedName>
    <definedName name="ClearAdjRange23">ClearAdj!$C$65</definedName>
    <definedName name="ClearAdjRange24">ClearAdj!$C$67</definedName>
    <definedName name="ClearAdjRange25">ClearAdj!$C$69</definedName>
    <definedName name="ClearAdjRange3">ClearAdj!$C$25</definedName>
    <definedName name="ClearAdjRange4">ClearAdj!$C$27</definedName>
    <definedName name="ClearAdjRange5">ClearAdj!$C$29</definedName>
    <definedName name="ClearAdjRange6">ClearAdj!$C$31</definedName>
    <definedName name="ClearAdjRange7">ClearAdj!$C$33</definedName>
    <definedName name="ClearAdjRange8">ClearAdj!$C$35</definedName>
    <definedName name="ClearAdjRange9">ClearAdj!$C$37</definedName>
    <definedName name="cnstComma">PopUp!$E$59</definedName>
    <definedName name="cnstDoubleQuote">PopUp!$E$58</definedName>
    <definedName name="cnstMillion">Glossary!$D$5</definedName>
    <definedName name="cnstSingleQuote">PopUp!$E$57</definedName>
    <definedName name="core_FilePrefix">Controls!$D$5</definedName>
    <definedName name="datalist123">Data!$G$4:$G$5</definedName>
    <definedName name="datalistAcquire">Data!$C$4:$C$6</definedName>
    <definedName name="datalistAcquisition">Data!$J$4:$J$7</definedName>
    <definedName name="datalistAdmin">Data!$S$4:$S$6</definedName>
    <definedName name="datalistBiomarkers">Data!$R$4:$R$6</definedName>
    <definedName name="datalistComparator">Data!$I$4:$I$5</definedName>
    <definedName name="datalistDurationPh1">Data!$O$4:$O$8</definedName>
    <definedName name="datalistDurationPh2">Data!$P$4:$P$8</definedName>
    <definedName name="datalistDurationPh3">Data!$Q$4:$Q$8</definedName>
    <definedName name="datalistFormulation">Data!$K$4:$K$6</definedName>
    <definedName name="datalistFranchise">Data!$D$4:$D$6</definedName>
    <definedName name="datalistGlobalTrials">Data!$V$4:$V$5</definedName>
    <definedName name="datalistIndication">Data!$H$4:$H$6</definedName>
    <definedName name="datalistLMH">Data!$E$4:$E$6</definedName>
    <definedName name="datalistMetrics">Data!$T$4:$T$11</definedName>
    <definedName name="datalistSizePh1">Data!$L$4:$L$8</definedName>
    <definedName name="datalistSizePh2">Data!$M$4:$M$8</definedName>
    <definedName name="datalistSizePh3">Data!$N$4:$N$8</definedName>
    <definedName name="datalistTrueFalse">Data!$U$4:$U$5</definedName>
    <definedName name="datalistYesNo">Data!$F$4:$F$5</definedName>
    <definedName name="dataTableAcquisitionTracker">Data!$J$23:$K$26</definedName>
    <definedName name="datatableAddBiomarkerPTS">Data!$I$215:$J$218</definedName>
    <definedName name="datatableAddBiomarkerTTM">Data!$I$143:$J$146</definedName>
    <definedName name="datatableAddIndFTECost">Data!$C$117:$E$120</definedName>
    <definedName name="datatableAddIndicationSnM">Data!$C$275:$G$278</definedName>
    <definedName name="datatableAddIndPTS">Data!$C$245:$E$248</definedName>
    <definedName name="datatableAddIndRnDCost">Data!$C$57:$E$60</definedName>
    <definedName name="datatableAddIndTTM">Data!$C$178:$E$181</definedName>
    <definedName name="datatableBaselineCOGS">Data!$C$339:$G$342</definedName>
    <definedName name="datatableBaselineCompliance">Data!$C$319:$G$322</definedName>
    <definedName name="datatableBaselineDiscount">Data!$C$331:$G$334</definedName>
    <definedName name="datatableBaselinePenetration">Data!$C$297:$G$300</definedName>
    <definedName name="datatableBaselinePrice">Data!$C$356:$G$359</definedName>
    <definedName name="datatableBaselineSnM">Data!$C$270:$G$273</definedName>
    <definedName name="datatableComparatorFTECost">Data!$I$122:$L$124</definedName>
    <definedName name="datatableComparatorPTS">Data!$I$253:$L$255</definedName>
    <definedName name="datatableComparatorRnDCost">Data!$I$62:$L$64</definedName>
    <definedName name="datatableComparatorTTM">Data!$I$187:$L$189</definedName>
    <definedName name="datatableDosageCOGS">Data!$C$344:$G$347</definedName>
    <definedName name="datatableDosageCompliance">Data!$C$324:$G$327</definedName>
    <definedName name="datatableDosageFTECost">Data!$C$129:$F$132</definedName>
    <definedName name="datatableDosagePrice">Data!$C$361:$G$364</definedName>
    <definedName name="datatableDosagePTS">Data!$C$257:$F$260</definedName>
    <definedName name="datatableDosageRnDCost">Data!$C$69:$F$72</definedName>
    <definedName name="datatableDosageTTM">Data!$C$190:$F$193</definedName>
    <definedName name="datatableDurationPh1FTECost">Data!$I$93:$L$98</definedName>
    <definedName name="datatableDurationPh1PTS">Data!$I$221:$L$226</definedName>
    <definedName name="datatableDurationPh1RnDCost">Data!$I$33:$L$38</definedName>
    <definedName name="datatableDurationPh1TTM">Data!$I$154:$L$159</definedName>
    <definedName name="datatableDurationPh2FTECost">Data!$I$101:$L$106</definedName>
    <definedName name="datatableDurationPh2PTS">Data!$I$229:$L$234</definedName>
    <definedName name="datatableDurationPh2RnDCost">Data!$I$41:$L$46</definedName>
    <definedName name="datatableDurationPh2TTM">Data!$I$162:$L$167</definedName>
    <definedName name="datatableDurationPh3FTECost">Data!$I$109:$L$114</definedName>
    <definedName name="datatableDurationPh3PTS">Data!$I$237:$L$242</definedName>
    <definedName name="datatableDurationPh3RnDCost">Data!$I$49:$L$54</definedName>
    <definedName name="datatableDurationPh3TTM">Data!$I$170:$L$175</definedName>
    <definedName name="datatableFormulationAdminDefault">Data!$M$23:$N$26</definedName>
    <definedName name="datatableFormulationCOGS">Data!$C$349:$F$352</definedName>
    <definedName name="datatableFormulationCost">Data!$C$28:$F$30</definedName>
    <definedName name="datatableFormulationFTECost">Data!$C$87:$F$90</definedName>
    <definedName name="datatableFormulationPTS">Data!$C$215:$F$218</definedName>
    <definedName name="datatableFormulationTTM">Data!$C$148:$F$151</definedName>
    <definedName name="datatableFranchiseFTECost">Data!$C$82:$G$85</definedName>
    <definedName name="datatableFranchiseRnDCost">Data!$C$22:$G$25</definedName>
    <definedName name="datatableFranchiseTTM">Data!$C$143:$G$146</definedName>
    <definedName name="datatableGlobalTrialsFTECost">Data!$C$123:$E$126</definedName>
    <definedName name="datatableGlobalTrialsPTS">Data!$C$251:$E$254</definedName>
    <definedName name="datatableGlobalTrialsRnDCost">Data!$C$63:$E$66</definedName>
    <definedName name="datatableGlobalTrialsTTM">Data!$C$184:$E$187</definedName>
    <definedName name="datatableLOEDropOff">Data!$C$384:$D$387</definedName>
    <definedName name="datatableMAFTECost">Data!$I$127:$L$130</definedName>
    <definedName name="datatableMAPenetration">Data!$C$302:$G$305</definedName>
    <definedName name="datatableMAPrice">Data!$C$376:$G$379</definedName>
    <definedName name="datatableMAPTS">Data!$I$258:$L$261</definedName>
    <definedName name="datatableMARnDCost">Data!$I$67:$L$70</definedName>
    <definedName name="datatableMASnM">Data!$C$290:$G$293</definedName>
    <definedName name="datatableMATTM">Data!$I$192:$L$195</definedName>
    <definedName name="datatableP2bTrialsFTECost">Data!$C$135:$F$138</definedName>
    <definedName name="datatableP2bTrialsPTS">Data!$C$263:$F$266</definedName>
    <definedName name="datatableP2bTrialsRnDCost">Data!$C$75:$F$78</definedName>
    <definedName name="datatableP2bTrialsTTM">Data!$C$196:$F$199</definedName>
    <definedName name="datatablePrimaryEPFTECost">Data!$I$117:$L$119</definedName>
    <definedName name="datatablePrimaryEPPenetration">Data!$C$307:$G$310</definedName>
    <definedName name="datatablePrimaryEPPrice">Data!$C$366:$G$369</definedName>
    <definedName name="datatablePrimaryEPPTS">Data!$I$245:$L$247</definedName>
    <definedName name="datatablePrimaryEPRnDCost">Data!$I$57:$L$59</definedName>
    <definedName name="datatablePrimaryEPSnM">Data!$C$280:$G$283</definedName>
    <definedName name="datatablePrimaryEPTTM">Data!$I$178:$L$180</definedName>
    <definedName name="datatableReg12PTS">Data!$C$204:$G$207</definedName>
    <definedName name="datatableReg34PTS">Data!$C$209:$G$212</definedName>
    <definedName name="datatableSecondaryEPPenetration">Data!$C$312:$G$315</definedName>
    <definedName name="datatableSecondaryEPPrice">Data!$C$371:$G$374</definedName>
    <definedName name="datatableSecondaryEPPTS">Data!$I$249:$L$251</definedName>
    <definedName name="datatableSecondaryEPSnM">Data!$C$285:$G$288</definedName>
    <definedName name="datatableSecondaryEPTTM">Data!$I$182:$L$184</definedName>
    <definedName name="datatableSizePh1FTECost">Data!$C$93:$F$98</definedName>
    <definedName name="datatableSizePh1PTS">Data!$C$221:$F$226</definedName>
    <definedName name="datatableSizePh1RnDCost">Data!$C$33:$F$38</definedName>
    <definedName name="datatableSizePh1TTM">Data!$C$154:$F$159</definedName>
    <definedName name="datatableSizePh2FTECost">Data!$C$101:$F$106</definedName>
    <definedName name="datatableSizePh2PTS">Data!$C$229:$F$234</definedName>
    <definedName name="datatableSizePh2RnDCost">Data!$C$41:$F$46</definedName>
    <definedName name="datatableSizePh2TTM">Data!$C$162:$F$167</definedName>
    <definedName name="datatableSizePh3FTECost">Data!$C$109:$F$114</definedName>
    <definedName name="datatableSizePh3PTS">Data!$C$237:$F$242</definedName>
    <definedName name="datatableSizePh3RnDCost">Data!$C$49:$F$54</definedName>
    <definedName name="datatableSizePh3TTM">Data!$C$170:$F$175</definedName>
    <definedName name="DB_ArrayDash1Names">Dashboard!$C$37:$C$46</definedName>
    <definedName name="DB_ArrayDash1Values">Dashboard!$G$37:$G$46</definedName>
    <definedName name="DB_ArrayDash2Names">Dashboard!$C$51:$C$60</definedName>
    <definedName name="DB_ArrayDash2Values">Dashboard!$G$51:$G$60</definedName>
    <definedName name="DB_ArrayDash3Names">Dashboard!$C$65:$C$74</definedName>
    <definedName name="DB_ArrayDash3Values">Dashboard!$G$65:$G$74</definedName>
    <definedName name="DB_ArrayDash4Names">Dashboard!$C$79:$C$88</definedName>
    <definedName name="DB_ArrayDash4Values">Dashboard!$G$79:$G$88</definedName>
    <definedName name="DB_ArrayDash5Names">Dashboard!$C$93:$C$102</definedName>
    <definedName name="DB_ArrayDash5Values">Dashboard!$G$93:$G$102</definedName>
    <definedName name="DB_Dashboard1">Dashboard!$E$14</definedName>
    <definedName name="DB_Dashboard2">Dashboard!$E$17</definedName>
    <definedName name="DB_Dashboard3">Dashboard!$E$20</definedName>
    <definedName name="DB_Dashboard4">Dashboard!$E$23</definedName>
    <definedName name="DB_Dashboard5">Dashboard!$E$26</definedName>
    <definedName name="DB_LargeWhiteSpace">Dashboard!$E$109</definedName>
    <definedName name="DB_LargeWhiteSpaceLength">Dashboard!$E$32</definedName>
    <definedName name="DB_SubWhiteSpace">Dashboard!$E$110</definedName>
    <definedName name="DB_SubWhiteSpaceLength">Dashboard!$E$33</definedName>
    <definedName name="DB_WhiteSpace">Dashboard!$E$108</definedName>
    <definedName name="DB_WhiteSpaceLength">Dashboard!$E$31</definedName>
    <definedName name="dec_End">Dec!$E$302</definedName>
    <definedName name="dec_ErrorCheck">DecErrorMessage!$D$32</definedName>
    <definedName name="dec_ErrorMessage">DecErrorMessage!$D$12</definedName>
    <definedName name="dec_FormulaReset">Dec!$G$3:$G$302</definedName>
    <definedName name="dec_LineBreak">DecErrorMessage!$D$35</definedName>
    <definedName name="dec_Names">Dec!$F$3:$F$302</definedName>
    <definedName name="dec_Paste">Dec!$E$3:$E$3</definedName>
    <definedName name="dec_PasteY1">Dec!$L$3:$P$3</definedName>
    <definedName name="dec_PasteY2">Dec!$R$3:$V$3</definedName>
    <definedName name="dec_PasteY3">Dec!$X$3:$AB$3</definedName>
    <definedName name="dec_Round">Controls!$D$43</definedName>
    <definedName name="dec_TeamName">Controls!$D$39</definedName>
    <definedName name="dec_TeamNumber">Controls!$D$41</definedName>
    <definedName name="dec_ToolInputPrefix">Controls!$D$45</definedName>
    <definedName name="dec_ToolReset">Dec!$H$3:$H$302</definedName>
    <definedName name="dec_ToolResetR0">Dec!$I$3:$I$302</definedName>
    <definedName name="dec_ToolResetValues">Dec!$J$3:$J$302</definedName>
    <definedName name="decActionAccountable1">Dec!$E$274</definedName>
    <definedName name="decActionAccountable2">Dec!$E$275</definedName>
    <definedName name="decActionAccountable3">Dec!$E$276</definedName>
    <definedName name="decActionAccountable4">Dec!$E$277</definedName>
    <definedName name="decActionAccountable5">Dec!$E$278</definedName>
    <definedName name="decActionAsExpected1">Dec!$E$260</definedName>
    <definedName name="decActionAsExpected2">Dec!$E$261</definedName>
    <definedName name="decActionAsExpected3">Dec!$E$262</definedName>
    <definedName name="decActionAsExpected4">Dec!$E$257</definedName>
    <definedName name="decActionAsExpected5">Dec!$E$258</definedName>
    <definedName name="decActionAsExpected6">Dec!$E$259</definedName>
    <definedName name="decActionAsExpectedInsight1">Dec!$E$263</definedName>
    <definedName name="decActionAsExpectedInsight2">Dec!$E$264</definedName>
    <definedName name="decActionAsExpectedInsight3">Dec!$E$265</definedName>
    <definedName name="decActionAsExpectedInsight4">Dec!$E$266</definedName>
    <definedName name="decActionAsExpectedInsight5">Dec!$E$267</definedName>
    <definedName name="decActionAsExpectedInsight6">Dec!$E$268</definedName>
    <definedName name="decActionCommitment1">Dec!$E$269</definedName>
    <definedName name="decActionCommitment2">Dec!$E$270</definedName>
    <definedName name="decActionCommitment3">Dec!$E$271</definedName>
    <definedName name="decActionCommitment4">Dec!$E$272</definedName>
    <definedName name="decActionCommitment5">Dec!$E$273</definedName>
    <definedName name="decActionCompletionDate1">Dec!$E$279</definedName>
    <definedName name="decActionCompletionDate2">Dec!$E$280</definedName>
    <definedName name="decActionCompletionDate3">Dec!$E$281</definedName>
    <definedName name="decActionCompletionDate4">Dec!$E$282</definedName>
    <definedName name="decActionCompletionDate5">Dec!$E$283</definedName>
    <definedName name="decActionOutcome1">Dec!$E$284</definedName>
    <definedName name="decActionOutcome2">Dec!$E$285</definedName>
    <definedName name="decActionOutcome3">Dec!$E$286</definedName>
    <definedName name="decActionOutcome4">Dec!$E$287</definedName>
    <definedName name="decActionOutcome5">Dec!$E$288</definedName>
    <definedName name="decPlanCurrentStage">Dec!$E$11</definedName>
    <definedName name="decPlanDiseaseArea">Dec!$E$12</definedName>
    <definedName name="decPlanDrugAdministration">Dec!$E$17</definedName>
    <definedName name="decPlanFormulation">Dec!$E$15</definedName>
    <definedName name="decPlanInLicenseCost">Dec!$E$19</definedName>
    <definedName name="decPlanInLicenseStage">Dec!$E$18</definedName>
    <definedName name="decPlanLOEDate">Dec!$E$14</definedName>
    <definedName name="decPlanProjectName">Dec!$E$9</definedName>
    <definedName name="decPlanProjectStartDate">Dec!$E$13</definedName>
    <definedName name="decPlanQ1Metric1">Dec!$E$21</definedName>
    <definedName name="decPlanQ1Metric2">Dec!$E$22</definedName>
    <definedName name="decPlanQ1Metric3">Dec!$E$23</definedName>
    <definedName name="decPlanQ1Notes">Dec!$E$24</definedName>
    <definedName name="decPlanQ2Notes">Dec!$E$25</definedName>
    <definedName name="decPlanQ3Notes">Dec!$E$26</definedName>
    <definedName name="decPlanQ4Assumption1">Dec!$E$27</definedName>
    <definedName name="decPlanQ4Assumption2">Dec!$E$28</definedName>
    <definedName name="decPlanQ4Assumption3">Dec!$E$29</definedName>
    <definedName name="decPlanQ4Notes">Dec!$E$30</definedName>
    <definedName name="decPlanQ5">Dec!$E$31</definedName>
    <definedName name="decPlanQ6">Dec!$E$32</definedName>
    <definedName name="decPlanTargetIndication">Dec!$E$10</definedName>
    <definedName name="decPlanTargetLaunchDate">Dec!$E$16</definedName>
    <definedName name="decRound">Dec!$E$6:$E$6</definedName>
    <definedName name="decScenario1AddBiomarker">Dec!$E$36</definedName>
    <definedName name="decScenario1AddIndication">Dec!$E$46</definedName>
    <definedName name="decScenario1Administration">Dec!$E$37</definedName>
    <definedName name="decScenario1COGS">Dec!$E$103</definedName>
    <definedName name="decScenario1Comparator">Dec!$E$51</definedName>
    <definedName name="decScenario1Compliance">Dec!$E$101</definedName>
    <definedName name="decScenario1DDFrequency">Dec!$E$48</definedName>
    <definedName name="decScenario1DiscountRate">Dec!$E$102</definedName>
    <definedName name="decScenario1EnterRegion1">Dec!$E$76</definedName>
    <definedName name="decScenario1EnterRegion2">Dec!$E$82</definedName>
    <definedName name="decScenario1EnterRegion3">Dec!$E$88</definedName>
    <definedName name="decScenario1EnterRegion4">Dec!$E$94</definedName>
    <definedName name="decScenario1EPVRate">Dec!$E$105</definedName>
    <definedName name="decScenario1MAEffort">Dec!$E$52</definedName>
    <definedName name="decScenario1MNTrialsPh2">Dec!$E$44</definedName>
    <definedName name="decScenario1MNTrialsPh3">Dec!$E$45</definedName>
    <definedName name="decScenario1NPVRate">Dec!$E$106</definedName>
    <definedName name="decScenario1ObservationPh1">Dec!$E$41</definedName>
    <definedName name="decScenario1ObservationPh2">Dec!$E$42</definedName>
    <definedName name="decScenario1ObservationPh3">Dec!$E$43</definedName>
    <definedName name="decScenario1PatPopRegion1">Dec!$E$77</definedName>
    <definedName name="decScenario1PatPopRegion2">Dec!$E$83</definedName>
    <definedName name="decScenario1PatPopRegion3">Dec!$E$89</definedName>
    <definedName name="decScenario1PatPopRegion4">Dec!$E$95</definedName>
    <definedName name="decScenario1PeakMSRegion1">Dec!$E$78</definedName>
    <definedName name="decScenario1PeakMSRegion2">Dec!$E$84</definedName>
    <definedName name="decScenario1PeakMSRegion3">Dec!$E$90</definedName>
    <definedName name="decScenario1PeakMSRegion4">Dec!$E$96</definedName>
    <definedName name="decScenario1Penetration">Dec!$E$100</definedName>
    <definedName name="decScenario1Ph1FTECost">Dec!$E$71</definedName>
    <definedName name="decScenario1Ph1PTS">Dec!$E$56</definedName>
    <definedName name="decScenario1Ph1RnDCost">Dec!$E$66</definedName>
    <definedName name="decScenario1Ph1TimeReq">Dec!$E$61</definedName>
    <definedName name="decScenario1Ph2bStudy">Dec!$E$47</definedName>
    <definedName name="decScenario1Ph2FTECost">Dec!$E$72</definedName>
    <definedName name="decScenario1Ph2PTS">Dec!$E$57</definedName>
    <definedName name="decScenario1Ph2RnDCost">Dec!$E$67</definedName>
    <definedName name="decScenario1Ph2TimeReq">Dec!$E$62</definedName>
    <definedName name="decScenario1Ph3FTECost">Dec!$E$73</definedName>
    <definedName name="decScenario1Ph3PTS">Dec!$E$58</definedName>
    <definedName name="decScenario1Ph3RnDCost">Dec!$E$68</definedName>
    <definedName name="decScenario1Ph3TimeReq">Dec!$E$63</definedName>
    <definedName name="decScenario1PriceRegion1">Dec!$E$79</definedName>
    <definedName name="decScenario1PriceRegion2">Dec!$E$85</definedName>
    <definedName name="decScenario1PriceRegion3">Dec!$E$91</definedName>
    <definedName name="decScenario1PriceRegion4">Dec!$E$97</definedName>
    <definedName name="decScenario1PrimaryEndpoint">Dec!$E$49</definedName>
    <definedName name="decScenario1Region1SnM">Dec!$E$80</definedName>
    <definedName name="decScenario1Region2SnM">Dec!$E$86</definedName>
    <definedName name="decScenario1Region3SnM">Dec!$E$92</definedName>
    <definedName name="decScenario1Region4SnM">Dec!$E$98</definedName>
    <definedName name="decScenario1RegulatorySuccess">Dec!$E$53</definedName>
    <definedName name="decScenario1ResearchFTECost">Dec!$E$70</definedName>
    <definedName name="decScenario1ResearchPTS">Dec!$E$55</definedName>
    <definedName name="decScenario1ResearchRnDCost">Dec!$E$65</definedName>
    <definedName name="decScenario1ResearchTimeReq">Dec!$E$60</definedName>
    <definedName name="decScenario1Royalty">Dec!$E$104</definedName>
    <definedName name="decScenario1SecondaryEndpoint">Dec!$E$50</definedName>
    <definedName name="decScenario1TrialSizePh1">Dec!$E$38</definedName>
    <definedName name="decScenario1TrialSizePh2">Dec!$E$39</definedName>
    <definedName name="decScenario1TrialSizePh3">Dec!$E$40</definedName>
    <definedName name="decScenario2AddBiomarker">Dec!$E$110</definedName>
    <definedName name="decScenario2AddIndication">Dec!$E$120</definedName>
    <definedName name="decScenario2Administration">Dec!$E$111</definedName>
    <definedName name="decScenario2COGS">Dec!$E$177</definedName>
    <definedName name="decScenario2Comparator">Dec!$E$125</definedName>
    <definedName name="decScenario2Compliance">Dec!$E$175</definedName>
    <definedName name="decScenario2DDFrequency">Dec!$E$122</definedName>
    <definedName name="decScenario2DiscountRate">Dec!$E$176</definedName>
    <definedName name="decScenario2EnterRegion1">Dec!$E$150</definedName>
    <definedName name="decScenario2EnterRegion2">Dec!$E$156</definedName>
    <definedName name="decScenario2EnterRegion3">Dec!$E$162</definedName>
    <definedName name="decScenario2EnterRegion4">Dec!$E$168</definedName>
    <definedName name="decScenario2EPVRate">Dec!$E$179</definedName>
    <definedName name="decScenario2MAEffort">Dec!$E$126</definedName>
    <definedName name="decScenario2MNTrialsPh2">Dec!$E$118</definedName>
    <definedName name="decScenario2MNTrialsPh3">Dec!$E$119</definedName>
    <definedName name="decScenario2NPVRate">Dec!$E$180</definedName>
    <definedName name="decScenario2ObservationPh1">Dec!$E$115</definedName>
    <definedName name="decScenario2ObservationPh2">Dec!$E$116</definedName>
    <definedName name="decScenario2ObservationPh3">Dec!$E$117</definedName>
    <definedName name="decScenario2PatPopRegion1">Dec!$E$151</definedName>
    <definedName name="decScenario2PatPopRegion2">Dec!$E$157</definedName>
    <definedName name="decScenario2PatPopRegion3">Dec!$E$163</definedName>
    <definedName name="decScenario2PatPopRegion4">Dec!$E$169</definedName>
    <definedName name="decScenario2PeakMSRegion1">Dec!$E$152</definedName>
    <definedName name="decScenario2PeakMSRegion2">Dec!$E$158</definedName>
    <definedName name="decScenario2PeakMSRegion3">Dec!$E$164</definedName>
    <definedName name="decScenario2PeakMSRegion4">Dec!$E$170</definedName>
    <definedName name="decScenario2Penetration">Dec!$E$174</definedName>
    <definedName name="decScenario2Ph1FTECost">Dec!$E$145</definedName>
    <definedName name="decScenario2Ph1PTS">Dec!$E$130</definedName>
    <definedName name="decScenario2Ph1RnDCost">Dec!$E$140</definedName>
    <definedName name="decScenario2Ph1TimeReq">Dec!$E$135</definedName>
    <definedName name="decScenario2Ph2bStudy">Dec!$E$121</definedName>
    <definedName name="decScenario2Ph2FTECost">Dec!$E$146</definedName>
    <definedName name="decScenario2Ph2PTS">Dec!$E$131</definedName>
    <definedName name="decScenario2Ph2RnDCost">Dec!$E$141</definedName>
    <definedName name="decScenario2Ph2TimeReq">Dec!$E$136</definedName>
    <definedName name="decScenario2Ph3FTECost">Dec!$E$147</definedName>
    <definedName name="decScenario2Ph3PTS">Dec!$E$132</definedName>
    <definedName name="decScenario2Ph3RnDCost">Dec!$E$142</definedName>
    <definedName name="decScenario2Ph3TimeReq">Dec!$E$137</definedName>
    <definedName name="decScenario2PriceRegion1">Dec!$E$153</definedName>
    <definedName name="decScenario2PriceRegion2">Dec!$E$159</definedName>
    <definedName name="decScenario2PriceRegion3">Dec!$E$165</definedName>
    <definedName name="decScenario2PriceRegion4">Dec!$E$171</definedName>
    <definedName name="decScenario2PrimaryEndpoint">Dec!$E$123</definedName>
    <definedName name="decScenario2Region1SnM">Dec!$E$154</definedName>
    <definedName name="decScenario2Region2SnM">Dec!$E$160</definedName>
    <definedName name="decScenario2Region3SnM">Dec!$E$166</definedName>
    <definedName name="decScenario2Region4SnM">Dec!$E$172</definedName>
    <definedName name="decScenario2RegulatorySuccess">Dec!$E$127</definedName>
    <definedName name="decScenario2ResearchFTECost">Dec!$E$144</definedName>
    <definedName name="decScenario2ResearchPTS">Dec!$E$129</definedName>
    <definedName name="decScenario2ResearchRnDCost">Dec!$E$139</definedName>
    <definedName name="decScenario2ResearchTimeReq">Dec!$E$134</definedName>
    <definedName name="decScenario2Royalty">Dec!$E$178</definedName>
    <definedName name="decScenario2SecondaryEndpoint">Dec!$E$124</definedName>
    <definedName name="decScenario2TrialSizePh1">Dec!$E$112</definedName>
    <definedName name="decScenario2TrialSizePh2">Dec!$E$113</definedName>
    <definedName name="decScenario2TrialSizePh3">Dec!$E$114</definedName>
    <definedName name="decScenario3AddBiomarker">Dec!$E$184</definedName>
    <definedName name="decScenario3AddIndication">Dec!$E$194</definedName>
    <definedName name="decScenario3Administration">Dec!$E$185</definedName>
    <definedName name="decScenario3COGS">Dec!$E$251</definedName>
    <definedName name="decScenario3Comparator">Dec!$E$199</definedName>
    <definedName name="decScenario3Compliance">Dec!$E$249</definedName>
    <definedName name="decScenario3DDFrequency">Dec!$E$196</definedName>
    <definedName name="decScenario3DiscountRate">Dec!$E$250</definedName>
    <definedName name="decScenario3EnterRegion1">Dec!$E$224</definedName>
    <definedName name="decScenario3EnterRegion2">Dec!$E$230</definedName>
    <definedName name="decScenario3EnterRegion3">Dec!$E$236</definedName>
    <definedName name="decScenario3EnterRegion4">Dec!$E$242</definedName>
    <definedName name="decScenario3EPVRate">Dec!$E$253</definedName>
    <definedName name="decScenario3MAEffort">Dec!$E$200</definedName>
    <definedName name="decScenario3MNTrialsPh2">Dec!$E$192</definedName>
    <definedName name="decScenario3MNTrialsPh3">Dec!$E$193</definedName>
    <definedName name="decScenario3NPVRate">Dec!$E$254</definedName>
    <definedName name="decScenario3ObservationPh1">Dec!$E$189</definedName>
    <definedName name="decScenario3ObservationPh2">Dec!$E$190</definedName>
    <definedName name="decScenario3ObservationPh3">Dec!$E$191</definedName>
    <definedName name="decScenario3PatPopRegion1">Dec!$E$225</definedName>
    <definedName name="decScenario3PatPopRegion2">Dec!$E$231</definedName>
    <definedName name="decScenario3PatPopRegion3">Dec!$E$237</definedName>
    <definedName name="decScenario3PatPopRegion4">Dec!$E$243</definedName>
    <definedName name="decScenario3PeakMSRegion1">Dec!$E$226</definedName>
    <definedName name="decScenario3PeakMSRegion2">Dec!$E$232</definedName>
    <definedName name="decScenario3PeakMSRegion3">Dec!$E$238</definedName>
    <definedName name="decScenario3PeakMSRegion4">Dec!$E$244</definedName>
    <definedName name="decScenario3Penetration">Dec!$E$248</definedName>
    <definedName name="decScenario3Ph1FTECost">Dec!$E$219</definedName>
    <definedName name="decScenario3Ph1PTS">Dec!$E$204</definedName>
    <definedName name="decScenario3Ph1RnDCost">Dec!$E$214</definedName>
    <definedName name="decScenario3Ph1TimeReq">Dec!$E$209</definedName>
    <definedName name="decScenario3Ph2bStudy">Dec!$E$195</definedName>
    <definedName name="decScenario3Ph2FTECost">Dec!$E$220</definedName>
    <definedName name="decScenario3Ph2PTS">Dec!$E$205</definedName>
    <definedName name="decScenario3Ph2RnDCost">Dec!$E$215</definedName>
    <definedName name="decScenario3Ph2TimeReq">Dec!$E$210</definedName>
    <definedName name="decScenario3Ph3FTECost">Dec!$E$221</definedName>
    <definedName name="decScenario3Ph3PTS">Dec!$E$206</definedName>
    <definedName name="decScenario3Ph3RnDCost">Dec!$E$216</definedName>
    <definedName name="decScenario3Ph3TimeReq">Dec!$E$211</definedName>
    <definedName name="decScenario3PriceRegion1">Dec!$E$227</definedName>
    <definedName name="decScenario3PriceRegion2">Dec!$E$233</definedName>
    <definedName name="decScenario3PriceRegion3">Dec!$E$239</definedName>
    <definedName name="decScenario3PriceRegion4">Dec!$E$245</definedName>
    <definedName name="decScenario3PrimaryEndpoint">Dec!$E$197</definedName>
    <definedName name="decScenario3Region1SnM">Dec!$E$228</definedName>
    <definedName name="decScenario3Region2SnM">Dec!$E$234</definedName>
    <definedName name="decScenario3Region3SnM">Dec!$E$240</definedName>
    <definedName name="decScenario3Region4SnM">Dec!$E$246</definedName>
    <definedName name="decScenario3RegulatorySuccess">Dec!$E$201</definedName>
    <definedName name="decScenario3ResearchFTECost">Dec!$E$218</definedName>
    <definedName name="decScenario3ResearchPTS">Dec!$E$203</definedName>
    <definedName name="decScenario3ResearchRnDCost">Dec!$E$213</definedName>
    <definedName name="decScenario3ResearchTimeReq">Dec!$E$208</definedName>
    <definedName name="decScenario3Royalty">Dec!$E$252</definedName>
    <definedName name="decScenario3SecondaryEndpoint">Dec!$E$198</definedName>
    <definedName name="decScenario3TrialSizePh1">Dec!$E$186</definedName>
    <definedName name="decScenario3TrialSizePh2">Dec!$E$187</definedName>
    <definedName name="decScenario3TrialSizePh3">Dec!$E$188</definedName>
    <definedName name="decSI01">Dec!$E$291:$E$291</definedName>
    <definedName name="decSI02">Dec!$E$292:$E$292</definedName>
    <definedName name="decSI03">Dec!$E$293:$E$293</definedName>
    <definedName name="decSI04">Dec!$E$294:$E$294</definedName>
    <definedName name="decSI05">Dec!$E$295:$E$295</definedName>
    <definedName name="decTeamName">Dec!$E$4:$E$4</definedName>
    <definedName name="decTeamNumber">Dec!$E$5:$E$5</definedName>
    <definedName name="feedback_FeedbackFileName">Controls!$D$9</definedName>
    <definedName name="feedback_FeedbackSheetName">Controls!$D$33</definedName>
    <definedName name="feedback_TimeSeriesFeedbackSheetName">Controls!$D$35</definedName>
    <definedName name="finScenario1Breakeven">Fin!$D$139</definedName>
    <definedName name="finScenario1EPV">Fin!$D$133</definedName>
    <definedName name="finScenario1InLicenseCost">Fin!$D$115</definedName>
    <definedName name="finScenario1IRR">Fin!$D$140</definedName>
    <definedName name="finScenario1LaunchDate">Fin!$D$136</definedName>
    <definedName name="finScenario1NPV">Fin!$D$134</definedName>
    <definedName name="finScenario1PeakSales">Fin!$D$135</definedName>
    <definedName name="finScenario1POS">Fin!$D$138</definedName>
    <definedName name="finScenario1RnDCost">Fin!$D$137</definedName>
    <definedName name="finScenario1ROI">Fin!$D$132</definedName>
    <definedName name="finScenario1Yr1MS">Fin!$E$97</definedName>
    <definedName name="finScenario2Breakeven">Fin!$D$270</definedName>
    <definedName name="finScenario2EPV">Fin!$D$264</definedName>
    <definedName name="finScenario2InLicenseCost">Fin!$D$246</definedName>
    <definedName name="finScenario2IRR">Fin!$D$271</definedName>
    <definedName name="finScenario2LaunchDate">Fin!$D$267</definedName>
    <definedName name="finScenario2NPV">Fin!$D$265</definedName>
    <definedName name="finScenario2PeakSales">Fin!$D$266</definedName>
    <definedName name="finScenario2POS">Fin!$D$269</definedName>
    <definedName name="finScenario2RnDCost">Fin!$D$268</definedName>
    <definedName name="finScenario2ROI">Fin!$D$263</definedName>
    <definedName name="finScenario2Yr1MS">Fin!$E$228</definedName>
    <definedName name="finScenario3Breakeven">Fin!$D$401</definedName>
    <definedName name="finScenario3EPV">Fin!$D$395</definedName>
    <definedName name="finScenario3InLicenseCost">Fin!$D$377</definedName>
    <definedName name="finScenario3IRR">Fin!$D$402</definedName>
    <definedName name="finScenario3LaunchDate">Fin!$D$398</definedName>
    <definedName name="finScenario3NPV">Fin!$D$396</definedName>
    <definedName name="finScenario3PeakSales">Fin!$D$397</definedName>
    <definedName name="finScenario3POS">Fin!$D$400</definedName>
    <definedName name="finScenario3RnDCost">Fin!$D$399</definedName>
    <definedName name="finScenario3ROI">Fin!$D$394</definedName>
    <definedName name="finScenario3Yr1MS">Fin!$E$359</definedName>
    <definedName name="glossary_Language">Controls!$D$13</definedName>
    <definedName name="HideRows">tlIntro!$T$13:$T$16</definedName>
    <definedName name="hood_OnHoodCloseGoTo">Controls!$D$31</definedName>
    <definedName name="hood_ToolPrefix">Controls!$D$49</definedName>
    <definedName name="nmCOGS">Glossary!$D$31</definedName>
    <definedName name="nmForecast">Glossary!$D$23</definedName>
    <definedName name="nmGrossMargin">Glossary!$D$33</definedName>
    <definedName name="nmGrossProfit">Glossary!$D$32</definedName>
    <definedName name="nmInitiatives">Glossary!$D$27</definedName>
    <definedName name="nmMarketing">Glossary!$D$25</definedName>
    <definedName name="nmMillion">Glossary!$D$16</definedName>
    <definedName name="nmPrice">Glossary!$D$24</definedName>
    <definedName name="nmProd1">Glossary!$D$18</definedName>
    <definedName name="nmProd1Seg1">Glossary!$D$19</definedName>
    <definedName name="nmProd1Seg2">Glossary!$D$20</definedName>
    <definedName name="nmProd1Seg3">Glossary!$D$21</definedName>
    <definedName name="nmProgramSubtitle">Glossary!$D$11</definedName>
    <definedName name="nmProgramTitle">Glossary!$D$10</definedName>
    <definedName name="nmRevenue">Glossary!$D$30</definedName>
    <definedName name="nmRound">Glossary!$D$14</definedName>
    <definedName name="nmTeamName">Glossary!$D$12</definedName>
    <definedName name="nmTeamNumber">Glossary!$D$13</definedName>
    <definedName name="obal_End">Obal!$E$26</definedName>
    <definedName name="obal_Paste">Obal!$E$3:$I$3</definedName>
    <definedName name="obal_ResetR0">Obal!$L$3:$L$26</definedName>
    <definedName name="obalSI1CodeR1">Obal!$E$6:$I$6</definedName>
    <definedName name="obalSI1CodeR2">Obal!$E$12:$I$12</definedName>
    <definedName name="obalSI1CodeR3">Obal!$E$18:$I$18</definedName>
    <definedName name="obalSI2CodeR1">Obal!$E$7:$I$7</definedName>
    <definedName name="obalSI2CodeR2">Obal!$E$13:$I$13</definedName>
    <definedName name="obalSI2CodeR3">Obal!$E$19:$I$19</definedName>
    <definedName name="obalSI3CodeR1">Obal!$E$8:$I$8</definedName>
    <definedName name="obalSI3CodeR2">Obal!$E$14:$I$14</definedName>
    <definedName name="obalSI3CodeR3">Obal!$E$20:$I$20</definedName>
    <definedName name="obalSI4CodeR1">Obal!$E$9:$I$9</definedName>
    <definedName name="obalSI4CodeR2">Obal!$E$15:$I$15</definedName>
    <definedName name="obalSI4CodeR3">Obal!$E$21:$I$21</definedName>
    <definedName name="obalSI5CodeR1">Obal!$E$10:$I$10</definedName>
    <definedName name="obalSI5CodeR2">Obal!$E$16:$I$16</definedName>
    <definedName name="obalSI5CodeR3">Obal!$E$22:$I$22</definedName>
    <definedName name="Screen" localSheetId="9">tlScenario1!$T$2</definedName>
    <definedName name="Screen" localSheetId="10">tlScenario2!$T$2</definedName>
    <definedName name="Screen" localSheetId="11">tlScenario3!$T$2</definedName>
    <definedName name="Screen" localSheetId="14">tlSIs!$T$2</definedName>
    <definedName name="Screen">tlIntro!$T$2</definedName>
    <definedName name="SI_AvailableCount">SIs!$L$23:$L$63</definedName>
    <definedName name="SI_AvailableProgramDropDown">SIs!$C$5</definedName>
    <definedName name="SI_Code">SIs!$C$23:$C$63</definedName>
    <definedName name="SI_currentRound">SIs!$C$16</definedName>
    <definedName name="SI_DisplayedName">SIs!$F$23:$F$63</definedName>
    <definedName name="SI_Index">SIs!$B$23:$B$63</definedName>
    <definedName name="SI_Name">SIs!$D$23:$D$63</definedName>
    <definedName name="SI_selectedSeparator">SIs!$C$19</definedName>
    <definedName name="SI_TotalAvailable">SIs!$C$71</definedName>
    <definedName name="SI_WorksheetName">SIs!$C$68</definedName>
    <definedName name="sim_OnResetGoTo">Controls!$D$27</definedName>
    <definedName name="tlInputActionAccountable1">tlAction!$I$27</definedName>
    <definedName name="tlInputActionAccountable2">tlAction!$I$29</definedName>
    <definedName name="tlInputActionAccountable3">tlAction!$I$31</definedName>
    <definedName name="tlInputActionAccountable4">tlAction!$I$33</definedName>
    <definedName name="tlInputActionAccountable5">tlAction!$I$35</definedName>
    <definedName name="tlInputActionAsExpected1">tlAction!$I$19</definedName>
    <definedName name="tlInputActionAsExpected2">tlAction!$I$21</definedName>
    <definedName name="tlInputActionAsExpected3">tlAction!$I$23</definedName>
    <definedName name="tlInputActionAsExpected4">tlAction!$I$13</definedName>
    <definedName name="tlInputActionAsExpected5">tlAction!$I$15</definedName>
    <definedName name="tlInputActionAsExpected6">tlAction!$I$17</definedName>
    <definedName name="tlInputActionAsExpectedInsight1">tlAction!$K$19</definedName>
    <definedName name="tlInputActionAsExpectedInsight2">tlAction!$K$21</definedName>
    <definedName name="tlInputActionAsExpectedInsight3">tlAction!$K$23</definedName>
    <definedName name="tlInputActionAsExpectedInsight4">tlAction!$K$13</definedName>
    <definedName name="tlInputActionAsExpectedInsight5">tlAction!$K$15</definedName>
    <definedName name="tlInputActionAsExpectedInsight6">tlAction!$K$17</definedName>
    <definedName name="tlInputActionCommitment1">tlAction!$C$27</definedName>
    <definedName name="tlInputActionCommitment2">tlAction!$C$29</definedName>
    <definedName name="tlInputActionCommitment3">tlAction!$C$31</definedName>
    <definedName name="tlInputActionCommitment4">tlAction!$C$33</definedName>
    <definedName name="tlInputActionCommitment5">tlAction!$C$35</definedName>
    <definedName name="tlInputActionCompletionDate1">tlAction!$K$27</definedName>
    <definedName name="tlInputActionCompletionDate2">tlAction!$K$29</definedName>
    <definedName name="tlInputActionCompletionDate3">tlAction!$K$31</definedName>
    <definedName name="tlInputActionCompletionDate4">tlAction!$K$33</definedName>
    <definedName name="tlInputActionCompletionDate5">tlAction!$K$35</definedName>
    <definedName name="tlInputActionOutcome1">tlAction!$M$27</definedName>
    <definedName name="tlInputActionOutcome2">tlAction!$M$29</definedName>
    <definedName name="tlInputActionOutcome3">tlAction!$M$31</definedName>
    <definedName name="tlInputActionOutcome4">tlAction!$M$33</definedName>
    <definedName name="tlInputActionOutcome5">tlAction!$M$35</definedName>
    <definedName name="tlInputPlanCurrentStage">tlPlan!$E$10</definedName>
    <definedName name="tlInputPlanDiseaseArea">tlPlan!$I$6</definedName>
    <definedName name="tlInputPlanDrugAdministration">tlPlan!$M$10</definedName>
    <definedName name="tlInputPlanFormulation">tlPlan!$M$6</definedName>
    <definedName name="tlInputPlanInLicenseCost">tlPlan!$I$12</definedName>
    <definedName name="tlInputPlanInLicenseStage">tlPlan!$E$12</definedName>
    <definedName name="tlInputPlanLOEDate">tlPlan!$I$10</definedName>
    <definedName name="tlInputPlanNotes1">tlPlan!$Q$6</definedName>
    <definedName name="tlInputPlanProjectName">tlPlan!$E$6</definedName>
    <definedName name="tlInputPlanProjectStartDate">tlPlan!$I$8</definedName>
    <definedName name="tlInputPlanQ1Metric1">tlPlan!$I$19</definedName>
    <definedName name="tlInputPlanQ1Metric2">tlPlan!$K$19</definedName>
    <definedName name="tlInputPlanQ1Metric3">tlPlan!$M$19</definedName>
    <definedName name="tlInputPlanQ1Notes">tlPlan!$O$19</definedName>
    <definedName name="tlInputPlanQ2Notes">tlPlan!$I$23</definedName>
    <definedName name="tlInputPlanQ3Notes">tlPlan!$I$27</definedName>
    <definedName name="tlInputPlanQ4Assumption1">tlPlan!$I$32</definedName>
    <definedName name="tlInputPlanQ4Assumption2">tlPlan!$K$32</definedName>
    <definedName name="tlInputPlanQ4Assumption3">tlPlan!$M$32</definedName>
    <definedName name="tlInputPlanQ4Notes">tlPlan!$O$32</definedName>
    <definedName name="tlInputPlanQ5">tlPlan!$I$36</definedName>
    <definedName name="tlInputPlanQ6">tlPlan!$I$40</definedName>
    <definedName name="tlInputPlanTargetIndication">tlPlan!$E$8</definedName>
    <definedName name="tlInputPlanTargetLaunchDate">tlPlan!$M$8</definedName>
    <definedName name="tlInputScenario1AddBiomarker">tlScenario1!$E$9</definedName>
    <definedName name="tlInputScenario1AddIndication">tlScenario1!$I$19</definedName>
    <definedName name="tlInputScenario1Administration">tlScenario1!$E$11</definedName>
    <definedName name="tlInputScenario1COGS">Dec!$B$103</definedName>
    <definedName name="tlInputScenario1Comparator">tlScenario1!$K$29</definedName>
    <definedName name="tlInputScenario1Compliance">Dec!$B$101</definedName>
    <definedName name="tlInputScenario1DDFrequency">tlScenario1!$I$21</definedName>
    <definedName name="tlInputScenario1DiscountRate">Dec!$B$102</definedName>
    <definedName name="tlInputScenario1EnterRegion1">tlScenario1!$E$45</definedName>
    <definedName name="tlInputScenario1EnterRegion2">tlScenario1!$G$45</definedName>
    <definedName name="tlInputScenario1EnterRegion3">tlScenario1!$I$45</definedName>
    <definedName name="tlInputScenario1EnterRegion4">tlScenario1!$K$45</definedName>
    <definedName name="tlInputScenario1EPVRate">tlScenario1!$K$61</definedName>
    <definedName name="tlInputScenario1MAEffort">tlScenario1!$K$57</definedName>
    <definedName name="tlInputScenario1MNTrialsPh2">tlScenario1!$I$17</definedName>
    <definedName name="tlInputScenario1MNTrialsPh3">tlScenario1!$K$17</definedName>
    <definedName name="tlInputScenario1Notes1">tlScenario1!$Q$7</definedName>
    <definedName name="tlInputScenario1Notes2">tlScenario1!$Q$43</definedName>
    <definedName name="tlInputScenario1Notes3">tlScenario1!$Q$56</definedName>
    <definedName name="tlInputScenario1NPVRate">tlScenario1!$K$63</definedName>
    <definedName name="tlInputScenario1ObservationPh1">tlScenario1!$G$15</definedName>
    <definedName name="tlInputScenario1ObservationPh2">tlScenario1!$I$15</definedName>
    <definedName name="tlInputScenario1ObservationPh3">tlScenario1!$K$15</definedName>
    <definedName name="tlInputScenario1PatPopRegion1">tlScenario1!$E$47</definedName>
    <definedName name="tlInputScenario1PatPopRegion2">tlScenario1!$G$47</definedName>
    <definedName name="tlInputScenario1PatPopRegion3">tlScenario1!$I$47</definedName>
    <definedName name="tlInputScenario1PatPopRegion4">tlScenario1!$K$47</definedName>
    <definedName name="tlInputScenario1PeakMSRegion1">tlScenario1!$E$49</definedName>
    <definedName name="tlInputScenario1PeakMSRegion2">tlScenario1!$G$49</definedName>
    <definedName name="tlInputScenario1PeakMSRegion3">tlScenario1!$I$49</definedName>
    <definedName name="tlInputScenario1PeakMSRegion4">tlScenario1!$K$49</definedName>
    <definedName name="tlInputScenario1Penetration">Dec!$B$100</definedName>
    <definedName name="tlInputScenario1Ph1FTECost">Dec!$B$71</definedName>
    <definedName name="tlInputScenario1Ph1PTS">Dec!$B$56</definedName>
    <definedName name="tlInputScenario1Ph1RnDCost">Dec!$B$66</definedName>
    <definedName name="tlInputScenario1Ph1TimeReq">Dec!$B$61</definedName>
    <definedName name="tlInputScenario1Ph2bStudy">tlScenario1!$I$23</definedName>
    <definedName name="tlInputScenario1Ph2FTECost">Dec!$B$72</definedName>
    <definedName name="tlInputScenario1Ph2PTS">Dec!$B$57</definedName>
    <definedName name="tlInputScenario1Ph2RnDCost">Dec!$B$67</definedName>
    <definedName name="tlInputScenario1Ph2TimeReq">Dec!$B$62</definedName>
    <definedName name="tlInputScenario1Ph3FTECost">Dec!$B$73</definedName>
    <definedName name="tlInputScenario1Ph3PTS">Dec!$B$58</definedName>
    <definedName name="tlInputScenario1Ph3RnDCost">Dec!$B$68</definedName>
    <definedName name="tlInputScenario1Ph3TimeReq">Dec!$B$63</definedName>
    <definedName name="tlInputScenario1PriceRegion1">Dec!$B$79</definedName>
    <definedName name="tlInputScenario1PriceRegion2">Dec!$B$85</definedName>
    <definedName name="tlInputScenario1PriceRegion3">Dec!$B$91</definedName>
    <definedName name="tlInputScenario1PriceRegion4">Dec!$B$97</definedName>
    <definedName name="tlInputScenario1PrimaryEndpoint">tlScenario1!$K$25</definedName>
    <definedName name="tlInputScenario1Region1SnM">Dec!$B$80</definedName>
    <definedName name="tlInputScenario1Region2SnM">Dec!$B$86</definedName>
    <definedName name="tlInputScenario1Region3SnM">Dec!$B$92</definedName>
    <definedName name="tlInputScenario1Region4SnM">Dec!$B$98</definedName>
    <definedName name="tlInputScenario1RegulatorySuccess">tlScenario1!$K$31</definedName>
    <definedName name="tlInputScenario1ResearchFTECost">Dec!$B$70</definedName>
    <definedName name="tlInputScenario1ResearchPTS">Dec!$B$55</definedName>
    <definedName name="tlInputScenario1ResearchRnDCost">Dec!$B$65</definedName>
    <definedName name="tlInputScenario1ResearchTimeReq">Dec!$B$60</definedName>
    <definedName name="tlInputScenario1Royalty">tlScenario1!$K$59</definedName>
    <definedName name="tlInputScenario1SecondaryEndpoint">tlScenario1!$K$27</definedName>
    <definedName name="tlInputScenario1TrialSizePh1">tlScenario1!$G$13</definedName>
    <definedName name="tlInputScenario1TrialSizePh2">tlScenario1!$I$13</definedName>
    <definedName name="tlInputScenario1TrialSizePh3">tlScenario1!$K$13</definedName>
    <definedName name="tlInputScenario2AddBiomarker">tlScenario2!$E$9</definedName>
    <definedName name="tlInputScenario2AddIndication">tlScenario2!$I$19</definedName>
    <definedName name="tlInputScenario2Administration">tlScenario2!$E$11</definedName>
    <definedName name="tlInputScenario2COGS">Dec!$B$177</definedName>
    <definedName name="tlInputScenario2Comparator">tlScenario2!$K$29</definedName>
    <definedName name="tlInputScenario2Compliance">Dec!$B$175</definedName>
    <definedName name="tlInputScenario2DDFrequency">tlScenario2!$I$21</definedName>
    <definedName name="tlInputScenario2DiscountRate">Dec!$B$176</definedName>
    <definedName name="tlInputScenario2EnterRegion1">tlScenario2!$E$45</definedName>
    <definedName name="tlInputScenario2EnterRegion2">tlScenario2!$G$45</definedName>
    <definedName name="tlInputScenario2EnterRegion3">tlScenario2!$I$45</definedName>
    <definedName name="tlInputScenario2EnterRegion4">tlScenario2!$K$45</definedName>
    <definedName name="tlInputScenario2EPVRate">tlScenario2!$K$61</definedName>
    <definedName name="tlInputScenario2MAEffort">tlScenario2!$K$57</definedName>
    <definedName name="tlInputScenario2MNTrialsPh2">tlScenario2!$I$17</definedName>
    <definedName name="tlInputScenario2MNTrialsPh3">tlScenario2!$K$17</definedName>
    <definedName name="tlInputScenario2Notes1">tlScenario2!$Q$7</definedName>
    <definedName name="tlInputScenario2Notes2">tlScenario2!$Q$43</definedName>
    <definedName name="tlInputScenario2Notes3">tlScenario2!$Q$56</definedName>
    <definedName name="tlInputScenario2NPVRate">tlScenario2!$K$63</definedName>
    <definedName name="tlInputScenario2ObservationPh1">tlScenario2!$G$15</definedName>
    <definedName name="tlInputScenario2ObservationPh2">tlScenario2!$I$15</definedName>
    <definedName name="tlInputScenario2ObservationPh3">tlScenario2!$K$15</definedName>
    <definedName name="tlInputScenario2PatPopRegion1">tlScenario2!$E$47</definedName>
    <definedName name="tlInputScenario2PatPopRegion2">tlScenario2!$G$47</definedName>
    <definedName name="tlInputScenario2PatPopRegion3">tlScenario2!$I$47</definedName>
    <definedName name="tlInputScenario2PatPopRegion4">tlScenario2!$K$47</definedName>
    <definedName name="tlInputScenario2PeakMSRegion1">tlScenario2!$E$49</definedName>
    <definedName name="tlInputScenario2PeakMSRegion2">tlScenario2!$G$49</definedName>
    <definedName name="tlInputScenario2PeakMSRegion3">tlScenario2!$I$49</definedName>
    <definedName name="tlInputScenario2PeakMSRegion4">tlScenario2!$K$49</definedName>
    <definedName name="tlInputScenario2Penetration">Dec!$B$174</definedName>
    <definedName name="tlInputScenario2Ph1FTECost">Dec!$B$145</definedName>
    <definedName name="tlInputScenario2Ph1PTS">Dec!$B$130</definedName>
    <definedName name="tlInputScenario2Ph1RnDCost">Dec!$B$140</definedName>
    <definedName name="tlInputScenario2Ph1TimeReq">Dec!$B$135</definedName>
    <definedName name="tlInputScenario2Ph2bStudy">tlScenario2!$I$23</definedName>
    <definedName name="tlInputScenario2Ph2FTECost">Dec!$B$146</definedName>
    <definedName name="tlInputScenario2Ph2PTS">Dec!$B$131</definedName>
    <definedName name="tlInputScenario2Ph2RnDCost">Dec!$B$141</definedName>
    <definedName name="tlInputScenario2Ph2TimeReq">Dec!$B$136</definedName>
    <definedName name="tlInputScenario2Ph3FTECost">Dec!$B$147</definedName>
    <definedName name="tlInputScenario2Ph3PTS">Dec!$B$132</definedName>
    <definedName name="tlInputScenario2Ph3RnDCost">Dec!$B$142</definedName>
    <definedName name="tlInputScenario2Ph3TimeReq">Dec!$B$137</definedName>
    <definedName name="tlInputScenario2PriceRegion1">Dec!$B$153</definedName>
    <definedName name="tlInputScenario2PriceRegion2">Dec!$B$159</definedName>
    <definedName name="tlInputScenario2PriceRegion3">Dec!$B$165</definedName>
    <definedName name="tlInputScenario2PriceRegion4">Dec!$B$171</definedName>
    <definedName name="tlInputScenario2PrimaryEndpoint">tlScenario2!$K$25</definedName>
    <definedName name="tlInputScenario2Region1SnM">Dec!$B$154</definedName>
    <definedName name="tlInputScenario2Region2SnM">Dec!$B$160</definedName>
    <definedName name="tlInputScenario2Region3SnM">Dec!$B$166</definedName>
    <definedName name="tlInputScenario2Region4SnM">Dec!$B$172</definedName>
    <definedName name="tlInputScenario2RegulatorySuccess">tlScenario2!$K$31</definedName>
    <definedName name="tlInputScenario2ResearchFTECost">Dec!$B$144</definedName>
    <definedName name="tlInputScenario2ResearchPTS">Dec!$B$129</definedName>
    <definedName name="tlInputScenario2ResearchRnDCost">Dec!$B$139</definedName>
    <definedName name="tlInputScenario2ResearchTimeReq">Dec!$B$134</definedName>
    <definedName name="tlInputScenario2Royalty">tlScenario2!$K$59</definedName>
    <definedName name="tlInputScenario2SecondaryEndpoint">tlScenario2!$K$27</definedName>
    <definedName name="tlInputScenario2TrialSizePh1">tlScenario2!$G$13</definedName>
    <definedName name="tlInputScenario2TrialSizePh2">tlScenario2!$I$13</definedName>
    <definedName name="tlInputScenario2TrialSizePh3">tlScenario2!$K$13</definedName>
    <definedName name="tlInputScenario3AddBiomarker">tlScenario3!$E$9</definedName>
    <definedName name="tlInputScenario3AddIndication">tlScenario3!$I$19</definedName>
    <definedName name="tlInputScenario3Administration">tlScenario3!$E$11</definedName>
    <definedName name="tlInputScenario3COGS">Dec!$B$251</definedName>
    <definedName name="tlInputScenario3Comparator">tlScenario3!$K$29</definedName>
    <definedName name="tlInputScenario3Compliance">Dec!$B$249</definedName>
    <definedName name="tlInputScenario3DDFrequency">tlScenario3!$I$21</definedName>
    <definedName name="tlInputScenario3DiscountRate">Dec!$B$250</definedName>
    <definedName name="tlInputScenario3EnterRegion1">tlScenario3!$E$45</definedName>
    <definedName name="tlInputScenario3EnterRegion2">tlScenario3!$G$45</definedName>
    <definedName name="tlInputScenario3EnterRegion3">tlScenario3!$I$45</definedName>
    <definedName name="tlInputScenario3EnterRegion4">tlScenario3!$K$45</definedName>
    <definedName name="tlInputScenario3EPVRate">tlScenario3!$K$61</definedName>
    <definedName name="tlInputScenario3MAEffort">tlScenario3!$K$57</definedName>
    <definedName name="tlInputScenario3MNTrialsPh2">tlScenario3!$I$17</definedName>
    <definedName name="tlInputScenario3MNTrialsPh3">tlScenario3!$K$17</definedName>
    <definedName name="tlInputScenario3Notes1">tlScenario3!$Q$7</definedName>
    <definedName name="tlInputScenario3Notes2">tlScenario3!$Q$43</definedName>
    <definedName name="tlInputScenario3Notes3">tlScenario3!$Q$56</definedName>
    <definedName name="tlInputScenario3NPVRate">tlScenario3!$K$63</definedName>
    <definedName name="tlInputScenario3ObservationPh1">tlScenario3!$G$15</definedName>
    <definedName name="tlInputScenario3ObservationPh2">tlScenario3!$I$15</definedName>
    <definedName name="tlInputScenario3ObservationPh3">tlScenario3!$K$15</definedName>
    <definedName name="tlInputScenario3PatPopRegion1">tlScenario3!$E$47</definedName>
    <definedName name="tlInputScenario3PatPopRegion2">tlScenario3!$G$47</definedName>
    <definedName name="tlInputScenario3PatPopRegion3">tlScenario3!$I$47</definedName>
    <definedName name="tlInputScenario3PatPopRegion4">tlScenario3!$K$47</definedName>
    <definedName name="tlInputScenario3PeakMSRegion1">tlScenario3!$E$49</definedName>
    <definedName name="tlInputScenario3PeakMSRegion2">tlScenario3!$G$49</definedName>
    <definedName name="tlInputScenario3PeakMSRegion3">tlScenario3!$I$49</definedName>
    <definedName name="tlInputScenario3PeakMSRegion4">tlScenario3!$K$49</definedName>
    <definedName name="tlInputScenario3Penetration">Dec!$B$248</definedName>
    <definedName name="tlInputScenario3Ph1FTECost">Dec!$B$219</definedName>
    <definedName name="tlInputScenario3Ph1PTS">Dec!$B$204</definedName>
    <definedName name="tlInputScenario3Ph1RnDCost">Dec!$B$214</definedName>
    <definedName name="tlInputScenario3Ph1TimeReq">Dec!$B$209</definedName>
    <definedName name="tlInputScenario3Ph2bStudy">tlScenario3!$I$23</definedName>
    <definedName name="tlInputScenario3Ph2FTECost">Dec!$B$220</definedName>
    <definedName name="tlInputScenario3Ph2PTS">Dec!$B$205</definedName>
    <definedName name="tlInputScenario3Ph2RnDCost">Dec!$B$215</definedName>
    <definedName name="tlInputScenario3Ph2TimeReq">Dec!$B$210</definedName>
    <definedName name="tlInputScenario3Ph3FTECost">Dec!$B$221</definedName>
    <definedName name="tlInputScenario3Ph3PTS">Dec!$B$206</definedName>
    <definedName name="tlInputScenario3Ph3RnDCost">Dec!$B$216</definedName>
    <definedName name="tlInputScenario3Ph3TimeReq">Dec!$B$211</definedName>
    <definedName name="tlInputScenario3PriceRegion1">Dec!$B$227</definedName>
    <definedName name="tlInputScenario3PriceRegion2">Dec!$B$233</definedName>
    <definedName name="tlInputScenario3PriceRegion3">Dec!$B$239</definedName>
    <definedName name="tlInputScenario3PriceRegion4">Dec!$B$245</definedName>
    <definedName name="tlInputScenario3PrimaryEndpoint">tlScenario3!$K$25</definedName>
    <definedName name="tlInputScenario3Region1SnM">Dec!$B$228</definedName>
    <definedName name="tlInputScenario3Region2SnM">Dec!$B$234</definedName>
    <definedName name="tlInputScenario3Region3SnM">Dec!$B$240</definedName>
    <definedName name="tlInputScenario3Region4SnM">Dec!$B$246</definedName>
    <definedName name="tlInputScenario3RegulatorySuccess">tlScenario3!$K$31</definedName>
    <definedName name="tlInputScenario3ResearchFTECost">Dec!$B$218</definedName>
    <definedName name="tlInputScenario3ResearchPTS">Dec!$B$203</definedName>
    <definedName name="tlInputScenario3ResearchRnDCost">Dec!$B$213</definedName>
    <definedName name="tlInputScenario3ResearchTimeReq">Dec!$B$208</definedName>
    <definedName name="tlInputScenario3Royalty">tlScenario3!$K$59</definedName>
    <definedName name="tlInputScenario3SecondaryEndpoint">tlScenario3!$K$27</definedName>
    <definedName name="tlInputScenario3TrialSizePh1">tlScenario3!$G$13</definedName>
    <definedName name="tlInputScenario3TrialSizePh2">tlScenario3!$I$13</definedName>
    <definedName name="tlInputScenario3TrialSizePh3">tlScenario3!$K$13</definedName>
    <definedName name="tlOutputActionQ1Metric1">tlAction!$C$13:$G$13</definedName>
    <definedName name="tlOutputActionQ1Metric2">tlAction!$C$15:$G$15</definedName>
    <definedName name="tlOutputActionQ1Metric3">tlAction!$C$17:$G$17</definedName>
    <definedName name="tlOutputActionQ4Assumption1">tlAction!$C$19:$G$19</definedName>
    <definedName name="tlOutputActionQ4Assumption2">tlAction!$C$21:$G$21</definedName>
    <definedName name="tlOutputActionQ4Assumption3">tlAction!$C$23:$G$23</definedName>
    <definedName name="tlOutputDBScenario1ConditionMetric1">Dashboard!$E$37</definedName>
    <definedName name="tlOutputDBScenario1ConditionMetric2">Dashboard!$E$38</definedName>
    <definedName name="tlOutputDBScenario1ConditionMetric3">Dashboard!$E$39</definedName>
    <definedName name="tlOutputDBScenario1ConditionMetric4">Dashboard!$E$40</definedName>
    <definedName name="tlOutputDBScenario1ConditionMetric5">Dashboard!$E$41</definedName>
    <definedName name="tlOutputDBScenario1ConditionMetric6">Dashboard!$E$42</definedName>
    <definedName name="tlOutputDBScenario1ConditionMetric7">Dashboard!$E$43</definedName>
    <definedName name="tlOutputDBScenario1Metric1">Dashboard!$F$37</definedName>
    <definedName name="tlOutputDBScenario1Metric2">Dashboard!$F$38</definedName>
    <definedName name="tlOutputDBScenario1Metric3">Dashboard!$F$39</definedName>
    <definedName name="tlOutputDBScenario1Metric4">Dashboard!$F$40</definedName>
    <definedName name="tlOutputDBScenario1Metric5">Dashboard!$F$41</definedName>
    <definedName name="tlOutputDBScenario1Metric6">Dashboard!$F$42</definedName>
    <definedName name="tlOutputDBScenario1Metric7">Dashboard!$F$43</definedName>
    <definedName name="tlOutputDBScenario2ConditionMetric1">Dashboard!$E$51</definedName>
    <definedName name="tlOutputDBScenario2ConditionMetric2">Dashboard!$E$52</definedName>
    <definedName name="tlOutputDBScenario2ConditionMetric3">Dashboard!$E$53</definedName>
    <definedName name="tlOutputDBScenario2ConditionMetric4">Dashboard!$E$54</definedName>
    <definedName name="tlOutputDBScenario2ConditionMetric5">Dashboard!$E$55</definedName>
    <definedName name="tlOutputDBScenario2ConditionMetric6">Dashboard!$E$56</definedName>
    <definedName name="tlOutputDBScenario2ConditionMetric7">Dashboard!$E$57</definedName>
    <definedName name="tlOutputDBScenario2Metric1">Dashboard!$F$51</definedName>
    <definedName name="tlOutputDBScenario2Metric2">Dashboard!$F$52</definedName>
    <definedName name="tlOutputDBScenario2Metric3">Dashboard!$F$53</definedName>
    <definedName name="tlOutputDBScenario2Metric4">Dashboard!$F$54</definedName>
    <definedName name="tlOutputDBScenario2Metric5">Dashboard!$F$55</definedName>
    <definedName name="tlOutputDBScenario2Metric6">Dashboard!$F$56</definedName>
    <definedName name="tlOutputDBScenario2Metric7">Dashboard!$F$57</definedName>
    <definedName name="tlOutputDBScenario3ConditionMetric1">Dashboard!$E$65</definedName>
    <definedName name="tlOutputDBScenario3ConditionMetric2">Dashboard!$E$66</definedName>
    <definedName name="tlOutputDBScenario3ConditionMetric3">Dashboard!$E$67</definedName>
    <definedName name="tlOutputDBScenario3ConditionMetric4">Dashboard!$E$68</definedName>
    <definedName name="tlOutputDBScenario3ConditionMetric5">Dashboard!$E$69</definedName>
    <definedName name="tlOutputDBScenario3ConditionMetric6">Dashboard!$E$70</definedName>
    <definedName name="tlOutputDBScenario3ConditionMetric7">Dashboard!$E$71</definedName>
    <definedName name="tlOutputDBScenario3Metric1">Dashboard!$F$65</definedName>
    <definedName name="tlOutputDBScenario3Metric2">Dashboard!$F$66</definedName>
    <definedName name="tlOutputDBScenario3Metric3">Dashboard!$F$67</definedName>
    <definedName name="tlOutputDBScenario3Metric4">Dashboard!$F$68</definedName>
    <definedName name="tlOutputDBScenario3Metric5">Dashboard!$F$69</definedName>
    <definedName name="tlOutputDBScenario3Metric6">Dashboard!$F$70</definedName>
    <definedName name="tlOutputDBScenario3Metric7">Dashboard!$F$71</definedName>
    <definedName name="tlOutputGraphsScenario1COGSTotYr1">Graphs!$B$19</definedName>
    <definedName name="tlOutputGraphsScenario1COGSTotYr10">Graphs!$K$19</definedName>
    <definedName name="tlOutputGraphsScenario1COGSTotYr2">Graphs!$C$19</definedName>
    <definedName name="tlOutputGraphsScenario1COGSTotYr3">Graphs!$D$19</definedName>
    <definedName name="tlOutputGraphsScenario1COGSTotYr4">Graphs!$E$19</definedName>
    <definedName name="tlOutputGraphsScenario1COGSTotYr5">Graphs!$F$19</definedName>
    <definedName name="tlOutputGraphsScenario1COGSTotYr6">Graphs!$G$19</definedName>
    <definedName name="tlOutputGraphsScenario1COGSTotYr7">Graphs!$H$19</definedName>
    <definedName name="tlOutputGraphsScenario1COGSTotYr8">Graphs!$I$19</definedName>
    <definedName name="tlOutputGraphsScenario1COGSTotYr9">Graphs!$J$19</definedName>
    <definedName name="tlOutputGraphsScenario1DCFYr1">Graphs!$B$78</definedName>
    <definedName name="tlOutputGraphsScenario1DCFYr10">Graphs!$K$78</definedName>
    <definedName name="tlOutputGraphsScenario1DCFYr2">Graphs!$C$78</definedName>
    <definedName name="tlOutputGraphsScenario1DCFYr3">Graphs!$D$78</definedName>
    <definedName name="tlOutputGraphsScenario1DCFYr4">Graphs!$E$78</definedName>
    <definedName name="tlOutputGraphsScenario1DCFYr5">Graphs!$F$78</definedName>
    <definedName name="tlOutputGraphsScenario1DCFYr6">Graphs!$G$78</definedName>
    <definedName name="tlOutputGraphsScenario1DCFYr7">Graphs!$H$78</definedName>
    <definedName name="tlOutputGraphsScenario1DCFYr8">Graphs!$I$78</definedName>
    <definedName name="tlOutputGraphsScenario1DCFYr9">Graphs!$J$78</definedName>
    <definedName name="tlOutputGraphsScenario1EPV">Graphs!$B$74</definedName>
    <definedName name="tlOutputGraphsScenario1OMTotYr1">Graphs!$B$22</definedName>
    <definedName name="tlOutputGraphsScenario1OMTotYr10">Graphs!$K$22</definedName>
    <definedName name="tlOutputGraphsScenario1OMTotYr2">Graphs!$C$22</definedName>
    <definedName name="tlOutputGraphsScenario1OMTotYr3">Graphs!$D$22</definedName>
    <definedName name="tlOutputGraphsScenario1OMTotYr4">Graphs!$E$22</definedName>
    <definedName name="tlOutputGraphsScenario1OMTotYr5">Graphs!$F$22</definedName>
    <definedName name="tlOutputGraphsScenario1OMTotYr6">Graphs!$G$22</definedName>
    <definedName name="tlOutputGraphsScenario1OMTotYr7">Graphs!$H$22</definedName>
    <definedName name="tlOutputGraphsScenario1OMTotYr8">Graphs!$I$22</definedName>
    <definedName name="tlOutputGraphsScenario1OMTotYr9">Graphs!$J$22</definedName>
    <definedName name="tlOutputGraphsScenario1PeakSalesReg1">Graphs!$B$5</definedName>
    <definedName name="tlOutputGraphsScenario1PeakSalesReg2">Graphs!$B$6</definedName>
    <definedName name="tlOutputGraphsScenario1PeakSalesReg3">Graphs!$B$7</definedName>
    <definedName name="tlOutputGraphsScenario1PeakSalesReg4">Graphs!$B$8</definedName>
    <definedName name="tlOutputGraphsScenario1RnDTotYr1">Graphs!$B$20</definedName>
    <definedName name="tlOutputGraphsScenario1RnDTotYr10">Graphs!$K$20</definedName>
    <definedName name="tlOutputGraphsScenario1RnDTotYr2">Graphs!$C$20</definedName>
    <definedName name="tlOutputGraphsScenario1RnDTotYr3">Graphs!$D$20</definedName>
    <definedName name="tlOutputGraphsScenario1RnDTotYr4">Graphs!$E$20</definedName>
    <definedName name="tlOutputGraphsScenario1RnDTotYr5">Graphs!$F$20</definedName>
    <definedName name="tlOutputGraphsScenario1RnDTotYr6">Graphs!$G$20</definedName>
    <definedName name="tlOutputGraphsScenario1RnDTotYr7">Graphs!$H$20</definedName>
    <definedName name="tlOutputGraphsScenario1RnDTotYr8">Graphs!$I$20</definedName>
    <definedName name="tlOutputGraphsScenario1RnDTotYr9">Graphs!$J$20</definedName>
    <definedName name="tlOutputGraphsScenario1SalesReg1Yr1">Graphs!$B$11</definedName>
    <definedName name="tlOutputGraphsScenario1SalesReg1Yr10">Graphs!$K$11</definedName>
    <definedName name="tlOutputGraphsScenario1SalesReg1Yr2">Graphs!$C$11</definedName>
    <definedName name="tlOutputGraphsScenario1SalesReg1Yr3">Graphs!$D$11</definedName>
    <definedName name="tlOutputGraphsScenario1SalesReg1Yr4">Graphs!$E$11</definedName>
    <definedName name="tlOutputGraphsScenario1SalesReg1Yr5">Graphs!$F$11</definedName>
    <definedName name="tlOutputGraphsScenario1SalesReg1Yr6">Graphs!$G$11</definedName>
    <definedName name="tlOutputGraphsScenario1SalesReg1Yr7">Graphs!$H$11</definedName>
    <definedName name="tlOutputGraphsScenario1SalesReg1Yr8">Graphs!$I$11</definedName>
    <definedName name="tlOutputGraphsScenario1SalesReg1Yr9">Graphs!$J$11</definedName>
    <definedName name="tlOutputGraphsScenario1SalesReg2Yr1">Graphs!$B$12</definedName>
    <definedName name="tlOutputGraphsScenario1SalesReg2Yr10">Graphs!$K$12</definedName>
    <definedName name="tlOutputGraphsScenario1SalesReg2Yr2">Graphs!$C$12</definedName>
    <definedName name="tlOutputGraphsScenario1SalesReg2Yr3">Graphs!$D$12</definedName>
    <definedName name="tlOutputGraphsScenario1SalesReg2Yr4">Graphs!$E$12</definedName>
    <definedName name="tlOutputGraphsScenario1SalesReg2Yr5">Graphs!$F$12</definedName>
    <definedName name="tlOutputGraphsScenario1SalesReg2Yr6">Graphs!$G$12</definedName>
    <definedName name="tlOutputGraphsScenario1SalesReg2Yr7">Graphs!$H$12</definedName>
    <definedName name="tlOutputGraphsScenario1SalesReg2Yr8">Graphs!$I$12</definedName>
    <definedName name="tlOutputGraphsScenario1SalesReg2Yr9">Graphs!$J$12</definedName>
    <definedName name="tlOutputGraphsScenario1SalesReg3Yr1">Graphs!$B$13</definedName>
    <definedName name="tlOutputGraphsScenario1SalesReg3Yr10">Graphs!$K$13</definedName>
    <definedName name="tlOutputGraphsScenario1SalesReg3Yr2">Graphs!$C$13</definedName>
    <definedName name="tlOutputGraphsScenario1SalesReg3Yr3">Graphs!$D$13</definedName>
    <definedName name="tlOutputGraphsScenario1SalesReg3Yr4">Graphs!$E$13</definedName>
    <definedName name="tlOutputGraphsScenario1SalesReg3Yr5">Graphs!$F$13</definedName>
    <definedName name="tlOutputGraphsScenario1SalesReg3Yr6">Graphs!$G$13</definedName>
    <definedName name="tlOutputGraphsScenario1SalesReg3Yr7">Graphs!$H$13</definedName>
    <definedName name="tlOutputGraphsScenario1SalesReg3Yr8">Graphs!$I$13</definedName>
    <definedName name="tlOutputGraphsScenario1SalesReg3Yr9">Graphs!$J$13</definedName>
    <definedName name="tlOutputGraphsScenario1SalesReg4Yr1">Graphs!$B$14</definedName>
    <definedName name="tlOutputGraphsScenario1SalesReg4Yr10">Graphs!$K$14</definedName>
    <definedName name="tlOutputGraphsScenario1SalesReg4Yr2">Graphs!$C$14</definedName>
    <definedName name="tlOutputGraphsScenario1SalesReg4Yr3">Graphs!$D$14</definedName>
    <definedName name="tlOutputGraphsScenario1SalesReg4Yr4">Graphs!$E$14</definedName>
    <definedName name="tlOutputGraphsScenario1SalesReg4Yr5">Graphs!$F$14</definedName>
    <definedName name="tlOutputGraphsScenario1SalesReg4Yr6">Graphs!$G$14</definedName>
    <definedName name="tlOutputGraphsScenario1SalesReg4Yr7">Graphs!$H$14</definedName>
    <definedName name="tlOutputGraphsScenario1SalesReg4Yr8">Graphs!$I$14</definedName>
    <definedName name="tlOutputGraphsScenario1SalesReg4Yr9">Graphs!$J$14</definedName>
    <definedName name="tlOutputGraphsScenario1SalesTotYr1">Graphs!$B$18</definedName>
    <definedName name="tlOutputGraphsScenario1SalesTotYr10">Graphs!$K$18</definedName>
    <definedName name="tlOutputGraphsScenario1SalesTotYr2">Graphs!$C$18</definedName>
    <definedName name="tlOutputGraphsScenario1SalesTotYr3">Graphs!$D$18</definedName>
    <definedName name="tlOutputGraphsScenario1SalesTotYr4">Graphs!$E$18</definedName>
    <definedName name="tlOutputGraphsScenario1SalesTotYr5">Graphs!$F$18</definedName>
    <definedName name="tlOutputGraphsScenario1SalesTotYr6">Graphs!$G$18</definedName>
    <definedName name="tlOutputGraphsScenario1SalesTotYr7">Graphs!$H$18</definedName>
    <definedName name="tlOutputGraphsScenario1SalesTotYr8">Graphs!$I$18</definedName>
    <definedName name="tlOutputGraphsScenario1SalesTotYr9">Graphs!$J$18</definedName>
    <definedName name="tlOutputGraphsScenario1SnMTotYr1">Graphs!$B$21</definedName>
    <definedName name="tlOutputGraphsScenario1SnMTotYr10">Graphs!$K$21</definedName>
    <definedName name="tlOutputGraphsScenario1SnMTotYr2">Graphs!$C$21</definedName>
    <definedName name="tlOutputGraphsScenario1SnMTotYr3">Graphs!$D$21</definedName>
    <definedName name="tlOutputGraphsScenario1SnMTotYr4">Graphs!$E$21</definedName>
    <definedName name="tlOutputGraphsScenario1SnMTotYr5">Graphs!$F$21</definedName>
    <definedName name="tlOutputGraphsScenario1SnMTotYr6">Graphs!$G$21</definedName>
    <definedName name="tlOutputGraphsScenario1SnMTotYr7">Graphs!$H$21</definedName>
    <definedName name="tlOutputGraphsScenario1SnMTotYr8">Graphs!$I$21</definedName>
    <definedName name="tlOutputGraphsScenario1SnMTotYr9">Graphs!$J$21</definedName>
    <definedName name="tlOutputGraphsScenario2COGSTotYr1">Graphs!$B$42</definedName>
    <definedName name="tlOutputGraphsScenario2COGSTotYr10">Graphs!$K$42</definedName>
    <definedName name="tlOutputGraphsScenario2COGSTotYr2">Graphs!$C$42</definedName>
    <definedName name="tlOutputGraphsScenario2COGSTotYr3">Graphs!$D$42</definedName>
    <definedName name="tlOutputGraphsScenario2COGSTotYr4">Graphs!$E$42</definedName>
    <definedName name="tlOutputGraphsScenario2COGSTotYr5">Graphs!$F$42</definedName>
    <definedName name="tlOutputGraphsScenario2COGSTotYr6">Graphs!$G$42</definedName>
    <definedName name="tlOutputGraphsScenario2COGSTotYr7">Graphs!$H$42</definedName>
    <definedName name="tlOutputGraphsScenario2COGSTotYr8">Graphs!$I$42</definedName>
    <definedName name="tlOutputGraphsScenario2COGSTotYr9">Graphs!$J$42</definedName>
    <definedName name="tlOutputGraphsScenario2DCFYr1">Graphs!$B$79</definedName>
    <definedName name="tlOutputGraphsScenario2DCFYr10">Graphs!$K$79</definedName>
    <definedName name="tlOutputGraphsScenario2DCFYr2">Graphs!$C$79</definedName>
    <definedName name="tlOutputGraphsScenario2DCFYr3">Graphs!$D$79</definedName>
    <definedName name="tlOutputGraphsScenario2DCFYr4">Graphs!$E$79</definedName>
    <definedName name="tlOutputGraphsScenario2DCFYr5">Graphs!$F$79</definedName>
    <definedName name="tlOutputGraphsScenario2DCFYr6">Graphs!$G$79</definedName>
    <definedName name="tlOutputGraphsScenario2DCFYr7">Graphs!$H$79</definedName>
    <definedName name="tlOutputGraphsScenario2DCFYr8">Graphs!$I$79</definedName>
    <definedName name="tlOutputGraphsScenario2DCFYr9">Graphs!$J$79</definedName>
    <definedName name="tlOutputGraphsScenario2EPV">Graphs!$C$74</definedName>
    <definedName name="tlOutputGraphsScenario2OMTotYr1">Graphs!$B$45</definedName>
    <definedName name="tlOutputGraphsScenario2OMTotYr10">Graphs!$K$45</definedName>
    <definedName name="tlOutputGraphsScenario2OMTotYr2">Graphs!$C$45</definedName>
    <definedName name="tlOutputGraphsScenario2OMTotYr3">Graphs!$D$45</definedName>
    <definedName name="tlOutputGraphsScenario2OMTotYr4">Graphs!$E$45</definedName>
    <definedName name="tlOutputGraphsScenario2OMTotYr5">Graphs!$F$45</definedName>
    <definedName name="tlOutputGraphsScenario2OMTotYr6">Graphs!$G$45</definedName>
    <definedName name="tlOutputGraphsScenario2OMTotYr7">Graphs!$H$45</definedName>
    <definedName name="tlOutputGraphsScenario2OMTotYr8">Graphs!$I$45</definedName>
    <definedName name="tlOutputGraphsScenario2OMTotYr9">Graphs!$J$45</definedName>
    <definedName name="tlOutputGraphsScenario2PeakSalesReg1">Graphs!$B$28</definedName>
    <definedName name="tlOutputGraphsScenario2PeakSalesReg2">Graphs!$B$29</definedName>
    <definedName name="tlOutputGraphsScenario2PeakSalesReg3">Graphs!$B$30</definedName>
    <definedName name="tlOutputGraphsScenario2PeakSalesReg4">Graphs!$B$31</definedName>
    <definedName name="tlOutputGraphsScenario2RnDTotYr1">Graphs!$B$43</definedName>
    <definedName name="tlOutputGraphsScenario2RnDTotYr10">Graphs!$K$43</definedName>
    <definedName name="tlOutputGraphsScenario2RnDTotYr2">Graphs!$C$43</definedName>
    <definedName name="tlOutputGraphsScenario2RnDTotYr3">Graphs!$D$43</definedName>
    <definedName name="tlOutputGraphsScenario2RnDTotYr4">Graphs!$E$43</definedName>
    <definedName name="tlOutputGraphsScenario2RnDTotYr5">Graphs!$F$43</definedName>
    <definedName name="tlOutputGraphsScenario2RnDTotYr6">Graphs!$G$43</definedName>
    <definedName name="tlOutputGraphsScenario2RnDTotYr7">Graphs!$H$43</definedName>
    <definedName name="tlOutputGraphsScenario2RnDTotYr8">Graphs!$I$43</definedName>
    <definedName name="tlOutputGraphsScenario2RnDTotYr9">Graphs!$J$43</definedName>
    <definedName name="tlOutputGraphsScenario2SalesReg1Yr1">Graphs!$B$34</definedName>
    <definedName name="tlOutputGraphsScenario2SalesReg1Yr10">Graphs!$K$34</definedName>
    <definedName name="tlOutputGraphsScenario2SalesReg1Yr2">Graphs!$C$34</definedName>
    <definedName name="tlOutputGraphsScenario2SalesReg1Yr3">Graphs!$D$34</definedName>
    <definedName name="tlOutputGraphsScenario2SalesReg1Yr4">Graphs!$E$34</definedName>
    <definedName name="tlOutputGraphsScenario2SalesReg1Yr5">Graphs!$F$34</definedName>
    <definedName name="tlOutputGraphsScenario2SalesReg1Yr6">Graphs!$G$34</definedName>
    <definedName name="tlOutputGraphsScenario2SalesReg1Yr7">Graphs!$H$34</definedName>
    <definedName name="tlOutputGraphsScenario2SalesReg1Yr8">Graphs!$I$34</definedName>
    <definedName name="tlOutputGraphsScenario2SalesReg1Yr9">Graphs!$J$34</definedName>
    <definedName name="tlOutputGraphsScenario2SalesReg2Yr1">Graphs!$B$35</definedName>
    <definedName name="tlOutputGraphsScenario2SalesReg2Yr10">Graphs!$K$35</definedName>
    <definedName name="tlOutputGraphsScenario2SalesReg2Yr2">Graphs!$C$35</definedName>
    <definedName name="tlOutputGraphsScenario2SalesReg2Yr3">Graphs!$D$35</definedName>
    <definedName name="tlOutputGraphsScenario2SalesReg2Yr4">Graphs!$E$35</definedName>
    <definedName name="tlOutputGraphsScenario2SalesReg2Yr5">Graphs!$F$35</definedName>
    <definedName name="tlOutputGraphsScenario2SalesReg2Yr6">Graphs!$G$35</definedName>
    <definedName name="tlOutputGraphsScenario2SalesReg2Yr7">Graphs!$H$35</definedName>
    <definedName name="tlOutputGraphsScenario2SalesReg2Yr8">Graphs!$I$35</definedName>
    <definedName name="tlOutputGraphsScenario2SalesReg2Yr9">Graphs!$J$35</definedName>
    <definedName name="tlOutputGraphsScenario2SalesReg3Yr1">Graphs!$B$36</definedName>
    <definedName name="tlOutputGraphsScenario2SalesReg3Yr10">Graphs!$K$36</definedName>
    <definedName name="tlOutputGraphsScenario2SalesReg3Yr2">Graphs!$C$36</definedName>
    <definedName name="tlOutputGraphsScenario2SalesReg3Yr3">Graphs!$D$36</definedName>
    <definedName name="tlOutputGraphsScenario2SalesReg3Yr4">Graphs!$E$36</definedName>
    <definedName name="tlOutputGraphsScenario2SalesReg3Yr5">Graphs!$F$36</definedName>
    <definedName name="tlOutputGraphsScenario2SalesReg3Yr6">Graphs!$G$36</definedName>
    <definedName name="tlOutputGraphsScenario2SalesReg3Yr7">Graphs!$H$36</definedName>
    <definedName name="tlOutputGraphsScenario2SalesReg3Yr8">Graphs!$I$36</definedName>
    <definedName name="tlOutputGraphsScenario2SalesReg3Yr9">Graphs!$J$36</definedName>
    <definedName name="tlOutputGraphsScenario2SalesReg4Yr1">Graphs!$B$37</definedName>
    <definedName name="tlOutputGraphsScenario2SalesReg4Yr10">Graphs!$K$37</definedName>
    <definedName name="tlOutputGraphsScenario2SalesReg4Yr2">Graphs!$C$37</definedName>
    <definedName name="tlOutputGraphsScenario2SalesReg4Yr3">Graphs!$D$37</definedName>
    <definedName name="tlOutputGraphsScenario2SalesReg4Yr4">Graphs!$E$37</definedName>
    <definedName name="tlOutputGraphsScenario2SalesReg4Yr5">Graphs!$F$37</definedName>
    <definedName name="tlOutputGraphsScenario2SalesReg4Yr6">Graphs!$G$37</definedName>
    <definedName name="tlOutputGraphsScenario2SalesReg4Yr7">Graphs!$H$37</definedName>
    <definedName name="tlOutputGraphsScenario2SalesReg4Yr8">Graphs!$I$37</definedName>
    <definedName name="tlOutputGraphsScenario2SalesReg4Yr9">Graphs!$J$37</definedName>
    <definedName name="tlOutputGraphsScenario2SalesTotYr1">Graphs!$B$41</definedName>
    <definedName name="tlOutputGraphsScenario2SalesTotYr10">Graphs!$K$41</definedName>
    <definedName name="tlOutputGraphsScenario2SalesTotYr2">Graphs!$C$41</definedName>
    <definedName name="tlOutputGraphsScenario2SalesTotYr3">Graphs!$D$41</definedName>
    <definedName name="tlOutputGraphsScenario2SalesTotYr4">Graphs!$E$41</definedName>
    <definedName name="tlOutputGraphsScenario2SalesTotYr5">Graphs!$F$41</definedName>
    <definedName name="tlOutputGraphsScenario2SalesTotYr6">Graphs!$G$41</definedName>
    <definedName name="tlOutputGraphsScenario2SalesTotYr7">Graphs!$H$41</definedName>
    <definedName name="tlOutputGraphsScenario2SalesTotYr8">Graphs!$I$41</definedName>
    <definedName name="tlOutputGraphsScenario2SalesTotYr9">Graphs!$J$41</definedName>
    <definedName name="tlOutputGraphsScenario2SnMTotYr1">Graphs!$B$44</definedName>
    <definedName name="tlOutputGraphsScenario2SnMTotYr10">Graphs!$K$44</definedName>
    <definedName name="tlOutputGraphsScenario2SnMTotYr2">Graphs!$C$44</definedName>
    <definedName name="tlOutputGraphsScenario2SnMTotYr3">Graphs!$D$44</definedName>
    <definedName name="tlOutputGraphsScenario2SnMTotYr4">Graphs!$E$44</definedName>
    <definedName name="tlOutputGraphsScenario2SnMTotYr5">Graphs!$F$44</definedName>
    <definedName name="tlOutputGraphsScenario2SnMTotYr6">Graphs!$G$44</definedName>
    <definedName name="tlOutputGraphsScenario2SnMTotYr7">Graphs!$H$44</definedName>
    <definedName name="tlOutputGraphsScenario2SnMTotYr8">Graphs!$I$44</definedName>
    <definedName name="tlOutputGraphsScenario2SnMTotYr9">Graphs!$J$44</definedName>
    <definedName name="tlOutputGraphsScenario3COGSTotYr1">Graphs!$B$66</definedName>
    <definedName name="tlOutputGraphsScenario3COGSTotYr10">Graphs!$K$66</definedName>
    <definedName name="tlOutputGraphsScenario3COGSTotYr2">Graphs!$C$66</definedName>
    <definedName name="tlOutputGraphsScenario3COGSTotYr3">Graphs!$D$66</definedName>
    <definedName name="tlOutputGraphsScenario3COGSTotYr4">Graphs!$E$66</definedName>
    <definedName name="tlOutputGraphsScenario3COGSTotYr5">Graphs!$F$66</definedName>
    <definedName name="tlOutputGraphsScenario3COGSTotYr6">Graphs!$G$66</definedName>
    <definedName name="tlOutputGraphsScenario3COGSTotYr7">Graphs!$H$66</definedName>
    <definedName name="tlOutputGraphsScenario3COGSTotYr8">Graphs!$I$66</definedName>
    <definedName name="tlOutputGraphsScenario3COGSTotYr9">Graphs!$J$66</definedName>
    <definedName name="tlOutputGraphsScenario3DCFYr1">Graphs!$B$80</definedName>
    <definedName name="tlOutputGraphsScenario3DCFYr10">Graphs!$K$80</definedName>
    <definedName name="tlOutputGraphsScenario3DCFYr2">Graphs!$C$80</definedName>
    <definedName name="tlOutputGraphsScenario3DCFYr3">Graphs!$D$80</definedName>
    <definedName name="tlOutputGraphsScenario3DCFYr4">Graphs!$E$80</definedName>
    <definedName name="tlOutputGraphsScenario3DCFYr5">Graphs!$F$80</definedName>
    <definedName name="tlOutputGraphsScenario3DCFYr6">Graphs!$G$80</definedName>
    <definedName name="tlOutputGraphsScenario3DCFYr7">Graphs!$H$80</definedName>
    <definedName name="tlOutputGraphsScenario3DCFYr8">Graphs!$I$80</definedName>
    <definedName name="tlOutputGraphsScenario3DCFYr9">Graphs!$J$80</definedName>
    <definedName name="tlOutputGraphsScenario3EPV">Graphs!$D$74</definedName>
    <definedName name="tlOutputGraphsScenario3OMTotYr1">Graphs!$B$69</definedName>
    <definedName name="tlOutputGraphsScenario3OMTotYr10">Graphs!$K$69</definedName>
    <definedName name="tlOutputGraphsScenario3OMTotYr2">Graphs!$C$69</definedName>
    <definedName name="tlOutputGraphsScenario3OMTotYr3">Graphs!$D$69</definedName>
    <definedName name="tlOutputGraphsScenario3OMTotYr4">Graphs!$E$69</definedName>
    <definedName name="tlOutputGraphsScenario3OMTotYr5">Graphs!$F$69</definedName>
    <definedName name="tlOutputGraphsScenario3OMTotYr6">Graphs!$G$69</definedName>
    <definedName name="tlOutputGraphsScenario3OMTotYr7">Graphs!$H$69</definedName>
    <definedName name="tlOutputGraphsScenario3OMTotYr8">Graphs!$I$69</definedName>
    <definedName name="tlOutputGraphsScenario3OMTotYr9">Graphs!$J$69</definedName>
    <definedName name="tlOutputGraphsScenario3PeakSalesReg1">Graphs!$B$51</definedName>
    <definedName name="tlOutputGraphsScenario3PeakSalesReg2">Graphs!$B$52</definedName>
    <definedName name="tlOutputGraphsScenario3PeakSalesReg3">Graphs!$B$53</definedName>
    <definedName name="tlOutputGraphsScenario3PeakSalesReg4">Graphs!$B$54</definedName>
    <definedName name="tlOutputGraphsScenario3RnDTotYr1">Graphs!$B$67</definedName>
    <definedName name="tlOutputGraphsScenario3RnDTotYr10">Graphs!$K$67</definedName>
    <definedName name="tlOutputGraphsScenario3RnDTotYr2">Graphs!$C$67</definedName>
    <definedName name="tlOutputGraphsScenario3RnDTotYr3">Graphs!$D$67</definedName>
    <definedName name="tlOutputGraphsScenario3RnDTotYr4">Graphs!$E$67</definedName>
    <definedName name="tlOutputGraphsScenario3RnDTotYr5">Graphs!$F$67</definedName>
    <definedName name="tlOutputGraphsScenario3RnDTotYr6">Graphs!$G$67</definedName>
    <definedName name="tlOutputGraphsScenario3RnDTotYr7">Graphs!$H$67</definedName>
    <definedName name="tlOutputGraphsScenario3RnDTotYr8">Graphs!$I$67</definedName>
    <definedName name="tlOutputGraphsScenario3RnDTotYr9">Graphs!$J$67</definedName>
    <definedName name="tlOutputGraphsScenario3SalesReg1Yr1">Graphs!$B$58</definedName>
    <definedName name="tlOutputGraphsScenario3SalesReg1Yr10">Graphs!$K$58</definedName>
    <definedName name="tlOutputGraphsScenario3SalesReg1Yr2">Graphs!$C$58</definedName>
    <definedName name="tlOutputGraphsScenario3SalesReg1Yr3">Graphs!$D$58</definedName>
    <definedName name="tlOutputGraphsScenario3SalesReg1Yr4">Graphs!$E$58</definedName>
    <definedName name="tlOutputGraphsScenario3SalesReg1Yr5">Graphs!$F$58</definedName>
    <definedName name="tlOutputGraphsScenario3SalesReg1Yr6">Graphs!$G$58</definedName>
    <definedName name="tlOutputGraphsScenario3SalesReg1Yr7">Graphs!$H$58</definedName>
    <definedName name="tlOutputGraphsScenario3SalesReg1Yr8">Graphs!$I$58</definedName>
    <definedName name="tlOutputGraphsScenario3SalesReg1Yr9">Graphs!$J$58</definedName>
    <definedName name="tlOutputGraphsScenario3SalesReg2Yr1">Graphs!$B$59</definedName>
    <definedName name="tlOutputGraphsScenario3SalesReg2Yr10">Graphs!$K$59</definedName>
    <definedName name="tlOutputGraphsScenario3SalesReg2Yr2">Graphs!$C$59</definedName>
    <definedName name="tlOutputGraphsScenario3SalesReg2Yr3">Graphs!$D$59</definedName>
    <definedName name="tlOutputGraphsScenario3SalesReg2Yr4">Graphs!$E$59</definedName>
    <definedName name="tlOutputGraphsScenario3SalesReg2Yr5">Graphs!$F$59</definedName>
    <definedName name="tlOutputGraphsScenario3SalesReg2Yr6">Graphs!$G$59</definedName>
    <definedName name="tlOutputGraphsScenario3SalesReg2Yr7">Graphs!$H$59</definedName>
    <definedName name="tlOutputGraphsScenario3SalesReg2Yr8">Graphs!$I$59</definedName>
    <definedName name="tlOutputGraphsScenario3SalesReg2Yr9">Graphs!$J$59</definedName>
    <definedName name="tlOutputGraphsScenario3SalesReg3Yr1">Graphs!$B$60</definedName>
    <definedName name="tlOutputGraphsScenario3SalesReg3Yr10">Graphs!$K$60</definedName>
    <definedName name="tlOutputGraphsScenario3SalesReg3Yr2">Graphs!$C$60</definedName>
    <definedName name="tlOutputGraphsScenario3SalesReg3Yr3">Graphs!$D$60</definedName>
    <definedName name="tlOutputGraphsScenario3SalesReg3Yr4">Graphs!$E$60</definedName>
    <definedName name="tlOutputGraphsScenario3SalesReg3Yr5">Graphs!$F$60</definedName>
    <definedName name="tlOutputGraphsScenario3SalesReg3Yr6">Graphs!$G$60</definedName>
    <definedName name="tlOutputGraphsScenario3SalesReg3Yr7">Graphs!$H$60</definedName>
    <definedName name="tlOutputGraphsScenario3SalesReg3Yr8">Graphs!$I$60</definedName>
    <definedName name="tlOutputGraphsScenario3SalesReg3Yr9">Graphs!$J$60</definedName>
    <definedName name="tlOutputGraphsScenario3SalesReg4Yr1">Graphs!$B$61</definedName>
    <definedName name="tlOutputGraphsScenario3SalesReg4Yr10">Graphs!$K$61</definedName>
    <definedName name="tlOutputGraphsScenario3SalesReg4Yr2">Graphs!$C$61</definedName>
    <definedName name="tlOutputGraphsScenario3SalesReg4Yr3">Graphs!$D$61</definedName>
    <definedName name="tlOutputGraphsScenario3SalesReg4Yr4">Graphs!$E$61</definedName>
    <definedName name="tlOutputGraphsScenario3SalesReg4Yr5">Graphs!$F$61</definedName>
    <definedName name="tlOutputGraphsScenario3SalesReg4Yr6">Graphs!$G$61</definedName>
    <definedName name="tlOutputGraphsScenario3SalesReg4Yr7">Graphs!$H$61</definedName>
    <definedName name="tlOutputGraphsScenario3SalesReg4Yr8">Graphs!$I$61</definedName>
    <definedName name="tlOutputGraphsScenario3SalesReg4Yr9">Graphs!$J$61</definedName>
    <definedName name="tlOutputGraphsScenario3SalesTotYr1">Graphs!$B$65</definedName>
    <definedName name="tlOutputGraphsScenario3SalesTotYr10">Graphs!$K$65</definedName>
    <definedName name="tlOutputGraphsScenario3SalesTotYr2">Graphs!$C$65</definedName>
    <definedName name="tlOutputGraphsScenario3SalesTotYr3">Graphs!$D$65</definedName>
    <definedName name="tlOutputGraphsScenario3SalesTotYr4">Graphs!$E$65</definedName>
    <definedName name="tlOutputGraphsScenario3SalesTotYr5">Graphs!$F$65</definedName>
    <definedName name="tlOutputGraphsScenario3SalesTotYr6">Graphs!$G$65</definedName>
    <definedName name="tlOutputGraphsScenario3SalesTotYr7">Graphs!$H$65</definedName>
    <definedName name="tlOutputGraphsScenario3SalesTotYr8">Graphs!$I$65</definedName>
    <definedName name="tlOutputGraphsScenario3SalesTotYr9">Graphs!$J$65</definedName>
    <definedName name="tlOutputGraphsScenario3SnMTotYr1">Graphs!$B$68</definedName>
    <definedName name="tlOutputGraphsScenario3SnMTotYr10">Graphs!$K$68</definedName>
    <definedName name="tlOutputGraphsScenario3SnMTotYr2">Graphs!$C$68</definedName>
    <definedName name="tlOutputGraphsScenario3SnMTotYr3">Graphs!$D$68</definedName>
    <definedName name="tlOutputGraphsScenario3SnMTotYr4">Graphs!$E$68</definedName>
    <definedName name="tlOutputGraphsScenario3SnMTotYr5">Graphs!$F$68</definedName>
    <definedName name="tlOutputGraphsScenario3SnMTotYr6">Graphs!$G$68</definedName>
    <definedName name="tlOutputGraphsScenario3SnMTotYr7">Graphs!$H$68</definedName>
    <definedName name="tlOutputGraphsScenario3SnMTotYr8">Graphs!$I$68</definedName>
    <definedName name="tlOutputGraphsScenario3SnMTotYr9">Graphs!$J$68</definedName>
    <definedName name="tlOutputPlanCurrentStage">tlAction!$Q$4</definedName>
    <definedName name="tlOutputPlanDiseaseArea">tlAction!$I$4</definedName>
    <definedName name="tlOutputPlanDrugAdministration">tlAction!$E$8</definedName>
    <definedName name="tlOutputPlanFormulation">tlAction!$M$4</definedName>
    <definedName name="tlOutputPlanInLicenseCost">tlAction!$M$8</definedName>
    <definedName name="tlOutputPlanInLicenseStage">tlAction!$I$8</definedName>
    <definedName name="tlOutputPlanLOEDate">tlAction!$Q$6</definedName>
    <definedName name="tlOutputPlanProjectName">tlAction!$E$4</definedName>
    <definedName name="tlOutputPlanProjectStartDate">tlAction!$I$6</definedName>
    <definedName name="tlOutputPlanTargetIndication">tlAction!$E$6</definedName>
    <definedName name="tlOutputPlanTargetLaunchDate">tlAction!$M$6</definedName>
    <definedName name="tlOutputReportCurrentStage">tlReport!$J$8</definedName>
    <definedName name="tlOutputReportDiseaseArea">tlReport!$J$4</definedName>
    <definedName name="tlOutputReportDrugAdministration">tlReport!$D$8</definedName>
    <definedName name="tlOutputReportFormulation">tlReport!$P$4</definedName>
    <definedName name="tlOutputReportInLicenseCost">tlReport!$P$8</definedName>
    <definedName name="tlOutputReportInLicenseStage">tlReport!$P$6</definedName>
    <definedName name="tlOutputReportKPIScenario1Breakeven">tlReport!$S$36</definedName>
    <definedName name="tlOutputReportKPIScenario1EPV">tlReport!$S$30</definedName>
    <definedName name="tlOutputReportKPIScenario1IRR">tlReport!$S$37</definedName>
    <definedName name="tlOutputReportKPIScenario1LaunchDate">tlReport!$S$33</definedName>
    <definedName name="tlOutputReportKPIScenario1NPV">tlReport!$S$31</definedName>
    <definedName name="tlOutputReportKPIScenario1PeakSales">tlReport!$S$32</definedName>
    <definedName name="tlOutputReportKPIScenario1POS">tlReport!$S$35</definedName>
    <definedName name="tlOutputReportKPIScenario1RnDCost">tlReport!$S$34</definedName>
    <definedName name="tlOutputReportKPIScenario1ROI">tlReport!$S$29</definedName>
    <definedName name="tlOutputReportKPIScenario2Breakeven">tlReport!$S$64</definedName>
    <definedName name="tlOutputReportKPIScenario2EPV">tlReport!$S$58</definedName>
    <definedName name="tlOutputReportKPIScenario2IRR">tlReport!$S$65</definedName>
    <definedName name="tlOutputReportKPIScenario2LaunchDate">tlReport!$S$61</definedName>
    <definedName name="tlOutputReportKPIScenario2NPV">tlReport!$S$59</definedName>
    <definedName name="tlOutputReportKPIScenario2PeakSales">tlReport!$S$60</definedName>
    <definedName name="tlOutputReportKPIScenario2POS">tlReport!$S$63</definedName>
    <definedName name="tlOutputReportKPIScenario2RnDCost">tlReport!$S$62</definedName>
    <definedName name="tlOutputReportKPIScenario2ROI">tlReport!$S$57</definedName>
    <definedName name="tlOutputReportKPIScenario3Breakeven">tlReport!$S$92</definedName>
    <definedName name="tlOutputReportKPIScenario3EPV">tlReport!$S$86</definedName>
    <definedName name="tlOutputReportKPIScenario3IRR">tlReport!$S$93</definedName>
    <definedName name="tlOutputReportKPIScenario3LaunchDate">tlReport!$S$89</definedName>
    <definedName name="tlOutputReportKPIScenario3NPV">tlReport!$S$87</definedName>
    <definedName name="tlOutputReportKPIScenario3PeakSales">tlReport!$S$88</definedName>
    <definedName name="tlOutputReportKPIScenario3POS">tlReport!$S$91</definedName>
    <definedName name="tlOutputReportKPIScenario3RnDCost">tlReport!$S$90</definedName>
    <definedName name="tlOutputReportKPIScenario3ROI">tlReport!$S$85</definedName>
    <definedName name="tlOutputReportLOEDate">tlReport!$J$10</definedName>
    <definedName name="tlOutputReportProjectName">tlReport!$D$4</definedName>
    <definedName name="tlOutputReportProjectStartDate">tlReport!$J$6</definedName>
    <definedName name="tlOutputReportSummaryScenario1Breakeven">tlReport!$F$23</definedName>
    <definedName name="tlOutputReportSummaryScenario1COGS0">tlReport!$E$30</definedName>
    <definedName name="tlOutputReportSummaryScenario1COGS1">tlReport!$F$30</definedName>
    <definedName name="tlOutputReportSummaryScenario1COGS10">tlReport!$O$30</definedName>
    <definedName name="tlOutputReportSummaryScenario1COGS2">tlReport!$G$30</definedName>
    <definedName name="tlOutputReportSummaryScenario1COGS3">tlReport!$H$30</definedName>
    <definedName name="tlOutputReportSummaryScenario1COGS4">tlReport!$I$30</definedName>
    <definedName name="tlOutputReportSummaryScenario1COGS5">tlReport!$J$30</definedName>
    <definedName name="tlOutputReportSummaryScenario1COGS6">tlReport!$K$30</definedName>
    <definedName name="tlOutputReportSummaryScenario1COGS7">tlReport!$L$30</definedName>
    <definedName name="tlOutputReportSummaryScenario1COGS8">tlReport!$M$30</definedName>
    <definedName name="tlOutputReportSummaryScenario1COGS9">tlReport!$N$30</definedName>
    <definedName name="tlOutputReportSummaryScenario1DCF0">tlReport!$E$37</definedName>
    <definedName name="tlOutputReportSummaryScenario1DCF1">tlReport!$F$37</definedName>
    <definedName name="tlOutputReportSummaryScenario1DCF10">tlReport!$O$37</definedName>
    <definedName name="tlOutputReportSummaryScenario1DCF2">tlReport!$G$37</definedName>
    <definedName name="tlOutputReportSummaryScenario1DCF3">tlReport!$H$37</definedName>
    <definedName name="tlOutputReportSummaryScenario1DCF4">tlReport!$I$37</definedName>
    <definedName name="tlOutputReportSummaryScenario1DCF5">tlReport!$J$37</definedName>
    <definedName name="tlOutputReportSummaryScenario1DCF6">tlReport!$K$37</definedName>
    <definedName name="tlOutputReportSummaryScenario1DCF7">tlReport!$L$37</definedName>
    <definedName name="tlOutputReportSummaryScenario1DCF8">tlReport!$M$37</definedName>
    <definedName name="tlOutputReportSummaryScenario1DCF9">tlReport!$N$37</definedName>
    <definedName name="tlOutputReportSummaryScenario1EPV">tlReport!$F$17</definedName>
    <definedName name="tlOutputReportSummaryScenario1GM0">tlReport!$E$31</definedName>
    <definedName name="tlOutputReportSummaryScenario1GM1">tlReport!$F$31</definedName>
    <definedName name="tlOutputReportSummaryScenario1GM10">tlReport!$O$31</definedName>
    <definedName name="tlOutputReportSummaryScenario1GM2">tlReport!$G$31</definedName>
    <definedName name="tlOutputReportSummaryScenario1GM3">tlReport!$H$31</definedName>
    <definedName name="tlOutputReportSummaryScenario1GM4">tlReport!$I$31</definedName>
    <definedName name="tlOutputReportSummaryScenario1GM5">tlReport!$J$31</definedName>
    <definedName name="tlOutputReportSummaryScenario1GM6">tlReport!$K$31</definedName>
    <definedName name="tlOutputReportSummaryScenario1GM7">tlReport!$L$31</definedName>
    <definedName name="tlOutputReportSummaryScenario1GM8">tlReport!$M$31</definedName>
    <definedName name="tlOutputReportSummaryScenario1GM9">tlReport!$N$31</definedName>
    <definedName name="tlOutputReportSummaryScenario1IRR">tlReport!$F$24</definedName>
    <definedName name="tlOutputReportSummaryScenario1LaunchDate">tlReport!$F$20</definedName>
    <definedName name="tlOutputReportSummaryScenario1LaunchYear1">tlReport!$F$28</definedName>
    <definedName name="tlOutputReportSummaryScenario1LaunchYear10">tlReport!$O$28</definedName>
    <definedName name="tlOutputReportSummaryScenario1LaunchYear2">tlReport!$G$28</definedName>
    <definedName name="tlOutputReportSummaryScenario1LaunchYear3">tlReport!$H$28</definedName>
    <definedName name="tlOutputReportSummaryScenario1LaunchYear4">tlReport!$I$28</definedName>
    <definedName name="tlOutputReportSummaryScenario1LaunchYear5">tlReport!$J$28</definedName>
    <definedName name="tlOutputReportSummaryScenario1LaunchYear6">tlReport!$K$28</definedName>
    <definedName name="tlOutputReportSummaryScenario1LaunchYear7">tlReport!$L$28</definedName>
    <definedName name="tlOutputReportSummaryScenario1LaunchYear8">tlReport!$M$28</definedName>
    <definedName name="tlOutputReportSummaryScenario1LaunchYear9">tlReport!$N$28</definedName>
    <definedName name="tlOutputReportSummaryScenario1NPV">tlReport!$F$18</definedName>
    <definedName name="tlOutputReportSummaryScenario1OCF0">tlReport!$E$36</definedName>
    <definedName name="tlOutputReportSummaryScenario1OCF1">tlReport!$F$36</definedName>
    <definedName name="tlOutputReportSummaryScenario1OCF10">tlReport!$O$36</definedName>
    <definedName name="tlOutputReportSummaryScenario1OCF2">tlReport!$G$36</definedName>
    <definedName name="tlOutputReportSummaryScenario1OCF3">tlReport!$H$36</definedName>
    <definedName name="tlOutputReportSummaryScenario1OCF4">tlReport!$I$36</definedName>
    <definedName name="tlOutputReportSummaryScenario1OCF5">tlReport!$J$36</definedName>
    <definedName name="tlOutputReportSummaryScenario1OCF6">tlReport!$K$36</definedName>
    <definedName name="tlOutputReportSummaryScenario1OCF7">tlReport!$L$36</definedName>
    <definedName name="tlOutputReportSummaryScenario1OCF8">tlReport!$M$36</definedName>
    <definedName name="tlOutputReportSummaryScenario1OCF9">tlReport!$N$36</definedName>
    <definedName name="tlOutputReportSummaryScenario1OM0">tlReport!$E$35</definedName>
    <definedName name="tlOutputReportSummaryScenario1OM1">tlReport!$F$35</definedName>
    <definedName name="tlOutputReportSummaryScenario1OM10">tlReport!$O$35</definedName>
    <definedName name="tlOutputReportSummaryScenario1OM2">tlReport!$G$35</definedName>
    <definedName name="tlOutputReportSummaryScenario1OM3">tlReport!$H$35</definedName>
    <definedName name="tlOutputReportSummaryScenario1OM4">tlReport!$I$35</definedName>
    <definedName name="tlOutputReportSummaryScenario1OM5">tlReport!$J$35</definedName>
    <definedName name="tlOutputReportSummaryScenario1OM6">tlReport!$K$35</definedName>
    <definedName name="tlOutputReportSummaryScenario1OM7">tlReport!$L$35</definedName>
    <definedName name="tlOutputReportSummaryScenario1OM8">tlReport!$M$35</definedName>
    <definedName name="tlOutputReportSummaryScenario1OM9">tlReport!$N$35</definedName>
    <definedName name="tlOutputReportSummaryScenario1PeakSales">tlReport!$F$19</definedName>
    <definedName name="tlOutputReportSummaryScenario1POS">tlReport!$F$22</definedName>
    <definedName name="tlOutputReportSummaryScenario1RnD0">tlReport!$E$32</definedName>
    <definedName name="tlOutputReportSummaryScenario1RnD1">tlReport!$F$32</definedName>
    <definedName name="tlOutputReportSummaryScenario1RnD10">tlReport!$O$32</definedName>
    <definedName name="tlOutputReportSummaryScenario1RnD2">tlReport!$G$32</definedName>
    <definedName name="tlOutputReportSummaryScenario1RnD3">tlReport!$H$32</definedName>
    <definedName name="tlOutputReportSummaryScenario1RnD4">tlReport!$I$32</definedName>
    <definedName name="tlOutputReportSummaryScenario1RnD5">tlReport!$J$32</definedName>
    <definedName name="tlOutputReportSummaryScenario1RnD6">tlReport!$K$32</definedName>
    <definedName name="tlOutputReportSummaryScenario1RnD7">tlReport!$L$32</definedName>
    <definedName name="tlOutputReportSummaryScenario1RnD8">tlReport!$M$32</definedName>
    <definedName name="tlOutputReportSummaryScenario1RnD9">tlReport!$N$32</definedName>
    <definedName name="tlOutputReportSummaryScenario1RnDCost">tlReport!$F$21</definedName>
    <definedName name="tlOutputReportSummaryScenario1ROI">tlReport!$F$16</definedName>
    <definedName name="tlOutputReportSummaryScenario1Royalty0">tlReport!$E$34</definedName>
    <definedName name="tlOutputReportSummaryScenario1Royalty1">tlReport!$F$34</definedName>
    <definedName name="tlOutputReportSummaryScenario1Royalty10">tlReport!$O$34</definedName>
    <definedName name="tlOutputReportSummaryScenario1Royalty2">tlReport!$G$34</definedName>
    <definedName name="tlOutputReportSummaryScenario1Royalty3">tlReport!$H$34</definedName>
    <definedName name="tlOutputReportSummaryScenario1Royalty4">tlReport!$I$34</definedName>
    <definedName name="tlOutputReportSummaryScenario1Royalty5">tlReport!$J$34</definedName>
    <definedName name="tlOutputReportSummaryScenario1Royalty6">tlReport!$K$34</definedName>
    <definedName name="tlOutputReportSummaryScenario1Royalty7">tlReport!$L$34</definedName>
    <definedName name="tlOutputReportSummaryScenario1Royalty8">tlReport!$M$34</definedName>
    <definedName name="tlOutputReportSummaryScenario1Royalty9">tlReport!$N$34</definedName>
    <definedName name="tlOutputReportSummaryScenario1Sales0">tlReport!$E$29</definedName>
    <definedName name="tlOutputReportSummaryScenario1Sales1">tlReport!$F$29</definedName>
    <definedName name="tlOutputReportSummaryScenario1Sales10">tlReport!$O$29</definedName>
    <definedName name="tlOutputReportSummaryScenario1Sales2">tlReport!$G$29</definedName>
    <definedName name="tlOutputReportSummaryScenario1Sales3">tlReport!$H$29</definedName>
    <definedName name="tlOutputReportSummaryScenario1Sales4">tlReport!$I$29</definedName>
    <definedName name="tlOutputReportSummaryScenario1Sales5">tlReport!$J$29</definedName>
    <definedName name="tlOutputReportSummaryScenario1Sales6">tlReport!$K$29</definedName>
    <definedName name="tlOutputReportSummaryScenario1Sales7">tlReport!$L$29</definedName>
    <definedName name="tlOutputReportSummaryScenario1Sales8">tlReport!$M$29</definedName>
    <definedName name="tlOutputReportSummaryScenario1Sales9">tlReport!$N$29</definedName>
    <definedName name="tlOutputReportSummaryScenario1SnM0">tlReport!$E$33</definedName>
    <definedName name="tlOutputReportSummaryScenario1SnM1">tlReport!$F$33</definedName>
    <definedName name="tlOutputReportSummaryScenario1SnM10">tlReport!$O$33</definedName>
    <definedName name="tlOutputReportSummaryScenario1SnM2">tlReport!$G$33</definedName>
    <definedName name="tlOutputReportSummaryScenario1SnM3">tlReport!$H$33</definedName>
    <definedName name="tlOutputReportSummaryScenario1SnM4">tlReport!$I$33</definedName>
    <definedName name="tlOutputReportSummaryScenario1SnM5">tlReport!$J$33</definedName>
    <definedName name="tlOutputReportSummaryScenario1SnM6">tlReport!$K$33</definedName>
    <definedName name="tlOutputReportSummaryScenario1SnM7">tlReport!$L$33</definedName>
    <definedName name="tlOutputReportSummaryScenario1SnM8">tlReport!$M$33</definedName>
    <definedName name="tlOutputReportSummaryScenario1SnM9">tlReport!$N$33</definedName>
    <definedName name="tlOutputReportSummaryScenario2Breakeven">tlReport!$H$23</definedName>
    <definedName name="tlOutputReportSummaryScenario2COGS0">tlReport!$E$58</definedName>
    <definedName name="tlOutputReportSummaryScenario2COGS1">tlReport!$F$58</definedName>
    <definedName name="tlOutputReportSummaryScenario2COGS10">tlReport!$O$58</definedName>
    <definedName name="tlOutputReportSummaryScenario2COGS2">tlReport!$G$58</definedName>
    <definedName name="tlOutputReportSummaryScenario2COGS3">tlReport!$H$58</definedName>
    <definedName name="tlOutputReportSummaryScenario2COGS4">tlReport!$I$58</definedName>
    <definedName name="tlOutputReportSummaryScenario2COGS5">tlReport!$J$58</definedName>
    <definedName name="tlOutputReportSummaryScenario2COGS6">tlReport!$K$58</definedName>
    <definedName name="tlOutputReportSummaryScenario2COGS7">tlReport!$L$58</definedName>
    <definedName name="tlOutputReportSummaryScenario2COGS8">tlReport!$M$58</definedName>
    <definedName name="tlOutputReportSummaryScenario2COGS9">tlReport!$N$58</definedName>
    <definedName name="tlOutputReportSummaryScenario2DCF0">tlReport!$E$65</definedName>
    <definedName name="tlOutputReportSummaryScenario2DCF1">tlReport!$F$65</definedName>
    <definedName name="tlOutputReportSummaryScenario2DCF10">tlReport!$O$65</definedName>
    <definedName name="tlOutputReportSummaryScenario2DCF2">tlReport!$G$65</definedName>
    <definedName name="tlOutputReportSummaryScenario2DCF3">tlReport!$H$65</definedName>
    <definedName name="tlOutputReportSummaryScenario2DCF4">tlReport!$I$65</definedName>
    <definedName name="tlOutputReportSummaryScenario2DCF5">tlReport!$J$65</definedName>
    <definedName name="tlOutputReportSummaryScenario2DCF6">tlReport!$K$65</definedName>
    <definedName name="tlOutputReportSummaryScenario2DCF7">tlReport!$L$65</definedName>
    <definedName name="tlOutputReportSummaryScenario2DCF8">tlReport!$M$65</definedName>
    <definedName name="tlOutputReportSummaryScenario2DCF9">tlReport!$N$65</definedName>
    <definedName name="tlOutputReportSummaryScenario2EPV">tlReport!$H$17</definedName>
    <definedName name="tlOutputReportSummaryScenario2GM0">tlReport!$E$59</definedName>
    <definedName name="tlOutputReportSummaryScenario2GM1">tlReport!$F$59</definedName>
    <definedName name="tlOutputReportSummaryScenario2GM10">tlReport!$O$59</definedName>
    <definedName name="tlOutputReportSummaryScenario2GM2">tlReport!$G$59</definedName>
    <definedName name="tlOutputReportSummaryScenario2GM3">tlReport!$H$59</definedName>
    <definedName name="tlOutputReportSummaryScenario2GM4">tlReport!$I$59</definedName>
    <definedName name="tlOutputReportSummaryScenario2GM5">tlReport!$J$59</definedName>
    <definedName name="tlOutputReportSummaryScenario2GM6">tlReport!$K$59</definedName>
    <definedName name="tlOutputReportSummaryScenario2GM7">tlReport!$L$59</definedName>
    <definedName name="tlOutputReportSummaryScenario2GM8">tlReport!$M$59</definedName>
    <definedName name="tlOutputReportSummaryScenario2GM9">tlReport!$N$59</definedName>
    <definedName name="tlOutputReportSummaryScenario2IRR">tlReport!$H$24</definedName>
    <definedName name="tlOutputReportSummaryScenario2LaunchDate">tlReport!$H$20</definedName>
    <definedName name="tlOutputReportSummaryScenario2LaunchYear1">tlReport!$F$56</definedName>
    <definedName name="tlOutputReportSummaryScenario2LaunchYear10">tlReport!$O$56</definedName>
    <definedName name="tlOutputReportSummaryScenario2LaunchYear2">tlReport!$G$56</definedName>
    <definedName name="tlOutputReportSummaryScenario2LaunchYear3">tlReport!$H$56</definedName>
    <definedName name="tlOutputReportSummaryScenario2LaunchYear4">tlReport!$I$56</definedName>
    <definedName name="tlOutputReportSummaryScenario2LaunchYear5">tlReport!$J$56</definedName>
    <definedName name="tlOutputReportSummaryScenario2LaunchYear6">tlReport!$K$56</definedName>
    <definedName name="tlOutputReportSummaryScenario2LaunchYear7">tlReport!$L$56</definedName>
    <definedName name="tlOutputReportSummaryScenario2LaunchYear8">tlReport!$M$56</definedName>
    <definedName name="tlOutputReportSummaryScenario2LaunchYear9">tlReport!$N$56</definedName>
    <definedName name="tlOutputReportSummaryScenario2NPV">tlReport!$H$18</definedName>
    <definedName name="tlOutputReportSummaryScenario2OCF0">tlReport!$E$64</definedName>
    <definedName name="tlOutputReportSummaryScenario2OCF1">tlReport!$F$64</definedName>
    <definedName name="tlOutputReportSummaryScenario2OCF10">tlReport!$O$64</definedName>
    <definedName name="tlOutputReportSummaryScenario2OCF2">tlReport!$G$64</definedName>
    <definedName name="tlOutputReportSummaryScenario2OCF3">tlReport!$H$64</definedName>
    <definedName name="tlOutputReportSummaryScenario2OCF4">tlReport!$I$64</definedName>
    <definedName name="tlOutputReportSummaryScenario2OCF5">tlReport!$J$64</definedName>
    <definedName name="tlOutputReportSummaryScenario2OCF6">tlReport!$K$64</definedName>
    <definedName name="tlOutputReportSummaryScenario2OCF7">tlReport!$L$64</definedName>
    <definedName name="tlOutputReportSummaryScenario2OCF8">tlReport!$M$64</definedName>
    <definedName name="tlOutputReportSummaryScenario2OCF9">tlReport!$N$64</definedName>
    <definedName name="tlOutputReportSummaryScenario2OM0">tlReport!$E$63</definedName>
    <definedName name="tlOutputReportSummaryScenario2OM1">tlReport!$F$63</definedName>
    <definedName name="tlOutputReportSummaryScenario2OM10">tlReport!$O$63</definedName>
    <definedName name="tlOutputReportSummaryScenario2OM2">tlReport!$G$63</definedName>
    <definedName name="tlOutputReportSummaryScenario2OM3">tlReport!$H$63</definedName>
    <definedName name="tlOutputReportSummaryScenario2OM4">tlReport!$I$63</definedName>
    <definedName name="tlOutputReportSummaryScenario2OM5">tlReport!$J$63</definedName>
    <definedName name="tlOutputReportSummaryScenario2OM6">tlReport!$K$63</definedName>
    <definedName name="tlOutputReportSummaryScenario2OM7">tlReport!$L$63</definedName>
    <definedName name="tlOutputReportSummaryScenario2OM8">tlReport!$M$63</definedName>
    <definedName name="tlOutputReportSummaryScenario2OM9">tlReport!$N$63</definedName>
    <definedName name="tlOutputReportSummaryScenario2PeakSales">tlReport!$H$19</definedName>
    <definedName name="tlOutputReportSummaryScenario2POS">tlReport!$H$22</definedName>
    <definedName name="tlOutputReportSummaryScenario2RnD0">tlReport!$E$60</definedName>
    <definedName name="tlOutputReportSummaryScenario2RnD1">tlReport!$F$60</definedName>
    <definedName name="tlOutputReportSummaryScenario2RnD10">tlReport!$O$60</definedName>
    <definedName name="tlOutputReportSummaryScenario2RnD2">tlReport!$G$60</definedName>
    <definedName name="tlOutputReportSummaryScenario2RnD3">tlReport!$H$60</definedName>
    <definedName name="tlOutputReportSummaryScenario2RnD4">tlReport!$I$60</definedName>
    <definedName name="tlOutputReportSummaryScenario2RnD5">tlReport!$J$60</definedName>
    <definedName name="tlOutputReportSummaryScenario2RnD6">tlReport!$K$60</definedName>
    <definedName name="tlOutputReportSummaryScenario2RnD7">tlReport!$L$60</definedName>
    <definedName name="tlOutputReportSummaryScenario2RnD8">tlReport!$M$60</definedName>
    <definedName name="tlOutputReportSummaryScenario2RnD9">tlReport!$N$60</definedName>
    <definedName name="tlOutputReportSummaryScenario2RnDCost">tlReport!$H$21</definedName>
    <definedName name="tlOutputReportSummaryScenario2ROI">tlReport!$H$16</definedName>
    <definedName name="tlOutputReportSummaryScenario2Royalty0">tlReport!$E$62</definedName>
    <definedName name="tlOutputReportSummaryScenario2Royalty1">tlReport!$F$62</definedName>
    <definedName name="tlOutputReportSummaryScenario2Royalty10">tlReport!$O$62</definedName>
    <definedName name="tlOutputReportSummaryScenario2Royalty2">tlReport!$G$62</definedName>
    <definedName name="tlOutputReportSummaryScenario2Royalty3">tlReport!$H$62</definedName>
    <definedName name="tlOutputReportSummaryScenario2Royalty4">tlReport!$I$62</definedName>
    <definedName name="tlOutputReportSummaryScenario2Royalty5">tlReport!$J$62</definedName>
    <definedName name="tlOutputReportSummaryScenario2Royalty6">tlReport!$K$62</definedName>
    <definedName name="tlOutputReportSummaryScenario2Royalty7">tlReport!$L$62</definedName>
    <definedName name="tlOutputReportSummaryScenario2Royalty8">tlReport!$M$62</definedName>
    <definedName name="tlOutputReportSummaryScenario2Royalty9">tlReport!$N$62</definedName>
    <definedName name="tlOutputReportSummaryScenario2Sales0">tlReport!$E$57</definedName>
    <definedName name="tlOutputReportSummaryScenario2Sales1">tlReport!$F$57</definedName>
    <definedName name="tlOutputReportSummaryScenario2Sales10">tlReport!$O$57</definedName>
    <definedName name="tlOutputReportSummaryScenario2Sales2">tlReport!$G$57</definedName>
    <definedName name="tlOutputReportSummaryScenario2Sales3">tlReport!$H$57</definedName>
    <definedName name="tlOutputReportSummaryScenario2Sales4">tlReport!$I$57</definedName>
    <definedName name="tlOutputReportSummaryScenario2Sales5">tlReport!$J$57</definedName>
    <definedName name="tlOutputReportSummaryScenario2Sales6">tlReport!$K$57</definedName>
    <definedName name="tlOutputReportSummaryScenario2Sales7">tlReport!$L$57</definedName>
    <definedName name="tlOutputReportSummaryScenario2Sales8">tlReport!$M$57</definedName>
    <definedName name="tlOutputReportSummaryScenario2Sales9">tlReport!$N$57</definedName>
    <definedName name="tlOutputReportSummaryScenario2SnM0">tlReport!$E$61</definedName>
    <definedName name="tlOutputReportSummaryScenario2SnM1">tlReport!$F$61</definedName>
    <definedName name="tlOutputReportSummaryScenario2SnM10">tlReport!$O$61</definedName>
    <definedName name="tlOutputReportSummaryScenario2SnM2">tlReport!$G$61</definedName>
    <definedName name="tlOutputReportSummaryScenario2SnM3">tlReport!$H$61</definedName>
    <definedName name="tlOutputReportSummaryScenario2SnM4">tlReport!$I$61</definedName>
    <definedName name="tlOutputReportSummaryScenario2SnM5">tlReport!$J$61</definedName>
    <definedName name="tlOutputReportSummaryScenario2SnM6">tlReport!$K$61</definedName>
    <definedName name="tlOutputReportSummaryScenario2SnM7">tlReport!$L$61</definedName>
    <definedName name="tlOutputReportSummaryScenario2SnM8">tlReport!$M$61</definedName>
    <definedName name="tlOutputReportSummaryScenario2SnM9">tlReport!$N$61</definedName>
    <definedName name="tlOutputReportSummaryScenario3Breakeven">tlReport!$J$23</definedName>
    <definedName name="tlOutputReportSummaryScenario3COGS0">tlReport!$E$86</definedName>
    <definedName name="tlOutputReportSummaryScenario3COGS1">tlReport!$F$86</definedName>
    <definedName name="tlOutputReportSummaryScenario3COGS10">tlReport!$O$86</definedName>
    <definedName name="tlOutputReportSummaryScenario3COGS2">tlReport!$G$86</definedName>
    <definedName name="tlOutputReportSummaryScenario3COGS3">tlReport!$H$86</definedName>
    <definedName name="tlOutputReportSummaryScenario3COGS4">tlReport!$I$86</definedName>
    <definedName name="tlOutputReportSummaryScenario3COGS5">tlReport!$J$86</definedName>
    <definedName name="tlOutputReportSummaryScenario3COGS6">tlReport!$K$86</definedName>
    <definedName name="tlOutputReportSummaryScenario3COGS7">tlReport!$L$86</definedName>
    <definedName name="tlOutputReportSummaryScenario3COGS8">tlReport!$M$86</definedName>
    <definedName name="tlOutputReportSummaryScenario3COGS9">tlReport!$N$86</definedName>
    <definedName name="tlOutputReportSummaryScenario3DCF0">tlReport!$E$93</definedName>
    <definedName name="tlOutputReportSummaryScenario3DCF1">tlReport!$F$93</definedName>
    <definedName name="tlOutputReportSummaryScenario3DCF10">tlReport!$O$93</definedName>
    <definedName name="tlOutputReportSummaryScenario3DCF2">tlReport!$G$93</definedName>
    <definedName name="tlOutputReportSummaryScenario3DCF3">tlReport!$H$93</definedName>
    <definedName name="tlOutputReportSummaryScenario3DCF4">tlReport!$I$93</definedName>
    <definedName name="tlOutputReportSummaryScenario3DCF5">tlReport!$J$93</definedName>
    <definedName name="tlOutputReportSummaryScenario3DCF6">tlReport!$K$93</definedName>
    <definedName name="tlOutputReportSummaryScenario3DCF7">tlReport!$L$93</definedName>
    <definedName name="tlOutputReportSummaryScenario3DCF8">tlReport!$M$93</definedName>
    <definedName name="tlOutputReportSummaryScenario3DCF9">tlReport!$N$93</definedName>
    <definedName name="tlOutputReportSummaryScenario3EPV">tlReport!$J$17</definedName>
    <definedName name="tlOutputReportSummaryScenario3GM0">tlReport!$E$87</definedName>
    <definedName name="tlOutputReportSummaryScenario3GM1">tlReport!$F$87</definedName>
    <definedName name="tlOutputReportSummaryScenario3GM10">tlReport!$O$87</definedName>
    <definedName name="tlOutputReportSummaryScenario3GM2">tlReport!$G$87</definedName>
    <definedName name="tlOutputReportSummaryScenario3GM3">tlReport!$H$87</definedName>
    <definedName name="tlOutputReportSummaryScenario3GM4">tlReport!$I$87</definedName>
    <definedName name="tlOutputReportSummaryScenario3GM5">tlReport!$J$87</definedName>
    <definedName name="tlOutputReportSummaryScenario3GM6">tlReport!$K$87</definedName>
    <definedName name="tlOutputReportSummaryScenario3GM7">tlReport!$L$87</definedName>
    <definedName name="tlOutputReportSummaryScenario3GM8">tlReport!$M$87</definedName>
    <definedName name="tlOutputReportSummaryScenario3GM9">tlReport!$N$87</definedName>
    <definedName name="tlOutputReportSummaryScenario3IRR">tlReport!$J$24</definedName>
    <definedName name="tlOutputReportSummaryScenario3LaunchDate">tlReport!$J$20</definedName>
    <definedName name="tlOutputReportSummaryScenario3LaunchYear1">tlReport!$F$84</definedName>
    <definedName name="tlOutputReportSummaryScenario3LaunchYear10">tlReport!$O$84</definedName>
    <definedName name="tlOutputReportSummaryScenario3LaunchYear2">tlReport!$G$84</definedName>
    <definedName name="tlOutputReportSummaryScenario3LaunchYear3">tlReport!$H$84</definedName>
    <definedName name="tlOutputReportSummaryScenario3LaunchYear4">tlReport!$I$84</definedName>
    <definedName name="tlOutputReportSummaryScenario3LaunchYear5">tlReport!$J$84</definedName>
    <definedName name="tlOutputReportSummaryScenario3LaunchYear6">tlReport!$K$84</definedName>
    <definedName name="tlOutputReportSummaryScenario3LaunchYear7">tlReport!$L$84</definedName>
    <definedName name="tlOutputReportSummaryScenario3LaunchYear8">tlReport!$M$84</definedName>
    <definedName name="tlOutputReportSummaryScenario3LaunchYear9">tlReport!$N$84</definedName>
    <definedName name="tlOutputReportSummaryScenario3NPV">tlReport!$J$18</definedName>
    <definedName name="tlOutputReportSummaryScenario3OCF0">tlReport!$E$92</definedName>
    <definedName name="tlOutputReportSummaryScenario3OCF1">tlReport!$F$92</definedName>
    <definedName name="tlOutputReportSummaryScenario3OCF10">tlReport!$O$92</definedName>
    <definedName name="tlOutputReportSummaryScenario3OCF2">tlReport!$G$92</definedName>
    <definedName name="tlOutputReportSummaryScenario3OCF3">tlReport!$H$92</definedName>
    <definedName name="tlOutputReportSummaryScenario3OCF4">tlReport!$I$92</definedName>
    <definedName name="tlOutputReportSummaryScenario3OCF5">tlReport!$J$92</definedName>
    <definedName name="tlOutputReportSummaryScenario3OCF6">tlReport!$K$92</definedName>
    <definedName name="tlOutputReportSummaryScenario3OCF7">tlReport!$L$92</definedName>
    <definedName name="tlOutputReportSummaryScenario3OCF8">tlReport!$M$92</definedName>
    <definedName name="tlOutputReportSummaryScenario3OCF9">tlReport!$N$92</definedName>
    <definedName name="tlOutputReportSummaryScenario3OM0">tlReport!$E$91</definedName>
    <definedName name="tlOutputReportSummaryScenario3OM1">tlReport!$F$91</definedName>
    <definedName name="tlOutputReportSummaryScenario3OM10">tlReport!$O$91</definedName>
    <definedName name="tlOutputReportSummaryScenario3OM2">tlReport!$G$91</definedName>
    <definedName name="tlOutputReportSummaryScenario3OM3">tlReport!$H$91</definedName>
    <definedName name="tlOutputReportSummaryScenario3OM4">tlReport!$I$91</definedName>
    <definedName name="tlOutputReportSummaryScenario3OM5">tlReport!$J$91</definedName>
    <definedName name="tlOutputReportSummaryScenario3OM6">tlReport!$K$91</definedName>
    <definedName name="tlOutputReportSummaryScenario3OM7">tlReport!$L$91</definedName>
    <definedName name="tlOutputReportSummaryScenario3OM8">tlReport!$M$91</definedName>
    <definedName name="tlOutputReportSummaryScenario3OM9">tlReport!$N$91</definedName>
    <definedName name="tlOutputReportSummaryScenario3PeakSales">tlReport!$J$19</definedName>
    <definedName name="tlOutputReportSummaryScenario3POS">tlReport!$J$22</definedName>
    <definedName name="tlOutputReportSummaryScenario3RnD0">tlReport!$E$88</definedName>
    <definedName name="tlOutputReportSummaryScenario3RnD1">tlReport!$F$88</definedName>
    <definedName name="tlOutputReportSummaryScenario3RnD10">tlReport!$O$88</definedName>
    <definedName name="tlOutputReportSummaryScenario3RnD2">tlReport!$G$88</definedName>
    <definedName name="tlOutputReportSummaryScenario3RnD3">tlReport!$H$88</definedName>
    <definedName name="tlOutputReportSummaryScenario3RnD4">tlReport!$I$88</definedName>
    <definedName name="tlOutputReportSummaryScenario3RnD5">tlReport!$J$88</definedName>
    <definedName name="tlOutputReportSummaryScenario3RnD6">tlReport!$K$88</definedName>
    <definedName name="tlOutputReportSummaryScenario3RnD7">tlReport!$L$88</definedName>
    <definedName name="tlOutputReportSummaryScenario3RnD8">tlReport!$M$88</definedName>
    <definedName name="tlOutputReportSummaryScenario3RnD9">tlReport!$N$88</definedName>
    <definedName name="tlOutputReportSummaryScenario3RnDCost">tlReport!$J$21</definedName>
    <definedName name="tlOutputReportSummaryScenario3ROI">tlReport!$J$16</definedName>
    <definedName name="tlOutputReportSummaryScenario3Royalty0">tlReport!$E$90</definedName>
    <definedName name="tlOutputReportSummaryScenario3Royalty1">tlReport!$F$90</definedName>
    <definedName name="tlOutputReportSummaryScenario3Royalty10">tlReport!$O$90</definedName>
    <definedName name="tlOutputReportSummaryScenario3Royalty2">tlReport!$G$90</definedName>
    <definedName name="tlOutputReportSummaryScenario3Royalty3">tlReport!$H$90</definedName>
    <definedName name="tlOutputReportSummaryScenario3Royalty4">tlReport!$I$90</definedName>
    <definedName name="tlOutputReportSummaryScenario3Royalty5">tlReport!$J$90</definedName>
    <definedName name="tlOutputReportSummaryScenario3Royalty6">tlReport!$K$90</definedName>
    <definedName name="tlOutputReportSummaryScenario3Royalty7">tlReport!$L$90</definedName>
    <definedName name="tlOutputReportSummaryScenario3Royalty8">tlReport!$M$90</definedName>
    <definedName name="tlOutputReportSummaryScenario3Royalty9">tlReport!$N$90</definedName>
    <definedName name="tlOutputReportSummaryScenario3Sales0">tlReport!$E$85</definedName>
    <definedName name="tlOutputReportSummaryScenario3Sales1">tlReport!$F$85</definedName>
    <definedName name="tlOutputReportSummaryScenario3Sales10">tlReport!$O$85</definedName>
    <definedName name="tlOutputReportSummaryScenario3Sales2">tlReport!$G$85</definedName>
    <definedName name="tlOutputReportSummaryScenario3Sales3">tlReport!$H$85</definedName>
    <definedName name="tlOutputReportSummaryScenario3Sales4">tlReport!$I$85</definedName>
    <definedName name="tlOutputReportSummaryScenario3Sales5">tlReport!$J$85</definedName>
    <definedName name="tlOutputReportSummaryScenario3Sales6">tlReport!$K$85</definedName>
    <definedName name="tlOutputReportSummaryScenario3Sales7">tlReport!$L$85</definedName>
    <definedName name="tlOutputReportSummaryScenario3Sales8">tlReport!$M$85</definedName>
    <definedName name="tlOutputReportSummaryScenario3Sales9">tlReport!$N$85</definedName>
    <definedName name="tlOutputReportSummaryScenario3SnM0">tlReport!$E$89</definedName>
    <definedName name="tlOutputReportSummaryScenario3SnM1">tlReport!$F$89</definedName>
    <definedName name="tlOutputReportSummaryScenario3SnM10">tlReport!$O$89</definedName>
    <definedName name="tlOutputReportSummaryScenario3SnM2">tlReport!$G$89</definedName>
    <definedName name="tlOutputReportSummaryScenario3SnM3">tlReport!$H$89</definedName>
    <definedName name="tlOutputReportSummaryScenario3SnM4">tlReport!$I$89</definedName>
    <definedName name="tlOutputReportSummaryScenario3SnM5">tlReport!$J$89</definedName>
    <definedName name="tlOutputReportSummaryScenario3SnM6">tlReport!$K$89</definedName>
    <definedName name="tlOutputReportSummaryScenario3SnM7">tlReport!$L$89</definedName>
    <definedName name="tlOutputReportSummaryScenario3SnM8">tlReport!$M$89</definedName>
    <definedName name="tlOutputReportSummaryScenario3SnM9">tlReport!$N$89</definedName>
    <definedName name="tlOutputReportTargetIndication">tlReport!$D$6</definedName>
    <definedName name="tlOutputReportTargetLaunchDate">tlReport!$D$10</definedName>
    <definedName name="tlOutputScenario1Breakeven">tlScenario1!$O$57</definedName>
    <definedName name="tlOutputScenario1COGS">tlScenario1!$E$63</definedName>
    <definedName name="tlOutputScenario1Compliance">tlScenario1!$E$59</definedName>
    <definedName name="tlOutputScenario1CumPOS">tlScenario1!$O$33</definedName>
    <definedName name="tlOutputScenario1Dashboard">tlScenario1!$D$3</definedName>
    <definedName name="tlOutputScenario1DiscountRate">tlScenario1!$E$61</definedName>
    <definedName name="tlOutputScenario1EPV">tlScenario1!$O$61</definedName>
    <definedName name="tlOutputScenario1LaunchDate">tlScenario1!$O$35</definedName>
    <definedName name="tlOutputScenario1NPV">tlScenario1!$O$63</definedName>
    <definedName name="tlOutputScenario1Penetration">tlScenario1!$E$57</definedName>
    <definedName name="tlOutputScenario1Ph1FTECost">tlScenario1!$G$39</definedName>
    <definedName name="tlOutputScenario1Ph1PTS">tlScenario1!$G$33</definedName>
    <definedName name="tlOutputScenario1Ph1RnDCost">tlScenario1!$G$37</definedName>
    <definedName name="tlOutputScenario1Ph1TimeReq">tlScenario1!$G$35</definedName>
    <definedName name="tlOutputScenario1Ph2FTECost">tlScenario1!$I$39</definedName>
    <definedName name="tlOutputScenario1Ph2PTS">tlScenario1!$I$33</definedName>
    <definedName name="tlOutputScenario1Ph2RnDCost">tlScenario1!$I$37</definedName>
    <definedName name="tlOutputScenario1Ph2TimeReq">tlScenario1!$I$35</definedName>
    <definedName name="tlOutputScenario1Ph3FTECost">tlScenario1!$K$39</definedName>
    <definedName name="tlOutputScenario1Ph3PTS">tlScenario1!$K$33</definedName>
    <definedName name="tlOutputScenario1Ph3RnDCost">tlScenario1!$K$37</definedName>
    <definedName name="tlOutputScenario1Ph3TimeReq">tlScenario1!$K$35</definedName>
    <definedName name="tlOutputScenario1PriceRegion1">tlScenario1!$E$51</definedName>
    <definedName name="tlOutputScenario1PriceRegion2">tlScenario1!$G$51</definedName>
    <definedName name="tlOutputScenario1PriceRegion3">tlScenario1!$I$51</definedName>
    <definedName name="tlOutputScenario1PriceRegion4">tlScenario1!$K$51</definedName>
    <definedName name="tlOutputScenario1ProjectName">tlScenario1!$C$2</definedName>
    <definedName name="tlOutputScenario1Region1SnM">tlScenario1!$E$53</definedName>
    <definedName name="tlOutputScenario1Region2SnM">tlScenario1!$G$53</definedName>
    <definedName name="tlOutputScenario1Region3SnM">tlScenario1!$I$53</definedName>
    <definedName name="tlOutputScenario1Region4SnM">tlScenario1!$K$53</definedName>
    <definedName name="tlOutputScenario1ResearchFTECost">tlScenario1!$E$39</definedName>
    <definedName name="tlOutputScenario1ResearchPTS">tlScenario1!$E$33</definedName>
    <definedName name="tlOutputScenario1ResearchRnDCost">tlScenario1!$E$37</definedName>
    <definedName name="tlOutputScenario1ResearchTimeReq">tlScenario1!$E$35</definedName>
    <definedName name="tlOutputScenario1ROI">tlScenario1!$O$59</definedName>
    <definedName name="tlOutputScenario1TotFTEExp">tlScenario1!$O$39</definedName>
    <definedName name="tlOutputScenario1TotRnDCost">tlScenario1!$O$37</definedName>
    <definedName name="tlOutputScenario2Breakeven">tlScenario2!$O$57</definedName>
    <definedName name="tlOutputScenario2COGS">tlScenario2!$E$63</definedName>
    <definedName name="tlOutputScenario2Compliance">tlScenario2!$E$59</definedName>
    <definedName name="tlOutputScenario2CumPOS">tlScenario2!$O$33</definedName>
    <definedName name="tlOutputScenario2Dashboard">tlScenario2!$D$3</definedName>
    <definedName name="tlOutputScenario2DiscountRate">tlScenario2!$E$61</definedName>
    <definedName name="tlOutputScenario2EPV">tlScenario2!$O$61</definedName>
    <definedName name="tlOutputScenario2LaunchDate">tlScenario2!$O$35</definedName>
    <definedName name="tlOutputScenario2NPV">tlScenario2!$O$63</definedName>
    <definedName name="tlOutputScenario2Penetration">tlScenario2!$E$57</definedName>
    <definedName name="tlOutputScenario2Ph1FTECost">tlScenario2!$G$39</definedName>
    <definedName name="tlOutputScenario2Ph1PTS">tlScenario2!$G$33</definedName>
    <definedName name="tlOutputScenario2Ph1RnDCost">tlScenario2!$G$37</definedName>
    <definedName name="tlOutputScenario2Ph1TimeReq">tlScenario2!$G$35</definedName>
    <definedName name="tlOutputScenario2Ph2FTECost">tlScenario2!$I$39</definedName>
    <definedName name="tlOutputScenario2Ph2PTS">tlScenario2!$I$33</definedName>
    <definedName name="tlOutputScenario2Ph2RnDCost">tlScenario2!$I$37</definedName>
    <definedName name="tlOutputScenario2Ph2TimeReq">tlScenario2!$I$35</definedName>
    <definedName name="tlOutputScenario2Ph3FTECost">tlScenario2!$K$39</definedName>
    <definedName name="tlOutputScenario2Ph3PTS">tlScenario2!$K$33</definedName>
    <definedName name="tlOutputScenario2Ph3RnDCost">tlScenario2!$K$37</definedName>
    <definedName name="tlOutputScenario2Ph3TimeReq">tlScenario2!$K$35</definedName>
    <definedName name="tlOutputScenario2PriceRegion1">tlScenario2!$E$51</definedName>
    <definedName name="tlOutputScenario2PriceRegion2">tlScenario2!$G$51</definedName>
    <definedName name="tlOutputScenario2PriceRegion3">tlScenario2!$I$51</definedName>
    <definedName name="tlOutputScenario2PriceRegion4">tlScenario2!$K$51</definedName>
    <definedName name="tlOutputScenario2ProjectName">tlScenario2!$C$2</definedName>
    <definedName name="tlOutputScenario2Region1SnM">tlScenario2!$E$53</definedName>
    <definedName name="tlOutputScenario2Region2SnM">tlScenario2!$G$53</definedName>
    <definedName name="tlOutputScenario2Region3SnM">tlScenario2!$I$53</definedName>
    <definedName name="tlOutputScenario2Region4SnM">tlScenario2!$K$53</definedName>
    <definedName name="tlOutputScenario2ResearchFTECost">tlScenario2!$E$39</definedName>
    <definedName name="tlOutputScenario2ResearchPTS">tlScenario2!$E$33</definedName>
    <definedName name="tlOutputScenario2ResearchRnDCost">tlScenario2!$E$37</definedName>
    <definedName name="tlOutputScenario2ResearchTimeReq">tlScenario2!$E$35</definedName>
    <definedName name="tlOutputScenario2ROI">tlScenario2!$O$59</definedName>
    <definedName name="tlOutputScenario2TotFTEExp">tlScenario2!$O$39</definedName>
    <definedName name="tlOutputScenario2TotRnDCost">tlScenario2!$O$37</definedName>
    <definedName name="tlOutputScenario3Breakeven">tlScenario3!$O$57</definedName>
    <definedName name="tlOutputScenario3COGS">tlScenario3!$E$63</definedName>
    <definedName name="tlOutputScenario3Compliance">tlScenario3!$E$59</definedName>
    <definedName name="tlOutputScenario3CumPOS">tlScenario3!$O$33</definedName>
    <definedName name="tlOutputScenario3Dashboard">tlScenario3!$D$3</definedName>
    <definedName name="tlOutputScenario3DiscountRate">tlScenario3!$E$61</definedName>
    <definedName name="tlOutputScenario3EPV">tlScenario3!$O$61</definedName>
    <definedName name="tlOutputScenario3LaunchDate">tlScenario3!$O$35</definedName>
    <definedName name="tlOutputScenario3NPV">tlScenario3!$O$63</definedName>
    <definedName name="tlOutputScenario3Penetration">tlScenario3!$E$57</definedName>
    <definedName name="tlOutputScenario3Ph1FTECost">tlScenario3!$G$39</definedName>
    <definedName name="tlOutputScenario3Ph1PTS">tlScenario3!$G$33</definedName>
    <definedName name="tlOutputScenario3Ph1RnDCost">tlScenario3!$G$37</definedName>
    <definedName name="tlOutputScenario3Ph1TimeReq">tlScenario3!$G$35</definedName>
    <definedName name="tlOutputScenario3Ph2FTECost">tlScenario3!$I$39</definedName>
    <definedName name="tlOutputScenario3Ph2PTS">tlScenario3!$I$33</definedName>
    <definedName name="tlOutputScenario3Ph2RnDCost">tlScenario3!$I$37</definedName>
    <definedName name="tlOutputScenario3Ph2TimeReq">tlScenario3!$I$35</definedName>
    <definedName name="tlOutputScenario3Ph3FTECost">tlScenario3!$K$39</definedName>
    <definedName name="tlOutputScenario3Ph3PTS">tlScenario3!$K$33</definedName>
    <definedName name="tlOutputScenario3Ph3RnDCost">tlScenario3!$K$37</definedName>
    <definedName name="tlOutputScenario3Ph3TimeReq">tlScenario3!$K$35</definedName>
    <definedName name="tlOutputScenario3PriceRegion1">tlScenario3!$E$51</definedName>
    <definedName name="tlOutputScenario3PriceRegion2">tlScenario3!$G$51</definedName>
    <definedName name="tlOutputScenario3PriceRegion3">tlScenario3!$I$51</definedName>
    <definedName name="tlOutputScenario3PriceRegion4">tlScenario3!$K$51</definedName>
    <definedName name="tlOutputScenario3ProjectName">tlScenario3!$C$2</definedName>
    <definedName name="tlOutputScenario3Region1SnM">tlScenario3!$E$53</definedName>
    <definedName name="tlOutputScenario3Region2SnM">tlScenario3!$G$53</definedName>
    <definedName name="tlOutputScenario3Region3SnM">tlScenario3!$I$53</definedName>
    <definedName name="tlOutputScenario3Region4SnM">tlScenario3!$K$53</definedName>
    <definedName name="tlOutputScenario3ResearchFTECost">tlScenario3!$E$39</definedName>
    <definedName name="tlOutputScenario3ResearchPTS">tlScenario3!$E$33</definedName>
    <definedName name="tlOutputScenario3ResearchRnDCost">tlScenario3!$E$37</definedName>
    <definedName name="tlOutputScenario3ResearchTimeReq">tlScenario3!$E$35</definedName>
    <definedName name="tlOutputScenario3ROI">tlScenario3!$O$59</definedName>
    <definedName name="tlOutputScenario3TotFTEExp">tlScenario3!$O$39</definedName>
    <definedName name="tlOutputScenario3TotRnDCost">tlScenario3!$O$37</definedName>
    <definedName name="tlOutputTest1">Calc!$J$115</definedName>
    <definedName name="tlSI01">tlSIs!$C$7</definedName>
    <definedName name="tlSI02">tlSIs!$C$9</definedName>
    <definedName name="tlSI03">tlSIs!$C$11</definedName>
    <definedName name="tlSI04">tlSIs!$C$13</definedName>
    <definedName name="tlSI05">tlSIs!$C$15</definedName>
    <definedName name="tlTeamName">tlIntro!$D$8</definedName>
    <definedName name="tlTeamNumber">tlIntro!$F$14</definedName>
    <definedName name="vbaPopupMenu1ItemNumber">PopUp!$E$34</definedName>
    <definedName name="vbaPopupMenu1ListFaceID">PopUp!$L$10:$L$28</definedName>
    <definedName name="vbaPopupMenu1ListLevel">PopUp!$E$10:$E$28</definedName>
    <definedName name="vbaPopupMenu1ListMacro">PopUp!$K$10:$K$28</definedName>
    <definedName name="vbaPopupMenu1ListTitle">PopUp!$F$10:$F$28</definedName>
    <definedName name="vbaPopupMenu1Lvl1ItemNumber">PopUp!$E$32</definedName>
    <definedName name="vbaPopupMenu1Lvl2ItemNumber">PopUp!$E$33</definedName>
    <definedName name="vbaPopupMenuActive">PopUp!$E$4</definedName>
    <definedName name="vbaPopupMenuName">PopUp!$E$3</definedName>
    <definedName name="xxIndexTeam">Controls!$D$23</definedName>
    <definedName name="xxNumOfTeams">Controls!$D$15</definedName>
    <definedName name="xxRound">Controls!$D$19</definedName>
    <definedName name="xxSim0Tool1">Controls!$D$21</definedName>
    <definedName name="xxToolPrefix">Controls!$D$29</definedName>
  </definedNames>
  <calcPr calcId="171027"/>
</workbook>
</file>

<file path=xl/calcChain.xml><?xml version="1.0" encoding="utf-8"?>
<calcChain xmlns="http://schemas.openxmlformats.org/spreadsheetml/2006/main">
  <c r="AH64" i="20" l="1"/>
  <c r="AH68" i="20" s="1"/>
  <c r="AH66" i="20"/>
  <c r="W386" i="22" l="1"/>
  <c r="W385" i="22" s="1"/>
  <c r="V387" i="22"/>
  <c r="U387" i="22"/>
  <c r="T387" i="22"/>
  <c r="S387" i="22"/>
  <c r="W387" i="22" l="1"/>
  <c r="D358" i="21"/>
  <c r="G358" i="21"/>
  <c r="E299" i="14" l="1"/>
  <c r="E442" i="14"/>
  <c r="D342" i="21" l="1"/>
  <c r="D341" i="21"/>
  <c r="D340" i="21"/>
  <c r="F352" i="21" l="1"/>
  <c r="F351" i="21"/>
  <c r="D351" i="21"/>
  <c r="D350" i="21"/>
  <c r="E350" i="21"/>
  <c r="E351" i="21"/>
  <c r="E432" i="14"/>
  <c r="I424" i="14"/>
  <c r="H424" i="14"/>
  <c r="G424" i="14"/>
  <c r="F424" i="14"/>
  <c r="E412" i="14"/>
  <c r="E403" i="14"/>
  <c r="I392" i="14"/>
  <c r="H392" i="14"/>
  <c r="G392" i="14"/>
  <c r="F392" i="14"/>
  <c r="E289" i="14"/>
  <c r="I281" i="14"/>
  <c r="H281" i="14"/>
  <c r="G281" i="14"/>
  <c r="F281" i="14"/>
  <c r="E269" i="14"/>
  <c r="E260" i="14"/>
  <c r="I249" i="14"/>
  <c r="H249" i="14"/>
  <c r="G249" i="14"/>
  <c r="F249" i="14"/>
  <c r="E118" i="14" l="1"/>
  <c r="E94" i="4" l="1"/>
  <c r="K117" i="14" s="1"/>
  <c r="E88" i="4"/>
  <c r="K116" i="14" s="1"/>
  <c r="E82" i="4"/>
  <c r="K115" i="14" s="1"/>
  <c r="E76" i="4"/>
  <c r="L82" i="14" s="1"/>
  <c r="K114" i="14" l="1"/>
  <c r="K118" i="14" s="1"/>
  <c r="C75" i="22"/>
  <c r="C52" i="22"/>
  <c r="C29" i="22"/>
  <c r="C5" i="22"/>
  <c r="E147" i="14"/>
  <c r="I139" i="14"/>
  <c r="H139" i="14"/>
  <c r="G139" i="14"/>
  <c r="F139" i="14"/>
  <c r="E127" i="14"/>
  <c r="I107" i="14"/>
  <c r="H107" i="14"/>
  <c r="G107" i="14"/>
  <c r="F107" i="14"/>
  <c r="H95" i="14"/>
  <c r="G95" i="14"/>
  <c r="F95" i="14"/>
  <c r="E95" i="14"/>
  <c r="K83" i="14"/>
  <c r="J83" i="14"/>
  <c r="K82" i="14"/>
  <c r="J82" i="14"/>
  <c r="H74" i="14"/>
  <c r="G74" i="14"/>
  <c r="F74" i="14"/>
  <c r="E74" i="14"/>
  <c r="H55" i="14"/>
  <c r="G55" i="14"/>
  <c r="F55" i="14"/>
  <c r="E55" i="14"/>
  <c r="H37" i="14"/>
  <c r="G37" i="14"/>
  <c r="F37" i="14"/>
  <c r="E37" i="14"/>
  <c r="E103" i="4"/>
  <c r="E102" i="4"/>
  <c r="E101" i="4"/>
  <c r="E100" i="4"/>
  <c r="E98" i="4"/>
  <c r="E97" i="4"/>
  <c r="E96" i="4"/>
  <c r="C77" i="22" s="1"/>
  <c r="E95" i="4"/>
  <c r="E85" i="22" s="1"/>
  <c r="E92" i="4"/>
  <c r="E91" i="4"/>
  <c r="E90" i="4"/>
  <c r="C54" i="22" s="1"/>
  <c r="E89" i="4"/>
  <c r="E62" i="22" s="1"/>
  <c r="E86" i="4"/>
  <c r="E85" i="4"/>
  <c r="E84" i="4"/>
  <c r="C31" i="22" s="1"/>
  <c r="E83" i="4"/>
  <c r="E39" i="22" s="1"/>
  <c r="E80" i="4"/>
  <c r="E79" i="4"/>
  <c r="E78" i="4"/>
  <c r="C7" i="22" s="1"/>
  <c r="E77" i="4"/>
  <c r="E16" i="22" s="1"/>
  <c r="E73" i="4"/>
  <c r="E72" i="4"/>
  <c r="E71" i="4"/>
  <c r="E70" i="4"/>
  <c r="E68" i="4"/>
  <c r="E67" i="4"/>
  <c r="E66" i="4"/>
  <c r="E65" i="4"/>
  <c r="E63" i="4"/>
  <c r="E62" i="4"/>
  <c r="E61" i="4"/>
  <c r="E60" i="4"/>
  <c r="E58" i="4"/>
  <c r="E57" i="4"/>
  <c r="E56" i="4"/>
  <c r="E55" i="4"/>
  <c r="E53" i="4"/>
  <c r="I96" i="14" s="1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106" i="4"/>
  <c r="C134" i="22" s="1"/>
  <c r="E105" i="4"/>
  <c r="C133" i="22" s="1"/>
  <c r="E104" i="4"/>
  <c r="C111" i="22" s="1"/>
  <c r="E157" i="14"/>
  <c r="F223" i="21"/>
  <c r="E223" i="21"/>
  <c r="D223" i="21"/>
  <c r="F222" i="21"/>
  <c r="E222" i="21"/>
  <c r="D222" i="21"/>
  <c r="F51" i="21"/>
  <c r="E51" i="21"/>
  <c r="D51" i="21"/>
  <c r="F50" i="21"/>
  <c r="E50" i="21"/>
  <c r="D50" i="21"/>
  <c r="F43" i="21"/>
  <c r="E43" i="21"/>
  <c r="D43" i="21"/>
  <c r="F42" i="21"/>
  <c r="E42" i="21"/>
  <c r="D42" i="21"/>
  <c r="F35" i="21"/>
  <c r="E35" i="21"/>
  <c r="D35" i="21"/>
  <c r="F34" i="21"/>
  <c r="E34" i="21"/>
  <c r="D34" i="21"/>
  <c r="E83" i="14" l="1"/>
  <c r="G25" i="14"/>
  <c r="F25" i="14"/>
  <c r="E25" i="14"/>
  <c r="G83" i="14"/>
  <c r="H83" i="14"/>
  <c r="F83" i="14"/>
  <c r="D8" i="30"/>
  <c r="E8" i="28"/>
  <c r="R127" i="22"/>
  <c r="D127" i="22"/>
  <c r="K127" i="22"/>
  <c r="G127" i="22"/>
  <c r="M127" i="22"/>
  <c r="I127" i="22"/>
  <c r="E127" i="22"/>
  <c r="N127" i="22"/>
  <c r="F127" i="22"/>
  <c r="L127" i="22"/>
  <c r="H127" i="22"/>
  <c r="J127" i="22"/>
  <c r="Q83" i="14"/>
  <c r="Q82" i="14"/>
  <c r="Q84" i="14"/>
  <c r="P84" i="14"/>
  <c r="P82" i="14"/>
  <c r="P83" i="14"/>
  <c r="O84" i="14"/>
  <c r="O82" i="14"/>
  <c r="O83" i="14"/>
  <c r="I137" i="14"/>
  <c r="H72" i="14"/>
  <c r="G72" i="14"/>
  <c r="F72" i="14"/>
  <c r="G125" i="14"/>
  <c r="H116" i="14"/>
  <c r="F134" i="14"/>
  <c r="F105" i="14"/>
  <c r="F137" i="14"/>
  <c r="H134" i="14"/>
  <c r="E62" i="14"/>
  <c r="H105" i="14"/>
  <c r="F116" i="14"/>
  <c r="I125" i="14"/>
  <c r="H137" i="14"/>
  <c r="I105" i="14"/>
  <c r="I116" i="14"/>
  <c r="H125" i="14"/>
  <c r="G134" i="14"/>
  <c r="G137" i="14"/>
  <c r="G105" i="14"/>
  <c r="G116" i="14"/>
  <c r="F125" i="14"/>
  <c r="I134" i="14"/>
  <c r="O85" i="14" l="1"/>
  <c r="Q85" i="14"/>
  <c r="P85" i="14"/>
  <c r="I72" i="14"/>
  <c r="E32" i="4" l="1"/>
  <c r="E31" i="4"/>
  <c r="E29" i="4"/>
  <c r="E28" i="4"/>
  <c r="E27" i="4"/>
  <c r="E30" i="4"/>
  <c r="E26" i="4"/>
  <c r="E25" i="4"/>
  <c r="E24" i="4"/>
  <c r="E23" i="4"/>
  <c r="E8" i="14" s="1"/>
  <c r="E22" i="4"/>
  <c r="E7" i="14" s="1"/>
  <c r="E21" i="4"/>
  <c r="E6" i="14" s="1"/>
  <c r="E13" i="14" l="1"/>
  <c r="E12" i="14"/>
  <c r="E11" i="14"/>
  <c r="E10" i="14"/>
  <c r="E16" i="14"/>
  <c r="E15" i="14"/>
  <c r="E14" i="14"/>
  <c r="E90" i="30"/>
  <c r="E89" i="30"/>
  <c r="E87" i="30"/>
  <c r="E86" i="30"/>
  <c r="E85" i="30"/>
  <c r="E62" i="30"/>
  <c r="E61" i="30"/>
  <c r="E59" i="30"/>
  <c r="E58" i="30"/>
  <c r="E57" i="30"/>
  <c r="D384" i="22"/>
  <c r="D253" i="22"/>
  <c r="E34" i="30"/>
  <c r="E33" i="30"/>
  <c r="E31" i="30"/>
  <c r="E30" i="30"/>
  <c r="E29" i="30"/>
  <c r="E41" i="31" l="1"/>
  <c r="E55" i="31"/>
  <c r="E69" i="31"/>
  <c r="E56" i="31"/>
  <c r="E70" i="31"/>
  <c r="E42" i="31"/>
  <c r="E71" i="31"/>
  <c r="E43" i="31"/>
  <c r="E57" i="31"/>
  <c r="E37" i="31"/>
  <c r="E51" i="31"/>
  <c r="E65" i="31"/>
  <c r="E38" i="31"/>
  <c r="E52" i="31"/>
  <c r="E66" i="31"/>
  <c r="E39" i="31"/>
  <c r="E53" i="31"/>
  <c r="E67" i="31"/>
  <c r="E40" i="31"/>
  <c r="E54" i="31"/>
  <c r="E68" i="31"/>
  <c r="D122" i="22"/>
  <c r="H237" i="14" l="1"/>
  <c r="G237" i="14"/>
  <c r="F237" i="14"/>
  <c r="E237" i="14"/>
  <c r="H216" i="14"/>
  <c r="G216" i="14"/>
  <c r="F216" i="14"/>
  <c r="E216" i="14"/>
  <c r="H197" i="14"/>
  <c r="G197" i="14"/>
  <c r="F197" i="14"/>
  <c r="E197" i="14"/>
  <c r="H179" i="14"/>
  <c r="G179" i="14"/>
  <c r="F179" i="14"/>
  <c r="E179" i="14"/>
  <c r="H380" i="14"/>
  <c r="G380" i="14"/>
  <c r="F380" i="14"/>
  <c r="E380" i="14"/>
  <c r="H359" i="14"/>
  <c r="G359" i="14"/>
  <c r="F359" i="14"/>
  <c r="E359" i="14"/>
  <c r="H340" i="14"/>
  <c r="G340" i="14"/>
  <c r="F340" i="14"/>
  <c r="E340" i="14"/>
  <c r="H322" i="14"/>
  <c r="G322" i="14"/>
  <c r="F322" i="14"/>
  <c r="E322" i="14"/>
  <c r="I340" i="14" l="1"/>
  <c r="I216" i="14"/>
  <c r="I197" i="14"/>
  <c r="I359" i="14"/>
  <c r="I322" i="14"/>
  <c r="I179" i="14"/>
  <c r="L224" i="21" l="1"/>
  <c r="K224" i="21"/>
  <c r="J224" i="21"/>
  <c r="L223" i="21"/>
  <c r="K223" i="21"/>
  <c r="L242" i="21"/>
  <c r="K242" i="21"/>
  <c r="J242" i="21"/>
  <c r="L241" i="21"/>
  <c r="K241" i="21"/>
  <c r="J241" i="21"/>
  <c r="L240" i="21"/>
  <c r="K240" i="21"/>
  <c r="J240" i="21"/>
  <c r="L239" i="21"/>
  <c r="K239" i="21"/>
  <c r="J239" i="21"/>
  <c r="L238" i="21"/>
  <c r="K238" i="21"/>
  <c r="J238" i="21"/>
  <c r="L234" i="21"/>
  <c r="K234" i="21"/>
  <c r="J234" i="21"/>
  <c r="L233" i="21"/>
  <c r="K233" i="21"/>
  <c r="J233" i="21"/>
  <c r="L232" i="21"/>
  <c r="K232" i="21"/>
  <c r="J232" i="21"/>
  <c r="L231" i="21"/>
  <c r="K231" i="21"/>
  <c r="J231" i="21"/>
  <c r="L230" i="21"/>
  <c r="K230" i="21"/>
  <c r="J230" i="21"/>
  <c r="L226" i="21"/>
  <c r="K226" i="21"/>
  <c r="J226" i="21"/>
  <c r="L225" i="21"/>
  <c r="K225" i="21"/>
  <c r="J225" i="21"/>
  <c r="J223" i="21"/>
  <c r="L222" i="21"/>
  <c r="K222" i="21"/>
  <c r="J222" i="21"/>
  <c r="F226" i="21"/>
  <c r="E226" i="21"/>
  <c r="D226" i="21"/>
  <c r="F225" i="21"/>
  <c r="E225" i="21"/>
  <c r="D225" i="21"/>
  <c r="L175" i="21"/>
  <c r="K175" i="21"/>
  <c r="J175" i="21"/>
  <c r="L174" i="21"/>
  <c r="K174" i="21"/>
  <c r="J174" i="21"/>
  <c r="L173" i="21"/>
  <c r="K173" i="21"/>
  <c r="J173" i="21"/>
  <c r="L172" i="21"/>
  <c r="K172" i="21"/>
  <c r="J172" i="21"/>
  <c r="L171" i="21"/>
  <c r="K171" i="21"/>
  <c r="J171" i="21"/>
  <c r="L167" i="21"/>
  <c r="K167" i="21"/>
  <c r="J167" i="21"/>
  <c r="L166" i="21"/>
  <c r="K166" i="21"/>
  <c r="J166" i="21"/>
  <c r="L165" i="21"/>
  <c r="K165" i="21"/>
  <c r="J165" i="21"/>
  <c r="L164" i="21"/>
  <c r="K164" i="21"/>
  <c r="J164" i="21"/>
  <c r="L163" i="21"/>
  <c r="K163" i="21"/>
  <c r="J163" i="21"/>
  <c r="L159" i="21"/>
  <c r="K159" i="21"/>
  <c r="J159" i="21"/>
  <c r="L158" i="21"/>
  <c r="K158" i="21"/>
  <c r="J158" i="21"/>
  <c r="L157" i="21"/>
  <c r="K157" i="21"/>
  <c r="J157" i="21"/>
  <c r="L156" i="21"/>
  <c r="K156" i="21"/>
  <c r="J156" i="21"/>
  <c r="L155" i="21"/>
  <c r="K155" i="21"/>
  <c r="J155" i="21"/>
  <c r="I74" i="14" l="1"/>
  <c r="I55" i="14" l="1"/>
  <c r="L54" i="21"/>
  <c r="K54" i="21"/>
  <c r="J54" i="21"/>
  <c r="L53" i="21"/>
  <c r="K53" i="21"/>
  <c r="J53" i="21"/>
  <c r="L52" i="21"/>
  <c r="K52" i="21"/>
  <c r="J52" i="21"/>
  <c r="L51" i="21"/>
  <c r="K51" i="21"/>
  <c r="J51" i="21"/>
  <c r="L50" i="21"/>
  <c r="K50" i="21"/>
  <c r="J50" i="21"/>
  <c r="L46" i="21"/>
  <c r="K46" i="21"/>
  <c r="J46" i="21"/>
  <c r="L45" i="21"/>
  <c r="K45" i="21"/>
  <c r="J45" i="21"/>
  <c r="L44" i="21"/>
  <c r="K44" i="21"/>
  <c r="J44" i="21"/>
  <c r="L43" i="21"/>
  <c r="K43" i="21"/>
  <c r="J43" i="21"/>
  <c r="L42" i="21"/>
  <c r="K42" i="21"/>
  <c r="J42" i="21"/>
  <c r="L38" i="21"/>
  <c r="K38" i="21"/>
  <c r="J38" i="21"/>
  <c r="L37" i="21"/>
  <c r="K37" i="21"/>
  <c r="J37" i="21"/>
  <c r="L36" i="21"/>
  <c r="K36" i="21"/>
  <c r="J36" i="21"/>
  <c r="L35" i="21"/>
  <c r="K35" i="21"/>
  <c r="J35" i="21"/>
  <c r="L34" i="21"/>
  <c r="K34" i="21"/>
  <c r="J34" i="21"/>
  <c r="F54" i="21"/>
  <c r="E54" i="21"/>
  <c r="D54" i="21"/>
  <c r="F53" i="21"/>
  <c r="E53" i="21"/>
  <c r="D53" i="21"/>
  <c r="F46" i="21"/>
  <c r="E46" i="21"/>
  <c r="D46" i="21"/>
  <c r="F45" i="21"/>
  <c r="E45" i="21"/>
  <c r="D45" i="21"/>
  <c r="F38" i="21"/>
  <c r="E38" i="21"/>
  <c r="D38" i="21"/>
  <c r="F37" i="21"/>
  <c r="E37" i="21"/>
  <c r="D37" i="21"/>
  <c r="M8" i="28" l="1"/>
  <c r="P8" i="30"/>
  <c r="E19" i="4" l="1"/>
  <c r="S108" i="22" l="1"/>
  <c r="R108" i="22"/>
  <c r="U108" i="22"/>
  <c r="T108" i="22"/>
  <c r="D246" i="22"/>
  <c r="D377" i="22"/>
  <c r="D115" i="22"/>
  <c r="E180" i="4"/>
  <c r="C265" i="22" s="1"/>
  <c r="E179" i="4"/>
  <c r="C264" i="22" s="1"/>
  <c r="E178" i="4"/>
  <c r="C242" i="22" s="1"/>
  <c r="E177" i="4"/>
  <c r="E176" i="4"/>
  <c r="E175" i="4"/>
  <c r="E174" i="4"/>
  <c r="E172" i="4"/>
  <c r="E171" i="4"/>
  <c r="E170" i="4"/>
  <c r="C210" i="22" s="1"/>
  <c r="E169" i="4"/>
  <c r="E216" i="22" s="1"/>
  <c r="F216" i="22" s="1"/>
  <c r="G216" i="22" s="1"/>
  <c r="H216" i="22" s="1"/>
  <c r="I216" i="22" s="1"/>
  <c r="J216" i="22" s="1"/>
  <c r="K216" i="22" s="1"/>
  <c r="L216" i="22" s="1"/>
  <c r="M216" i="22" s="1"/>
  <c r="N216" i="22" s="1"/>
  <c r="E168" i="4"/>
  <c r="E166" i="4"/>
  <c r="E165" i="4"/>
  <c r="E164" i="4"/>
  <c r="C189" i="22" s="1"/>
  <c r="E163" i="4"/>
  <c r="E195" i="22" s="1"/>
  <c r="F195" i="22" s="1"/>
  <c r="G195" i="22" s="1"/>
  <c r="H195" i="22" s="1"/>
  <c r="I195" i="22" s="1"/>
  <c r="J195" i="22" s="1"/>
  <c r="K195" i="22" s="1"/>
  <c r="L195" i="22" s="1"/>
  <c r="M195" i="22" s="1"/>
  <c r="N195" i="22" s="1"/>
  <c r="E162" i="4"/>
  <c r="K258" i="14" s="1"/>
  <c r="E160" i="4"/>
  <c r="E159" i="4"/>
  <c r="E158" i="4"/>
  <c r="C168" i="22" s="1"/>
  <c r="E157" i="4"/>
  <c r="E174" i="22" s="1"/>
  <c r="F174" i="22" s="1"/>
  <c r="G174" i="22" s="1"/>
  <c r="H174" i="22" s="1"/>
  <c r="I174" i="22" s="1"/>
  <c r="J174" i="22" s="1"/>
  <c r="K174" i="22" s="1"/>
  <c r="L174" i="22" s="1"/>
  <c r="M174" i="22" s="1"/>
  <c r="N174" i="22" s="1"/>
  <c r="E156" i="4"/>
  <c r="E154" i="4"/>
  <c r="E153" i="4"/>
  <c r="E152" i="4"/>
  <c r="C147" i="22" s="1"/>
  <c r="E151" i="4"/>
  <c r="E153" i="22" s="1"/>
  <c r="E150" i="4"/>
  <c r="L224" i="14" s="1"/>
  <c r="E147" i="4"/>
  <c r="E146" i="4"/>
  <c r="E145" i="4"/>
  <c r="E144" i="4"/>
  <c r="E142" i="4"/>
  <c r="E141" i="4"/>
  <c r="E140" i="4"/>
  <c r="E139" i="4"/>
  <c r="E137" i="4"/>
  <c r="E136" i="4"/>
  <c r="E135" i="4"/>
  <c r="E134" i="4"/>
  <c r="E132" i="4"/>
  <c r="E131" i="4"/>
  <c r="E130" i="4"/>
  <c r="E129" i="4"/>
  <c r="E127" i="4"/>
  <c r="I238" i="14" s="1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254" i="4"/>
  <c r="C396" i="22" s="1"/>
  <c r="E253" i="4"/>
  <c r="C395" i="22" s="1"/>
  <c r="E252" i="4"/>
  <c r="C373" i="22" s="1"/>
  <c r="E251" i="4"/>
  <c r="E250" i="4"/>
  <c r="E249" i="4"/>
  <c r="E248" i="4"/>
  <c r="E246" i="4"/>
  <c r="E245" i="4"/>
  <c r="E244" i="4"/>
  <c r="C341" i="22" s="1"/>
  <c r="E243" i="4"/>
  <c r="E347" i="22" s="1"/>
  <c r="F347" i="22" s="1"/>
  <c r="G347" i="22" s="1"/>
  <c r="H347" i="22" s="1"/>
  <c r="I347" i="22" s="1"/>
  <c r="J347" i="22" s="1"/>
  <c r="K347" i="22" s="1"/>
  <c r="L347" i="22" s="1"/>
  <c r="M347" i="22" s="1"/>
  <c r="N347" i="22" s="1"/>
  <c r="E242" i="4"/>
  <c r="E240" i="4"/>
  <c r="E239" i="4"/>
  <c r="E238" i="4"/>
  <c r="C320" i="22" s="1"/>
  <c r="E237" i="4"/>
  <c r="E326" i="22" s="1"/>
  <c r="F326" i="22" s="1"/>
  <c r="G326" i="22" s="1"/>
  <c r="H326" i="22" s="1"/>
  <c r="I326" i="22" s="1"/>
  <c r="J326" i="22" s="1"/>
  <c r="K326" i="22" s="1"/>
  <c r="L326" i="22" s="1"/>
  <c r="M326" i="22" s="1"/>
  <c r="N326" i="22" s="1"/>
  <c r="E236" i="4"/>
  <c r="K401" i="14" s="1"/>
  <c r="E234" i="4"/>
  <c r="E233" i="4"/>
  <c r="E232" i="4"/>
  <c r="C299" i="22" s="1"/>
  <c r="E231" i="4"/>
  <c r="E305" i="22" s="1"/>
  <c r="F305" i="22" s="1"/>
  <c r="E230" i="4"/>
  <c r="E228" i="4"/>
  <c r="E227" i="4"/>
  <c r="E226" i="4"/>
  <c r="C278" i="22" s="1"/>
  <c r="E225" i="4"/>
  <c r="E284" i="22" s="1"/>
  <c r="E224" i="4"/>
  <c r="L367" i="14" s="1"/>
  <c r="E221" i="4"/>
  <c r="E220" i="4"/>
  <c r="E219" i="4"/>
  <c r="E218" i="4"/>
  <c r="E216" i="4"/>
  <c r="E215" i="4"/>
  <c r="E214" i="4"/>
  <c r="E213" i="4"/>
  <c r="E211" i="4"/>
  <c r="E210" i="4"/>
  <c r="E209" i="4"/>
  <c r="E208" i="4"/>
  <c r="E206" i="4"/>
  <c r="E205" i="4"/>
  <c r="E204" i="4"/>
  <c r="E203" i="4"/>
  <c r="E201" i="4"/>
  <c r="I381" i="14" s="1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C2" i="33"/>
  <c r="I300" i="14" l="1"/>
  <c r="I282" i="14"/>
  <c r="I261" i="14"/>
  <c r="K259" i="14"/>
  <c r="I259" i="14"/>
  <c r="I250" i="14"/>
  <c r="I270" i="14"/>
  <c r="I290" i="14"/>
  <c r="I288" i="14"/>
  <c r="I268" i="14"/>
  <c r="I401" i="14"/>
  <c r="I390" i="14"/>
  <c r="H401" i="14"/>
  <c r="H390" i="14"/>
  <c r="I422" i="14"/>
  <c r="G401" i="14"/>
  <c r="G390" i="14"/>
  <c r="H422" i="14"/>
  <c r="F401" i="14"/>
  <c r="F390" i="14"/>
  <c r="G422" i="14"/>
  <c r="F422" i="14"/>
  <c r="H357" i="14"/>
  <c r="F357" i="14"/>
  <c r="G357" i="14"/>
  <c r="L389" i="22"/>
  <c r="H389" i="22"/>
  <c r="D389" i="22"/>
  <c r="G389" i="22"/>
  <c r="N389" i="22"/>
  <c r="J389" i="22"/>
  <c r="F389" i="22"/>
  <c r="K389" i="22"/>
  <c r="M389" i="22"/>
  <c r="I389" i="22"/>
  <c r="E389" i="22"/>
  <c r="K258" i="22"/>
  <c r="G258" i="22"/>
  <c r="F258" i="22"/>
  <c r="M258" i="22"/>
  <c r="I258" i="22"/>
  <c r="E258" i="22"/>
  <c r="L258" i="22"/>
  <c r="H258" i="22"/>
  <c r="D258" i="22"/>
  <c r="N258" i="22"/>
  <c r="J258" i="22"/>
  <c r="K402" i="14"/>
  <c r="K400" i="14"/>
  <c r="H419" i="14"/>
  <c r="I410" i="14"/>
  <c r="G419" i="14"/>
  <c r="I419" i="14"/>
  <c r="F410" i="14"/>
  <c r="H410" i="14"/>
  <c r="F419" i="14"/>
  <c r="G410" i="14"/>
  <c r="Q367" i="14"/>
  <c r="Q369" i="14"/>
  <c r="Q368" i="14"/>
  <c r="P369" i="14"/>
  <c r="P367" i="14"/>
  <c r="P368" i="14"/>
  <c r="O367" i="14"/>
  <c r="O368" i="14"/>
  <c r="O369" i="14"/>
  <c r="K257" i="14"/>
  <c r="G276" i="14"/>
  <c r="H267" i="14"/>
  <c r="F276" i="14"/>
  <c r="G267" i="14"/>
  <c r="I276" i="14"/>
  <c r="F267" i="14"/>
  <c r="H276" i="14"/>
  <c r="I267" i="14"/>
  <c r="Q224" i="14"/>
  <c r="Q226" i="14"/>
  <c r="Q225" i="14"/>
  <c r="P226" i="14"/>
  <c r="P225" i="14"/>
  <c r="P224" i="14"/>
  <c r="O224" i="14"/>
  <c r="O225" i="14"/>
  <c r="O226" i="14"/>
  <c r="C145" i="22"/>
  <c r="K256" i="14"/>
  <c r="C276" i="22"/>
  <c r="K399" i="14"/>
  <c r="F368" i="14"/>
  <c r="G310" i="14"/>
  <c r="H368" i="14"/>
  <c r="F310" i="14"/>
  <c r="G368" i="14"/>
  <c r="E310" i="14"/>
  <c r="F225" i="14"/>
  <c r="H225" i="14"/>
  <c r="F167" i="14"/>
  <c r="G225" i="14"/>
  <c r="E167" i="14"/>
  <c r="G167" i="14"/>
  <c r="J368" i="14"/>
  <c r="C297" i="22"/>
  <c r="G305" i="22"/>
  <c r="H305" i="22" s="1"/>
  <c r="I305" i="22" s="1"/>
  <c r="J305" i="22" s="1"/>
  <c r="K305" i="22" s="1"/>
  <c r="L305" i="22" s="1"/>
  <c r="M305" i="22" s="1"/>
  <c r="N305" i="22" s="1"/>
  <c r="J225" i="14"/>
  <c r="C166" i="22"/>
  <c r="K368" i="14"/>
  <c r="C339" i="22"/>
  <c r="K224" i="14"/>
  <c r="C187" i="22"/>
  <c r="F284" i="22"/>
  <c r="G284" i="22" s="1"/>
  <c r="E361" i="22"/>
  <c r="K367" i="14"/>
  <c r="C318" i="22"/>
  <c r="E230" i="22"/>
  <c r="F153" i="22"/>
  <c r="K225" i="14"/>
  <c r="C208" i="22"/>
  <c r="J367" i="14"/>
  <c r="E347" i="14"/>
  <c r="E368" i="14"/>
  <c r="E225" i="14"/>
  <c r="E204" i="14"/>
  <c r="J224" i="14"/>
  <c r="C2" i="32"/>
  <c r="K260" i="14" l="1"/>
  <c r="K403" i="14"/>
  <c r="Q370" i="14"/>
  <c r="P370" i="14"/>
  <c r="O370" i="14"/>
  <c r="Q227" i="14"/>
  <c r="O227" i="14"/>
  <c r="P227" i="14"/>
  <c r="J226" i="14"/>
  <c r="I357" i="14"/>
  <c r="J369" i="14"/>
  <c r="G153" i="22"/>
  <c r="F230" i="22"/>
  <c r="K369" i="14"/>
  <c r="K226" i="14"/>
  <c r="H284" i="22"/>
  <c r="G361" i="22"/>
  <c r="F361" i="22"/>
  <c r="I347" i="14"/>
  <c r="I310" i="14"/>
  <c r="I167" i="14"/>
  <c r="I204" i="14"/>
  <c r="E288" i="4"/>
  <c r="E287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60" i="4"/>
  <c r="E259" i="4"/>
  <c r="E258" i="4"/>
  <c r="E257" i="4"/>
  <c r="J227" i="14" l="1"/>
  <c r="L225" i="14" s="1"/>
  <c r="L226" i="14" s="1"/>
  <c r="J370" i="14"/>
  <c r="L368" i="14" s="1"/>
  <c r="L369" i="14" s="1"/>
  <c r="I284" i="22"/>
  <c r="H361" i="22"/>
  <c r="H153" i="22"/>
  <c r="G230" i="22"/>
  <c r="E18" i="4"/>
  <c r="E17" i="4"/>
  <c r="E16" i="4"/>
  <c r="E15" i="4"/>
  <c r="E14" i="4"/>
  <c r="E13" i="4"/>
  <c r="E12" i="4"/>
  <c r="E11" i="4"/>
  <c r="E10" i="4"/>
  <c r="E9" i="4"/>
  <c r="I37" i="14"/>
  <c r="P6" i="30"/>
  <c r="J10" i="30"/>
  <c r="D10" i="30"/>
  <c r="J6" i="30"/>
  <c r="D6" i="30"/>
  <c r="J8" i="30"/>
  <c r="P4" i="30"/>
  <c r="J4" i="30"/>
  <c r="D4" i="30"/>
  <c r="C17" i="28"/>
  <c r="C15" i="28"/>
  <c r="C13" i="28"/>
  <c r="C21" i="28"/>
  <c r="C19" i="28"/>
  <c r="C23" i="28"/>
  <c r="I8" i="28"/>
  <c r="M6" i="28"/>
  <c r="M4" i="28"/>
  <c r="Q6" i="28"/>
  <c r="Q4" i="28"/>
  <c r="I6" i="28"/>
  <c r="E6" i="28"/>
  <c r="I4" i="28"/>
  <c r="E4" i="28"/>
  <c r="E110" i="31"/>
  <c r="E109" i="31"/>
  <c r="E108" i="31"/>
  <c r="E3" i="14" l="1"/>
  <c r="H103" i="14"/>
  <c r="H114" i="14"/>
  <c r="G114" i="14"/>
  <c r="I103" i="14"/>
  <c r="F103" i="14"/>
  <c r="H135" i="14"/>
  <c r="F114" i="14"/>
  <c r="G135" i="14"/>
  <c r="F135" i="14"/>
  <c r="I135" i="14"/>
  <c r="I114" i="14"/>
  <c r="G103" i="14"/>
  <c r="H257" i="14"/>
  <c r="H246" i="14"/>
  <c r="F278" i="14"/>
  <c r="F257" i="14"/>
  <c r="I278" i="14"/>
  <c r="G246" i="14"/>
  <c r="I246" i="14"/>
  <c r="G278" i="14"/>
  <c r="I257" i="14"/>
  <c r="H278" i="14"/>
  <c r="F246" i="14"/>
  <c r="G257" i="14"/>
  <c r="H375" i="14"/>
  <c r="G375" i="14"/>
  <c r="H232" i="14"/>
  <c r="G232" i="14"/>
  <c r="H226" i="14"/>
  <c r="G84" i="14"/>
  <c r="H369" i="14"/>
  <c r="G369" i="14"/>
  <c r="F226" i="14"/>
  <c r="F369" i="14"/>
  <c r="H84" i="14"/>
  <c r="G226" i="14"/>
  <c r="F84" i="14"/>
  <c r="H221" i="14"/>
  <c r="F221" i="14"/>
  <c r="H364" i="14"/>
  <c r="E221" i="14"/>
  <c r="G364" i="14"/>
  <c r="F364" i="14"/>
  <c r="G221" i="14"/>
  <c r="E364" i="14"/>
  <c r="G421" i="14"/>
  <c r="G420" i="14"/>
  <c r="I400" i="14"/>
  <c r="F399" i="14"/>
  <c r="I389" i="14"/>
  <c r="I388" i="14"/>
  <c r="I387" i="14"/>
  <c r="I279" i="14"/>
  <c r="I277" i="14"/>
  <c r="F258" i="14"/>
  <c r="H256" i="14"/>
  <c r="G247" i="14"/>
  <c r="G245" i="14"/>
  <c r="G244" i="14"/>
  <c r="G430" i="14"/>
  <c r="G431" i="14" s="1"/>
  <c r="G433" i="14" s="1"/>
  <c r="H287" i="14"/>
  <c r="H288" i="14" s="1"/>
  <c r="I418" i="14"/>
  <c r="I275" i="14"/>
  <c r="I409" i="14"/>
  <c r="I411" i="14" s="1"/>
  <c r="I413" i="14" s="1"/>
  <c r="I266" i="14"/>
  <c r="I398" i="14"/>
  <c r="I255" i="14"/>
  <c r="I386" i="14"/>
  <c r="I243" i="14"/>
  <c r="I438" i="14"/>
  <c r="I295" i="14"/>
  <c r="F421" i="14"/>
  <c r="F420" i="14"/>
  <c r="H400" i="14"/>
  <c r="I399" i="14"/>
  <c r="H389" i="14"/>
  <c r="H388" i="14"/>
  <c r="H387" i="14"/>
  <c r="H279" i="14"/>
  <c r="H277" i="14"/>
  <c r="I258" i="14"/>
  <c r="G256" i="14"/>
  <c r="F247" i="14"/>
  <c r="F245" i="14"/>
  <c r="F244" i="14"/>
  <c r="F430" i="14"/>
  <c r="F431" i="14" s="1"/>
  <c r="F433" i="14" s="1"/>
  <c r="G287" i="14"/>
  <c r="G288" i="14" s="1"/>
  <c r="G290" i="14" s="1"/>
  <c r="H418" i="14"/>
  <c r="H275" i="14"/>
  <c r="H409" i="14"/>
  <c r="H411" i="14" s="1"/>
  <c r="H266" i="14"/>
  <c r="H268" i="14" s="1"/>
  <c r="H398" i="14"/>
  <c r="H255" i="14"/>
  <c r="H386" i="14"/>
  <c r="H243" i="14"/>
  <c r="H438" i="14"/>
  <c r="H295" i="14"/>
  <c r="I421" i="14"/>
  <c r="I420" i="14"/>
  <c r="G400" i="14"/>
  <c r="H399" i="14"/>
  <c r="G389" i="14"/>
  <c r="G388" i="14"/>
  <c r="G387" i="14"/>
  <c r="G279" i="14"/>
  <c r="G277" i="14"/>
  <c r="H258" i="14"/>
  <c r="F256" i="14"/>
  <c r="I247" i="14"/>
  <c r="I245" i="14"/>
  <c r="I244" i="14"/>
  <c r="I430" i="14"/>
  <c r="I431" i="14" s="1"/>
  <c r="I433" i="14" s="1"/>
  <c r="F287" i="14"/>
  <c r="F288" i="14" s="1"/>
  <c r="F290" i="14" s="1"/>
  <c r="G399" i="14"/>
  <c r="F389" i="14"/>
  <c r="F279" i="14"/>
  <c r="H430" i="14"/>
  <c r="H431" i="14" s="1"/>
  <c r="F418" i="14"/>
  <c r="F409" i="14"/>
  <c r="F411" i="14" s="1"/>
  <c r="F413" i="14" s="1"/>
  <c r="F398" i="14"/>
  <c r="F386" i="14"/>
  <c r="F438" i="14"/>
  <c r="F388" i="14"/>
  <c r="F277" i="14"/>
  <c r="I256" i="14"/>
  <c r="H247" i="14"/>
  <c r="I287" i="14"/>
  <c r="G275" i="14"/>
  <c r="G266" i="14"/>
  <c r="G268" i="14" s="1"/>
  <c r="G270" i="14" s="1"/>
  <c r="G255" i="14"/>
  <c r="G243" i="14"/>
  <c r="G295" i="14"/>
  <c r="H421" i="14"/>
  <c r="F400" i="14"/>
  <c r="F387" i="14"/>
  <c r="G258" i="14"/>
  <c r="H245" i="14"/>
  <c r="F275" i="14"/>
  <c r="F266" i="14"/>
  <c r="F268" i="14" s="1"/>
  <c r="F270" i="14" s="1"/>
  <c r="F255" i="14"/>
  <c r="F243" i="14"/>
  <c r="F295" i="14"/>
  <c r="H420" i="14"/>
  <c r="H244" i="14"/>
  <c r="G418" i="14"/>
  <c r="G409" i="14"/>
  <c r="G411" i="14" s="1"/>
  <c r="G413" i="14" s="1"/>
  <c r="G398" i="14"/>
  <c r="G386" i="14"/>
  <c r="G438" i="14"/>
  <c r="H365" i="14"/>
  <c r="H222" i="14"/>
  <c r="H80" i="14"/>
  <c r="G365" i="14"/>
  <c r="G222" i="14"/>
  <c r="G80" i="14"/>
  <c r="F365" i="14"/>
  <c r="F222" i="14"/>
  <c r="F80" i="14"/>
  <c r="E365" i="14"/>
  <c r="E222" i="14"/>
  <c r="E80" i="14"/>
  <c r="H79" i="14"/>
  <c r="G79" i="14"/>
  <c r="F79" i="14"/>
  <c r="E79" i="14"/>
  <c r="E18" i="14"/>
  <c r="G102" i="14"/>
  <c r="G32" i="14"/>
  <c r="F115" i="14"/>
  <c r="H68" i="14"/>
  <c r="H50" i="14"/>
  <c r="G29" i="14"/>
  <c r="I102" i="14"/>
  <c r="F104" i="14"/>
  <c r="G66" i="14"/>
  <c r="H87" i="14"/>
  <c r="I104" i="14"/>
  <c r="G68" i="14"/>
  <c r="F102" i="14"/>
  <c r="H29" i="14"/>
  <c r="H102" i="14"/>
  <c r="G50" i="14"/>
  <c r="G87" i="14"/>
  <c r="H32" i="14"/>
  <c r="H104" i="14"/>
  <c r="G47" i="14"/>
  <c r="H115" i="14"/>
  <c r="H66" i="14"/>
  <c r="I115" i="14"/>
  <c r="G136" i="14"/>
  <c r="G104" i="14"/>
  <c r="I136" i="14"/>
  <c r="F136" i="14"/>
  <c r="H136" i="14"/>
  <c r="H47" i="14"/>
  <c r="G115" i="14"/>
  <c r="F113" i="14"/>
  <c r="G351" i="14"/>
  <c r="H372" i="14"/>
  <c r="H353" i="14"/>
  <c r="G335" i="14"/>
  <c r="G174" i="14"/>
  <c r="H174" i="14"/>
  <c r="H208" i="14"/>
  <c r="G171" i="14"/>
  <c r="G332" i="14"/>
  <c r="H351" i="14"/>
  <c r="H335" i="14"/>
  <c r="G317" i="14"/>
  <c r="H229" i="14"/>
  <c r="H189" i="14"/>
  <c r="G372" i="14"/>
  <c r="H332" i="14"/>
  <c r="H317" i="14"/>
  <c r="G192" i="14"/>
  <c r="H210" i="14"/>
  <c r="H171" i="14"/>
  <c r="G229" i="14"/>
  <c r="G314" i="14"/>
  <c r="H314" i="14"/>
  <c r="G353" i="14"/>
  <c r="G210" i="14"/>
  <c r="H192" i="14"/>
  <c r="G189" i="14"/>
  <c r="G208" i="14"/>
  <c r="G133" i="14"/>
  <c r="I153" i="22"/>
  <c r="H230" i="22"/>
  <c r="F346" i="14"/>
  <c r="F203" i="14"/>
  <c r="F328" i="14"/>
  <c r="F185" i="14"/>
  <c r="F309" i="14"/>
  <c r="F166" i="14"/>
  <c r="H153" i="14"/>
  <c r="H154" i="14" s="1"/>
  <c r="F124" i="14"/>
  <c r="F126" i="14" s="1"/>
  <c r="F128" i="14" s="1"/>
  <c r="E203" i="14"/>
  <c r="E185" i="14"/>
  <c r="F133" i="14"/>
  <c r="G153" i="14"/>
  <c r="G154" i="14" s="1"/>
  <c r="H145" i="14"/>
  <c r="H146" i="14" s="1"/>
  <c r="H148" i="14" s="1"/>
  <c r="F101" i="14"/>
  <c r="H346" i="14"/>
  <c r="H328" i="14"/>
  <c r="H309" i="14"/>
  <c r="I133" i="14"/>
  <c r="G145" i="14"/>
  <c r="G146" i="14" s="1"/>
  <c r="I113" i="14"/>
  <c r="I101" i="14"/>
  <c r="G346" i="14"/>
  <c r="G203" i="14"/>
  <c r="G328" i="14"/>
  <c r="G185" i="14"/>
  <c r="G309" i="14"/>
  <c r="G166" i="14"/>
  <c r="H133" i="14"/>
  <c r="I153" i="14"/>
  <c r="I154" i="14" s="1"/>
  <c r="F145" i="14"/>
  <c r="F146" i="14" s="1"/>
  <c r="F148" i="14" s="1"/>
  <c r="G124" i="14"/>
  <c r="G126" i="14" s="1"/>
  <c r="H113" i="14"/>
  <c r="H101" i="14"/>
  <c r="I145" i="14"/>
  <c r="I146" i="14" s="1"/>
  <c r="I148" i="14" s="1"/>
  <c r="G113" i="14"/>
  <c r="G101" i="14"/>
  <c r="E346" i="14"/>
  <c r="E328" i="14"/>
  <c r="E309" i="14"/>
  <c r="E166" i="14"/>
  <c r="I124" i="14"/>
  <c r="I126" i="14" s="1"/>
  <c r="I128" i="14" s="1"/>
  <c r="H203" i="14"/>
  <c r="H185" i="14"/>
  <c r="H166" i="14"/>
  <c r="F153" i="14"/>
  <c r="F154" i="14" s="1"/>
  <c r="H124" i="14"/>
  <c r="H126" i="14" s="1"/>
  <c r="H128" i="14" s="1"/>
  <c r="G61" i="14"/>
  <c r="E61" i="14"/>
  <c r="F61" i="14"/>
  <c r="H61" i="14"/>
  <c r="G43" i="14"/>
  <c r="E43" i="14"/>
  <c r="H43" i="14"/>
  <c r="F43" i="14"/>
  <c r="F24" i="14"/>
  <c r="H24" i="14"/>
  <c r="G24" i="14"/>
  <c r="E24" i="14"/>
  <c r="J284" i="22"/>
  <c r="I361" i="22"/>
  <c r="F85" i="22"/>
  <c r="E99" i="22"/>
  <c r="F16" i="22"/>
  <c r="I25" i="14"/>
  <c r="F39" i="22"/>
  <c r="F62" i="22"/>
  <c r="E23" i="31"/>
  <c r="E26" i="31"/>
  <c r="F367" i="14" l="1"/>
  <c r="H373" i="14"/>
  <c r="H230" i="14"/>
  <c r="H88" i="14"/>
  <c r="F117" i="14"/>
  <c r="F119" i="14" s="1"/>
  <c r="F85" i="14"/>
  <c r="F86" i="14"/>
  <c r="F370" i="14"/>
  <c r="F228" i="14"/>
  <c r="F371" i="14"/>
  <c r="F227" i="14"/>
  <c r="H228" i="14"/>
  <c r="G228" i="14"/>
  <c r="I402" i="14"/>
  <c r="I404" i="14" s="1"/>
  <c r="H227" i="14"/>
  <c r="G259" i="14"/>
  <c r="G261" i="14" s="1"/>
  <c r="G227" i="14"/>
  <c r="G371" i="14"/>
  <c r="G370" i="14"/>
  <c r="G402" i="14"/>
  <c r="G404" i="14" s="1"/>
  <c r="H371" i="14"/>
  <c r="H370" i="14"/>
  <c r="G117" i="14"/>
  <c r="G119" i="14" s="1"/>
  <c r="E205" i="14"/>
  <c r="I205" i="14" s="1"/>
  <c r="H374" i="14"/>
  <c r="H89" i="14"/>
  <c r="H231" i="14"/>
  <c r="F224" i="14"/>
  <c r="G367" i="14"/>
  <c r="E348" i="14"/>
  <c r="I348" i="14" s="1"/>
  <c r="H224" i="14"/>
  <c r="E224" i="14"/>
  <c r="E367" i="14"/>
  <c r="G224" i="14"/>
  <c r="H367" i="14"/>
  <c r="E226" i="14"/>
  <c r="F259" i="14"/>
  <c r="F261" i="14" s="1"/>
  <c r="G439" i="14"/>
  <c r="H296" i="14"/>
  <c r="G296" i="14"/>
  <c r="F402" i="14"/>
  <c r="F404" i="14" s="1"/>
  <c r="H439" i="14"/>
  <c r="I296" i="14"/>
  <c r="I440" i="14"/>
  <c r="I297" i="14"/>
  <c r="H440" i="14"/>
  <c r="F297" i="14"/>
  <c r="G440" i="14"/>
  <c r="H297" i="14"/>
  <c r="F440" i="14"/>
  <c r="G297" i="14"/>
  <c r="F296" i="14"/>
  <c r="F439" i="14"/>
  <c r="I439" i="14"/>
  <c r="F155" i="14"/>
  <c r="F156" i="14" s="1"/>
  <c r="F158" i="14" s="1"/>
  <c r="H155" i="14"/>
  <c r="H156" i="14" s="1"/>
  <c r="G155" i="14"/>
  <c r="G156" i="14" s="1"/>
  <c r="G158" i="14" s="1"/>
  <c r="I155" i="14"/>
  <c r="H158" i="14"/>
  <c r="H329" i="14"/>
  <c r="H311" i="14"/>
  <c r="H321" i="14" s="1"/>
  <c r="F186" i="14"/>
  <c r="F196" i="14" s="1"/>
  <c r="F168" i="14"/>
  <c r="F178" i="14" s="1"/>
  <c r="H44" i="14"/>
  <c r="H26" i="14"/>
  <c r="G329" i="14"/>
  <c r="G311" i="14"/>
  <c r="E186" i="14"/>
  <c r="E196" i="14" s="1"/>
  <c r="E168" i="14"/>
  <c r="G44" i="14"/>
  <c r="G26" i="14"/>
  <c r="F329" i="14"/>
  <c r="F339" i="14" s="1"/>
  <c r="F311" i="14"/>
  <c r="F321" i="14" s="1"/>
  <c r="H186" i="14"/>
  <c r="H196" i="14" s="1"/>
  <c r="H168" i="14"/>
  <c r="H178" i="14" s="1"/>
  <c r="F44" i="14"/>
  <c r="F26" i="14"/>
  <c r="E329" i="14"/>
  <c r="E339" i="14" s="1"/>
  <c r="E311" i="14"/>
  <c r="E321" i="14" s="1"/>
  <c r="G186" i="14"/>
  <c r="G168" i="14"/>
  <c r="E44" i="14"/>
  <c r="E26" i="14"/>
  <c r="E215" i="14"/>
  <c r="E217" i="14" s="1"/>
  <c r="E84" i="14"/>
  <c r="E63" i="14"/>
  <c r="I63" i="14" s="1"/>
  <c r="G423" i="14"/>
  <c r="G425" i="14" s="1"/>
  <c r="F248" i="14"/>
  <c r="F250" i="14" s="1"/>
  <c r="F391" i="14"/>
  <c r="F393" i="14" s="1"/>
  <c r="E287" i="14"/>
  <c r="H402" i="14"/>
  <c r="H404" i="14" s="1"/>
  <c r="H280" i="14"/>
  <c r="H282" i="14" s="1"/>
  <c r="E369" i="14"/>
  <c r="G391" i="14"/>
  <c r="G393" i="14" s="1"/>
  <c r="G53" i="33" s="1"/>
  <c r="I391" i="14"/>
  <c r="I393" i="14" s="1"/>
  <c r="K53" i="33" s="1"/>
  <c r="F106" i="14"/>
  <c r="F108" i="14" s="1"/>
  <c r="G128" i="14"/>
  <c r="E126" i="14"/>
  <c r="E128" i="14" s="1"/>
  <c r="G148" i="14"/>
  <c r="E146" i="14"/>
  <c r="E148" i="14" s="1"/>
  <c r="H433" i="14"/>
  <c r="E431" i="14"/>
  <c r="E433" i="14" s="1"/>
  <c r="I248" i="14"/>
  <c r="H290" i="14"/>
  <c r="E288" i="14"/>
  <c r="E290" i="14" s="1"/>
  <c r="G280" i="14"/>
  <c r="G282" i="14" s="1"/>
  <c r="H423" i="14"/>
  <c r="H425" i="14" s="1"/>
  <c r="H259" i="14"/>
  <c r="G248" i="14"/>
  <c r="G250" i="14" s="1"/>
  <c r="G53" i="32" s="1"/>
  <c r="H248" i="14"/>
  <c r="H250" i="14" s="1"/>
  <c r="H270" i="14"/>
  <c r="E268" i="14"/>
  <c r="E270" i="14" s="1"/>
  <c r="I280" i="14"/>
  <c r="H117" i="14"/>
  <c r="H119" i="14" s="1"/>
  <c r="I117" i="14"/>
  <c r="I119" i="14" s="1"/>
  <c r="H45" i="14"/>
  <c r="F28" i="14"/>
  <c r="G374" i="14"/>
  <c r="H319" i="14"/>
  <c r="I319" i="14" s="1"/>
  <c r="H211" i="14"/>
  <c r="I211" i="14" s="1"/>
  <c r="G173" i="14"/>
  <c r="H49" i="14"/>
  <c r="F207" i="14"/>
  <c r="G169" i="14"/>
  <c r="H235" i="14"/>
  <c r="H69" i="14"/>
  <c r="I69" i="14" s="1"/>
  <c r="G330" i="14"/>
  <c r="F338" i="14"/>
  <c r="H233" i="14"/>
  <c r="H191" i="14"/>
  <c r="H35" i="14"/>
  <c r="F331" i="14"/>
  <c r="F206" i="14"/>
  <c r="G231" i="14"/>
  <c r="G172" i="14"/>
  <c r="H331" i="14"/>
  <c r="H188" i="14"/>
  <c r="H376" i="14"/>
  <c r="G320" i="14"/>
  <c r="H213" i="14"/>
  <c r="I213" i="14" s="1"/>
  <c r="H175" i="14"/>
  <c r="I175" i="14" s="1"/>
  <c r="H52" i="14"/>
  <c r="I52" i="14" s="1"/>
  <c r="H350" i="14"/>
  <c r="F313" i="14"/>
  <c r="H27" i="14"/>
  <c r="G65" i="14"/>
  <c r="F27" i="14"/>
  <c r="H64" i="14"/>
  <c r="F45" i="14"/>
  <c r="G352" i="14"/>
  <c r="I352" i="14" s="1"/>
  <c r="G315" i="14"/>
  <c r="F195" i="14"/>
  <c r="H91" i="14"/>
  <c r="G35" i="14"/>
  <c r="H330" i="14"/>
  <c r="H377" i="14"/>
  <c r="G209" i="14"/>
  <c r="I209" i="14" s="1"/>
  <c r="G49" i="14"/>
  <c r="F312" i="14"/>
  <c r="G334" i="14"/>
  <c r="H214" i="14"/>
  <c r="G177" i="14"/>
  <c r="H71" i="14"/>
  <c r="I71" i="14" s="1"/>
  <c r="H33" i="14"/>
  <c r="I33" i="14" s="1"/>
  <c r="F188" i="14"/>
  <c r="H338" i="14"/>
  <c r="F214" i="14"/>
  <c r="F53" i="14"/>
  <c r="G313" i="14"/>
  <c r="G187" i="14"/>
  <c r="H355" i="14"/>
  <c r="I355" i="14" s="1"/>
  <c r="H316" i="14"/>
  <c r="H195" i="14"/>
  <c r="H93" i="14"/>
  <c r="G48" i="14"/>
  <c r="I48" i="14" s="1"/>
  <c r="G349" i="14"/>
  <c r="G188" i="14"/>
  <c r="G46" i="14"/>
  <c r="G28" i="14"/>
  <c r="F170" i="14"/>
  <c r="H65" i="14"/>
  <c r="H28" i="14"/>
  <c r="G27" i="14"/>
  <c r="H337" i="14"/>
  <c r="I337" i="14" s="1"/>
  <c r="G191" i="14"/>
  <c r="H70" i="14"/>
  <c r="I70" i="14" s="1"/>
  <c r="H31" i="14"/>
  <c r="H313" i="14"/>
  <c r="H187" i="14"/>
  <c r="H356" i="14"/>
  <c r="I356" i="14" s="1"/>
  <c r="G190" i="14"/>
  <c r="G31" i="14"/>
  <c r="F320" i="14"/>
  <c r="H212" i="14"/>
  <c r="I212" i="14" s="1"/>
  <c r="H173" i="14"/>
  <c r="H53" i="14"/>
  <c r="G350" i="14"/>
  <c r="H312" i="14"/>
  <c r="H336" i="14"/>
  <c r="I336" i="14" s="1"/>
  <c r="H194" i="14"/>
  <c r="I194" i="14" s="1"/>
  <c r="F35" i="14"/>
  <c r="G170" i="14"/>
  <c r="G338" i="14"/>
  <c r="H234" i="14"/>
  <c r="H193" i="14"/>
  <c r="I193" i="14" s="1"/>
  <c r="G89" i="14"/>
  <c r="H34" i="14"/>
  <c r="I34" i="14" s="1"/>
  <c r="G331" i="14"/>
  <c r="H207" i="14"/>
  <c r="F187" i="14"/>
  <c r="F46" i="14"/>
  <c r="G64" i="14"/>
  <c r="G45" i="14"/>
  <c r="F65" i="14"/>
  <c r="H378" i="14"/>
  <c r="G333" i="14"/>
  <c r="G214" i="14"/>
  <c r="F177" i="14"/>
  <c r="G53" i="14"/>
  <c r="F350" i="14"/>
  <c r="G312" i="14"/>
  <c r="H170" i="14"/>
  <c r="H320" i="14"/>
  <c r="H349" i="14"/>
  <c r="H354" i="14"/>
  <c r="I354" i="14" s="1"/>
  <c r="G316" i="14"/>
  <c r="G195" i="14"/>
  <c r="H92" i="14"/>
  <c r="H51" i="14"/>
  <c r="I51" i="14" s="1"/>
  <c r="F349" i="14"/>
  <c r="G207" i="14"/>
  <c r="H169" i="14"/>
  <c r="H318" i="14"/>
  <c r="I318" i="14" s="1"/>
  <c r="H176" i="14"/>
  <c r="I176" i="14" s="1"/>
  <c r="H206" i="14"/>
  <c r="F169" i="14"/>
  <c r="H334" i="14"/>
  <c r="H177" i="14"/>
  <c r="G67" i="14"/>
  <c r="I67" i="14" s="1"/>
  <c r="G30" i="14"/>
  <c r="F330" i="14"/>
  <c r="G206" i="14"/>
  <c r="F64" i="14"/>
  <c r="H46" i="14"/>
  <c r="E295" i="14"/>
  <c r="F280" i="14"/>
  <c r="F282" i="14" s="1"/>
  <c r="E438" i="14"/>
  <c r="F423" i="14"/>
  <c r="F425" i="14" s="1"/>
  <c r="H391" i="14"/>
  <c r="H393" i="14" s="1"/>
  <c r="H413" i="14"/>
  <c r="E411" i="14"/>
  <c r="E413" i="14" s="1"/>
  <c r="E430" i="14"/>
  <c r="I423" i="14"/>
  <c r="I425" i="14" s="1"/>
  <c r="E349" i="22" s="1"/>
  <c r="F349" i="22" s="1"/>
  <c r="G349" i="22" s="1"/>
  <c r="H349" i="22" s="1"/>
  <c r="I349" i="22" s="1"/>
  <c r="J349" i="22" s="1"/>
  <c r="K349" i="22" s="1"/>
  <c r="L349" i="22" s="1"/>
  <c r="M349" i="22" s="1"/>
  <c r="N349" i="22" s="1"/>
  <c r="I317" i="14"/>
  <c r="I332" i="14"/>
  <c r="I171" i="14"/>
  <c r="I351" i="14"/>
  <c r="I353" i="14"/>
  <c r="I24" i="14"/>
  <c r="I346" i="14"/>
  <c r="E145" i="14"/>
  <c r="I314" i="14"/>
  <c r="I43" i="14"/>
  <c r="I61" i="14"/>
  <c r="I309" i="14"/>
  <c r="I185" i="14"/>
  <c r="I328" i="14"/>
  <c r="I203" i="14"/>
  <c r="K284" i="22"/>
  <c r="J361" i="22"/>
  <c r="I208" i="14"/>
  <c r="I189" i="14"/>
  <c r="I192" i="14"/>
  <c r="I210" i="14"/>
  <c r="I174" i="14"/>
  <c r="I335" i="14"/>
  <c r="E153" i="14"/>
  <c r="K53" i="32"/>
  <c r="I166" i="14"/>
  <c r="I230" i="22"/>
  <c r="J153" i="22"/>
  <c r="K84" i="14"/>
  <c r="I138" i="14"/>
  <c r="I140" i="14" s="1"/>
  <c r="I29" i="14"/>
  <c r="G106" i="14"/>
  <c r="G108" i="14" s="1"/>
  <c r="J84" i="14"/>
  <c r="I47" i="14"/>
  <c r="I66" i="14"/>
  <c r="I62" i="14"/>
  <c r="I106" i="14"/>
  <c r="I108" i="14" s="1"/>
  <c r="H138" i="14"/>
  <c r="H140" i="14" s="1"/>
  <c r="G39" i="22"/>
  <c r="I50" i="14"/>
  <c r="H106" i="14"/>
  <c r="H108" i="14" s="1"/>
  <c r="G138" i="14"/>
  <c r="G140" i="14" s="1"/>
  <c r="F138" i="14"/>
  <c r="F140" i="14" s="1"/>
  <c r="G85" i="22"/>
  <c r="I32" i="14"/>
  <c r="E154" i="14"/>
  <c r="G62" i="22"/>
  <c r="I68" i="14"/>
  <c r="G16" i="22"/>
  <c r="F99" i="22"/>
  <c r="C2" i="20"/>
  <c r="F36" i="14" l="1"/>
  <c r="E178" i="14"/>
  <c r="E180" i="14" s="1"/>
  <c r="E37" i="32" s="1"/>
  <c r="H339" i="14"/>
  <c r="H36" i="14"/>
  <c r="H38" i="14" s="1"/>
  <c r="E323" i="14"/>
  <c r="E37" i="33" s="1"/>
  <c r="E36" i="14"/>
  <c r="E38" i="14" s="1"/>
  <c r="I333" i="14"/>
  <c r="G339" i="14"/>
  <c r="I339" i="14" s="1"/>
  <c r="I190" i="14"/>
  <c r="G196" i="14"/>
  <c r="I196" i="14" s="1"/>
  <c r="I315" i="14"/>
  <c r="G321" i="14"/>
  <c r="G323" i="14" s="1"/>
  <c r="I37" i="33" s="1"/>
  <c r="I172" i="14"/>
  <c r="G178" i="14"/>
  <c r="G180" i="14" s="1"/>
  <c r="I37" i="32" s="1"/>
  <c r="I30" i="14"/>
  <c r="G36" i="14"/>
  <c r="G38" i="14" s="1"/>
  <c r="E402" i="14"/>
  <c r="E404" i="14" s="1"/>
  <c r="E250" i="14"/>
  <c r="F379" i="14"/>
  <c r="F381" i="14" s="1"/>
  <c r="G33" i="33" s="1"/>
  <c r="E358" i="14"/>
  <c r="E360" i="14" s="1"/>
  <c r="E35" i="33" s="1"/>
  <c r="E35" i="32"/>
  <c r="F236" i="14"/>
  <c r="F238" i="14" s="1"/>
  <c r="G33" i="32" s="1"/>
  <c r="E236" i="14"/>
  <c r="E238" i="14" s="1"/>
  <c r="E33" i="32" s="1"/>
  <c r="E379" i="14"/>
  <c r="E381" i="14" s="1"/>
  <c r="E33" i="33" s="1"/>
  <c r="H298" i="14"/>
  <c r="H300" i="14" s="1"/>
  <c r="G441" i="14"/>
  <c r="G443" i="14" s="1"/>
  <c r="G298" i="14"/>
  <c r="G300" i="14" s="1"/>
  <c r="I298" i="14"/>
  <c r="F298" i="14"/>
  <c r="F300" i="14" s="1"/>
  <c r="I441" i="14"/>
  <c r="I443" i="14" s="1"/>
  <c r="E440" i="14"/>
  <c r="H441" i="14"/>
  <c r="H443" i="14" s="1"/>
  <c r="E439" i="14"/>
  <c r="E425" i="14"/>
  <c r="E282" i="14"/>
  <c r="E393" i="14"/>
  <c r="I191" i="14"/>
  <c r="I49" i="14"/>
  <c r="F441" i="14"/>
  <c r="E297" i="14"/>
  <c r="E296" i="14"/>
  <c r="F358" i="14"/>
  <c r="F360" i="14" s="1"/>
  <c r="G35" i="33" s="1"/>
  <c r="H379" i="14"/>
  <c r="H381" i="14" s="1"/>
  <c r="K33" i="33" s="1"/>
  <c r="I44" i="14"/>
  <c r="I330" i="14"/>
  <c r="F323" i="14"/>
  <c r="G37" i="33" s="1"/>
  <c r="G215" i="14"/>
  <c r="G217" i="14" s="1"/>
  <c r="I35" i="32" s="1"/>
  <c r="I329" i="14"/>
  <c r="I187" i="14"/>
  <c r="I312" i="14"/>
  <c r="I313" i="14"/>
  <c r="I350" i="14"/>
  <c r="G236" i="14"/>
  <c r="G238" i="14" s="1"/>
  <c r="I33" i="32" s="1"/>
  <c r="I186" i="14"/>
  <c r="I169" i="14"/>
  <c r="F341" i="14"/>
  <c r="G39" i="33" s="1"/>
  <c r="I349" i="14"/>
  <c r="I316" i="14"/>
  <c r="I31" i="14"/>
  <c r="H236" i="14"/>
  <c r="H238" i="14" s="1"/>
  <c r="K33" i="32" s="1"/>
  <c r="I188" i="14"/>
  <c r="H215" i="14"/>
  <c r="H217" i="14" s="1"/>
  <c r="K35" i="32" s="1"/>
  <c r="I45" i="14"/>
  <c r="G379" i="14"/>
  <c r="G381" i="14" s="1"/>
  <c r="I33" i="33" s="1"/>
  <c r="I207" i="14"/>
  <c r="H180" i="14"/>
  <c r="K37" i="32" s="1"/>
  <c r="I177" i="14"/>
  <c r="H323" i="14"/>
  <c r="K37" i="33" s="1"/>
  <c r="I170" i="14"/>
  <c r="G358" i="14"/>
  <c r="G360" i="14" s="1"/>
  <c r="I334" i="14"/>
  <c r="I206" i="14"/>
  <c r="I53" i="32"/>
  <c r="E341" i="14"/>
  <c r="E39" i="33" s="1"/>
  <c r="I53" i="33"/>
  <c r="E73" i="14"/>
  <c r="E75" i="14" s="1"/>
  <c r="I35" i="14"/>
  <c r="I28" i="14"/>
  <c r="I331" i="14"/>
  <c r="I173" i="14"/>
  <c r="I26" i="14"/>
  <c r="I311" i="14"/>
  <c r="I168" i="14"/>
  <c r="F38" i="14"/>
  <c r="H73" i="14"/>
  <c r="H75" i="14" s="1"/>
  <c r="I46" i="14"/>
  <c r="I65" i="14"/>
  <c r="I64" i="14"/>
  <c r="F73" i="14"/>
  <c r="F75" i="14" s="1"/>
  <c r="H341" i="14"/>
  <c r="K39" i="33" s="1"/>
  <c r="I53" i="14"/>
  <c r="I195" i="14"/>
  <c r="F215" i="14"/>
  <c r="F217" i="14" s="1"/>
  <c r="G35" i="32" s="1"/>
  <c r="I27" i="14"/>
  <c r="F180" i="14"/>
  <c r="G37" i="32" s="1"/>
  <c r="H358" i="14"/>
  <c r="H360" i="14" s="1"/>
  <c r="K35" i="33" s="1"/>
  <c r="I320" i="14"/>
  <c r="I214" i="14"/>
  <c r="G73" i="14"/>
  <c r="G75" i="14" s="1"/>
  <c r="I51" i="33"/>
  <c r="I338" i="14"/>
  <c r="H261" i="14"/>
  <c r="E259" i="14"/>
  <c r="E261" i="14" s="1"/>
  <c r="E117" i="14"/>
  <c r="E119" i="14" s="1"/>
  <c r="E140" i="14"/>
  <c r="J85" i="14"/>
  <c r="L83" i="14" s="1"/>
  <c r="L84" i="14" s="1"/>
  <c r="E54" i="14" s="1"/>
  <c r="E56" i="14" s="1"/>
  <c r="I51" i="20"/>
  <c r="E64" i="22"/>
  <c r="F64" i="22" s="1"/>
  <c r="G64" i="22" s="1"/>
  <c r="H64" i="22" s="1"/>
  <c r="I64" i="22" s="1"/>
  <c r="J64" i="22" s="1"/>
  <c r="K64" i="22" s="1"/>
  <c r="L64" i="22" s="1"/>
  <c r="M64" i="22" s="1"/>
  <c r="N64" i="22" s="1"/>
  <c r="G51" i="20"/>
  <c r="E41" i="22"/>
  <c r="K53" i="20"/>
  <c r="I53" i="20"/>
  <c r="G53" i="20"/>
  <c r="E87" i="22"/>
  <c r="F87" i="22" s="1"/>
  <c r="G87" i="22" s="1"/>
  <c r="H87" i="22" s="1"/>
  <c r="I87" i="22" s="1"/>
  <c r="J87" i="22" s="1"/>
  <c r="K87" i="22" s="1"/>
  <c r="L87" i="22" s="1"/>
  <c r="M87" i="22" s="1"/>
  <c r="N87" i="22" s="1"/>
  <c r="K51" i="20"/>
  <c r="E328" i="22"/>
  <c r="F328" i="22" s="1"/>
  <c r="G328" i="22" s="1"/>
  <c r="H328" i="22" s="1"/>
  <c r="I328" i="22" s="1"/>
  <c r="J328" i="22" s="1"/>
  <c r="K328" i="22" s="1"/>
  <c r="L328" i="22" s="1"/>
  <c r="M328" i="22" s="1"/>
  <c r="N328" i="22" s="1"/>
  <c r="K51" i="33"/>
  <c r="L284" i="22"/>
  <c r="K361" i="22"/>
  <c r="E307" i="22"/>
  <c r="F307" i="22" s="1"/>
  <c r="G307" i="22" s="1"/>
  <c r="H307" i="22" s="1"/>
  <c r="I307" i="22" s="1"/>
  <c r="J307" i="22" s="1"/>
  <c r="K307" i="22" s="1"/>
  <c r="L307" i="22" s="1"/>
  <c r="M307" i="22" s="1"/>
  <c r="N307" i="22" s="1"/>
  <c r="G51" i="33"/>
  <c r="E176" i="22"/>
  <c r="F176" i="22" s="1"/>
  <c r="G176" i="22" s="1"/>
  <c r="H176" i="22" s="1"/>
  <c r="I176" i="22" s="1"/>
  <c r="J176" i="22" s="1"/>
  <c r="K176" i="22" s="1"/>
  <c r="L176" i="22" s="1"/>
  <c r="M176" i="22" s="1"/>
  <c r="N176" i="22" s="1"/>
  <c r="G51" i="32"/>
  <c r="K51" i="32"/>
  <c r="E218" i="22"/>
  <c r="F218" i="22" s="1"/>
  <c r="G218" i="22" s="1"/>
  <c r="H218" i="22" s="1"/>
  <c r="I218" i="22" s="1"/>
  <c r="J218" i="22" s="1"/>
  <c r="K218" i="22" s="1"/>
  <c r="L218" i="22" s="1"/>
  <c r="M218" i="22" s="1"/>
  <c r="N218" i="22" s="1"/>
  <c r="K153" i="22"/>
  <c r="J230" i="22"/>
  <c r="E197" i="22"/>
  <c r="F197" i="22" s="1"/>
  <c r="G197" i="22" s="1"/>
  <c r="H197" i="22" s="1"/>
  <c r="I197" i="22" s="1"/>
  <c r="J197" i="22" s="1"/>
  <c r="K197" i="22" s="1"/>
  <c r="L197" i="22" s="1"/>
  <c r="M197" i="22" s="1"/>
  <c r="N197" i="22" s="1"/>
  <c r="I51" i="32"/>
  <c r="H85" i="22"/>
  <c r="H39" i="22"/>
  <c r="H16" i="22"/>
  <c r="G99" i="22"/>
  <c r="H62" i="22"/>
  <c r="E108" i="14"/>
  <c r="I18" i="25"/>
  <c r="E37" i="20" l="1"/>
  <c r="R107" i="22"/>
  <c r="H54" i="14"/>
  <c r="H56" i="14" s="1"/>
  <c r="G198" i="14"/>
  <c r="I39" i="32" s="1"/>
  <c r="G341" i="14"/>
  <c r="I39" i="33" s="1"/>
  <c r="H198" i="14"/>
  <c r="K39" i="32" s="1"/>
  <c r="F198" i="14"/>
  <c r="G39" i="32" s="1"/>
  <c r="G54" i="14"/>
  <c r="G56" i="14" s="1"/>
  <c r="I39" i="20" s="1"/>
  <c r="F54" i="14"/>
  <c r="F56" i="14" s="1"/>
  <c r="G39" i="20" s="1"/>
  <c r="G86" i="14"/>
  <c r="G85" i="14"/>
  <c r="H90" i="14"/>
  <c r="G90" i="14"/>
  <c r="H86" i="14"/>
  <c r="H85" i="14"/>
  <c r="I360" i="14"/>
  <c r="D398" i="22" s="1"/>
  <c r="K35" i="20"/>
  <c r="J68" i="14"/>
  <c r="I35" i="20"/>
  <c r="J67" i="14"/>
  <c r="G35" i="20"/>
  <c r="J66" i="14"/>
  <c r="I217" i="14"/>
  <c r="D267" i="22" s="1"/>
  <c r="K37" i="20"/>
  <c r="U107" i="22"/>
  <c r="E35" i="20"/>
  <c r="I75" i="14"/>
  <c r="D136" i="22" s="1"/>
  <c r="J65" i="14"/>
  <c r="K66" i="14"/>
  <c r="K68" i="14"/>
  <c r="K65" i="14"/>
  <c r="K67" i="14"/>
  <c r="E39" i="20"/>
  <c r="R109" i="22"/>
  <c r="R110" i="22" s="1"/>
  <c r="L65" i="14"/>
  <c r="I37" i="20"/>
  <c r="T107" i="22"/>
  <c r="G37" i="20"/>
  <c r="S107" i="22"/>
  <c r="K39" i="20"/>
  <c r="U109" i="22"/>
  <c r="L68" i="14"/>
  <c r="E298" i="14"/>
  <c r="E300" i="14" s="1"/>
  <c r="E63" i="32" s="1"/>
  <c r="F41" i="22"/>
  <c r="G41" i="22" s="1"/>
  <c r="H41" i="22" s="1"/>
  <c r="I41" i="22" s="1"/>
  <c r="J41" i="22" s="1"/>
  <c r="K41" i="22" s="1"/>
  <c r="L41" i="22" s="1"/>
  <c r="M41" i="22" s="1"/>
  <c r="N41" i="22" s="1"/>
  <c r="F443" i="14"/>
  <c r="E441" i="14"/>
  <c r="E443" i="14" s="1"/>
  <c r="E63" i="33" s="1"/>
  <c r="I323" i="14"/>
  <c r="O37" i="33" s="1"/>
  <c r="J238" i="14"/>
  <c r="O33" i="32" s="1"/>
  <c r="J381" i="14"/>
  <c r="O33" i="33" s="1"/>
  <c r="I358" i="14"/>
  <c r="I321" i="14"/>
  <c r="I215" i="14"/>
  <c r="I341" i="14"/>
  <c r="O39" i="33" s="1"/>
  <c r="I38" i="14"/>
  <c r="O37" i="20" s="1"/>
  <c r="I36" i="14"/>
  <c r="I178" i="14"/>
  <c r="I73" i="14"/>
  <c r="I180" i="14"/>
  <c r="O37" i="32" s="1"/>
  <c r="G82" i="14"/>
  <c r="F82" i="14"/>
  <c r="E82" i="14"/>
  <c r="E94" i="14" s="1"/>
  <c r="E96" i="14" s="1"/>
  <c r="H82" i="14"/>
  <c r="E18" i="22"/>
  <c r="E51" i="20"/>
  <c r="C32" i="22"/>
  <c r="C55" i="22"/>
  <c r="C78" i="22"/>
  <c r="E59" i="20"/>
  <c r="C8" i="22"/>
  <c r="E53" i="20"/>
  <c r="E76" i="22"/>
  <c r="E30" i="22"/>
  <c r="E53" i="22"/>
  <c r="E6" i="22"/>
  <c r="C57" i="22"/>
  <c r="C80" i="22"/>
  <c r="C10" i="22"/>
  <c r="C34" i="22"/>
  <c r="E61" i="20"/>
  <c r="E53" i="33"/>
  <c r="I35" i="33"/>
  <c r="E53" i="32"/>
  <c r="E286" i="22"/>
  <c r="E51" i="33"/>
  <c r="K230" i="22"/>
  <c r="L153" i="22"/>
  <c r="M284" i="22"/>
  <c r="L361" i="22"/>
  <c r="C190" i="22"/>
  <c r="C169" i="22"/>
  <c r="C148" i="22"/>
  <c r="E59" i="32"/>
  <c r="C211" i="22"/>
  <c r="E167" i="22"/>
  <c r="E209" i="22"/>
  <c r="E188" i="22"/>
  <c r="E146" i="22"/>
  <c r="E340" i="22"/>
  <c r="E298" i="22"/>
  <c r="E319" i="22"/>
  <c r="E277" i="22"/>
  <c r="E155" i="22"/>
  <c r="E51" i="32"/>
  <c r="C342" i="22"/>
  <c r="E59" i="33"/>
  <c r="C321" i="22"/>
  <c r="C300" i="22"/>
  <c r="C279" i="22"/>
  <c r="C281" i="22"/>
  <c r="C323" i="22"/>
  <c r="C344" i="22"/>
  <c r="C302" i="22"/>
  <c r="E61" i="33"/>
  <c r="C171" i="22"/>
  <c r="C150" i="22"/>
  <c r="C213" i="22"/>
  <c r="C192" i="22"/>
  <c r="E61" i="32"/>
  <c r="I39" i="22"/>
  <c r="I85" i="22"/>
  <c r="H99" i="22"/>
  <c r="I16" i="22"/>
  <c r="I62" i="22"/>
  <c r="H14" i="25"/>
  <c r="I54" i="14" l="1"/>
  <c r="I56" i="14"/>
  <c r="O39" i="20" s="1"/>
  <c r="L66" i="14"/>
  <c r="L67" i="14"/>
  <c r="M67" i="14" s="1"/>
  <c r="S109" i="22"/>
  <c r="S110" i="22" s="1"/>
  <c r="E198" i="14"/>
  <c r="T109" i="22"/>
  <c r="T110" i="22" s="1"/>
  <c r="M68" i="14"/>
  <c r="E33" i="20"/>
  <c r="S111" i="22"/>
  <c r="R111" i="22"/>
  <c r="R112" i="22" s="1"/>
  <c r="U111" i="22"/>
  <c r="T111" i="22"/>
  <c r="M65" i="14"/>
  <c r="M66" i="14"/>
  <c r="U110" i="22"/>
  <c r="W110" i="22"/>
  <c r="W112" i="22"/>
  <c r="W113" i="22" s="1"/>
  <c r="D376" i="22"/>
  <c r="E215" i="22"/>
  <c r="E194" i="22"/>
  <c r="E173" i="22"/>
  <c r="E152" i="22"/>
  <c r="O35" i="33"/>
  <c r="E346" i="22"/>
  <c r="E325" i="22"/>
  <c r="E304" i="22"/>
  <c r="E283" i="22"/>
  <c r="O35" i="20"/>
  <c r="E84" i="22"/>
  <c r="E61" i="22"/>
  <c r="E15" i="22"/>
  <c r="E38" i="22"/>
  <c r="D399" i="22"/>
  <c r="F70" i="31" s="1"/>
  <c r="G70" i="31" s="1"/>
  <c r="E147" i="31" s="1"/>
  <c r="C387" i="22"/>
  <c r="D375" i="22"/>
  <c r="D268" i="22"/>
  <c r="S62" i="30" s="1"/>
  <c r="C256" i="22"/>
  <c r="D269" i="22"/>
  <c r="H22" i="30" s="1"/>
  <c r="D400" i="22"/>
  <c r="F71" i="31" s="1"/>
  <c r="G71" i="31" s="1"/>
  <c r="E148" i="31" s="1"/>
  <c r="D245" i="22"/>
  <c r="D137" i="22"/>
  <c r="F42" i="31" s="1"/>
  <c r="G42" i="31" s="1"/>
  <c r="D114" i="22"/>
  <c r="E98" i="22"/>
  <c r="F41" i="31"/>
  <c r="G41" i="31" s="1"/>
  <c r="F94" i="14"/>
  <c r="F96" i="14" s="1"/>
  <c r="G33" i="20" s="1"/>
  <c r="F55" i="31"/>
  <c r="G55" i="31" s="1"/>
  <c r="E132" i="31" s="1"/>
  <c r="O35" i="32"/>
  <c r="G94" i="14"/>
  <c r="G96" i="14" s="1"/>
  <c r="I33" i="20" s="1"/>
  <c r="E229" i="22"/>
  <c r="H94" i="14"/>
  <c r="H96" i="14" s="1"/>
  <c r="K33" i="20" s="1"/>
  <c r="F20" i="30"/>
  <c r="S61" i="30"/>
  <c r="H20" i="30"/>
  <c r="S33" i="30"/>
  <c r="M153" i="22"/>
  <c r="L230" i="22"/>
  <c r="F286" i="22"/>
  <c r="E363" i="22"/>
  <c r="F69" i="31"/>
  <c r="G69" i="31" s="1"/>
  <c r="E146" i="31" s="1"/>
  <c r="S89" i="30"/>
  <c r="E360" i="22"/>
  <c r="B64" i="34" s="1"/>
  <c r="B57" i="34" s="1"/>
  <c r="J20" i="30"/>
  <c r="F155" i="22"/>
  <c r="E232" i="22"/>
  <c r="N284" i="22"/>
  <c r="M361" i="22"/>
  <c r="I99" i="22"/>
  <c r="J16" i="22"/>
  <c r="J85" i="22"/>
  <c r="E101" i="22"/>
  <c r="F18" i="22"/>
  <c r="J62" i="22"/>
  <c r="J39" i="22"/>
  <c r="I14" i="25"/>
  <c r="H16" i="25"/>
  <c r="D113" i="22" l="1"/>
  <c r="D116" i="22" s="1"/>
  <c r="D118" i="22" s="1"/>
  <c r="D119" i="22" s="1"/>
  <c r="D378" i="22"/>
  <c r="E88" i="30" s="1"/>
  <c r="E39" i="32"/>
  <c r="I198" i="14"/>
  <c r="E151" i="22"/>
  <c r="E58" i="22"/>
  <c r="E81" i="22"/>
  <c r="E35" i="22"/>
  <c r="E11" i="22"/>
  <c r="S112" i="22"/>
  <c r="D98" i="22"/>
  <c r="B17" i="34"/>
  <c r="B10" i="34" s="1"/>
  <c r="D229" i="22"/>
  <c r="B40" i="34"/>
  <c r="B33" i="34" s="1"/>
  <c r="T112" i="22"/>
  <c r="AP116" i="22"/>
  <c r="AP118" i="22" s="1"/>
  <c r="AP119" i="22" s="1"/>
  <c r="AP125" i="22" s="1"/>
  <c r="AJ116" i="22"/>
  <c r="AJ118" i="22" s="1"/>
  <c r="AJ119" i="22" s="1"/>
  <c r="AJ125" i="22" s="1"/>
  <c r="AC116" i="22"/>
  <c r="AC118" i="22" s="1"/>
  <c r="AC119" i="22" s="1"/>
  <c r="AC125" i="22" s="1"/>
  <c r="AF116" i="22"/>
  <c r="AF118" i="22" s="1"/>
  <c r="AF119" i="22" s="1"/>
  <c r="AF125" i="22" s="1"/>
  <c r="AQ116" i="22"/>
  <c r="AQ118" i="22" s="1"/>
  <c r="AQ119" i="22" s="1"/>
  <c r="AQ125" i="22" s="1"/>
  <c r="AH116" i="22"/>
  <c r="AH118" i="22" s="1"/>
  <c r="AH119" i="22" s="1"/>
  <c r="AH125" i="22" s="1"/>
  <c r="Y116" i="22"/>
  <c r="Y118" i="22" s="1"/>
  <c r="Y119" i="22" s="1"/>
  <c r="Y125" i="22" s="1"/>
  <c r="AD116" i="22"/>
  <c r="AD118" i="22" s="1"/>
  <c r="AD119" i="22" s="1"/>
  <c r="AD125" i="22" s="1"/>
  <c r="AO116" i="22"/>
  <c r="AO118" i="22" s="1"/>
  <c r="AO119" i="22" s="1"/>
  <c r="AO125" i="22" s="1"/>
  <c r="Z116" i="22"/>
  <c r="Z118" i="22" s="1"/>
  <c r="Z119" i="22" s="1"/>
  <c r="Z125" i="22" s="1"/>
  <c r="AI116" i="22"/>
  <c r="AI118" i="22" s="1"/>
  <c r="AI119" i="22" s="1"/>
  <c r="AI125" i="22" s="1"/>
  <c r="AN116" i="22"/>
  <c r="AN118" i="22" s="1"/>
  <c r="AN119" i="22" s="1"/>
  <c r="AN125" i="22" s="1"/>
  <c r="AG116" i="22"/>
  <c r="AG118" i="22" s="1"/>
  <c r="AG119" i="22" s="1"/>
  <c r="AG125" i="22" s="1"/>
  <c r="AA116" i="22"/>
  <c r="AA118" i="22" s="1"/>
  <c r="AA119" i="22" s="1"/>
  <c r="AA125" i="22" s="1"/>
  <c r="AE116" i="22"/>
  <c r="AE118" i="22" s="1"/>
  <c r="AE119" i="22" s="1"/>
  <c r="AE125" i="22" s="1"/>
  <c r="AL116" i="22"/>
  <c r="AL118" i="22" s="1"/>
  <c r="AL119" i="22" s="1"/>
  <c r="AL125" i="22" s="1"/>
  <c r="AB116" i="22"/>
  <c r="AB118" i="22" s="1"/>
  <c r="AB119" i="22" s="1"/>
  <c r="AB125" i="22" s="1"/>
  <c r="AM116" i="22"/>
  <c r="AM118" i="22" s="1"/>
  <c r="AM119" i="22" s="1"/>
  <c r="AM125" i="22" s="1"/>
  <c r="AK116" i="22"/>
  <c r="AK118" i="22" s="1"/>
  <c r="AK119" i="22" s="1"/>
  <c r="AK125" i="22" s="1"/>
  <c r="V110" i="22"/>
  <c r="X110" i="22" s="1"/>
  <c r="R124" i="22" s="1"/>
  <c r="U112" i="22"/>
  <c r="M69" i="14"/>
  <c r="S63" i="30"/>
  <c r="J21" i="30"/>
  <c r="F56" i="31"/>
  <c r="G56" i="31" s="1"/>
  <c r="E133" i="31" s="1"/>
  <c r="D173" i="22"/>
  <c r="F173" i="22"/>
  <c r="D61" i="22"/>
  <c r="F61" i="22"/>
  <c r="D304" i="22"/>
  <c r="F304" i="22"/>
  <c r="D152" i="22"/>
  <c r="F152" i="22"/>
  <c r="F151" i="22" s="1"/>
  <c r="D84" i="22"/>
  <c r="F84" i="22"/>
  <c r="D325" i="22"/>
  <c r="F325" i="22"/>
  <c r="F38" i="22"/>
  <c r="D38" i="22"/>
  <c r="D346" i="22"/>
  <c r="F346" i="22"/>
  <c r="F194" i="22"/>
  <c r="D194" i="22"/>
  <c r="F15" i="22"/>
  <c r="D15" i="22"/>
  <c r="E12" i="22" s="1"/>
  <c r="E14" i="22" s="1"/>
  <c r="D283" i="22"/>
  <c r="F283" i="22"/>
  <c r="F215" i="22"/>
  <c r="D215" i="22"/>
  <c r="S90" i="30"/>
  <c r="S91" i="30"/>
  <c r="J22" i="30"/>
  <c r="H21" i="30"/>
  <c r="F57" i="31"/>
  <c r="G57" i="31" s="1"/>
  <c r="E134" i="31" s="1"/>
  <c r="F21" i="30"/>
  <c r="S34" i="30"/>
  <c r="F28" i="30"/>
  <c r="F98" i="22"/>
  <c r="F56" i="30"/>
  <c r="F229" i="22"/>
  <c r="J96" i="14"/>
  <c r="O33" i="20" s="1"/>
  <c r="F132" i="31"/>
  <c r="F146" i="31"/>
  <c r="E118" i="31"/>
  <c r="F118" i="31" s="1"/>
  <c r="F147" i="31"/>
  <c r="E119" i="31"/>
  <c r="F119" i="31" s="1"/>
  <c r="F133" i="31"/>
  <c r="G155" i="22"/>
  <c r="F232" i="22"/>
  <c r="N361" i="22"/>
  <c r="D360" i="22"/>
  <c r="F84" i="30"/>
  <c r="F360" i="22"/>
  <c r="C64" i="34" s="1"/>
  <c r="C57" i="34" s="1"/>
  <c r="N153" i="22"/>
  <c r="M230" i="22"/>
  <c r="G286" i="22"/>
  <c r="F363" i="22"/>
  <c r="K39" i="22"/>
  <c r="K62" i="22"/>
  <c r="G18" i="22"/>
  <c r="F101" i="22"/>
  <c r="K85" i="22"/>
  <c r="J99" i="22"/>
  <c r="K16" i="22"/>
  <c r="H18" i="25"/>
  <c r="K18" i="25" s="1"/>
  <c r="H17" i="25"/>
  <c r="K17" i="25" s="1"/>
  <c r="H21" i="25"/>
  <c r="K21" i="25" s="1"/>
  <c r="H13" i="25"/>
  <c r="K13" i="25" s="1"/>
  <c r="K23" i="25"/>
  <c r="K24" i="25"/>
  <c r="K25" i="25"/>
  <c r="K26" i="25"/>
  <c r="K27" i="25"/>
  <c r="E33" i="25"/>
  <c r="E32" i="25"/>
  <c r="K28" i="25"/>
  <c r="K22" i="25"/>
  <c r="K20" i="25"/>
  <c r="K19" i="25"/>
  <c r="K16" i="25"/>
  <c r="K15" i="25"/>
  <c r="K14" i="25"/>
  <c r="K12" i="25"/>
  <c r="K11" i="25"/>
  <c r="K10" i="25"/>
  <c r="O39" i="32" l="1"/>
  <c r="D244" i="22"/>
  <c r="F58" i="22"/>
  <c r="F60" i="22"/>
  <c r="F35" i="22"/>
  <c r="F37" i="22"/>
  <c r="F12" i="22"/>
  <c r="F14" i="22" s="1"/>
  <c r="F81" i="22"/>
  <c r="F83" i="22"/>
  <c r="E83" i="22"/>
  <c r="E60" i="22"/>
  <c r="E37" i="22"/>
  <c r="F11" i="22"/>
  <c r="V112" i="22"/>
  <c r="X112" i="22" s="1"/>
  <c r="G229" i="22"/>
  <c r="H229" i="22" s="1"/>
  <c r="C40" i="34"/>
  <c r="C33" i="34" s="1"/>
  <c r="G28" i="30"/>
  <c r="C17" i="34"/>
  <c r="C10" i="34" s="1"/>
  <c r="D380" i="22"/>
  <c r="D381" i="22" s="1"/>
  <c r="D120" i="22"/>
  <c r="D121" i="22"/>
  <c r="E35" i="30" s="1"/>
  <c r="G215" i="22"/>
  <c r="G38" i="22"/>
  <c r="G84" i="22"/>
  <c r="G304" i="22"/>
  <c r="G283" i="22"/>
  <c r="G15" i="22"/>
  <c r="G346" i="22"/>
  <c r="G325" i="22"/>
  <c r="G173" i="22"/>
  <c r="G152" i="22"/>
  <c r="G151" i="22" s="1"/>
  <c r="G61" i="22"/>
  <c r="G194" i="22"/>
  <c r="E32" i="30"/>
  <c r="G98" i="22"/>
  <c r="D17" i="34" s="1"/>
  <c r="D10" i="34" s="1"/>
  <c r="G56" i="30"/>
  <c r="D138" i="22"/>
  <c r="F43" i="31" s="1"/>
  <c r="G43" i="31" s="1"/>
  <c r="F134" i="31" s="1"/>
  <c r="C125" i="22"/>
  <c r="G363" i="22"/>
  <c r="H286" i="22"/>
  <c r="G84" i="30"/>
  <c r="G360" i="22"/>
  <c r="D64" i="34" s="1"/>
  <c r="D57" i="34" s="1"/>
  <c r="N230" i="22"/>
  <c r="H155" i="22"/>
  <c r="G232" i="22"/>
  <c r="L62" i="22"/>
  <c r="K99" i="22"/>
  <c r="L16" i="22"/>
  <c r="G101" i="22"/>
  <c r="H18" i="22"/>
  <c r="L39" i="22"/>
  <c r="L85" i="22"/>
  <c r="E34" i="25"/>
  <c r="D49" i="1"/>
  <c r="D45" i="1"/>
  <c r="D247" i="22" l="1"/>
  <c r="E60" i="30" s="1"/>
  <c r="G58" i="22"/>
  <c r="G60" i="22"/>
  <c r="G12" i="22"/>
  <c r="G14" i="22" s="1"/>
  <c r="G35" i="22"/>
  <c r="G37" i="22"/>
  <c r="G81" i="22"/>
  <c r="G83" i="22"/>
  <c r="G11" i="22"/>
  <c r="V116" i="22"/>
  <c r="V118" i="22" s="1"/>
  <c r="V119" i="22" s="1"/>
  <c r="V125" i="22" s="1"/>
  <c r="X116" i="22"/>
  <c r="X118" i="22" s="1"/>
  <c r="X119" i="22" s="1"/>
  <c r="X125" i="22" s="1"/>
  <c r="W116" i="22"/>
  <c r="W118" i="22" s="1"/>
  <c r="W119" i="22" s="1"/>
  <c r="W125" i="22" s="1"/>
  <c r="S116" i="22"/>
  <c r="S118" i="22" s="1"/>
  <c r="S119" i="22" s="1"/>
  <c r="S125" i="22" s="1"/>
  <c r="U116" i="22"/>
  <c r="U118" i="22" s="1"/>
  <c r="U119" i="22" s="1"/>
  <c r="U125" i="22" s="1"/>
  <c r="R125" i="22"/>
  <c r="T116" i="22"/>
  <c r="T118" i="22" s="1"/>
  <c r="T119" i="22" s="1"/>
  <c r="T125" i="22" s="1"/>
  <c r="R116" i="22"/>
  <c r="R118" i="22" s="1"/>
  <c r="R119" i="22" s="1"/>
  <c r="I229" i="22"/>
  <c r="F40" i="34" s="1"/>
  <c r="F33" i="34" s="1"/>
  <c r="E40" i="34"/>
  <c r="E33" i="34" s="1"/>
  <c r="H56" i="30"/>
  <c r="D40" i="34"/>
  <c r="D33" i="34" s="1"/>
  <c r="D124" i="22"/>
  <c r="D382" i="22"/>
  <c r="D383" i="22"/>
  <c r="H98" i="22"/>
  <c r="H28" i="30"/>
  <c r="H173" i="22"/>
  <c r="H38" i="22"/>
  <c r="H194" i="22"/>
  <c r="H152" i="22"/>
  <c r="H151" i="22" s="1"/>
  <c r="H346" i="22"/>
  <c r="H283" i="22"/>
  <c r="H325" i="22"/>
  <c r="H84" i="22"/>
  <c r="H61" i="22"/>
  <c r="H15" i="22"/>
  <c r="H12" i="22" s="1"/>
  <c r="H14" i="22" s="1"/>
  <c r="H304" i="22"/>
  <c r="H215" i="22"/>
  <c r="I56" i="30"/>
  <c r="F148" i="31"/>
  <c r="F22" i="30"/>
  <c r="E120" i="31"/>
  <c r="F120" i="31" s="1"/>
  <c r="S35" i="30"/>
  <c r="H84" i="30"/>
  <c r="H360" i="22"/>
  <c r="E64" i="34" s="1"/>
  <c r="E57" i="34" s="1"/>
  <c r="H232" i="22"/>
  <c r="I155" i="22"/>
  <c r="H363" i="22"/>
  <c r="I286" i="22"/>
  <c r="M85" i="22"/>
  <c r="M39" i="22"/>
  <c r="I18" i="22"/>
  <c r="H101" i="22"/>
  <c r="M62" i="22"/>
  <c r="L99" i="22"/>
  <c r="M16" i="22"/>
  <c r="E295" i="4"/>
  <c r="E294" i="4"/>
  <c r="E293" i="4"/>
  <c r="E292" i="4"/>
  <c r="E291" i="4"/>
  <c r="C1" i="13"/>
  <c r="D249" i="22" l="1"/>
  <c r="D250" i="22" s="1"/>
  <c r="H35" i="22"/>
  <c r="H37" i="22"/>
  <c r="H58" i="22"/>
  <c r="H60" i="22"/>
  <c r="H81" i="22"/>
  <c r="H83" i="22"/>
  <c r="V124" i="22"/>
  <c r="H11" i="22"/>
  <c r="J229" i="22"/>
  <c r="G40" i="34" s="1"/>
  <c r="G33" i="34" s="1"/>
  <c r="J56" i="30"/>
  <c r="S124" i="22"/>
  <c r="U124" i="22"/>
  <c r="T124" i="22"/>
  <c r="I98" i="22"/>
  <c r="F17" i="34" s="1"/>
  <c r="F10" i="34" s="1"/>
  <c r="E17" i="34"/>
  <c r="E10" i="34" s="1"/>
  <c r="D125" i="22"/>
  <c r="E36" i="30" s="1"/>
  <c r="E91" i="30"/>
  <c r="D386" i="22"/>
  <c r="D387" i="22" s="1"/>
  <c r="I28" i="30"/>
  <c r="I215" i="22"/>
  <c r="I15" i="22"/>
  <c r="I84" i="22"/>
  <c r="I346" i="22"/>
  <c r="I194" i="22"/>
  <c r="I38" i="22"/>
  <c r="I61" i="22"/>
  <c r="I283" i="22"/>
  <c r="I304" i="22"/>
  <c r="I325" i="22"/>
  <c r="I152" i="22"/>
  <c r="I151" i="22" s="1"/>
  <c r="I173" i="22"/>
  <c r="J155" i="22"/>
  <c r="I232" i="22"/>
  <c r="I84" i="30"/>
  <c r="I360" i="22"/>
  <c r="F64" i="34" s="1"/>
  <c r="F57" i="34" s="1"/>
  <c r="I363" i="22"/>
  <c r="J286" i="22"/>
  <c r="N16" i="22"/>
  <c r="M99" i="22"/>
  <c r="N62" i="22"/>
  <c r="N39" i="22"/>
  <c r="N85" i="22"/>
  <c r="I101" i="22"/>
  <c r="J18" i="22"/>
  <c r="D251" i="22" l="1"/>
  <c r="D252" i="22"/>
  <c r="I58" i="22"/>
  <c r="I60" i="22"/>
  <c r="I35" i="22"/>
  <c r="I37" i="22"/>
  <c r="I12" i="22"/>
  <c r="I14" i="22" s="1"/>
  <c r="I81" i="22"/>
  <c r="I83" i="22"/>
  <c r="I11" i="22"/>
  <c r="K56" i="30"/>
  <c r="K229" i="22"/>
  <c r="H40" i="34" s="1"/>
  <c r="H33" i="34" s="1"/>
  <c r="J28" i="30"/>
  <c r="J98" i="22"/>
  <c r="G17" i="34" s="1"/>
  <c r="G10" i="34" s="1"/>
  <c r="D128" i="22"/>
  <c r="D390" i="22"/>
  <c r="E92" i="30"/>
  <c r="J152" i="22"/>
  <c r="J38" i="22"/>
  <c r="J84" i="22"/>
  <c r="J15" i="22"/>
  <c r="J12" i="22" s="1"/>
  <c r="J14" i="22" s="1"/>
  <c r="J304" i="22"/>
  <c r="J283" i="22"/>
  <c r="J346" i="22"/>
  <c r="J173" i="22"/>
  <c r="J325" i="22"/>
  <c r="J61" i="22"/>
  <c r="J194" i="22"/>
  <c r="J215" i="22"/>
  <c r="J360" i="22"/>
  <c r="G64" i="34" s="1"/>
  <c r="G57" i="34" s="1"/>
  <c r="J84" i="30"/>
  <c r="K286" i="22"/>
  <c r="J363" i="22"/>
  <c r="K155" i="22"/>
  <c r="J232" i="22"/>
  <c r="J101" i="22"/>
  <c r="K18" i="22"/>
  <c r="N99" i="22"/>
  <c r="D255" i="22" l="1"/>
  <c r="D256" i="22" s="1"/>
  <c r="E63" i="30"/>
  <c r="J58" i="22"/>
  <c r="J60" i="22"/>
  <c r="J35" i="22"/>
  <c r="J37" i="22"/>
  <c r="J151" i="22"/>
  <c r="J81" i="22"/>
  <c r="J83" i="22"/>
  <c r="J11" i="22"/>
  <c r="L229" i="22"/>
  <c r="I40" i="34" s="1"/>
  <c r="I33" i="34" s="1"/>
  <c r="L56" i="30"/>
  <c r="K28" i="30"/>
  <c r="K98" i="22"/>
  <c r="H17" i="34" s="1"/>
  <c r="H10" i="34" s="1"/>
  <c r="E37" i="30"/>
  <c r="D129" i="22"/>
  <c r="D391" i="22"/>
  <c r="E93" i="30"/>
  <c r="K325" i="22"/>
  <c r="K194" i="22"/>
  <c r="K61" i="22"/>
  <c r="K346" i="22"/>
  <c r="K152" i="22"/>
  <c r="K151" i="22" s="1"/>
  <c r="K215" i="22"/>
  <c r="K84" i="22"/>
  <c r="K38" i="22"/>
  <c r="K173" i="22"/>
  <c r="K283" i="22"/>
  <c r="K304" i="22"/>
  <c r="K15" i="22"/>
  <c r="L155" i="22"/>
  <c r="K232" i="22"/>
  <c r="K363" i="22"/>
  <c r="L286" i="22"/>
  <c r="K84" i="30"/>
  <c r="K360" i="22"/>
  <c r="H64" i="34" s="1"/>
  <c r="H57" i="34" s="1"/>
  <c r="L18" i="22"/>
  <c r="K101" i="22"/>
  <c r="D527" i="24"/>
  <c r="D526" i="24"/>
  <c r="D525" i="24"/>
  <c r="D524" i="24"/>
  <c r="D523" i="24"/>
  <c r="D522" i="24"/>
  <c r="D521" i="24"/>
  <c r="D520" i="24"/>
  <c r="D519" i="24"/>
  <c r="D518" i="24"/>
  <c r="K516" i="24"/>
  <c r="J516" i="24"/>
  <c r="B516" i="24"/>
  <c r="D514" i="24"/>
  <c r="D513" i="24"/>
  <c r="D512" i="24"/>
  <c r="D511" i="24"/>
  <c r="D510" i="24"/>
  <c r="D509" i="24"/>
  <c r="D508" i="24"/>
  <c r="D507" i="24"/>
  <c r="D506" i="24"/>
  <c r="D505" i="24"/>
  <c r="K503" i="24"/>
  <c r="J503" i="24"/>
  <c r="B503" i="24"/>
  <c r="D501" i="24"/>
  <c r="D500" i="24"/>
  <c r="D499" i="24"/>
  <c r="D498" i="24"/>
  <c r="D497" i="24"/>
  <c r="D496" i="24"/>
  <c r="D495" i="24"/>
  <c r="D494" i="24"/>
  <c r="D493" i="24"/>
  <c r="D492" i="24"/>
  <c r="K490" i="24"/>
  <c r="J490" i="24"/>
  <c r="B490" i="24"/>
  <c r="D488" i="24"/>
  <c r="D487" i="24"/>
  <c r="D486" i="24"/>
  <c r="D485" i="24"/>
  <c r="D484" i="24"/>
  <c r="D483" i="24"/>
  <c r="D482" i="24"/>
  <c r="D481" i="24"/>
  <c r="D480" i="24"/>
  <c r="D479" i="24"/>
  <c r="K477" i="24"/>
  <c r="J477" i="24"/>
  <c r="B477" i="24"/>
  <c r="D475" i="24"/>
  <c r="D474" i="24"/>
  <c r="D473" i="24"/>
  <c r="D472" i="24"/>
  <c r="D471" i="24"/>
  <c r="D470" i="24"/>
  <c r="D469" i="24"/>
  <c r="D468" i="24"/>
  <c r="D467" i="24"/>
  <c r="D466" i="24"/>
  <c r="K464" i="24"/>
  <c r="J464" i="24"/>
  <c r="B464" i="24"/>
  <c r="D462" i="24"/>
  <c r="D461" i="24"/>
  <c r="D460" i="24"/>
  <c r="D459" i="24"/>
  <c r="D458" i="24"/>
  <c r="D457" i="24"/>
  <c r="D456" i="24"/>
  <c r="D455" i="24"/>
  <c r="D454" i="24"/>
  <c r="D453" i="24"/>
  <c r="K451" i="24"/>
  <c r="J451" i="24"/>
  <c r="B451" i="24"/>
  <c r="D449" i="24"/>
  <c r="D448" i="24"/>
  <c r="D447" i="24"/>
  <c r="D446" i="24"/>
  <c r="D445" i="24"/>
  <c r="D444" i="24"/>
  <c r="D443" i="24"/>
  <c r="D442" i="24"/>
  <c r="D441" i="24"/>
  <c r="D440" i="24"/>
  <c r="K438" i="24"/>
  <c r="J438" i="24"/>
  <c r="B438" i="24"/>
  <c r="D436" i="24"/>
  <c r="D435" i="24"/>
  <c r="D434" i="24"/>
  <c r="D433" i="24"/>
  <c r="D432" i="24"/>
  <c r="D431" i="24"/>
  <c r="D430" i="24"/>
  <c r="D429" i="24"/>
  <c r="D428" i="24"/>
  <c r="D427" i="24"/>
  <c r="K425" i="24"/>
  <c r="J425" i="24"/>
  <c r="B425" i="24"/>
  <c r="D423" i="24"/>
  <c r="D422" i="24"/>
  <c r="D421" i="24"/>
  <c r="D420" i="24"/>
  <c r="D419" i="24"/>
  <c r="D418" i="24"/>
  <c r="D417" i="24"/>
  <c r="D416" i="24"/>
  <c r="D415" i="24"/>
  <c r="D414" i="24"/>
  <c r="K412" i="24"/>
  <c r="J412" i="24"/>
  <c r="B412" i="24"/>
  <c r="D410" i="24"/>
  <c r="D409" i="24"/>
  <c r="D408" i="24"/>
  <c r="D407" i="24"/>
  <c r="D406" i="24"/>
  <c r="D405" i="24"/>
  <c r="D404" i="24"/>
  <c r="D403" i="24"/>
  <c r="D402" i="24"/>
  <c r="D401" i="24"/>
  <c r="K399" i="24"/>
  <c r="J399" i="24"/>
  <c r="B399" i="24"/>
  <c r="D397" i="24"/>
  <c r="D396" i="24"/>
  <c r="D395" i="24"/>
  <c r="D394" i="24"/>
  <c r="D393" i="24"/>
  <c r="D392" i="24"/>
  <c r="D391" i="24"/>
  <c r="D390" i="24"/>
  <c r="D389" i="24"/>
  <c r="D388" i="24"/>
  <c r="K386" i="24"/>
  <c r="J386" i="24"/>
  <c r="B386" i="24"/>
  <c r="D384" i="24"/>
  <c r="D383" i="24"/>
  <c r="D382" i="24"/>
  <c r="D381" i="24"/>
  <c r="D380" i="24"/>
  <c r="D379" i="24"/>
  <c r="D378" i="24"/>
  <c r="D377" i="24"/>
  <c r="D376" i="24"/>
  <c r="D375" i="24"/>
  <c r="K373" i="24"/>
  <c r="J373" i="24"/>
  <c r="B373" i="24"/>
  <c r="D371" i="24"/>
  <c r="D370" i="24"/>
  <c r="D369" i="24"/>
  <c r="D368" i="24"/>
  <c r="D367" i="24"/>
  <c r="D366" i="24"/>
  <c r="D365" i="24"/>
  <c r="D364" i="24"/>
  <c r="D363" i="24"/>
  <c r="D362" i="24"/>
  <c r="K360" i="24"/>
  <c r="J360" i="24"/>
  <c r="B360" i="24"/>
  <c r="D358" i="24"/>
  <c r="D357" i="24"/>
  <c r="D356" i="24"/>
  <c r="D355" i="24"/>
  <c r="D354" i="24"/>
  <c r="D353" i="24"/>
  <c r="D352" i="24"/>
  <c r="D351" i="24"/>
  <c r="D350" i="24"/>
  <c r="D349" i="24"/>
  <c r="K347" i="24"/>
  <c r="J347" i="24"/>
  <c r="B347" i="24"/>
  <c r="D345" i="24"/>
  <c r="D344" i="24"/>
  <c r="D343" i="24"/>
  <c r="D342" i="24"/>
  <c r="D341" i="24"/>
  <c r="D340" i="24"/>
  <c r="D339" i="24"/>
  <c r="D338" i="24"/>
  <c r="D337" i="24"/>
  <c r="D336" i="24"/>
  <c r="K334" i="24"/>
  <c r="J334" i="24"/>
  <c r="B334" i="24"/>
  <c r="D332" i="24"/>
  <c r="D331" i="24"/>
  <c r="D330" i="24"/>
  <c r="D329" i="24"/>
  <c r="D328" i="24"/>
  <c r="D327" i="24"/>
  <c r="D326" i="24"/>
  <c r="D325" i="24"/>
  <c r="D324" i="24"/>
  <c r="D323" i="24"/>
  <c r="K321" i="24"/>
  <c r="J321" i="24"/>
  <c r="B321" i="24"/>
  <c r="D319" i="24"/>
  <c r="D318" i="24"/>
  <c r="D317" i="24"/>
  <c r="D316" i="24"/>
  <c r="D315" i="24"/>
  <c r="D314" i="24"/>
  <c r="D313" i="24"/>
  <c r="D312" i="24"/>
  <c r="D311" i="24"/>
  <c r="D310" i="24"/>
  <c r="K308" i="24"/>
  <c r="J308" i="24"/>
  <c r="B308" i="24"/>
  <c r="D306" i="24"/>
  <c r="D305" i="24"/>
  <c r="D304" i="24"/>
  <c r="D303" i="24"/>
  <c r="D302" i="24"/>
  <c r="D301" i="24"/>
  <c r="D300" i="24"/>
  <c r="D299" i="24"/>
  <c r="D298" i="24"/>
  <c r="D297" i="24"/>
  <c r="K295" i="24"/>
  <c r="J295" i="24"/>
  <c r="B295" i="24"/>
  <c r="D293" i="24"/>
  <c r="D292" i="24"/>
  <c r="D291" i="24"/>
  <c r="D290" i="24"/>
  <c r="D289" i="24"/>
  <c r="D288" i="24"/>
  <c r="D287" i="24"/>
  <c r="D286" i="24"/>
  <c r="D285" i="24"/>
  <c r="D284" i="24"/>
  <c r="K282" i="24"/>
  <c r="J282" i="24"/>
  <c r="B282" i="24"/>
  <c r="D280" i="24"/>
  <c r="D279" i="24"/>
  <c r="D278" i="24"/>
  <c r="D277" i="24"/>
  <c r="D276" i="24"/>
  <c r="D275" i="24"/>
  <c r="D274" i="24"/>
  <c r="D273" i="24"/>
  <c r="D272" i="24"/>
  <c r="D271" i="24"/>
  <c r="K269" i="24"/>
  <c r="J269" i="24"/>
  <c r="B269" i="24"/>
  <c r="D267" i="24"/>
  <c r="D266" i="24"/>
  <c r="D265" i="24"/>
  <c r="D264" i="24"/>
  <c r="D263" i="24"/>
  <c r="D262" i="24"/>
  <c r="D261" i="24"/>
  <c r="D260" i="24"/>
  <c r="D259" i="24"/>
  <c r="D258" i="24"/>
  <c r="K256" i="24"/>
  <c r="J256" i="24"/>
  <c r="B256" i="24"/>
  <c r="D254" i="24"/>
  <c r="D253" i="24"/>
  <c r="D252" i="24"/>
  <c r="D251" i="24"/>
  <c r="D250" i="24"/>
  <c r="D249" i="24"/>
  <c r="D248" i="24"/>
  <c r="D247" i="24"/>
  <c r="D246" i="24"/>
  <c r="D245" i="24"/>
  <c r="K243" i="24"/>
  <c r="J243" i="24"/>
  <c r="B243" i="24"/>
  <c r="D241" i="24"/>
  <c r="D240" i="24"/>
  <c r="D239" i="24"/>
  <c r="D238" i="24"/>
  <c r="D237" i="24"/>
  <c r="D236" i="24"/>
  <c r="D235" i="24"/>
  <c r="D234" i="24"/>
  <c r="D233" i="24"/>
  <c r="D232" i="24"/>
  <c r="K230" i="24"/>
  <c r="J230" i="24"/>
  <c r="B230" i="24"/>
  <c r="D228" i="24"/>
  <c r="D227" i="24"/>
  <c r="D226" i="24"/>
  <c r="D225" i="24"/>
  <c r="D224" i="24"/>
  <c r="D223" i="24"/>
  <c r="D222" i="24"/>
  <c r="D221" i="24"/>
  <c r="D220" i="24"/>
  <c r="D219" i="24"/>
  <c r="K217" i="24"/>
  <c r="J217" i="24"/>
  <c r="B217" i="24"/>
  <c r="D215" i="24"/>
  <c r="D214" i="24"/>
  <c r="D213" i="24"/>
  <c r="D212" i="24"/>
  <c r="D211" i="24"/>
  <c r="D210" i="24"/>
  <c r="D209" i="24"/>
  <c r="D208" i="24"/>
  <c r="D207" i="24"/>
  <c r="D206" i="24"/>
  <c r="K204" i="24"/>
  <c r="J204" i="24"/>
  <c r="B204" i="24"/>
  <c r="D202" i="24"/>
  <c r="D201" i="24"/>
  <c r="D200" i="24"/>
  <c r="D199" i="24"/>
  <c r="D198" i="24"/>
  <c r="D197" i="24"/>
  <c r="D196" i="24"/>
  <c r="D195" i="24"/>
  <c r="D194" i="24"/>
  <c r="D193" i="24"/>
  <c r="K191" i="24"/>
  <c r="J191" i="24"/>
  <c r="B191" i="24"/>
  <c r="D189" i="24"/>
  <c r="D188" i="24"/>
  <c r="D187" i="24"/>
  <c r="D186" i="24"/>
  <c r="D185" i="24"/>
  <c r="D184" i="24"/>
  <c r="D183" i="24"/>
  <c r="D182" i="24"/>
  <c r="D181" i="24"/>
  <c r="D180" i="24"/>
  <c r="K178" i="24"/>
  <c r="J178" i="24"/>
  <c r="B178" i="24"/>
  <c r="D176" i="24"/>
  <c r="D175" i="24"/>
  <c r="D174" i="24"/>
  <c r="D173" i="24"/>
  <c r="D172" i="24"/>
  <c r="D171" i="24"/>
  <c r="D170" i="24"/>
  <c r="D169" i="24"/>
  <c r="D168" i="24"/>
  <c r="D167" i="24"/>
  <c r="K165" i="24"/>
  <c r="J165" i="24"/>
  <c r="B165" i="24"/>
  <c r="D163" i="24"/>
  <c r="D162" i="24"/>
  <c r="D161" i="24"/>
  <c r="D160" i="24"/>
  <c r="D159" i="24"/>
  <c r="D158" i="24"/>
  <c r="D157" i="24"/>
  <c r="D156" i="24"/>
  <c r="D155" i="24"/>
  <c r="D154" i="24"/>
  <c r="K152" i="24"/>
  <c r="J152" i="24"/>
  <c r="B152" i="24"/>
  <c r="D150" i="24"/>
  <c r="D149" i="24"/>
  <c r="D148" i="24"/>
  <c r="D147" i="24"/>
  <c r="D146" i="24"/>
  <c r="D145" i="24"/>
  <c r="D144" i="24"/>
  <c r="D143" i="24"/>
  <c r="D142" i="24"/>
  <c r="D141" i="24"/>
  <c r="K139" i="24"/>
  <c r="J139" i="24"/>
  <c r="B139" i="24"/>
  <c r="D137" i="24"/>
  <c r="D136" i="24"/>
  <c r="D135" i="24"/>
  <c r="D134" i="24"/>
  <c r="D133" i="24"/>
  <c r="D132" i="24"/>
  <c r="D131" i="24"/>
  <c r="D130" i="24"/>
  <c r="D129" i="24"/>
  <c r="D128" i="24"/>
  <c r="K126" i="24"/>
  <c r="J126" i="24"/>
  <c r="B126" i="24"/>
  <c r="D124" i="24"/>
  <c r="D123" i="24"/>
  <c r="D122" i="24"/>
  <c r="D121" i="24"/>
  <c r="D120" i="24"/>
  <c r="D119" i="24"/>
  <c r="D118" i="24"/>
  <c r="D117" i="24"/>
  <c r="D116" i="24"/>
  <c r="D115" i="24"/>
  <c r="K113" i="24"/>
  <c r="J113" i="24"/>
  <c r="B113" i="24"/>
  <c r="D111" i="24"/>
  <c r="D110" i="24"/>
  <c r="D109" i="24"/>
  <c r="D108" i="24"/>
  <c r="D107" i="24"/>
  <c r="D106" i="24"/>
  <c r="D105" i="24"/>
  <c r="D104" i="24"/>
  <c r="D103" i="24"/>
  <c r="D102" i="24"/>
  <c r="K100" i="24"/>
  <c r="J100" i="24"/>
  <c r="B100" i="24"/>
  <c r="D98" i="24"/>
  <c r="D97" i="24"/>
  <c r="D96" i="24"/>
  <c r="D95" i="24"/>
  <c r="D94" i="24"/>
  <c r="D93" i="24"/>
  <c r="D92" i="24"/>
  <c r="D91" i="24"/>
  <c r="D90" i="24"/>
  <c r="D89" i="24"/>
  <c r="K87" i="24"/>
  <c r="J87" i="24"/>
  <c r="B87" i="24"/>
  <c r="D85" i="24"/>
  <c r="D84" i="24"/>
  <c r="D83" i="24"/>
  <c r="D82" i="24"/>
  <c r="D81" i="24"/>
  <c r="D80" i="24"/>
  <c r="D79" i="24"/>
  <c r="D78" i="24"/>
  <c r="D77" i="24"/>
  <c r="D76" i="24"/>
  <c r="K74" i="24"/>
  <c r="J74" i="24"/>
  <c r="B74" i="24"/>
  <c r="D72" i="24"/>
  <c r="D71" i="24"/>
  <c r="D70" i="24"/>
  <c r="D69" i="24"/>
  <c r="D68" i="24"/>
  <c r="D67" i="24"/>
  <c r="D66" i="24"/>
  <c r="D65" i="24"/>
  <c r="D64" i="24"/>
  <c r="D63" i="24"/>
  <c r="K61" i="24"/>
  <c r="J61" i="24"/>
  <c r="B61" i="24"/>
  <c r="D59" i="24"/>
  <c r="D58" i="24"/>
  <c r="D57" i="24"/>
  <c r="D56" i="24"/>
  <c r="D55" i="24"/>
  <c r="D54" i="24"/>
  <c r="D53" i="24"/>
  <c r="D52" i="24"/>
  <c r="D51" i="24"/>
  <c r="D50" i="24"/>
  <c r="K48" i="24"/>
  <c r="J48" i="24"/>
  <c r="B48" i="24"/>
  <c r="D46" i="24"/>
  <c r="D45" i="24"/>
  <c r="D44" i="24"/>
  <c r="D43" i="24"/>
  <c r="D42" i="24"/>
  <c r="D41" i="24"/>
  <c r="D40" i="24"/>
  <c r="D39" i="24"/>
  <c r="D38" i="24"/>
  <c r="D37" i="24"/>
  <c r="K35" i="24"/>
  <c r="J35" i="24"/>
  <c r="B35" i="24"/>
  <c r="B22" i="24"/>
  <c r="B9" i="24"/>
  <c r="D33" i="24"/>
  <c r="D32" i="24"/>
  <c r="D31" i="24"/>
  <c r="D30" i="24"/>
  <c r="D29" i="24"/>
  <c r="D28" i="24"/>
  <c r="D27" i="24"/>
  <c r="D26" i="24"/>
  <c r="D25" i="24"/>
  <c r="D24" i="24"/>
  <c r="K22" i="24"/>
  <c r="J22" i="24"/>
  <c r="D20" i="24"/>
  <c r="D19" i="24"/>
  <c r="D18" i="24"/>
  <c r="D17" i="24"/>
  <c r="D16" i="24"/>
  <c r="D15" i="24"/>
  <c r="D14" i="24"/>
  <c r="N8" i="23"/>
  <c r="G8" i="23" s="1"/>
  <c r="M8" i="23"/>
  <c r="F8" i="23" s="1"/>
  <c r="D13" i="24"/>
  <c r="D12" i="24"/>
  <c r="D11" i="24"/>
  <c r="K9" i="24"/>
  <c r="J9" i="24"/>
  <c r="P15" i="23"/>
  <c r="I15" i="23" s="1"/>
  <c r="O15" i="23"/>
  <c r="H15" i="23" s="1"/>
  <c r="N15" i="23"/>
  <c r="G15" i="23" s="1"/>
  <c r="M15" i="23"/>
  <c r="F15" i="23" s="1"/>
  <c r="L15" i="23"/>
  <c r="E15" i="23" s="1"/>
  <c r="K15" i="23"/>
  <c r="P14" i="23"/>
  <c r="I14" i="23" s="1"/>
  <c r="O14" i="23"/>
  <c r="H14" i="23" s="1"/>
  <c r="N14" i="23"/>
  <c r="G14" i="23" s="1"/>
  <c r="M14" i="23"/>
  <c r="F14" i="23" s="1"/>
  <c r="L14" i="23"/>
  <c r="E14" i="23" s="1"/>
  <c r="K14" i="23"/>
  <c r="P13" i="23"/>
  <c r="I13" i="23" s="1"/>
  <c r="O13" i="23"/>
  <c r="H13" i="23" s="1"/>
  <c r="N13" i="23"/>
  <c r="G13" i="23" s="1"/>
  <c r="M13" i="23"/>
  <c r="F13" i="23" s="1"/>
  <c r="L13" i="23"/>
  <c r="E13" i="23" s="1"/>
  <c r="K13" i="23"/>
  <c r="P12" i="23"/>
  <c r="I12" i="23" s="1"/>
  <c r="O12" i="23"/>
  <c r="H12" i="23" s="1"/>
  <c r="N12" i="23"/>
  <c r="G12" i="23" s="1"/>
  <c r="M12" i="23"/>
  <c r="F12" i="23" s="1"/>
  <c r="L12" i="23"/>
  <c r="E12" i="23" s="1"/>
  <c r="K12" i="23"/>
  <c r="P11" i="23"/>
  <c r="I11" i="23" s="1"/>
  <c r="O11" i="23"/>
  <c r="H11" i="23" s="1"/>
  <c r="N11" i="23"/>
  <c r="G11" i="23" s="1"/>
  <c r="M11" i="23"/>
  <c r="F11" i="23" s="1"/>
  <c r="L11" i="23"/>
  <c r="E11" i="23" s="1"/>
  <c r="K11" i="23"/>
  <c r="P10" i="23"/>
  <c r="I10" i="23" s="1"/>
  <c r="O10" i="23"/>
  <c r="H10" i="23" s="1"/>
  <c r="N10" i="23"/>
  <c r="G10" i="23" s="1"/>
  <c r="M10" i="23"/>
  <c r="F10" i="23" s="1"/>
  <c r="L10" i="23"/>
  <c r="E10" i="23" s="1"/>
  <c r="K10" i="23"/>
  <c r="P9" i="23"/>
  <c r="I9" i="23" s="1"/>
  <c r="O9" i="23"/>
  <c r="H9" i="23" s="1"/>
  <c r="N9" i="23"/>
  <c r="G9" i="23" s="1"/>
  <c r="M9" i="23"/>
  <c r="F9" i="23" s="1"/>
  <c r="L9" i="23"/>
  <c r="E9" i="23" s="1"/>
  <c r="K9" i="23"/>
  <c r="P8" i="23"/>
  <c r="I8" i="23" s="1"/>
  <c r="O8" i="23"/>
  <c r="H8" i="23" s="1"/>
  <c r="L8" i="23"/>
  <c r="E8" i="23" s="1"/>
  <c r="K8" i="23"/>
  <c r="P7" i="23"/>
  <c r="I7" i="23" s="1"/>
  <c r="O7" i="23"/>
  <c r="H7" i="23" s="1"/>
  <c r="N7" i="23"/>
  <c r="G7" i="23" s="1"/>
  <c r="M7" i="23"/>
  <c r="F7" i="23" s="1"/>
  <c r="L7" i="23"/>
  <c r="E7" i="23" s="1"/>
  <c r="K7" i="23"/>
  <c r="K6" i="23"/>
  <c r="K5" i="23"/>
  <c r="P4" i="23"/>
  <c r="I4" i="23" s="1"/>
  <c r="O4" i="23"/>
  <c r="H4" i="23" s="1"/>
  <c r="N4" i="23"/>
  <c r="G4" i="23" s="1"/>
  <c r="M4" i="23"/>
  <c r="F4" i="23" s="1"/>
  <c r="L4" i="23"/>
  <c r="E4" i="23" s="1"/>
  <c r="K4" i="23"/>
  <c r="D259" i="22" l="1"/>
  <c r="E64" i="30"/>
  <c r="K12" i="22"/>
  <c r="K14" i="22" s="1"/>
  <c r="K35" i="22"/>
  <c r="K37" i="22"/>
  <c r="K58" i="22"/>
  <c r="K60" i="22"/>
  <c r="K81" i="22"/>
  <c r="K83" i="22"/>
  <c r="M229" i="22"/>
  <c r="J40" i="34" s="1"/>
  <c r="J33" i="34" s="1"/>
  <c r="K11" i="22"/>
  <c r="M56" i="30"/>
  <c r="L28" i="30"/>
  <c r="L98" i="22"/>
  <c r="I17" i="34" s="1"/>
  <c r="I10" i="34" s="1"/>
  <c r="L38" i="22"/>
  <c r="L346" i="22"/>
  <c r="L304" i="22"/>
  <c r="L194" i="22"/>
  <c r="L283" i="22"/>
  <c r="L173" i="22"/>
  <c r="L215" i="22"/>
  <c r="L152" i="22"/>
  <c r="L151" i="22" s="1"/>
  <c r="L325" i="22"/>
  <c r="L15" i="22"/>
  <c r="L12" i="22" s="1"/>
  <c r="L14" i="22" s="1"/>
  <c r="L84" i="22"/>
  <c r="L61" i="22"/>
  <c r="L363" i="22"/>
  <c r="M286" i="22"/>
  <c r="L360" i="22"/>
  <c r="I64" i="34" s="1"/>
  <c r="I57" i="34" s="1"/>
  <c r="L84" i="30"/>
  <c r="M155" i="22"/>
  <c r="L232" i="22"/>
  <c r="L101" i="22"/>
  <c r="M18" i="22"/>
  <c r="D11" i="15"/>
  <c r="C4" i="2"/>
  <c r="E65" i="30" l="1"/>
  <c r="D260" i="22"/>
  <c r="L35" i="22"/>
  <c r="L37" i="22"/>
  <c r="L58" i="22"/>
  <c r="L60" i="22"/>
  <c r="L81" i="22"/>
  <c r="L83" i="22"/>
  <c r="N229" i="22"/>
  <c r="O56" i="30" s="1"/>
  <c r="N56" i="30"/>
  <c r="L11" i="22"/>
  <c r="M28" i="30"/>
  <c r="M98" i="22"/>
  <c r="J17" i="34" s="1"/>
  <c r="J10" i="34" s="1"/>
  <c r="M15" i="22"/>
  <c r="M12" i="22" s="1"/>
  <c r="M14" i="22" s="1"/>
  <c r="M152" i="22"/>
  <c r="M151" i="22" s="1"/>
  <c r="M173" i="22"/>
  <c r="M194" i="22"/>
  <c r="M304" i="22"/>
  <c r="M346" i="22"/>
  <c r="M61" i="22"/>
  <c r="M283" i="22"/>
  <c r="M38" i="22"/>
  <c r="M84" i="22"/>
  <c r="M325" i="22"/>
  <c r="M215" i="22"/>
  <c r="N286" i="22"/>
  <c r="M363" i="22"/>
  <c r="M84" i="30"/>
  <c r="M360" i="22"/>
  <c r="J64" i="34" s="1"/>
  <c r="J57" i="34" s="1"/>
  <c r="M232" i="22"/>
  <c r="N155" i="22"/>
  <c r="N18" i="22"/>
  <c r="M101" i="22"/>
  <c r="D35" i="6"/>
  <c r="M58" i="22" l="1"/>
  <c r="M60" i="22"/>
  <c r="M35" i="22"/>
  <c r="M37" i="22"/>
  <c r="M81" i="22"/>
  <c r="M83" i="22"/>
  <c r="K40" i="34"/>
  <c r="K33" i="34" s="1"/>
  <c r="M11" i="22"/>
  <c r="N98" i="22"/>
  <c r="O28" i="30" s="1"/>
  <c r="N28" i="30"/>
  <c r="N84" i="22"/>
  <c r="F80" i="22" s="1"/>
  <c r="E80" i="22" s="1"/>
  <c r="N304" i="22"/>
  <c r="F302" i="22" s="1"/>
  <c r="E302" i="22" s="1"/>
  <c r="N194" i="22"/>
  <c r="F192" i="22" s="1"/>
  <c r="E192" i="22" s="1"/>
  <c r="N152" i="22"/>
  <c r="N346" i="22"/>
  <c r="F344" i="22" s="1"/>
  <c r="E344" i="22" s="1"/>
  <c r="N215" i="22"/>
  <c r="F213" i="22" s="1"/>
  <c r="E213" i="22" s="1"/>
  <c r="N283" i="22"/>
  <c r="N173" i="22"/>
  <c r="F171" i="22" s="1"/>
  <c r="E171" i="22" s="1"/>
  <c r="N325" i="22"/>
  <c r="F323" i="22" s="1"/>
  <c r="E323" i="22" s="1"/>
  <c r="N38" i="22"/>
  <c r="N61" i="22"/>
  <c r="N15" i="22"/>
  <c r="N363" i="22"/>
  <c r="N232" i="22"/>
  <c r="N84" i="30"/>
  <c r="N360" i="22"/>
  <c r="N101" i="22"/>
  <c r="D16" i="15"/>
  <c r="D33" i="15"/>
  <c r="D32" i="15"/>
  <c r="D31" i="15"/>
  <c r="D30" i="15"/>
  <c r="D25" i="15"/>
  <c r="D21" i="15"/>
  <c r="D20" i="15"/>
  <c r="D19" i="15"/>
  <c r="N12" i="22" l="1"/>
  <c r="N14" i="22" s="1"/>
  <c r="F10" i="22"/>
  <c r="E10" i="22" s="1"/>
  <c r="G9" i="22" s="1"/>
  <c r="N151" i="22"/>
  <c r="F150" i="22"/>
  <c r="E150" i="22" s="1"/>
  <c r="G149" i="22" s="1"/>
  <c r="N58" i="22"/>
  <c r="N60" i="22"/>
  <c r="F281" i="22"/>
  <c r="E281" i="22" s="1"/>
  <c r="G280" i="22" s="1"/>
  <c r="N285" i="22" s="1"/>
  <c r="N35" i="22"/>
  <c r="N37" i="22"/>
  <c r="F34" i="22"/>
  <c r="E34" i="22" s="1"/>
  <c r="G33" i="22" s="1"/>
  <c r="F57" i="22"/>
  <c r="E57" i="22" s="1"/>
  <c r="G56" i="22" s="1"/>
  <c r="G79" i="22"/>
  <c r="N81" i="22"/>
  <c r="N83" i="22"/>
  <c r="N11" i="22"/>
  <c r="F285" i="22"/>
  <c r="F282" i="22" s="1"/>
  <c r="E285" i="22"/>
  <c r="E282" i="22" s="1"/>
  <c r="H285" i="22"/>
  <c r="G285" i="22"/>
  <c r="G282" i="22" s="1"/>
  <c r="J285" i="22"/>
  <c r="I285" i="22"/>
  <c r="I282" i="22" s="1"/>
  <c r="K17" i="34"/>
  <c r="K10" i="34" s="1"/>
  <c r="G212" i="22"/>
  <c r="G191" i="22"/>
  <c r="O84" i="30"/>
  <c r="K64" i="34"/>
  <c r="K57" i="34" s="1"/>
  <c r="G170" i="22"/>
  <c r="G301" i="22"/>
  <c r="G322" i="22"/>
  <c r="K285" i="22"/>
  <c r="K282" i="22" s="1"/>
  <c r="L285" i="22"/>
  <c r="L282" i="22" s="1"/>
  <c r="M285" i="22"/>
  <c r="G343" i="22"/>
  <c r="D23" i="15"/>
  <c r="D24" i="15"/>
  <c r="D18" i="15"/>
  <c r="E59" i="22" l="1"/>
  <c r="E63" i="22" s="1"/>
  <c r="E65" i="22" s="1"/>
  <c r="E66" i="22" s="1"/>
  <c r="M59" i="22"/>
  <c r="M63" i="22" s="1"/>
  <c r="M65" i="22" s="1"/>
  <c r="M66" i="22" s="1"/>
  <c r="J13" i="34" s="1"/>
  <c r="I59" i="22"/>
  <c r="I63" i="22" s="1"/>
  <c r="I65" i="22" s="1"/>
  <c r="I66" i="22" s="1"/>
  <c r="I72" i="22" s="1"/>
  <c r="J59" i="22"/>
  <c r="J63" i="22" s="1"/>
  <c r="J65" i="22" s="1"/>
  <c r="J66" i="22" s="1"/>
  <c r="G13" i="34" s="1"/>
  <c r="F59" i="22"/>
  <c r="F63" i="22" s="1"/>
  <c r="F65" i="22" s="1"/>
  <c r="F66" i="22" s="1"/>
  <c r="C13" i="34" s="1"/>
  <c r="L59" i="22"/>
  <c r="L63" i="22" s="1"/>
  <c r="L65" i="22" s="1"/>
  <c r="L66" i="22" s="1"/>
  <c r="I13" i="34" s="1"/>
  <c r="H59" i="22"/>
  <c r="H63" i="22" s="1"/>
  <c r="H65" i="22" s="1"/>
  <c r="H66" i="22" s="1"/>
  <c r="N59" i="22"/>
  <c r="N63" i="22" s="1"/>
  <c r="N65" i="22" s="1"/>
  <c r="N66" i="22" s="1"/>
  <c r="K59" i="22"/>
  <c r="K63" i="22" s="1"/>
  <c r="K65" i="22" s="1"/>
  <c r="K66" i="22" s="1"/>
  <c r="H13" i="34" s="1"/>
  <c r="G59" i="22"/>
  <c r="G63" i="22" s="1"/>
  <c r="G65" i="22" s="1"/>
  <c r="G66" i="22" s="1"/>
  <c r="E36" i="22"/>
  <c r="E40" i="22" s="1"/>
  <c r="E42" i="22" s="1"/>
  <c r="E43" i="22" s="1"/>
  <c r="E49" i="22" s="1"/>
  <c r="K36" i="22"/>
  <c r="K40" i="22" s="1"/>
  <c r="K42" i="22" s="1"/>
  <c r="K43" i="22" s="1"/>
  <c r="H12" i="34" s="1"/>
  <c r="G36" i="22"/>
  <c r="G40" i="22" s="1"/>
  <c r="N36" i="22"/>
  <c r="N40" i="22" s="1"/>
  <c r="N42" i="22" s="1"/>
  <c r="N43" i="22" s="1"/>
  <c r="K12" i="34" s="1"/>
  <c r="J36" i="22"/>
  <c r="J40" i="22" s="1"/>
  <c r="J42" i="22" s="1"/>
  <c r="J43" i="22" s="1"/>
  <c r="G12" i="34" s="1"/>
  <c r="F36" i="22"/>
  <c r="F40" i="22" s="1"/>
  <c r="F42" i="22" s="1"/>
  <c r="F43" i="22" s="1"/>
  <c r="F49" i="22" s="1"/>
  <c r="L36" i="22"/>
  <c r="L40" i="22" s="1"/>
  <c r="L42" i="22" s="1"/>
  <c r="L43" i="22" s="1"/>
  <c r="I12" i="34" s="1"/>
  <c r="M36" i="22"/>
  <c r="M40" i="22" s="1"/>
  <c r="M42" i="22" s="1"/>
  <c r="M43" i="22" s="1"/>
  <c r="I36" i="22"/>
  <c r="I40" i="22" s="1"/>
  <c r="I42" i="22" s="1"/>
  <c r="I43" i="22" s="1"/>
  <c r="F12" i="34" s="1"/>
  <c r="H36" i="22"/>
  <c r="H40" i="22" s="1"/>
  <c r="H42" i="22" s="1"/>
  <c r="H43" i="22" s="1"/>
  <c r="E12" i="34" s="1"/>
  <c r="N13" i="22"/>
  <c r="N17" i="22" s="1"/>
  <c r="J13" i="22"/>
  <c r="F13" i="22"/>
  <c r="F17" i="22" s="1"/>
  <c r="K13" i="22"/>
  <c r="M13" i="22"/>
  <c r="M17" i="22" s="1"/>
  <c r="I13" i="22"/>
  <c r="I17" i="22" s="1"/>
  <c r="I19" i="22" s="1"/>
  <c r="L13" i="22"/>
  <c r="L17" i="22" s="1"/>
  <c r="H13" i="22"/>
  <c r="E13" i="22"/>
  <c r="G13" i="22"/>
  <c r="M287" i="22"/>
  <c r="M288" i="22" s="1"/>
  <c r="M282" i="22"/>
  <c r="J287" i="22"/>
  <c r="J288" i="22" s="1"/>
  <c r="G58" i="34" s="1"/>
  <c r="J282" i="22"/>
  <c r="N287" i="22"/>
  <c r="N288" i="22" s="1"/>
  <c r="N294" i="22" s="1"/>
  <c r="N282" i="22"/>
  <c r="H287" i="22"/>
  <c r="H282" i="22"/>
  <c r="K82" i="22"/>
  <c r="K86" i="22" s="1"/>
  <c r="K88" i="22" s="1"/>
  <c r="K89" i="22" s="1"/>
  <c r="G82" i="22"/>
  <c r="G86" i="22" s="1"/>
  <c r="G88" i="22" s="1"/>
  <c r="G89" i="22" s="1"/>
  <c r="D14" i="34" s="1"/>
  <c r="N82" i="22"/>
  <c r="N86" i="22" s="1"/>
  <c r="N88" i="22" s="1"/>
  <c r="N89" i="22" s="1"/>
  <c r="J82" i="22"/>
  <c r="J86" i="22" s="1"/>
  <c r="J88" i="22" s="1"/>
  <c r="J89" i="22" s="1"/>
  <c r="F82" i="22"/>
  <c r="F86" i="22" s="1"/>
  <c r="F88" i="22" s="1"/>
  <c r="F89" i="22" s="1"/>
  <c r="M82" i="22"/>
  <c r="M86" i="22" s="1"/>
  <c r="M88" i="22" s="1"/>
  <c r="M89" i="22" s="1"/>
  <c r="J14" i="34" s="1"/>
  <c r="I82" i="22"/>
  <c r="I86" i="22" s="1"/>
  <c r="I88" i="22" s="1"/>
  <c r="I89" i="22" s="1"/>
  <c r="F14" i="34" s="1"/>
  <c r="L82" i="22"/>
  <c r="L86" i="22" s="1"/>
  <c r="L88" i="22" s="1"/>
  <c r="L89" i="22" s="1"/>
  <c r="I14" i="34" s="1"/>
  <c r="H82" i="22"/>
  <c r="H86" i="22" s="1"/>
  <c r="H88" i="22" s="1"/>
  <c r="H89" i="22" s="1"/>
  <c r="E82" i="22"/>
  <c r="E86" i="22" s="1"/>
  <c r="E88" i="22" s="1"/>
  <c r="E89" i="22" s="1"/>
  <c r="B14" i="34" s="1"/>
  <c r="G42" i="22"/>
  <c r="G43" i="22" s="1"/>
  <c r="G49" i="22" s="1"/>
  <c r="H17" i="22"/>
  <c r="K17" i="22"/>
  <c r="G17" i="22"/>
  <c r="G19" i="22" s="1"/>
  <c r="G20" i="22" s="1"/>
  <c r="D11" i="34" s="1"/>
  <c r="J17" i="22"/>
  <c r="E17" i="22"/>
  <c r="E19" i="22" s="1"/>
  <c r="F306" i="22"/>
  <c r="F303" i="22" s="1"/>
  <c r="E306" i="22"/>
  <c r="E303" i="22" s="1"/>
  <c r="F175" i="22"/>
  <c r="F172" i="22" s="1"/>
  <c r="E175" i="22"/>
  <c r="E172" i="22" s="1"/>
  <c r="G175" i="22"/>
  <c r="G172" i="22" s="1"/>
  <c r="J175" i="22"/>
  <c r="J172" i="22" s="1"/>
  <c r="I175" i="22"/>
  <c r="I172" i="22" s="1"/>
  <c r="K217" i="22"/>
  <c r="F217" i="22"/>
  <c r="F214" i="22" s="1"/>
  <c r="E217" i="22"/>
  <c r="E214" i="22" s="1"/>
  <c r="G217" i="22"/>
  <c r="G214" i="22" s="1"/>
  <c r="H217" i="22"/>
  <c r="H214" i="22" s="1"/>
  <c r="I217" i="22"/>
  <c r="I214" i="22" s="1"/>
  <c r="J217" i="22"/>
  <c r="J214" i="22" s="1"/>
  <c r="E287" i="22"/>
  <c r="E290" i="22"/>
  <c r="G327" i="22"/>
  <c r="G332" i="22" s="1"/>
  <c r="E327" i="22"/>
  <c r="E324" i="22" s="1"/>
  <c r="F327" i="22"/>
  <c r="F324" i="22" s="1"/>
  <c r="F287" i="22"/>
  <c r="F290" i="22"/>
  <c r="G348" i="22"/>
  <c r="F348" i="22"/>
  <c r="F345" i="22" s="1"/>
  <c r="E348" i="22"/>
  <c r="E345" i="22" s="1"/>
  <c r="K154" i="22"/>
  <c r="F154" i="22"/>
  <c r="E154" i="22"/>
  <c r="G154" i="22"/>
  <c r="J154" i="22"/>
  <c r="I154" i="22"/>
  <c r="H154" i="22"/>
  <c r="K196" i="22"/>
  <c r="E196" i="22"/>
  <c r="E193" i="22" s="1"/>
  <c r="F196" i="22"/>
  <c r="F193" i="22" s="1"/>
  <c r="G196" i="22"/>
  <c r="G193" i="22" s="1"/>
  <c r="J196" i="22"/>
  <c r="J193" i="22" s="1"/>
  <c r="I196" i="22"/>
  <c r="I193" i="22" s="1"/>
  <c r="H196" i="22"/>
  <c r="H193" i="22" s="1"/>
  <c r="H290" i="22"/>
  <c r="H306" i="22"/>
  <c r="G306" i="22"/>
  <c r="G303" i="22" s="1"/>
  <c r="G287" i="22"/>
  <c r="G290" i="22"/>
  <c r="I348" i="22"/>
  <c r="H348" i="22"/>
  <c r="H345" i="22" s="1"/>
  <c r="J290" i="22"/>
  <c r="I327" i="22"/>
  <c r="H327" i="22"/>
  <c r="H324" i="22" s="1"/>
  <c r="H288" i="22"/>
  <c r="J306" i="22"/>
  <c r="I306" i="22"/>
  <c r="I303" i="22" s="1"/>
  <c r="I290" i="22"/>
  <c r="I287" i="22"/>
  <c r="L175" i="22"/>
  <c r="K175" i="22"/>
  <c r="K172" i="22" s="1"/>
  <c r="M196" i="22"/>
  <c r="L196" i="22"/>
  <c r="L193" i="22" s="1"/>
  <c r="M154" i="22"/>
  <c r="L154" i="22"/>
  <c r="M217" i="22"/>
  <c r="M214" i="22" s="1"/>
  <c r="L217" i="22"/>
  <c r="L214" i="22" s="1"/>
  <c r="H175" i="22"/>
  <c r="H172" i="22" s="1"/>
  <c r="M175" i="22"/>
  <c r="M172" i="22" s="1"/>
  <c r="N175" i="22"/>
  <c r="N196" i="22"/>
  <c r="N193" i="22" s="1"/>
  <c r="N217" i="22"/>
  <c r="N154" i="22"/>
  <c r="M290" i="22"/>
  <c r="K306" i="22"/>
  <c r="K303" i="22" s="1"/>
  <c r="L306" i="22"/>
  <c r="L303" i="22" s="1"/>
  <c r="M306" i="22"/>
  <c r="M303" i="22" s="1"/>
  <c r="J327" i="22"/>
  <c r="J324" i="22" s="1"/>
  <c r="K327" i="22"/>
  <c r="K324" i="22" s="1"/>
  <c r="L327" i="22"/>
  <c r="L324" i="22" s="1"/>
  <c r="M327" i="22"/>
  <c r="M324" i="22" s="1"/>
  <c r="N306" i="22"/>
  <c r="N303" i="22" s="1"/>
  <c r="N327" i="22"/>
  <c r="N324" i="22" s="1"/>
  <c r="K290" i="22"/>
  <c r="K287" i="22"/>
  <c r="K288" i="22" s="1"/>
  <c r="L287" i="22"/>
  <c r="L288" i="22" s="1"/>
  <c r="I58" i="34" s="1"/>
  <c r="L290" i="22"/>
  <c r="J348" i="22"/>
  <c r="J345" i="22" s="1"/>
  <c r="K348" i="22"/>
  <c r="K345" i="22" s="1"/>
  <c r="L348" i="22"/>
  <c r="L345" i="22" s="1"/>
  <c r="M348" i="22"/>
  <c r="M345" i="22" s="1"/>
  <c r="N348" i="22"/>
  <c r="N290" i="22"/>
  <c r="F12" i="8"/>
  <c r="G12" i="8"/>
  <c r="H12" i="8"/>
  <c r="I12" i="8"/>
  <c r="F13" i="8"/>
  <c r="G13" i="8"/>
  <c r="H13" i="8"/>
  <c r="I13" i="8"/>
  <c r="F14" i="8"/>
  <c r="G14" i="8"/>
  <c r="H14" i="8"/>
  <c r="I14" i="8"/>
  <c r="F15" i="8"/>
  <c r="G15" i="8"/>
  <c r="H15" i="8"/>
  <c r="I15" i="8"/>
  <c r="F16" i="8"/>
  <c r="G16" i="8"/>
  <c r="H16" i="8"/>
  <c r="I16" i="8"/>
  <c r="F18" i="8"/>
  <c r="G18" i="8"/>
  <c r="H18" i="8"/>
  <c r="I18" i="8"/>
  <c r="F19" i="8"/>
  <c r="G19" i="8"/>
  <c r="H19" i="8"/>
  <c r="I19" i="8"/>
  <c r="F20" i="8"/>
  <c r="G20" i="8"/>
  <c r="H20" i="8"/>
  <c r="I20" i="8"/>
  <c r="F21" i="8"/>
  <c r="G21" i="8"/>
  <c r="H21" i="8"/>
  <c r="I21" i="8"/>
  <c r="F22" i="8"/>
  <c r="G22" i="8"/>
  <c r="H22" i="8"/>
  <c r="I22" i="8"/>
  <c r="E22" i="8"/>
  <c r="E21" i="8"/>
  <c r="E20" i="8"/>
  <c r="E19" i="8"/>
  <c r="E18" i="8"/>
  <c r="E16" i="8"/>
  <c r="E15" i="8"/>
  <c r="E14" i="8"/>
  <c r="E13" i="8"/>
  <c r="E12" i="8"/>
  <c r="M49" i="22" l="1"/>
  <c r="J12" i="34"/>
  <c r="K58" i="34"/>
  <c r="L72" i="22"/>
  <c r="K13" i="34"/>
  <c r="N72" i="22"/>
  <c r="E13" i="34"/>
  <c r="H72" i="22"/>
  <c r="D13" i="34"/>
  <c r="G72" i="22"/>
  <c r="B12" i="34"/>
  <c r="E72" i="22"/>
  <c r="B13" i="34"/>
  <c r="D12" i="34"/>
  <c r="N49" i="22"/>
  <c r="H49" i="22"/>
  <c r="L49" i="22"/>
  <c r="N291" i="22"/>
  <c r="N292" i="22" s="1"/>
  <c r="J72" i="22"/>
  <c r="M95" i="22"/>
  <c r="E14" i="34"/>
  <c r="H95" i="22"/>
  <c r="E100" i="22"/>
  <c r="E97" i="22" s="1"/>
  <c r="E57" i="20" s="1"/>
  <c r="K14" i="34"/>
  <c r="N95" i="22"/>
  <c r="K49" i="22"/>
  <c r="J49" i="22"/>
  <c r="G102" i="22"/>
  <c r="H100" i="22"/>
  <c r="I95" i="22"/>
  <c r="E95" i="22"/>
  <c r="J294" i="22"/>
  <c r="K95" i="22"/>
  <c r="H14" i="34"/>
  <c r="G14" i="34"/>
  <c r="J95" i="22"/>
  <c r="C14" i="34"/>
  <c r="B8" i="34"/>
  <c r="F95" i="22"/>
  <c r="I329" i="22"/>
  <c r="I330" i="22" s="1"/>
  <c r="F60" i="34" s="1"/>
  <c r="I324" i="22"/>
  <c r="K198" i="22"/>
  <c r="K199" i="22" s="1"/>
  <c r="K205" i="22" s="1"/>
  <c r="K193" i="22"/>
  <c r="G26" i="22"/>
  <c r="G103" i="22"/>
  <c r="G111" i="22" s="1"/>
  <c r="H34" i="30" s="1"/>
  <c r="N177" i="22"/>
  <c r="N178" i="22" s="1"/>
  <c r="K35" i="34" s="1"/>
  <c r="N172" i="22"/>
  <c r="M201" i="22"/>
  <c r="M193" i="22"/>
  <c r="J311" i="22"/>
  <c r="J303" i="22"/>
  <c r="J291" i="22"/>
  <c r="J292" i="22" s="1"/>
  <c r="G329" i="22"/>
  <c r="G330" i="22" s="1"/>
  <c r="G336" i="22" s="1"/>
  <c r="G324" i="22"/>
  <c r="F100" i="22"/>
  <c r="N353" i="22"/>
  <c r="N345" i="22"/>
  <c r="F72" i="22"/>
  <c r="G353" i="22"/>
  <c r="G345" i="22"/>
  <c r="C12" i="34"/>
  <c r="G100" i="22"/>
  <c r="L95" i="22"/>
  <c r="G95" i="22"/>
  <c r="N222" i="22"/>
  <c r="N214" i="22"/>
  <c r="M159" i="22"/>
  <c r="L177" i="22"/>
  <c r="L178" i="22" s="1"/>
  <c r="I35" i="34" s="1"/>
  <c r="L172" i="22"/>
  <c r="I353" i="22"/>
  <c r="I345" i="22"/>
  <c r="H311" i="22"/>
  <c r="H303" i="22"/>
  <c r="K159" i="22"/>
  <c r="K219" i="22"/>
  <c r="K220" i="22" s="1"/>
  <c r="H37" i="34" s="1"/>
  <c r="K214" i="22"/>
  <c r="F13" i="34"/>
  <c r="J100" i="22"/>
  <c r="B7" i="34"/>
  <c r="I100" i="22"/>
  <c r="B6" i="34"/>
  <c r="K72" i="22"/>
  <c r="I49" i="22"/>
  <c r="M72" i="22"/>
  <c r="K201" i="22"/>
  <c r="F19" i="22"/>
  <c r="F102" i="22" s="1"/>
  <c r="J19" i="22"/>
  <c r="J102" i="22" s="1"/>
  <c r="K156" i="22"/>
  <c r="K157" i="22" s="1"/>
  <c r="H19" i="22"/>
  <c r="H102" i="22" s="1"/>
  <c r="G350" i="22"/>
  <c r="G351" i="22" s="1"/>
  <c r="D61" i="34" s="1"/>
  <c r="E362" i="22"/>
  <c r="E359" i="22" s="1"/>
  <c r="E57" i="33" s="1"/>
  <c r="G362" i="22"/>
  <c r="K222" i="22"/>
  <c r="K231" i="22"/>
  <c r="H156" i="22"/>
  <c r="H157" i="22" s="1"/>
  <c r="H159" i="22"/>
  <c r="F353" i="22"/>
  <c r="F350" i="22"/>
  <c r="F351" i="22" s="1"/>
  <c r="F362" i="22"/>
  <c r="I231" i="22"/>
  <c r="I222" i="22"/>
  <c r="I219" i="22"/>
  <c r="I220" i="22" s="1"/>
  <c r="G177" i="22"/>
  <c r="G178" i="22" s="1"/>
  <c r="G180" i="22"/>
  <c r="F201" i="22"/>
  <c r="F198" i="22"/>
  <c r="F199" i="22" s="1"/>
  <c r="J198" i="22"/>
  <c r="J199" i="22" s="1"/>
  <c r="J201" i="22"/>
  <c r="G231" i="22"/>
  <c r="G156" i="22"/>
  <c r="G159" i="22"/>
  <c r="E353" i="22"/>
  <c r="E350" i="22"/>
  <c r="E351" i="22" s="1"/>
  <c r="E288" i="22"/>
  <c r="J222" i="22"/>
  <c r="J219" i="22"/>
  <c r="J220" i="22" s="1"/>
  <c r="J224" i="22" s="1"/>
  <c r="E219" i="22"/>
  <c r="E220" i="22" s="1"/>
  <c r="E222" i="22"/>
  <c r="J177" i="22"/>
  <c r="J178" i="22" s="1"/>
  <c r="J180" i="22"/>
  <c r="E308" i="22"/>
  <c r="E309" i="22" s="1"/>
  <c r="E311" i="22"/>
  <c r="G201" i="22"/>
  <c r="G198" i="22"/>
  <c r="G199" i="22" s="1"/>
  <c r="E156" i="22"/>
  <c r="E159" i="22"/>
  <c r="E231" i="22"/>
  <c r="E228" i="22" s="1"/>
  <c r="E57" i="32" s="1"/>
  <c r="F219" i="22"/>
  <c r="F220" i="22" s="1"/>
  <c r="F222" i="22"/>
  <c r="F308" i="22"/>
  <c r="F309" i="22" s="1"/>
  <c r="F311" i="22"/>
  <c r="H198" i="22"/>
  <c r="H199" i="22" s="1"/>
  <c r="H201" i="22"/>
  <c r="I159" i="22"/>
  <c r="I156" i="22"/>
  <c r="F231" i="22"/>
  <c r="F159" i="22"/>
  <c r="F156" i="22"/>
  <c r="F329" i="22"/>
  <c r="F330" i="22" s="1"/>
  <c r="F332" i="22"/>
  <c r="H222" i="22"/>
  <c r="H219" i="22"/>
  <c r="H220" i="22" s="1"/>
  <c r="H224" i="22" s="1"/>
  <c r="E177" i="22"/>
  <c r="E178" i="22" s="1"/>
  <c r="E180" i="22"/>
  <c r="H231" i="22"/>
  <c r="I20" i="22"/>
  <c r="I102" i="22"/>
  <c r="I201" i="22"/>
  <c r="I198" i="22"/>
  <c r="I199" i="22" s="1"/>
  <c r="E198" i="22"/>
  <c r="E199" i="22" s="1"/>
  <c r="E201" i="22"/>
  <c r="J159" i="22"/>
  <c r="J156" i="22"/>
  <c r="J231" i="22"/>
  <c r="E20" i="22"/>
  <c r="E102" i="22"/>
  <c r="F288" i="22"/>
  <c r="E329" i="22"/>
  <c r="E330" i="22" s="1"/>
  <c r="E332" i="22"/>
  <c r="G222" i="22"/>
  <c r="G219" i="22"/>
  <c r="G220" i="22" s="1"/>
  <c r="I180" i="22"/>
  <c r="I177" i="22"/>
  <c r="I178" i="22" s="1"/>
  <c r="F180" i="22"/>
  <c r="F177" i="22"/>
  <c r="F178" i="22" s="1"/>
  <c r="H308" i="22"/>
  <c r="H309" i="22" s="1"/>
  <c r="E59" i="34" s="1"/>
  <c r="G311" i="22"/>
  <c r="G308" i="22"/>
  <c r="G309" i="22" s="1"/>
  <c r="G333" i="22"/>
  <c r="G334" i="22" s="1"/>
  <c r="G288" i="22"/>
  <c r="I350" i="22"/>
  <c r="I351" i="22" s="1"/>
  <c r="I357" i="22" s="1"/>
  <c r="H362" i="22"/>
  <c r="I332" i="22"/>
  <c r="J308" i="22"/>
  <c r="J309" i="22" s="1"/>
  <c r="J315" i="22" s="1"/>
  <c r="I362" i="22"/>
  <c r="E58" i="34"/>
  <c r="H291" i="22"/>
  <c r="H292" i="22" s="1"/>
  <c r="H294" i="22"/>
  <c r="H353" i="22"/>
  <c r="H350" i="22"/>
  <c r="H351" i="22" s="1"/>
  <c r="H332" i="22"/>
  <c r="H329" i="22"/>
  <c r="H330" i="22" s="1"/>
  <c r="I311" i="22"/>
  <c r="I308" i="22"/>
  <c r="I309" i="22" s="1"/>
  <c r="I288" i="22"/>
  <c r="L180" i="22"/>
  <c r="K180" i="22"/>
  <c r="K177" i="22"/>
  <c r="K178" i="22" s="1"/>
  <c r="M198" i="22"/>
  <c r="M199" i="22" s="1"/>
  <c r="H177" i="22"/>
  <c r="H180" i="22"/>
  <c r="M156" i="22"/>
  <c r="M157" i="22" s="1"/>
  <c r="M163" i="22" s="1"/>
  <c r="L222" i="22"/>
  <c r="L219" i="22"/>
  <c r="L220" i="22" s="1"/>
  <c r="M219" i="22"/>
  <c r="M220" i="22" s="1"/>
  <c r="M222" i="22"/>
  <c r="L201" i="22"/>
  <c r="L198" i="22"/>
  <c r="L199" i="22" s="1"/>
  <c r="L159" i="22"/>
  <c r="L231" i="22"/>
  <c r="L156" i="22"/>
  <c r="N219" i="22"/>
  <c r="N220" i="22" s="1"/>
  <c r="N201" i="22"/>
  <c r="N198" i="22"/>
  <c r="N199" i="22" s="1"/>
  <c r="N156" i="22"/>
  <c r="N157" i="22" s="1"/>
  <c r="N159" i="22"/>
  <c r="N231" i="22"/>
  <c r="N180" i="22"/>
  <c r="M177" i="22"/>
  <c r="M231" i="22"/>
  <c r="M180" i="22"/>
  <c r="K329" i="22"/>
  <c r="K330" i="22" s="1"/>
  <c r="K332" i="22"/>
  <c r="J332" i="22"/>
  <c r="J329" i="22"/>
  <c r="J330" i="22" s="1"/>
  <c r="L332" i="22"/>
  <c r="L329" i="22"/>
  <c r="L330" i="22" s="1"/>
  <c r="L311" i="22"/>
  <c r="L308" i="22"/>
  <c r="L309" i="22" s="1"/>
  <c r="N332" i="22"/>
  <c r="N329" i="22"/>
  <c r="N330" i="22" s="1"/>
  <c r="K308" i="22"/>
  <c r="K309" i="22" s="1"/>
  <c r="K311" i="22"/>
  <c r="N311" i="22"/>
  <c r="N308" i="22"/>
  <c r="N309" i="22" s="1"/>
  <c r="L291" i="22"/>
  <c r="L292" i="22" s="1"/>
  <c r="M329" i="22"/>
  <c r="M330" i="22" s="1"/>
  <c r="M332" i="22"/>
  <c r="M308" i="22"/>
  <c r="M309" i="22" s="1"/>
  <c r="M311" i="22"/>
  <c r="L294" i="22"/>
  <c r="K291" i="22"/>
  <c r="K292" i="22" s="1"/>
  <c r="K294" i="22"/>
  <c r="H58" i="34"/>
  <c r="N350" i="22"/>
  <c r="N351" i="22" s="1"/>
  <c r="K353" i="22"/>
  <c r="K362" i="22"/>
  <c r="K350" i="22"/>
  <c r="J362" i="22"/>
  <c r="J350" i="22"/>
  <c r="J353" i="22"/>
  <c r="N362" i="22"/>
  <c r="M362" i="22"/>
  <c r="M353" i="22"/>
  <c r="M350" i="22"/>
  <c r="L353" i="22"/>
  <c r="L362" i="22"/>
  <c r="L350" i="22"/>
  <c r="M291" i="22"/>
  <c r="J58" i="34"/>
  <c r="M294" i="22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G295" i="4"/>
  <c r="G294" i="4"/>
  <c r="G293" i="4"/>
  <c r="A4" i="8"/>
  <c r="A5" i="8"/>
  <c r="A6" i="8"/>
  <c r="A7" i="8"/>
  <c r="A8" i="8"/>
  <c r="A9" i="8"/>
  <c r="A10" i="8"/>
  <c r="A3" i="8"/>
  <c r="C16" i="12"/>
  <c r="I336" i="22" l="1"/>
  <c r="D18" i="34"/>
  <c r="H36" i="34"/>
  <c r="L184" i="22"/>
  <c r="N367" i="22"/>
  <c r="O86" i="30" s="1"/>
  <c r="I333" i="22"/>
  <c r="I334" i="22" s="1"/>
  <c r="L181" i="22"/>
  <c r="L182" i="22" s="1"/>
  <c r="M202" i="22"/>
  <c r="M203" i="22" s="1"/>
  <c r="G114" i="22"/>
  <c r="G116" i="22" s="1"/>
  <c r="D20" i="34" s="1"/>
  <c r="D60" i="34"/>
  <c r="K223" i="22"/>
  <c r="K224" i="22" s="1"/>
  <c r="J20" i="22"/>
  <c r="G11" i="34" s="1"/>
  <c r="G18" i="34" s="1"/>
  <c r="K226" i="22"/>
  <c r="G367" i="22"/>
  <c r="D66" i="34" s="1"/>
  <c r="G357" i="22"/>
  <c r="G109" i="22"/>
  <c r="H33" i="30" s="1"/>
  <c r="H29" i="30"/>
  <c r="H20" i="22"/>
  <c r="H103" i="22" s="1"/>
  <c r="N184" i="22"/>
  <c r="K202" i="22"/>
  <c r="K203" i="22" s="1"/>
  <c r="N181" i="22"/>
  <c r="N182" i="22" s="1"/>
  <c r="G354" i="22"/>
  <c r="G355" i="22" s="1"/>
  <c r="F20" i="22"/>
  <c r="F26" i="22" s="1"/>
  <c r="F109" i="22" s="1"/>
  <c r="H312" i="22"/>
  <c r="H313" i="22" s="1"/>
  <c r="F367" i="22"/>
  <c r="G86" i="30" s="1"/>
  <c r="K236" i="22"/>
  <c r="H42" i="34" s="1"/>
  <c r="F236" i="22"/>
  <c r="C42" i="34" s="1"/>
  <c r="J236" i="22"/>
  <c r="G42" i="34" s="1"/>
  <c r="J202" i="22"/>
  <c r="J203" i="22" s="1"/>
  <c r="E367" i="22"/>
  <c r="B66" i="34" s="1"/>
  <c r="E364" i="22"/>
  <c r="F364" i="22"/>
  <c r="G364" i="22"/>
  <c r="F184" i="22"/>
  <c r="F181" i="22"/>
  <c r="F182" i="22" s="1"/>
  <c r="C35" i="34"/>
  <c r="F36" i="34"/>
  <c r="I205" i="22"/>
  <c r="I202" i="22"/>
  <c r="I203" i="22" s="1"/>
  <c r="J184" i="22"/>
  <c r="G35" i="34"/>
  <c r="F226" i="22"/>
  <c r="C37" i="34"/>
  <c r="F223" i="22"/>
  <c r="F224" i="22" s="1"/>
  <c r="D36" i="34"/>
  <c r="G202" i="22"/>
  <c r="G203" i="22" s="1"/>
  <c r="G205" i="22"/>
  <c r="J205" i="22"/>
  <c r="G36" i="34"/>
  <c r="H233" i="22"/>
  <c r="E202" i="22"/>
  <c r="E203" i="22" s="1"/>
  <c r="B36" i="34"/>
  <c r="E205" i="22"/>
  <c r="F11" i="34"/>
  <c r="F18" i="34" s="1"/>
  <c r="I26" i="22"/>
  <c r="I109" i="22" s="1"/>
  <c r="I103" i="22"/>
  <c r="E37" i="34"/>
  <c r="H226" i="22"/>
  <c r="H223" i="22"/>
  <c r="F157" i="22"/>
  <c r="F233" i="22"/>
  <c r="I236" i="22"/>
  <c r="C59" i="34"/>
  <c r="F312" i="22"/>
  <c r="F313" i="22" s="1"/>
  <c r="F315" i="22"/>
  <c r="E236" i="22"/>
  <c r="J181" i="22"/>
  <c r="J182" i="22" s="1"/>
  <c r="J223" i="22"/>
  <c r="J226" i="22"/>
  <c r="G37" i="34"/>
  <c r="E357" i="22"/>
  <c r="B61" i="34"/>
  <c r="E354" i="22"/>
  <c r="E355" i="22" s="1"/>
  <c r="F202" i="22"/>
  <c r="F203" i="22" s="1"/>
  <c r="F205" i="22"/>
  <c r="C36" i="34"/>
  <c r="F37" i="34"/>
  <c r="I223" i="22"/>
  <c r="I224" i="22" s="1"/>
  <c r="I226" i="22"/>
  <c r="F354" i="22"/>
  <c r="F355" i="22" s="1"/>
  <c r="C61" i="34"/>
  <c r="F357" i="22"/>
  <c r="D37" i="34"/>
  <c r="G223" i="22"/>
  <c r="G224" i="22" s="1"/>
  <c r="G226" i="22"/>
  <c r="F294" i="22"/>
  <c r="C58" i="34"/>
  <c r="F291" i="22"/>
  <c r="F292" i="22" s="1"/>
  <c r="F365" i="22"/>
  <c r="J157" i="22"/>
  <c r="J233" i="22"/>
  <c r="E157" i="22"/>
  <c r="E233" i="22"/>
  <c r="H202" i="22"/>
  <c r="H203" i="22" s="1"/>
  <c r="E36" i="34"/>
  <c r="H205" i="22"/>
  <c r="G236" i="22"/>
  <c r="H236" i="22"/>
  <c r="E42" i="34" s="1"/>
  <c r="I181" i="22"/>
  <c r="I182" i="22" s="1"/>
  <c r="F35" i="34"/>
  <c r="I184" i="22"/>
  <c r="E11" i="34"/>
  <c r="E18" i="34" s="1"/>
  <c r="B60" i="34"/>
  <c r="E336" i="22"/>
  <c r="E333" i="22"/>
  <c r="E334" i="22" s="1"/>
  <c r="B11" i="34"/>
  <c r="B18" i="34" s="1"/>
  <c r="E103" i="22"/>
  <c r="E26" i="22"/>
  <c r="E109" i="22" s="1"/>
  <c r="B35" i="34"/>
  <c r="E181" i="22"/>
  <c r="E182" i="22" s="1"/>
  <c r="E184" i="22"/>
  <c r="F333" i="22"/>
  <c r="F334" i="22" s="1"/>
  <c r="F336" i="22"/>
  <c r="C60" i="34"/>
  <c r="I157" i="22"/>
  <c r="I233" i="22"/>
  <c r="E312" i="22"/>
  <c r="E313" i="22" s="1"/>
  <c r="B59" i="34"/>
  <c r="E315" i="22"/>
  <c r="B37" i="34"/>
  <c r="E223" i="22"/>
  <c r="E224" i="22" s="1"/>
  <c r="E226" i="22"/>
  <c r="E294" i="22"/>
  <c r="B58" i="34"/>
  <c r="E291" i="22"/>
  <c r="E365" i="22"/>
  <c r="G157" i="22"/>
  <c r="G233" i="22"/>
  <c r="G184" i="22"/>
  <c r="G181" i="22"/>
  <c r="G182" i="22" s="1"/>
  <c r="D35" i="34"/>
  <c r="H163" i="22"/>
  <c r="E34" i="34"/>
  <c r="H160" i="22"/>
  <c r="H161" i="22" s="1"/>
  <c r="H315" i="22"/>
  <c r="B51" i="34"/>
  <c r="I354" i="22"/>
  <c r="I355" i="22" s="1"/>
  <c r="F61" i="34"/>
  <c r="G365" i="22"/>
  <c r="D58" i="34"/>
  <c r="G291" i="22"/>
  <c r="G292" i="22" s="1"/>
  <c r="G294" i="22"/>
  <c r="G315" i="22"/>
  <c r="D59" i="34"/>
  <c r="G312" i="22"/>
  <c r="G313" i="22" s="1"/>
  <c r="G59" i="34"/>
  <c r="H365" i="22"/>
  <c r="H373" i="22" s="1"/>
  <c r="I90" i="30" s="1"/>
  <c r="I367" i="22"/>
  <c r="F66" i="34" s="1"/>
  <c r="H364" i="22"/>
  <c r="J312" i="22"/>
  <c r="J313" i="22" s="1"/>
  <c r="H367" i="22"/>
  <c r="I364" i="22"/>
  <c r="E61" i="34"/>
  <c r="H354" i="22"/>
  <c r="H355" i="22" s="1"/>
  <c r="H357" i="22"/>
  <c r="H333" i="22"/>
  <c r="H334" i="22" s="1"/>
  <c r="H336" i="22"/>
  <c r="E60" i="34"/>
  <c r="I365" i="22"/>
  <c r="F58" i="34"/>
  <c r="I294" i="22"/>
  <c r="I291" i="22"/>
  <c r="I292" i="22" s="1"/>
  <c r="I315" i="22"/>
  <c r="F59" i="34"/>
  <c r="I312" i="22"/>
  <c r="I313" i="22" s="1"/>
  <c r="K233" i="22"/>
  <c r="H34" i="34"/>
  <c r="K160" i="22"/>
  <c r="K234" i="22"/>
  <c r="K163" i="22"/>
  <c r="K184" i="22"/>
  <c r="K181" i="22"/>
  <c r="K182" i="22" s="1"/>
  <c r="H35" i="34"/>
  <c r="J36" i="34"/>
  <c r="J34" i="34"/>
  <c r="M160" i="22"/>
  <c r="M161" i="22" s="1"/>
  <c r="H178" i="22"/>
  <c r="H234" i="22" s="1"/>
  <c r="M205" i="22"/>
  <c r="M236" i="22"/>
  <c r="N58" i="30" s="1"/>
  <c r="L236" i="22"/>
  <c r="M58" i="30" s="1"/>
  <c r="M224" i="22"/>
  <c r="M223" i="22"/>
  <c r="M226" i="22"/>
  <c r="J37" i="34"/>
  <c r="I36" i="34"/>
  <c r="L205" i="22"/>
  <c r="L202" i="22"/>
  <c r="L203" i="22" s="1"/>
  <c r="L224" i="22"/>
  <c r="L226" i="22"/>
  <c r="I37" i="34"/>
  <c r="L223" i="22"/>
  <c r="L157" i="22"/>
  <c r="L233" i="22"/>
  <c r="N233" i="22"/>
  <c r="N236" i="22"/>
  <c r="O58" i="30" s="1"/>
  <c r="B30" i="34"/>
  <c r="N205" i="22"/>
  <c r="N202" i="22"/>
  <c r="N203" i="22" s="1"/>
  <c r="K36" i="34"/>
  <c r="N234" i="22"/>
  <c r="K41" i="34" s="1"/>
  <c r="M178" i="22"/>
  <c r="M233" i="22"/>
  <c r="K34" i="34"/>
  <c r="N160" i="22"/>
  <c r="N161" i="22" s="1"/>
  <c r="N163" i="22"/>
  <c r="M312" i="22"/>
  <c r="M313" i="22" s="1"/>
  <c r="M315" i="22"/>
  <c r="L367" i="22"/>
  <c r="M86" i="30" s="1"/>
  <c r="N365" i="22"/>
  <c r="O85" i="30" s="1"/>
  <c r="K315" i="22"/>
  <c r="H59" i="34"/>
  <c r="K312" i="22"/>
  <c r="K313" i="22" s="1"/>
  <c r="N315" i="22"/>
  <c r="K59" i="34"/>
  <c r="N312" i="22"/>
  <c r="N313" i="22" s="1"/>
  <c r="N333" i="22"/>
  <c r="N334" i="22" s="1"/>
  <c r="N336" i="22"/>
  <c r="K60" i="34"/>
  <c r="J60" i="34"/>
  <c r="M336" i="22"/>
  <c r="M333" i="22"/>
  <c r="M334" i="22" s="1"/>
  <c r="L315" i="22"/>
  <c r="L312" i="22"/>
  <c r="L313" i="22" s="1"/>
  <c r="I59" i="34"/>
  <c r="G60" i="34"/>
  <c r="J336" i="22"/>
  <c r="J333" i="22"/>
  <c r="J334" i="22" s="1"/>
  <c r="B53" i="34"/>
  <c r="J367" i="22"/>
  <c r="K86" i="30" s="1"/>
  <c r="B52" i="34"/>
  <c r="I60" i="34"/>
  <c r="L336" i="22"/>
  <c r="L333" i="22"/>
  <c r="L334" i="22" s="1"/>
  <c r="J59" i="34"/>
  <c r="M367" i="22"/>
  <c r="J66" i="34" s="1"/>
  <c r="K367" i="22"/>
  <c r="L86" i="30" s="1"/>
  <c r="K336" i="22"/>
  <c r="H60" i="34"/>
  <c r="K333" i="22"/>
  <c r="K334" i="22" s="1"/>
  <c r="N364" i="22"/>
  <c r="N354" i="22"/>
  <c r="N355" i="22" s="1"/>
  <c r="N357" i="22"/>
  <c r="K61" i="34"/>
  <c r="J351" i="22"/>
  <c r="J364" i="22"/>
  <c r="M351" i="22"/>
  <c r="M364" i="22"/>
  <c r="K351" i="22"/>
  <c r="K364" i="22"/>
  <c r="L351" i="22"/>
  <c r="L364" i="22"/>
  <c r="K37" i="34"/>
  <c r="N226" i="22"/>
  <c r="N223" i="22"/>
  <c r="N224" i="22" s="1"/>
  <c r="B31" i="34"/>
  <c r="M292" i="22"/>
  <c r="D27" i="15"/>
  <c r="D13" i="15"/>
  <c r="D14" i="15"/>
  <c r="D12" i="15"/>
  <c r="G292" i="4"/>
  <c r="H86" i="30" l="1"/>
  <c r="K66" i="34"/>
  <c r="H32" i="30"/>
  <c r="G118" i="22"/>
  <c r="J26" i="22"/>
  <c r="J109" i="22" s="1"/>
  <c r="K33" i="30" s="1"/>
  <c r="J103" i="22"/>
  <c r="J114" i="22" s="1"/>
  <c r="J116" i="22" s="1"/>
  <c r="D21" i="34"/>
  <c r="H26" i="22"/>
  <c r="H109" i="22" s="1"/>
  <c r="I33" i="30" s="1"/>
  <c r="F103" i="22"/>
  <c r="F111" i="22" s="1"/>
  <c r="G34" i="30" s="1"/>
  <c r="K58" i="30"/>
  <c r="C66" i="34"/>
  <c r="C11" i="34"/>
  <c r="C18" i="34" s="1"/>
  <c r="I58" i="30"/>
  <c r="E368" i="22"/>
  <c r="F87" i="30" s="1"/>
  <c r="L58" i="30"/>
  <c r="F86" i="30"/>
  <c r="G58" i="30"/>
  <c r="C65" i="34"/>
  <c r="J33" i="30"/>
  <c r="B42" i="34"/>
  <c r="F58" i="30"/>
  <c r="E292" i="22"/>
  <c r="E371" i="22"/>
  <c r="F34" i="34"/>
  <c r="I234" i="22"/>
  <c r="I160" i="22"/>
  <c r="I237" i="22" s="1"/>
  <c r="J59" i="30" s="1"/>
  <c r="I163" i="22"/>
  <c r="I240" i="22" s="1"/>
  <c r="E114" i="22"/>
  <c r="E116" i="22" s="1"/>
  <c r="F29" i="30"/>
  <c r="E111" i="22"/>
  <c r="F34" i="30" s="1"/>
  <c r="H58" i="30"/>
  <c r="D42" i="34"/>
  <c r="F368" i="22"/>
  <c r="G87" i="30" s="1"/>
  <c r="F163" i="22"/>
  <c r="F240" i="22" s="1"/>
  <c r="F234" i="22"/>
  <c r="F160" i="22"/>
  <c r="F237" i="22" s="1"/>
  <c r="G59" i="30" s="1"/>
  <c r="C34" i="34"/>
  <c r="J29" i="30"/>
  <c r="I111" i="22"/>
  <c r="J34" i="30" s="1"/>
  <c r="I114" i="22"/>
  <c r="I116" i="22" s="1"/>
  <c r="F85" i="30"/>
  <c r="E373" i="22"/>
  <c r="F90" i="30" s="1"/>
  <c r="E376" i="22"/>
  <c r="E378" i="22" s="1"/>
  <c r="H114" i="22"/>
  <c r="H116" i="22" s="1"/>
  <c r="H111" i="22"/>
  <c r="I29" i="30"/>
  <c r="G34" i="34"/>
  <c r="J160" i="22"/>
  <c r="J237" i="22" s="1"/>
  <c r="K59" i="30" s="1"/>
  <c r="J163" i="22"/>
  <c r="J240" i="22" s="1"/>
  <c r="J234" i="22"/>
  <c r="F371" i="22"/>
  <c r="J58" i="30"/>
  <c r="F42" i="34"/>
  <c r="G33" i="30"/>
  <c r="G234" i="22"/>
  <c r="G160" i="22"/>
  <c r="G237" i="22" s="1"/>
  <c r="H59" i="30" s="1"/>
  <c r="D34" i="34"/>
  <c r="G163" i="22"/>
  <c r="G240" i="22" s="1"/>
  <c r="B65" i="34"/>
  <c r="F33" i="30"/>
  <c r="B34" i="34"/>
  <c r="E160" i="22"/>
  <c r="E237" i="22" s="1"/>
  <c r="F59" i="30" s="1"/>
  <c r="E234" i="22"/>
  <c r="E163" i="22"/>
  <c r="E240" i="22" s="1"/>
  <c r="F373" i="22"/>
  <c r="G90" i="30" s="1"/>
  <c r="F376" i="22"/>
  <c r="F378" i="22" s="1"/>
  <c r="G85" i="30"/>
  <c r="D65" i="34"/>
  <c r="H85" i="30"/>
  <c r="G373" i="22"/>
  <c r="H90" i="30" s="1"/>
  <c r="G376" i="22"/>
  <c r="G378" i="22" s="1"/>
  <c r="G371" i="22"/>
  <c r="G368" i="22"/>
  <c r="H87" i="30" s="1"/>
  <c r="E65" i="34"/>
  <c r="I85" i="30"/>
  <c r="H376" i="22"/>
  <c r="H378" i="22" s="1"/>
  <c r="I88" i="30" s="1"/>
  <c r="H371" i="22"/>
  <c r="I89" i="30" s="1"/>
  <c r="J86" i="30"/>
  <c r="F65" i="34"/>
  <c r="H368" i="22"/>
  <c r="E66" i="34"/>
  <c r="I86" i="30"/>
  <c r="I373" i="22"/>
  <c r="J90" i="30" s="1"/>
  <c r="J85" i="30"/>
  <c r="I376" i="22"/>
  <c r="I378" i="22" s="1"/>
  <c r="I368" i="22"/>
  <c r="J87" i="30" s="1"/>
  <c r="I371" i="22"/>
  <c r="H181" i="22"/>
  <c r="H237" i="22" s="1"/>
  <c r="I59" i="30" s="1"/>
  <c r="H184" i="22"/>
  <c r="H240" i="22" s="1"/>
  <c r="I61" i="30" s="1"/>
  <c r="K245" i="22"/>
  <c r="K247" i="22" s="1"/>
  <c r="K242" i="22"/>
  <c r="L62" i="30" s="1"/>
  <c r="H41" i="34"/>
  <c r="L57" i="30"/>
  <c r="K237" i="22"/>
  <c r="L59" i="30" s="1"/>
  <c r="K161" i="22"/>
  <c r="K240" i="22"/>
  <c r="I42" i="34"/>
  <c r="E35" i="34"/>
  <c r="B29" i="34"/>
  <c r="J42" i="34"/>
  <c r="L163" i="22"/>
  <c r="L240" i="22" s="1"/>
  <c r="L234" i="22"/>
  <c r="L160" i="22"/>
  <c r="L237" i="22" s="1"/>
  <c r="M59" i="30" s="1"/>
  <c r="I34" i="34"/>
  <c r="B28" i="34"/>
  <c r="K42" i="34"/>
  <c r="O57" i="30"/>
  <c r="N242" i="22"/>
  <c r="O62" i="30" s="1"/>
  <c r="N245" i="22"/>
  <c r="N247" i="22" s="1"/>
  <c r="K43" i="34" s="1"/>
  <c r="N240" i="22"/>
  <c r="O61" i="30" s="1"/>
  <c r="M184" i="22"/>
  <c r="M240" i="22" s="1"/>
  <c r="N61" i="30" s="1"/>
  <c r="J35" i="34"/>
  <c r="M234" i="22"/>
  <c r="M181" i="22"/>
  <c r="H242" i="22"/>
  <c r="H245" i="22"/>
  <c r="H247" i="22" s="1"/>
  <c r="I57" i="30"/>
  <c r="E41" i="34"/>
  <c r="N373" i="22"/>
  <c r="O90" i="30" s="1"/>
  <c r="H66" i="34"/>
  <c r="K65" i="34"/>
  <c r="N371" i="22"/>
  <c r="O89" i="30" s="1"/>
  <c r="I66" i="34"/>
  <c r="N376" i="22"/>
  <c r="N378" i="22" s="1"/>
  <c r="K67" i="34" s="1"/>
  <c r="G66" i="34"/>
  <c r="N368" i="22"/>
  <c r="N369" i="22" s="1"/>
  <c r="N86" i="30"/>
  <c r="H61" i="34"/>
  <c r="H65" i="34" s="1"/>
  <c r="K357" i="22"/>
  <c r="K371" i="22" s="1"/>
  <c r="K354" i="22"/>
  <c r="K368" i="22" s="1"/>
  <c r="L87" i="30" s="1"/>
  <c r="K365" i="22"/>
  <c r="J357" i="22"/>
  <c r="J371" i="22" s="1"/>
  <c r="G61" i="34"/>
  <c r="G65" i="34" s="1"/>
  <c r="J354" i="22"/>
  <c r="J368" i="22" s="1"/>
  <c r="K87" i="30" s="1"/>
  <c r="J365" i="22"/>
  <c r="B54" i="34"/>
  <c r="L357" i="22"/>
  <c r="L371" i="22" s="1"/>
  <c r="I61" i="34"/>
  <c r="I65" i="34" s="1"/>
  <c r="L354" i="22"/>
  <c r="L365" i="22"/>
  <c r="M357" i="22"/>
  <c r="M371" i="22" s="1"/>
  <c r="N89" i="30" s="1"/>
  <c r="J61" i="34"/>
  <c r="J65" i="34" s="1"/>
  <c r="M354" i="22"/>
  <c r="M365" i="22"/>
  <c r="N237" i="22"/>
  <c r="N238" i="22" s="1"/>
  <c r="F117" i="31"/>
  <c r="F145" i="31"/>
  <c r="F131" i="31"/>
  <c r="C5" i="13"/>
  <c r="G291" i="4"/>
  <c r="C68" i="12"/>
  <c r="H63" i="12"/>
  <c r="G63" i="12"/>
  <c r="F63" i="12"/>
  <c r="H62" i="12"/>
  <c r="G62" i="12"/>
  <c r="F62" i="12"/>
  <c r="H61" i="12"/>
  <c r="G61" i="12"/>
  <c r="F61" i="12"/>
  <c r="H60" i="12"/>
  <c r="G60" i="12"/>
  <c r="F60" i="12"/>
  <c r="H59" i="12"/>
  <c r="G59" i="12"/>
  <c r="F59" i="12"/>
  <c r="H58" i="12"/>
  <c r="G58" i="12"/>
  <c r="F58" i="12"/>
  <c r="H57" i="12"/>
  <c r="G57" i="12"/>
  <c r="F57" i="12"/>
  <c r="H56" i="12"/>
  <c r="G56" i="12"/>
  <c r="F56" i="12"/>
  <c r="H55" i="12"/>
  <c r="G55" i="12"/>
  <c r="F55" i="12"/>
  <c r="H54" i="12"/>
  <c r="G54" i="12"/>
  <c r="F54" i="12"/>
  <c r="H53" i="12"/>
  <c r="G53" i="12"/>
  <c r="F53" i="12"/>
  <c r="H52" i="12"/>
  <c r="G52" i="12"/>
  <c r="F52" i="12"/>
  <c r="H51" i="12"/>
  <c r="G51" i="12"/>
  <c r="F51" i="12"/>
  <c r="H50" i="12"/>
  <c r="G50" i="12"/>
  <c r="F50" i="12"/>
  <c r="H49" i="12"/>
  <c r="G49" i="12"/>
  <c r="F49" i="12"/>
  <c r="H48" i="12"/>
  <c r="G48" i="12"/>
  <c r="F48" i="12"/>
  <c r="H47" i="12"/>
  <c r="G47" i="12"/>
  <c r="F47" i="12"/>
  <c r="H46" i="12"/>
  <c r="G46" i="12"/>
  <c r="F46" i="12"/>
  <c r="H45" i="12"/>
  <c r="G45" i="12"/>
  <c r="F45" i="12"/>
  <c r="H44" i="12"/>
  <c r="G44" i="12"/>
  <c r="F44" i="12"/>
  <c r="H43" i="12"/>
  <c r="G43" i="12"/>
  <c r="F43" i="12"/>
  <c r="H42" i="12"/>
  <c r="G42" i="12"/>
  <c r="F42" i="12"/>
  <c r="H41" i="12"/>
  <c r="G41" i="12"/>
  <c r="F41" i="12"/>
  <c r="H40" i="12"/>
  <c r="G40" i="12"/>
  <c r="F40" i="12"/>
  <c r="H39" i="12"/>
  <c r="G39" i="12"/>
  <c r="F39" i="12"/>
  <c r="H38" i="12"/>
  <c r="G38" i="12"/>
  <c r="F38" i="12"/>
  <c r="H37" i="12"/>
  <c r="G37" i="12"/>
  <c r="F37" i="12"/>
  <c r="H36" i="12"/>
  <c r="G36" i="12"/>
  <c r="F36" i="12"/>
  <c r="H35" i="12"/>
  <c r="G35" i="12"/>
  <c r="F35" i="12"/>
  <c r="H34" i="12"/>
  <c r="G34" i="12"/>
  <c r="F34" i="12"/>
  <c r="H33" i="12"/>
  <c r="G33" i="12"/>
  <c r="F33" i="12"/>
  <c r="H32" i="12"/>
  <c r="G32" i="12"/>
  <c r="F32" i="12"/>
  <c r="H31" i="12"/>
  <c r="G31" i="12"/>
  <c r="F31" i="12"/>
  <c r="H30" i="12"/>
  <c r="G30" i="12"/>
  <c r="F30" i="12"/>
  <c r="H29" i="12"/>
  <c r="G29" i="12"/>
  <c r="F29" i="12"/>
  <c r="H28" i="12"/>
  <c r="G28" i="12"/>
  <c r="F28" i="12"/>
  <c r="H27" i="12"/>
  <c r="G27" i="12"/>
  <c r="F27" i="12"/>
  <c r="H26" i="12"/>
  <c r="G26" i="12"/>
  <c r="F26" i="12"/>
  <c r="H25" i="12"/>
  <c r="G25" i="12"/>
  <c r="F25" i="12"/>
  <c r="H24" i="12"/>
  <c r="G24" i="12"/>
  <c r="F24" i="12"/>
  <c r="H23" i="12"/>
  <c r="G23" i="12"/>
  <c r="F23" i="12"/>
  <c r="J111" i="22" l="1"/>
  <c r="G21" i="34" s="1"/>
  <c r="K29" i="30"/>
  <c r="G29" i="30"/>
  <c r="F114" i="22"/>
  <c r="F116" i="22" s="1"/>
  <c r="G32" i="30" s="1"/>
  <c r="B21" i="34"/>
  <c r="E161" i="22"/>
  <c r="G161" i="22"/>
  <c r="E369" i="22"/>
  <c r="I161" i="22"/>
  <c r="F369" i="22"/>
  <c r="K61" i="30"/>
  <c r="F61" i="30"/>
  <c r="G242" i="22"/>
  <c r="H62" i="30" s="1"/>
  <c r="H57" i="30"/>
  <c r="G238" i="22"/>
  <c r="D41" i="34"/>
  <c r="G245" i="22"/>
  <c r="G247" i="22" s="1"/>
  <c r="I34" i="30"/>
  <c r="H118" i="22"/>
  <c r="B20" i="34"/>
  <c r="F32" i="30"/>
  <c r="I245" i="22"/>
  <c r="I247" i="22" s="1"/>
  <c r="F41" i="34"/>
  <c r="J57" i="30"/>
  <c r="I242" i="22"/>
  <c r="J62" i="30" s="1"/>
  <c r="I238" i="22"/>
  <c r="E21" i="34"/>
  <c r="I118" i="22"/>
  <c r="G88" i="30"/>
  <c r="C67" i="34"/>
  <c r="F57" i="30"/>
  <c r="E245" i="22"/>
  <c r="E247" i="22" s="1"/>
  <c r="B41" i="34"/>
  <c r="E238" i="22"/>
  <c r="E242" i="22"/>
  <c r="F62" i="30" s="1"/>
  <c r="E118" i="22"/>
  <c r="F242" i="22"/>
  <c r="G62" i="30" s="1"/>
  <c r="F245" i="22"/>
  <c r="F247" i="22" s="1"/>
  <c r="G57" i="30"/>
  <c r="C41" i="34"/>
  <c r="F238" i="22"/>
  <c r="J161" i="22"/>
  <c r="F88" i="30"/>
  <c r="B67" i="34"/>
  <c r="F20" i="34"/>
  <c r="J32" i="30"/>
  <c r="F21" i="34"/>
  <c r="H61" i="30"/>
  <c r="E20" i="34"/>
  <c r="I32" i="30"/>
  <c r="C21" i="34"/>
  <c r="G89" i="30"/>
  <c r="C68" i="34"/>
  <c r="F380" i="22"/>
  <c r="F381" i="22" s="1"/>
  <c r="F382" i="22" s="1"/>
  <c r="F383" i="22" s="1"/>
  <c r="G41" i="34"/>
  <c r="J245" i="22"/>
  <c r="J247" i="22" s="1"/>
  <c r="J242" i="22"/>
  <c r="K62" i="30" s="1"/>
  <c r="K57" i="30"/>
  <c r="J238" i="22"/>
  <c r="F161" i="22"/>
  <c r="G61" i="30"/>
  <c r="J61" i="30"/>
  <c r="F89" i="30"/>
  <c r="B68" i="34"/>
  <c r="E380" i="22"/>
  <c r="E381" i="22" s="1"/>
  <c r="E382" i="22" s="1"/>
  <c r="E383" i="22" s="1"/>
  <c r="E67" i="34"/>
  <c r="H89" i="30"/>
  <c r="G380" i="22"/>
  <c r="G381" i="22" s="1"/>
  <c r="G382" i="22" s="1"/>
  <c r="G383" i="22" s="1"/>
  <c r="D68" i="34"/>
  <c r="G369" i="22"/>
  <c r="D67" i="34"/>
  <c r="H88" i="30"/>
  <c r="H380" i="22"/>
  <c r="H381" i="22" s="1"/>
  <c r="H382" i="22" s="1"/>
  <c r="H383" i="22" s="1"/>
  <c r="H386" i="22" s="1"/>
  <c r="H387" i="22" s="1"/>
  <c r="E68" i="34"/>
  <c r="I369" i="22"/>
  <c r="I87" i="30"/>
  <c r="H369" i="22"/>
  <c r="J89" i="30"/>
  <c r="F68" i="34"/>
  <c r="I380" i="22"/>
  <c r="I381" i="22" s="1"/>
  <c r="I382" i="22" s="1"/>
  <c r="I383" i="22" s="1"/>
  <c r="F67" i="34"/>
  <c r="J88" i="30"/>
  <c r="J355" i="22"/>
  <c r="K355" i="22"/>
  <c r="H238" i="22"/>
  <c r="H182" i="22"/>
  <c r="L61" i="30"/>
  <c r="K249" i="22"/>
  <c r="K250" i="22" s="1"/>
  <c r="K251" i="22" s="1"/>
  <c r="K252" i="22" s="1"/>
  <c r="H44" i="34"/>
  <c r="K238" i="22"/>
  <c r="H43" i="34"/>
  <c r="L60" i="30"/>
  <c r="M57" i="30"/>
  <c r="L245" i="22"/>
  <c r="L247" i="22" s="1"/>
  <c r="L242" i="22"/>
  <c r="M62" i="30" s="1"/>
  <c r="I41" i="34"/>
  <c r="L238" i="22"/>
  <c r="L161" i="22"/>
  <c r="M61" i="30"/>
  <c r="O59" i="30"/>
  <c r="N249" i="22"/>
  <c r="N250" i="22" s="1"/>
  <c r="N251" i="22" s="1"/>
  <c r="N252" i="22" s="1"/>
  <c r="M182" i="22"/>
  <c r="M237" i="22"/>
  <c r="N59" i="30" s="1"/>
  <c r="M245" i="22"/>
  <c r="M247" i="22" s="1"/>
  <c r="J41" i="34"/>
  <c r="N57" i="30"/>
  <c r="M242" i="22"/>
  <c r="K44" i="34"/>
  <c r="O60" i="30"/>
  <c r="D266" i="22"/>
  <c r="I60" i="30"/>
  <c r="E43" i="34"/>
  <c r="I62" i="30"/>
  <c r="E44" i="34"/>
  <c r="H249" i="22"/>
  <c r="H250" i="22" s="1"/>
  <c r="H251" i="22" s="1"/>
  <c r="H252" i="22" s="1"/>
  <c r="N380" i="22"/>
  <c r="N381" i="22" s="1"/>
  <c r="K68" i="34"/>
  <c r="O88" i="30"/>
  <c r="O87" i="30"/>
  <c r="K34" i="30"/>
  <c r="G20" i="34"/>
  <c r="K32" i="30"/>
  <c r="M355" i="22"/>
  <c r="M368" i="22"/>
  <c r="L355" i="22"/>
  <c r="L368" i="22"/>
  <c r="M87" i="30" s="1"/>
  <c r="J376" i="22"/>
  <c r="J378" i="22" s="1"/>
  <c r="K85" i="30"/>
  <c r="J373" i="22"/>
  <c r="K90" i="30" s="1"/>
  <c r="J369" i="22"/>
  <c r="K89" i="30"/>
  <c r="L89" i="30"/>
  <c r="L85" i="30"/>
  <c r="K376" i="22"/>
  <c r="K378" i="22" s="1"/>
  <c r="K373" i="22"/>
  <c r="K369" i="22"/>
  <c r="M89" i="30"/>
  <c r="D397" i="22"/>
  <c r="M373" i="22"/>
  <c r="M376" i="22"/>
  <c r="M378" i="22" s="1"/>
  <c r="N85" i="30"/>
  <c r="M85" i="30"/>
  <c r="L373" i="22"/>
  <c r="M90" i="30" s="1"/>
  <c r="L376" i="22"/>
  <c r="L378" i="22" s="1"/>
  <c r="H6" i="8"/>
  <c r="F7" i="8"/>
  <c r="K23" i="12"/>
  <c r="L23" i="12" s="1"/>
  <c r="M23" i="12" s="1"/>
  <c r="I6" i="8"/>
  <c r="E7" i="8"/>
  <c r="G7" i="8"/>
  <c r="G6" i="8"/>
  <c r="J293" i="4"/>
  <c r="J294" i="4"/>
  <c r="J295" i="4"/>
  <c r="F6" i="8"/>
  <c r="J291" i="4"/>
  <c r="J292" i="4"/>
  <c r="J118" i="22" l="1"/>
  <c r="F118" i="22"/>
  <c r="C20" i="34"/>
  <c r="C44" i="34"/>
  <c r="F249" i="22"/>
  <c r="F250" i="22" s="1"/>
  <c r="F251" i="22" s="1"/>
  <c r="F252" i="22" s="1"/>
  <c r="C45" i="34" s="1"/>
  <c r="G249" i="22"/>
  <c r="G250" i="22" s="1"/>
  <c r="G251" i="22" s="1"/>
  <c r="G252" i="22" s="1"/>
  <c r="H63" i="30" s="1"/>
  <c r="G44" i="34"/>
  <c r="E249" i="22"/>
  <c r="E250" i="22" s="1"/>
  <c r="E251" i="22" s="1"/>
  <c r="E252" i="22" s="1"/>
  <c r="F63" i="30" s="1"/>
  <c r="F43" i="34"/>
  <c r="J60" i="30"/>
  <c r="H60" i="30"/>
  <c r="D43" i="34"/>
  <c r="D44" i="34"/>
  <c r="C43" i="34"/>
  <c r="G60" i="30"/>
  <c r="E386" i="22"/>
  <c r="E387" i="22" s="1"/>
  <c r="F91" i="30"/>
  <c r="B69" i="34"/>
  <c r="E384" i="22"/>
  <c r="I249" i="22"/>
  <c r="I250" i="22" s="1"/>
  <c r="I251" i="22" s="1"/>
  <c r="I252" i="22" s="1"/>
  <c r="G43" i="34"/>
  <c r="K60" i="30"/>
  <c r="J249" i="22"/>
  <c r="J250" i="22" s="1"/>
  <c r="J251" i="22" s="1"/>
  <c r="J252" i="22" s="1"/>
  <c r="B43" i="34"/>
  <c r="F60" i="30"/>
  <c r="F44" i="34"/>
  <c r="F386" i="22"/>
  <c r="F387" i="22" s="1"/>
  <c r="G91" i="30"/>
  <c r="C69" i="34"/>
  <c r="F384" i="22"/>
  <c r="B44" i="34"/>
  <c r="G386" i="22"/>
  <c r="G387" i="22" s="1"/>
  <c r="D69" i="34"/>
  <c r="H91" i="30"/>
  <c r="G384" i="22"/>
  <c r="H384" i="22"/>
  <c r="E69" i="34"/>
  <c r="I91" i="30"/>
  <c r="I92" i="30"/>
  <c r="H390" i="22"/>
  <c r="I386" i="22"/>
  <c r="I387" i="22" s="1"/>
  <c r="J91" i="30"/>
  <c r="F69" i="34"/>
  <c r="I384" i="22"/>
  <c r="K253" i="22"/>
  <c r="L63" i="30"/>
  <c r="K255" i="22"/>
  <c r="K256" i="22" s="1"/>
  <c r="H45" i="34"/>
  <c r="I44" i="34"/>
  <c r="I43" i="34"/>
  <c r="M60" i="30"/>
  <c r="L249" i="22"/>
  <c r="L250" i="22" s="1"/>
  <c r="L251" i="22" s="1"/>
  <c r="L252" i="22" s="1"/>
  <c r="N62" i="30"/>
  <c r="M249" i="22"/>
  <c r="M250" i="22" s="1"/>
  <c r="M251" i="22" s="1"/>
  <c r="M252" i="22" s="1"/>
  <c r="M253" i="22" s="1"/>
  <c r="J44" i="34"/>
  <c r="M238" i="22"/>
  <c r="N60" i="30"/>
  <c r="J43" i="34"/>
  <c r="H19" i="30"/>
  <c r="S60" i="30"/>
  <c r="F54" i="31"/>
  <c r="G54" i="31" s="1"/>
  <c r="E131" i="31" s="1"/>
  <c r="H255" i="22"/>
  <c r="H256" i="22" s="1"/>
  <c r="I63" i="30"/>
  <c r="H253" i="22"/>
  <c r="E45" i="34"/>
  <c r="K45" i="34"/>
  <c r="N253" i="22"/>
  <c r="N255" i="22"/>
  <c r="N256" i="22" s="1"/>
  <c r="N382" i="22"/>
  <c r="N383" i="22" s="1"/>
  <c r="O63" i="30"/>
  <c r="K380" i="22"/>
  <c r="I68" i="34"/>
  <c r="G68" i="34"/>
  <c r="L369" i="22"/>
  <c r="L380" i="22"/>
  <c r="N87" i="30"/>
  <c r="M369" i="22"/>
  <c r="I67" i="34"/>
  <c r="M88" i="30"/>
  <c r="J67" i="34"/>
  <c r="N88" i="30"/>
  <c r="H68" i="34"/>
  <c r="L90" i="30"/>
  <c r="K88" i="30"/>
  <c r="G67" i="34"/>
  <c r="N90" i="30"/>
  <c r="J68" i="34"/>
  <c r="M380" i="22"/>
  <c r="M381" i="22" s="1"/>
  <c r="H67" i="34"/>
  <c r="L88" i="30"/>
  <c r="J380" i="22"/>
  <c r="J381" i="22" s="1"/>
  <c r="J19" i="30"/>
  <c r="S88" i="30"/>
  <c r="F68" i="31"/>
  <c r="G68" i="31" s="1"/>
  <c r="E145" i="31" s="1"/>
  <c r="E10" i="8"/>
  <c r="I10" i="8"/>
  <c r="G10" i="8"/>
  <c r="H7" i="8"/>
  <c r="H10" i="8"/>
  <c r="I7" i="8"/>
  <c r="F10" i="8"/>
  <c r="G9" i="8"/>
  <c r="F9" i="8"/>
  <c r="H9" i="8"/>
  <c r="I8" i="8"/>
  <c r="G8" i="8"/>
  <c r="E9" i="8"/>
  <c r="I9" i="8"/>
  <c r="E8" i="8"/>
  <c r="H8" i="8"/>
  <c r="F8" i="8"/>
  <c r="E6" i="8"/>
  <c r="D45" i="34" l="1"/>
  <c r="F253" i="22"/>
  <c r="F255" i="22"/>
  <c r="F256" i="22" s="1"/>
  <c r="F259" i="22" s="1"/>
  <c r="G63" i="30"/>
  <c r="G253" i="22"/>
  <c r="G255" i="22"/>
  <c r="G256" i="22" s="1"/>
  <c r="H64" i="30" s="1"/>
  <c r="E253" i="22"/>
  <c r="E255" i="22"/>
  <c r="E256" i="22" s="1"/>
  <c r="E259" i="22" s="1"/>
  <c r="B45" i="34"/>
  <c r="J253" i="22"/>
  <c r="G45" i="34"/>
  <c r="J255" i="22"/>
  <c r="J256" i="22" s="1"/>
  <c r="K63" i="30"/>
  <c r="J63" i="30"/>
  <c r="I255" i="22"/>
  <c r="I256" i="22" s="1"/>
  <c r="F45" i="34"/>
  <c r="I253" i="22"/>
  <c r="E390" i="22"/>
  <c r="F92" i="30"/>
  <c r="G92" i="30"/>
  <c r="F390" i="22"/>
  <c r="H92" i="30"/>
  <c r="G390" i="22"/>
  <c r="E80" i="34"/>
  <c r="I93" i="30"/>
  <c r="J92" i="30"/>
  <c r="I390" i="22"/>
  <c r="L64" i="30"/>
  <c r="K259" i="22"/>
  <c r="L255" i="22"/>
  <c r="L256" i="22" s="1"/>
  <c r="I45" i="34"/>
  <c r="L253" i="22"/>
  <c r="M63" i="30"/>
  <c r="M255" i="22"/>
  <c r="M256" i="22" s="1"/>
  <c r="N64" i="30" s="1"/>
  <c r="N63" i="30"/>
  <c r="J45" i="34"/>
  <c r="H259" i="22"/>
  <c r="I64" i="30"/>
  <c r="N259" i="22"/>
  <c r="K79" i="34" s="1"/>
  <c r="O64" i="30"/>
  <c r="K381" i="22"/>
  <c r="N384" i="22"/>
  <c r="O91" i="30"/>
  <c r="N386" i="22"/>
  <c r="N387" i="22" s="1"/>
  <c r="K69" i="34"/>
  <c r="M382" i="22"/>
  <c r="M383" i="22" s="1"/>
  <c r="J382" i="22"/>
  <c r="J383" i="22" s="1"/>
  <c r="L381" i="22"/>
  <c r="G36" i="24"/>
  <c r="H36" i="24"/>
  <c r="I36" i="24"/>
  <c r="F36" i="24"/>
  <c r="G10" i="24"/>
  <c r="F166" i="24"/>
  <c r="H166" i="24"/>
  <c r="H101" i="24"/>
  <c r="H244" i="24"/>
  <c r="H296" i="24"/>
  <c r="H62" i="24"/>
  <c r="I88" i="24"/>
  <c r="H452" i="24"/>
  <c r="H10" i="24"/>
  <c r="H517" i="24"/>
  <c r="H88" i="24"/>
  <c r="I218" i="24"/>
  <c r="F218" i="24"/>
  <c r="G62" i="24"/>
  <c r="H179" i="24"/>
  <c r="H309" i="24"/>
  <c r="H218" i="24"/>
  <c r="G127" i="24"/>
  <c r="G309" i="24"/>
  <c r="G322" i="24"/>
  <c r="F23" i="24"/>
  <c r="F114" i="24"/>
  <c r="F361" i="24"/>
  <c r="F491" i="24"/>
  <c r="F478" i="24"/>
  <c r="I426" i="24"/>
  <c r="I322" i="24"/>
  <c r="I439" i="24"/>
  <c r="I387" i="24"/>
  <c r="E127" i="24"/>
  <c r="E335" i="24"/>
  <c r="E75" i="24"/>
  <c r="E283" i="24"/>
  <c r="E491" i="24"/>
  <c r="E166" i="24"/>
  <c r="E309" i="24"/>
  <c r="E439" i="24"/>
  <c r="E114" i="24"/>
  <c r="E322" i="24"/>
  <c r="E62" i="24"/>
  <c r="E270" i="24"/>
  <c r="E478" i="24"/>
  <c r="E218" i="24"/>
  <c r="E426" i="24"/>
  <c r="E101" i="24"/>
  <c r="E231" i="24"/>
  <c r="E374" i="24"/>
  <c r="E517" i="24"/>
  <c r="E140" i="24"/>
  <c r="E361" i="24"/>
  <c r="E205" i="24"/>
  <c r="E387" i="24"/>
  <c r="E192" i="24"/>
  <c r="E49" i="24"/>
  <c r="E88" i="24"/>
  <c r="E153" i="24"/>
  <c r="E257" i="24"/>
  <c r="E504" i="24"/>
  <c r="E244" i="24"/>
  <c r="E413" i="24"/>
  <c r="E465" i="24"/>
  <c r="E296" i="24"/>
  <c r="E452" i="24"/>
  <c r="E179" i="24"/>
  <c r="E400" i="24"/>
  <c r="E36" i="24"/>
  <c r="E10" i="24"/>
  <c r="E348" i="24"/>
  <c r="E23" i="24"/>
  <c r="H23" i="24"/>
  <c r="H205" i="24"/>
  <c r="H348" i="24"/>
  <c r="H231" i="24"/>
  <c r="H114" i="24"/>
  <c r="G140" i="24"/>
  <c r="G491" i="24"/>
  <c r="G75" i="24"/>
  <c r="G257" i="24"/>
  <c r="G270" i="24"/>
  <c r="F101" i="24"/>
  <c r="F465" i="24"/>
  <c r="F49" i="24"/>
  <c r="F387" i="24"/>
  <c r="F426" i="24"/>
  <c r="I244" i="24"/>
  <c r="I413" i="24"/>
  <c r="I335" i="24"/>
  <c r="I179" i="24"/>
  <c r="H283" i="24"/>
  <c r="H400" i="24"/>
  <c r="H413" i="24"/>
  <c r="H140" i="24"/>
  <c r="H387" i="24"/>
  <c r="H75" i="24"/>
  <c r="H504" i="24"/>
  <c r="H491" i="24"/>
  <c r="H270" i="24"/>
  <c r="H322" i="24"/>
  <c r="G192" i="24"/>
  <c r="G88" i="24"/>
  <c r="G452" i="24"/>
  <c r="G387" i="24"/>
  <c r="G179" i="24"/>
  <c r="G374" i="24"/>
  <c r="G361" i="24"/>
  <c r="G153" i="24"/>
  <c r="G426" i="24"/>
  <c r="G166" i="24"/>
  <c r="F192" i="24"/>
  <c r="F231" i="24"/>
  <c r="F309" i="24"/>
  <c r="F10" i="24"/>
  <c r="F244" i="24"/>
  <c r="F452" i="24"/>
  <c r="F179" i="24"/>
  <c r="F348" i="24"/>
  <c r="F322" i="24"/>
  <c r="I10" i="24"/>
  <c r="I478" i="24"/>
  <c r="I283" i="24"/>
  <c r="I270" i="24"/>
  <c r="I192" i="24"/>
  <c r="I127" i="24"/>
  <c r="I309" i="24"/>
  <c r="I205" i="24"/>
  <c r="I504" i="24"/>
  <c r="G348" i="24"/>
  <c r="G504" i="24"/>
  <c r="G335" i="24"/>
  <c r="G517" i="24"/>
  <c r="G101" i="24"/>
  <c r="G114" i="24"/>
  <c r="F517" i="24"/>
  <c r="F335" i="24"/>
  <c r="F88" i="24"/>
  <c r="F75" i="24"/>
  <c r="F270" i="24"/>
  <c r="I296" i="24"/>
  <c r="I465" i="24"/>
  <c r="I23" i="24"/>
  <c r="I101" i="24"/>
  <c r="I348" i="24"/>
  <c r="H49" i="24"/>
  <c r="H127" i="24"/>
  <c r="H361" i="24"/>
  <c r="H478" i="24"/>
  <c r="G244" i="24"/>
  <c r="G283" i="24"/>
  <c r="G465" i="24"/>
  <c r="G49" i="24"/>
  <c r="F153" i="24"/>
  <c r="F62" i="24"/>
  <c r="F296" i="24"/>
  <c r="F413" i="24"/>
  <c r="I400" i="24"/>
  <c r="I257" i="24"/>
  <c r="I166" i="24"/>
  <c r="I140" i="24"/>
  <c r="I62" i="24"/>
  <c r="I452" i="24"/>
  <c r="H465" i="24"/>
  <c r="H192" i="24"/>
  <c r="H439" i="24"/>
  <c r="H257" i="24"/>
  <c r="H153" i="24"/>
  <c r="H335" i="24"/>
  <c r="H374" i="24"/>
  <c r="H426" i="24"/>
  <c r="G400" i="24"/>
  <c r="G296" i="24"/>
  <c r="G439" i="24"/>
  <c r="G231" i="24"/>
  <c r="G478" i="24"/>
  <c r="G413" i="24"/>
  <c r="G205" i="24"/>
  <c r="G23" i="24"/>
  <c r="G218" i="24"/>
  <c r="F257" i="24"/>
  <c r="F127" i="24"/>
  <c r="F439" i="24"/>
  <c r="F140" i="24"/>
  <c r="F504" i="24"/>
  <c r="F400" i="24"/>
  <c r="F283" i="24"/>
  <c r="F205" i="24"/>
  <c r="F374" i="24"/>
  <c r="I361" i="24"/>
  <c r="I491" i="24"/>
  <c r="I114" i="24"/>
  <c r="I153" i="24"/>
  <c r="I231" i="24"/>
  <c r="I517" i="24"/>
  <c r="I49" i="24"/>
  <c r="I75" i="24"/>
  <c r="I374" i="24"/>
  <c r="I9" i="24"/>
  <c r="G9" i="24"/>
  <c r="F9" i="24"/>
  <c r="H22" i="24"/>
  <c r="F516" i="24"/>
  <c r="F308" i="24"/>
  <c r="F100" i="24"/>
  <c r="I334" i="24"/>
  <c r="I139" i="24"/>
  <c r="F360" i="24"/>
  <c r="I74" i="24"/>
  <c r="F35" i="24"/>
  <c r="F464" i="24"/>
  <c r="F256" i="24"/>
  <c r="F48" i="24"/>
  <c r="I308" i="24"/>
  <c r="I35" i="24"/>
  <c r="F412" i="24"/>
  <c r="F204" i="24"/>
  <c r="I464" i="24"/>
  <c r="I425" i="24"/>
  <c r="I204" i="24"/>
  <c r="F152" i="24"/>
  <c r="I347" i="24"/>
  <c r="I243" i="24"/>
  <c r="I100" i="24"/>
  <c r="G516" i="24"/>
  <c r="G412" i="24"/>
  <c r="G308" i="24"/>
  <c r="G204" i="24"/>
  <c r="G48" i="24"/>
  <c r="H399" i="24"/>
  <c r="H191" i="24"/>
  <c r="H516" i="24"/>
  <c r="H308" i="24"/>
  <c r="H100" i="24"/>
  <c r="G451" i="24"/>
  <c r="G347" i="24"/>
  <c r="G243" i="24"/>
  <c r="G139" i="24"/>
  <c r="G35" i="24"/>
  <c r="F451" i="24"/>
  <c r="F347" i="24"/>
  <c r="F243" i="24"/>
  <c r="F191" i="24"/>
  <c r="F87" i="24"/>
  <c r="I360" i="24"/>
  <c r="I282" i="24"/>
  <c r="I373" i="24"/>
  <c r="I22" i="24"/>
  <c r="I178" i="24"/>
  <c r="H477" i="24"/>
  <c r="H269" i="24"/>
  <c r="H165" i="24"/>
  <c r="H490" i="24"/>
  <c r="H386" i="24"/>
  <c r="H282" i="24"/>
  <c r="H74" i="24"/>
  <c r="G490" i="24"/>
  <c r="G438" i="24"/>
  <c r="G386" i="24"/>
  <c r="G334" i="24"/>
  <c r="G282" i="24"/>
  <c r="G230" i="24"/>
  <c r="G178" i="24"/>
  <c r="G126" i="24"/>
  <c r="G74" i="24"/>
  <c r="G22" i="24"/>
  <c r="F490" i="24"/>
  <c r="F438" i="24"/>
  <c r="F386" i="24"/>
  <c r="F334" i="24"/>
  <c r="F282" i="24"/>
  <c r="F230" i="24"/>
  <c r="F178" i="24"/>
  <c r="F126" i="24"/>
  <c r="F74" i="24"/>
  <c r="F22" i="24"/>
  <c r="I503" i="24"/>
  <c r="I438" i="24"/>
  <c r="I516" i="24"/>
  <c r="I295" i="24"/>
  <c r="I321" i="24"/>
  <c r="I191" i="24"/>
  <c r="I87" i="24"/>
  <c r="I256" i="24"/>
  <c r="I152" i="24"/>
  <c r="I48" i="24"/>
  <c r="H451" i="24"/>
  <c r="H347" i="24"/>
  <c r="H243" i="24"/>
  <c r="H139" i="24"/>
  <c r="H35" i="24"/>
  <c r="H464" i="24"/>
  <c r="H360" i="24"/>
  <c r="H256" i="24"/>
  <c r="H152" i="24"/>
  <c r="H48" i="24"/>
  <c r="G464" i="24"/>
  <c r="G360" i="24"/>
  <c r="G256" i="24"/>
  <c r="G152" i="24"/>
  <c r="G100" i="24"/>
  <c r="H503" i="24"/>
  <c r="H295" i="24"/>
  <c r="H87" i="24"/>
  <c r="H412" i="24"/>
  <c r="H204" i="24"/>
  <c r="G503" i="24"/>
  <c r="G399" i="24"/>
  <c r="G295" i="24"/>
  <c r="G191" i="24"/>
  <c r="G87" i="24"/>
  <c r="F503" i="24"/>
  <c r="F399" i="24"/>
  <c r="F295" i="24"/>
  <c r="F139" i="24"/>
  <c r="I490" i="24"/>
  <c r="I451" i="24"/>
  <c r="I217" i="24"/>
  <c r="I113" i="24"/>
  <c r="H373" i="24"/>
  <c r="H61" i="24"/>
  <c r="H178" i="24"/>
  <c r="G477" i="24"/>
  <c r="G425" i="24"/>
  <c r="G373" i="24"/>
  <c r="G321" i="24"/>
  <c r="G269" i="24"/>
  <c r="G217" i="24"/>
  <c r="G165" i="24"/>
  <c r="G113" i="24"/>
  <c r="G61" i="24"/>
  <c r="F477" i="24"/>
  <c r="F425" i="24"/>
  <c r="F373" i="24"/>
  <c r="F321" i="24"/>
  <c r="F269" i="24"/>
  <c r="F217" i="24"/>
  <c r="F165" i="24"/>
  <c r="F113" i="24"/>
  <c r="F61" i="24"/>
  <c r="I399" i="24"/>
  <c r="I386" i="24"/>
  <c r="I412" i="24"/>
  <c r="I477" i="24"/>
  <c r="I269" i="24"/>
  <c r="I165" i="24"/>
  <c r="I61" i="24"/>
  <c r="I230" i="24"/>
  <c r="I126" i="24"/>
  <c r="H425" i="24"/>
  <c r="H321" i="24"/>
  <c r="H217" i="24"/>
  <c r="H113" i="24"/>
  <c r="H9" i="24"/>
  <c r="H438" i="24"/>
  <c r="H334" i="24"/>
  <c r="H230" i="24"/>
  <c r="H126" i="24"/>
  <c r="E22" i="24"/>
  <c r="E74" i="24"/>
  <c r="E126" i="24"/>
  <c r="E178" i="24"/>
  <c r="E230" i="24"/>
  <c r="E282" i="24"/>
  <c r="E334" i="24"/>
  <c r="E386" i="24"/>
  <c r="E438" i="24"/>
  <c r="E490" i="24"/>
  <c r="E100" i="24"/>
  <c r="E204" i="24"/>
  <c r="E308" i="24"/>
  <c r="E412" i="24"/>
  <c r="E516" i="24"/>
  <c r="E35" i="24"/>
  <c r="E87" i="24"/>
  <c r="E139" i="24"/>
  <c r="E191" i="24"/>
  <c r="E243" i="24"/>
  <c r="E295" i="24"/>
  <c r="E347" i="24"/>
  <c r="E399" i="24"/>
  <c r="E451" i="24"/>
  <c r="E503" i="24"/>
  <c r="E48" i="24"/>
  <c r="E152" i="24"/>
  <c r="E256" i="24"/>
  <c r="E360" i="24"/>
  <c r="E464" i="24"/>
  <c r="E61" i="24"/>
  <c r="E269" i="24"/>
  <c r="E477" i="24"/>
  <c r="E165" i="24"/>
  <c r="E425" i="24"/>
  <c r="E113" i="24"/>
  <c r="E321" i="24"/>
  <c r="E9" i="24"/>
  <c r="E373" i="24"/>
  <c r="E217" i="24"/>
  <c r="I63" i="12"/>
  <c r="K63" i="12" s="1"/>
  <c r="I59" i="12"/>
  <c r="K59" i="12" s="1"/>
  <c r="I55" i="12"/>
  <c r="K55" i="12" s="1"/>
  <c r="I51" i="12"/>
  <c r="K51" i="12" s="1"/>
  <c r="I47" i="12"/>
  <c r="K47" i="12" s="1"/>
  <c r="I43" i="12"/>
  <c r="K43" i="12" s="1"/>
  <c r="I39" i="12"/>
  <c r="K39" i="12" s="1"/>
  <c r="I35" i="12"/>
  <c r="K35" i="12" s="1"/>
  <c r="I31" i="12"/>
  <c r="K31" i="12" s="1"/>
  <c r="I27" i="12"/>
  <c r="K27" i="12" s="1"/>
  <c r="I62" i="12"/>
  <c r="K62" i="12" s="1"/>
  <c r="I58" i="12"/>
  <c r="K58" i="12" s="1"/>
  <c r="I54" i="12"/>
  <c r="K54" i="12" s="1"/>
  <c r="I50" i="12"/>
  <c r="K50" i="12" s="1"/>
  <c r="I46" i="12"/>
  <c r="K46" i="12" s="1"/>
  <c r="I42" i="12"/>
  <c r="K42" i="12" s="1"/>
  <c r="I38" i="12"/>
  <c r="K38" i="12" s="1"/>
  <c r="I34" i="12"/>
  <c r="K34" i="12" s="1"/>
  <c r="I30" i="12"/>
  <c r="K30" i="12" s="1"/>
  <c r="I26" i="12"/>
  <c r="K26" i="12" s="1"/>
  <c r="I61" i="12"/>
  <c r="K61" i="12" s="1"/>
  <c r="I57" i="12"/>
  <c r="K57" i="12" s="1"/>
  <c r="I53" i="12"/>
  <c r="K53" i="12" s="1"/>
  <c r="I49" i="12"/>
  <c r="K49" i="12" s="1"/>
  <c r="I45" i="12"/>
  <c r="K45" i="12" s="1"/>
  <c r="I41" i="12"/>
  <c r="K41" i="12" s="1"/>
  <c r="I37" i="12"/>
  <c r="K37" i="12" s="1"/>
  <c r="I33" i="12"/>
  <c r="K33" i="12" s="1"/>
  <c r="I29" i="12"/>
  <c r="K29" i="12" s="1"/>
  <c r="I25" i="12"/>
  <c r="K25" i="12" s="1"/>
  <c r="I60" i="12"/>
  <c r="K60" i="12" s="1"/>
  <c r="I56" i="12"/>
  <c r="K56" i="12" s="1"/>
  <c r="I52" i="12"/>
  <c r="K52" i="12" s="1"/>
  <c r="I48" i="12"/>
  <c r="K48" i="12" s="1"/>
  <c r="I44" i="12"/>
  <c r="K44" i="12" s="1"/>
  <c r="I40" i="12"/>
  <c r="K40" i="12" s="1"/>
  <c r="I36" i="12"/>
  <c r="K36" i="12" s="1"/>
  <c r="I32" i="12"/>
  <c r="K32" i="12" s="1"/>
  <c r="I28" i="12"/>
  <c r="K28" i="12" s="1"/>
  <c r="I24" i="12"/>
  <c r="K24" i="12" s="1"/>
  <c r="L24" i="12" s="1"/>
  <c r="G259" i="22" l="1"/>
  <c r="D79" i="34" s="1"/>
  <c r="G64" i="30"/>
  <c r="F64" i="30"/>
  <c r="C79" i="34"/>
  <c r="G65" i="30"/>
  <c r="G93" i="30"/>
  <c r="C80" i="34"/>
  <c r="I259" i="22"/>
  <c r="J64" i="30"/>
  <c r="J259" i="22"/>
  <c r="K64" i="30"/>
  <c r="B79" i="34"/>
  <c r="F65" i="30"/>
  <c r="E260" i="22"/>
  <c r="B80" i="34"/>
  <c r="F93" i="30"/>
  <c r="E391" i="22"/>
  <c r="H93" i="30"/>
  <c r="D80" i="34"/>
  <c r="J93" i="30"/>
  <c r="F80" i="34"/>
  <c r="H79" i="34"/>
  <c r="L65" i="30"/>
  <c r="D271" i="22"/>
  <c r="H24" i="30" s="1"/>
  <c r="D263" i="22"/>
  <c r="O59" i="32" s="1"/>
  <c r="D264" i="22"/>
  <c r="O61" i="32" s="1"/>
  <c r="L259" i="22"/>
  <c r="M64" i="30"/>
  <c r="M259" i="22"/>
  <c r="N65" i="30" s="1"/>
  <c r="D265" i="22"/>
  <c r="O63" i="32" s="1"/>
  <c r="O65" i="30"/>
  <c r="E79" i="34"/>
  <c r="I65" i="30"/>
  <c r="J384" i="22"/>
  <c r="K91" i="30"/>
  <c r="G69" i="34"/>
  <c r="J386" i="22"/>
  <c r="J387" i="22" s="1"/>
  <c r="J69" i="34"/>
  <c r="N91" i="30"/>
  <c r="M386" i="22"/>
  <c r="M387" i="22" s="1"/>
  <c r="N92" i="30" s="1"/>
  <c r="M384" i="22"/>
  <c r="L382" i="22"/>
  <c r="L383" i="22" s="1"/>
  <c r="K382" i="22"/>
  <c r="K383" i="22" s="1"/>
  <c r="O92" i="30"/>
  <c r="N390" i="22"/>
  <c r="E227" i="24"/>
  <c r="E225" i="24"/>
  <c r="E223" i="24"/>
  <c r="E221" i="24"/>
  <c r="E219" i="24"/>
  <c r="E228" i="24"/>
  <c r="E226" i="24"/>
  <c r="E224" i="24"/>
  <c r="E222" i="24"/>
  <c r="E220" i="24"/>
  <c r="I227" i="24"/>
  <c r="I225" i="24"/>
  <c r="I223" i="24"/>
  <c r="I221" i="24"/>
  <c r="I219" i="24"/>
  <c r="I228" i="24"/>
  <c r="I226" i="24"/>
  <c r="I224" i="24"/>
  <c r="I222" i="24"/>
  <c r="I220" i="24"/>
  <c r="H227" i="24"/>
  <c r="H225" i="24"/>
  <c r="H223" i="24"/>
  <c r="H221" i="24"/>
  <c r="H219" i="24"/>
  <c r="H228" i="24"/>
  <c r="H224" i="24"/>
  <c r="H220" i="24"/>
  <c r="H226" i="24"/>
  <c r="H222" i="24"/>
  <c r="G228" i="24"/>
  <c r="G226" i="24"/>
  <c r="G224" i="24"/>
  <c r="G222" i="24"/>
  <c r="G220" i="24"/>
  <c r="G227" i="24"/>
  <c r="G225" i="24"/>
  <c r="G223" i="24"/>
  <c r="G221" i="24"/>
  <c r="G219" i="24"/>
  <c r="F228" i="24"/>
  <c r="F226" i="24"/>
  <c r="F224" i="24"/>
  <c r="F222" i="24"/>
  <c r="F220" i="24"/>
  <c r="F225" i="24"/>
  <c r="F221" i="24"/>
  <c r="F227" i="24"/>
  <c r="F223" i="24"/>
  <c r="F219" i="24"/>
  <c r="I422" i="24"/>
  <c r="I420" i="24"/>
  <c r="I418" i="24"/>
  <c r="I416" i="24"/>
  <c r="I414" i="24"/>
  <c r="I417" i="24"/>
  <c r="I419" i="24"/>
  <c r="I423" i="24"/>
  <c r="I415" i="24"/>
  <c r="I421" i="24"/>
  <c r="G97" i="24"/>
  <c r="G95" i="24"/>
  <c r="G93" i="24"/>
  <c r="G91" i="24"/>
  <c r="G89" i="24"/>
  <c r="G94" i="24"/>
  <c r="G92" i="24"/>
  <c r="G98" i="24"/>
  <c r="G90" i="24"/>
  <c r="G96" i="24"/>
  <c r="H280" i="24"/>
  <c r="H278" i="24"/>
  <c r="H276" i="24"/>
  <c r="H274" i="24"/>
  <c r="H272" i="24"/>
  <c r="H279" i="24"/>
  <c r="H275" i="24"/>
  <c r="H271" i="24"/>
  <c r="H277" i="24"/>
  <c r="H273" i="24"/>
  <c r="I254" i="24"/>
  <c r="I252" i="24"/>
  <c r="I250" i="24"/>
  <c r="I248" i="24"/>
  <c r="I246" i="24"/>
  <c r="I247" i="24"/>
  <c r="I253" i="24"/>
  <c r="I245" i="24"/>
  <c r="I251" i="24"/>
  <c r="I249" i="24"/>
  <c r="E278" i="24"/>
  <c r="E274" i="24"/>
  <c r="E277" i="24"/>
  <c r="E273" i="24"/>
  <c r="E280" i="24"/>
  <c r="E276" i="24"/>
  <c r="E272" i="24"/>
  <c r="E279" i="24"/>
  <c r="E275" i="24"/>
  <c r="E271" i="24"/>
  <c r="E254" i="24"/>
  <c r="E252" i="24"/>
  <c r="E250" i="24"/>
  <c r="E248" i="24"/>
  <c r="E246" i="24"/>
  <c r="E249" i="24"/>
  <c r="E247" i="24"/>
  <c r="E253" i="24"/>
  <c r="E245" i="24"/>
  <c r="E251" i="24"/>
  <c r="E396" i="24"/>
  <c r="E394" i="24"/>
  <c r="E392" i="24"/>
  <c r="E390" i="24"/>
  <c r="E388" i="24"/>
  <c r="E397" i="24"/>
  <c r="E389" i="24"/>
  <c r="E391" i="24"/>
  <c r="E395" i="24"/>
  <c r="E393" i="24"/>
  <c r="I176" i="24"/>
  <c r="I174" i="24"/>
  <c r="I172" i="24"/>
  <c r="I170" i="24"/>
  <c r="I168" i="24"/>
  <c r="I173" i="24"/>
  <c r="I171" i="24"/>
  <c r="I169" i="24"/>
  <c r="I175" i="24"/>
  <c r="I167" i="24"/>
  <c r="I396" i="24"/>
  <c r="I394" i="24"/>
  <c r="I392" i="24"/>
  <c r="I390" i="24"/>
  <c r="I388" i="24"/>
  <c r="I393" i="24"/>
  <c r="I395" i="24"/>
  <c r="I391" i="24"/>
  <c r="I397" i="24"/>
  <c r="I389" i="24"/>
  <c r="F176" i="24"/>
  <c r="F174" i="24"/>
  <c r="F172" i="24"/>
  <c r="F170" i="24"/>
  <c r="F168" i="24"/>
  <c r="F175" i="24"/>
  <c r="F173" i="24"/>
  <c r="F171" i="24"/>
  <c r="F169" i="24"/>
  <c r="F167" i="24"/>
  <c r="G201" i="24"/>
  <c r="G199" i="24"/>
  <c r="G197" i="24"/>
  <c r="G195" i="24"/>
  <c r="G193" i="24"/>
  <c r="G202" i="24"/>
  <c r="G194" i="24"/>
  <c r="G200" i="24"/>
  <c r="G198" i="24"/>
  <c r="G196" i="24"/>
  <c r="G371" i="24"/>
  <c r="G369" i="24"/>
  <c r="G367" i="24"/>
  <c r="G365" i="24"/>
  <c r="G363" i="24"/>
  <c r="G368" i="24"/>
  <c r="G370" i="24"/>
  <c r="G362" i="24"/>
  <c r="G366" i="24"/>
  <c r="G364" i="24"/>
  <c r="I202" i="24"/>
  <c r="I200" i="24"/>
  <c r="I198" i="24"/>
  <c r="I196" i="24"/>
  <c r="I194" i="24"/>
  <c r="I197" i="24"/>
  <c r="I195" i="24"/>
  <c r="I201" i="24"/>
  <c r="I193" i="24"/>
  <c r="I199" i="24"/>
  <c r="F345" i="24"/>
  <c r="F343" i="24"/>
  <c r="F341" i="24"/>
  <c r="F339" i="24"/>
  <c r="F337" i="24"/>
  <c r="F342" i="24"/>
  <c r="F344" i="24"/>
  <c r="F336" i="24"/>
  <c r="F338" i="24"/>
  <c r="F340" i="24"/>
  <c r="H396" i="24"/>
  <c r="H394" i="24"/>
  <c r="H392" i="24"/>
  <c r="H390" i="24"/>
  <c r="H388" i="24"/>
  <c r="H391" i="24"/>
  <c r="H393" i="24"/>
  <c r="H389" i="24"/>
  <c r="H395" i="24"/>
  <c r="H397" i="24"/>
  <c r="F254" i="24"/>
  <c r="F252" i="24"/>
  <c r="F250" i="24"/>
  <c r="F248" i="24"/>
  <c r="F246" i="24"/>
  <c r="F253" i="24"/>
  <c r="F251" i="24"/>
  <c r="F249" i="24"/>
  <c r="F247" i="24"/>
  <c r="F245" i="24"/>
  <c r="G423" i="24"/>
  <c r="G421" i="24"/>
  <c r="G419" i="24"/>
  <c r="G417" i="24"/>
  <c r="G415" i="24"/>
  <c r="G416" i="24"/>
  <c r="G418" i="24"/>
  <c r="G422" i="24"/>
  <c r="G414" i="24"/>
  <c r="G420" i="24"/>
  <c r="I318" i="24"/>
  <c r="I316" i="24"/>
  <c r="I314" i="24"/>
  <c r="I312" i="24"/>
  <c r="I310" i="24"/>
  <c r="I313" i="24"/>
  <c r="I311" i="24"/>
  <c r="I317" i="24"/>
  <c r="I319" i="24"/>
  <c r="I315" i="24"/>
  <c r="I344" i="24"/>
  <c r="I342" i="24"/>
  <c r="I340" i="24"/>
  <c r="I338" i="24"/>
  <c r="I336" i="24"/>
  <c r="I345" i="24"/>
  <c r="I337" i="24"/>
  <c r="I339" i="24"/>
  <c r="I341" i="24"/>
  <c r="I343" i="24"/>
  <c r="E318" i="24"/>
  <c r="E316" i="24"/>
  <c r="E314" i="24"/>
  <c r="E312" i="24"/>
  <c r="E310" i="24"/>
  <c r="E311" i="24"/>
  <c r="E319" i="24"/>
  <c r="E317" i="24"/>
  <c r="E315" i="24"/>
  <c r="E313" i="24"/>
  <c r="G280" i="24"/>
  <c r="G277" i="24"/>
  <c r="G276" i="24"/>
  <c r="G273" i="24"/>
  <c r="G272" i="24"/>
  <c r="G279" i="24"/>
  <c r="G278" i="24"/>
  <c r="G275" i="24"/>
  <c r="G274" i="24"/>
  <c r="G271" i="24"/>
  <c r="F202" i="24"/>
  <c r="F200" i="24"/>
  <c r="F198" i="24"/>
  <c r="F196" i="24"/>
  <c r="F194" i="24"/>
  <c r="F201" i="24"/>
  <c r="F199" i="24"/>
  <c r="F197" i="24"/>
  <c r="F195" i="24"/>
  <c r="F193" i="24"/>
  <c r="G319" i="24"/>
  <c r="G317" i="24"/>
  <c r="G315" i="24"/>
  <c r="G313" i="24"/>
  <c r="G311" i="24"/>
  <c r="G316" i="24"/>
  <c r="G314" i="24"/>
  <c r="G312" i="24"/>
  <c r="G310" i="24"/>
  <c r="G318" i="24"/>
  <c r="E202" i="24"/>
  <c r="E200" i="24"/>
  <c r="E198" i="24"/>
  <c r="E196" i="24"/>
  <c r="E194" i="24"/>
  <c r="E199" i="24"/>
  <c r="E197" i="24"/>
  <c r="E195" i="24"/>
  <c r="E201" i="24"/>
  <c r="E193" i="24"/>
  <c r="E344" i="24"/>
  <c r="E342" i="24"/>
  <c r="E340" i="24"/>
  <c r="E338" i="24"/>
  <c r="E336" i="24"/>
  <c r="E341" i="24"/>
  <c r="E343" i="24"/>
  <c r="E345" i="24"/>
  <c r="E337" i="24"/>
  <c r="E339" i="24"/>
  <c r="I279" i="24"/>
  <c r="I275" i="24"/>
  <c r="I271" i="24"/>
  <c r="I278" i="24"/>
  <c r="I274" i="24"/>
  <c r="I277" i="24"/>
  <c r="I273" i="24"/>
  <c r="I280" i="24"/>
  <c r="I276" i="24"/>
  <c r="I272" i="24"/>
  <c r="G175" i="24"/>
  <c r="G173" i="24"/>
  <c r="G171" i="24"/>
  <c r="G169" i="24"/>
  <c r="G167" i="24"/>
  <c r="G170" i="24"/>
  <c r="G176" i="24"/>
  <c r="G168" i="24"/>
  <c r="G174" i="24"/>
  <c r="G172" i="24"/>
  <c r="H422" i="24"/>
  <c r="H420" i="24"/>
  <c r="H418" i="24"/>
  <c r="H416" i="24"/>
  <c r="H414" i="24"/>
  <c r="H423" i="24"/>
  <c r="H415" i="24"/>
  <c r="H417" i="24"/>
  <c r="H421" i="24"/>
  <c r="H419" i="24"/>
  <c r="H370" i="24"/>
  <c r="H368" i="24"/>
  <c r="H366" i="24"/>
  <c r="H364" i="24"/>
  <c r="H362" i="24"/>
  <c r="H367" i="24"/>
  <c r="H369" i="24"/>
  <c r="H365" i="24"/>
  <c r="H371" i="24"/>
  <c r="H363" i="24"/>
  <c r="H253" i="24"/>
  <c r="H251" i="24"/>
  <c r="H249" i="24"/>
  <c r="H247" i="24"/>
  <c r="H245" i="24"/>
  <c r="H254" i="24"/>
  <c r="H252" i="24"/>
  <c r="H250" i="24"/>
  <c r="H248" i="24"/>
  <c r="H246" i="24"/>
  <c r="F397" i="24"/>
  <c r="F395" i="24"/>
  <c r="F393" i="24"/>
  <c r="F391" i="24"/>
  <c r="F389" i="24"/>
  <c r="F390" i="24"/>
  <c r="F392" i="24"/>
  <c r="F388" i="24"/>
  <c r="F394" i="24"/>
  <c r="F396" i="24"/>
  <c r="I370" i="24"/>
  <c r="I368" i="24"/>
  <c r="I366" i="24"/>
  <c r="I364" i="24"/>
  <c r="I362" i="24"/>
  <c r="I369" i="24"/>
  <c r="I371" i="24"/>
  <c r="I363" i="24"/>
  <c r="I367" i="24"/>
  <c r="I365" i="24"/>
  <c r="G253" i="24"/>
  <c r="G251" i="24"/>
  <c r="G249" i="24"/>
  <c r="G247" i="24"/>
  <c r="G245" i="24"/>
  <c r="G252" i="24"/>
  <c r="G250" i="24"/>
  <c r="G248" i="24"/>
  <c r="G254" i="24"/>
  <c r="G246" i="24"/>
  <c r="H318" i="24"/>
  <c r="H319" i="24"/>
  <c r="H315" i="24"/>
  <c r="H314" i="24"/>
  <c r="H313" i="24"/>
  <c r="H312" i="24"/>
  <c r="H311" i="24"/>
  <c r="H310" i="24"/>
  <c r="H316" i="24"/>
  <c r="H317" i="24"/>
  <c r="E370" i="24"/>
  <c r="E368" i="24"/>
  <c r="E366" i="24"/>
  <c r="E364" i="24"/>
  <c r="E362" i="24"/>
  <c r="E365" i="24"/>
  <c r="E367" i="24"/>
  <c r="E371" i="24"/>
  <c r="E363" i="24"/>
  <c r="E369" i="24"/>
  <c r="E98" i="24"/>
  <c r="E96" i="24"/>
  <c r="E94" i="24"/>
  <c r="E92" i="24"/>
  <c r="E90" i="24"/>
  <c r="E91" i="24"/>
  <c r="E97" i="24"/>
  <c r="E89" i="24"/>
  <c r="E95" i="24"/>
  <c r="E93" i="24"/>
  <c r="I98" i="24"/>
  <c r="I96" i="24"/>
  <c r="I94" i="24"/>
  <c r="I92" i="24"/>
  <c r="I90" i="24"/>
  <c r="I97" i="24"/>
  <c r="I89" i="24"/>
  <c r="I95" i="24"/>
  <c r="I93" i="24"/>
  <c r="I91" i="24"/>
  <c r="G397" i="24"/>
  <c r="G395" i="24"/>
  <c r="G393" i="24"/>
  <c r="G391" i="24"/>
  <c r="G389" i="24"/>
  <c r="G392" i="24"/>
  <c r="G394" i="24"/>
  <c r="G390" i="24"/>
  <c r="G396" i="24"/>
  <c r="G388" i="24"/>
  <c r="H201" i="24"/>
  <c r="H199" i="24"/>
  <c r="H197" i="24"/>
  <c r="H195" i="24"/>
  <c r="H193" i="24"/>
  <c r="H202" i="24"/>
  <c r="H200" i="24"/>
  <c r="H198" i="24"/>
  <c r="H196" i="24"/>
  <c r="H194" i="24"/>
  <c r="E176" i="24"/>
  <c r="E174" i="24"/>
  <c r="E172" i="24"/>
  <c r="E170" i="24"/>
  <c r="E168" i="24"/>
  <c r="E175" i="24"/>
  <c r="E167" i="24"/>
  <c r="E173" i="24"/>
  <c r="E171" i="24"/>
  <c r="E169" i="24"/>
  <c r="E422" i="24"/>
  <c r="E420" i="24"/>
  <c r="E418" i="24"/>
  <c r="E416" i="24"/>
  <c r="E414" i="24"/>
  <c r="E421" i="24"/>
  <c r="E423" i="24"/>
  <c r="E415" i="24"/>
  <c r="E419" i="24"/>
  <c r="E417" i="24"/>
  <c r="H344" i="24"/>
  <c r="H342" i="24"/>
  <c r="H340" i="24"/>
  <c r="H338" i="24"/>
  <c r="H336" i="24"/>
  <c r="H343" i="24"/>
  <c r="H345" i="24"/>
  <c r="H337" i="24"/>
  <c r="H339" i="24"/>
  <c r="H341" i="24"/>
  <c r="F279" i="24"/>
  <c r="F277" i="24"/>
  <c r="F275" i="24"/>
  <c r="F273" i="24"/>
  <c r="F271" i="24"/>
  <c r="F280" i="24"/>
  <c r="F276" i="24"/>
  <c r="F272" i="24"/>
  <c r="F278" i="24"/>
  <c r="F274" i="24"/>
  <c r="H97" i="24"/>
  <c r="H95" i="24"/>
  <c r="H93" i="24"/>
  <c r="H91" i="24"/>
  <c r="H89" i="24"/>
  <c r="H98" i="24"/>
  <c r="H96" i="24"/>
  <c r="H94" i="24"/>
  <c r="H92" i="24"/>
  <c r="H90" i="24"/>
  <c r="G345" i="24"/>
  <c r="G343" i="24"/>
  <c r="G341" i="24"/>
  <c r="G339" i="24"/>
  <c r="G337" i="24"/>
  <c r="G344" i="24"/>
  <c r="G336" i="24"/>
  <c r="G338" i="24"/>
  <c r="G340" i="24"/>
  <c r="G342" i="24"/>
  <c r="H175" i="24"/>
  <c r="H173" i="24"/>
  <c r="H171" i="24"/>
  <c r="H169" i="24"/>
  <c r="H167" i="24"/>
  <c r="H176" i="24"/>
  <c r="H174" i="24"/>
  <c r="H172" i="24"/>
  <c r="H170" i="24"/>
  <c r="H168" i="24"/>
  <c r="F98" i="24"/>
  <c r="F96" i="24"/>
  <c r="F94" i="24"/>
  <c r="F92" i="24"/>
  <c r="F90" i="24"/>
  <c r="F97" i="24"/>
  <c r="F95" i="24"/>
  <c r="F93" i="24"/>
  <c r="F91" i="24"/>
  <c r="F89" i="24"/>
  <c r="F423" i="24"/>
  <c r="F421" i="24"/>
  <c r="F419" i="24"/>
  <c r="F417" i="24"/>
  <c r="F415" i="24"/>
  <c r="F422" i="24"/>
  <c r="F414" i="24"/>
  <c r="F416" i="24"/>
  <c r="F420" i="24"/>
  <c r="F418" i="24"/>
  <c r="F371" i="24"/>
  <c r="F369" i="24"/>
  <c r="F367" i="24"/>
  <c r="F365" i="24"/>
  <c r="F363" i="24"/>
  <c r="F366" i="24"/>
  <c r="F368" i="24"/>
  <c r="F364" i="24"/>
  <c r="F370" i="24"/>
  <c r="F362" i="24"/>
  <c r="F319" i="24"/>
  <c r="F318" i="24"/>
  <c r="F317" i="24"/>
  <c r="F310" i="24"/>
  <c r="F316" i="24"/>
  <c r="F315" i="24"/>
  <c r="F314" i="24"/>
  <c r="F313" i="24"/>
  <c r="F312" i="24"/>
  <c r="F311" i="24"/>
  <c r="E18" i="24"/>
  <c r="E14" i="24"/>
  <c r="E17" i="24"/>
  <c r="E16" i="24"/>
  <c r="E15" i="24"/>
  <c r="E20" i="24"/>
  <c r="E13" i="24"/>
  <c r="E12" i="24"/>
  <c r="E11" i="24"/>
  <c r="L5" i="23" s="1"/>
  <c r="E5" i="23" s="1"/>
  <c r="E19" i="24"/>
  <c r="E472" i="24"/>
  <c r="E468" i="24"/>
  <c r="E475" i="24"/>
  <c r="E471" i="24"/>
  <c r="E467" i="24"/>
  <c r="E474" i="24"/>
  <c r="E470" i="24"/>
  <c r="E466" i="24"/>
  <c r="E473" i="24"/>
  <c r="E469" i="24"/>
  <c r="E357" i="24"/>
  <c r="E355" i="24"/>
  <c r="E353" i="24"/>
  <c r="E351" i="24"/>
  <c r="E349" i="24"/>
  <c r="E356" i="24"/>
  <c r="E358" i="24"/>
  <c r="E350" i="24"/>
  <c r="E354" i="24"/>
  <c r="E352" i="24"/>
  <c r="E501" i="24"/>
  <c r="E497" i="24"/>
  <c r="E493" i="24"/>
  <c r="E500" i="24"/>
  <c r="E496" i="24"/>
  <c r="E492" i="24"/>
  <c r="E499" i="24"/>
  <c r="E495" i="24"/>
  <c r="E498" i="24"/>
  <c r="E494" i="24"/>
  <c r="E85" i="24"/>
  <c r="E81" i="24"/>
  <c r="E77" i="24"/>
  <c r="E80" i="24"/>
  <c r="E76" i="24"/>
  <c r="E82" i="24"/>
  <c r="E78" i="24"/>
  <c r="E84" i="24"/>
  <c r="E83" i="24"/>
  <c r="E79" i="24"/>
  <c r="I241" i="24"/>
  <c r="I239" i="24"/>
  <c r="I237" i="24"/>
  <c r="I235" i="24"/>
  <c r="I233" i="24"/>
  <c r="I234" i="24"/>
  <c r="I240" i="24"/>
  <c r="I232" i="24"/>
  <c r="I236" i="24"/>
  <c r="I238" i="24"/>
  <c r="F72" i="24"/>
  <c r="F71" i="24"/>
  <c r="F64" i="24"/>
  <c r="F63" i="24"/>
  <c r="F69" i="24"/>
  <c r="F68" i="24"/>
  <c r="F66" i="24"/>
  <c r="F65" i="24"/>
  <c r="F70" i="24"/>
  <c r="F67" i="24"/>
  <c r="G435" i="24"/>
  <c r="G433" i="24"/>
  <c r="G431" i="24"/>
  <c r="G429" i="24"/>
  <c r="G427" i="24"/>
  <c r="G436" i="24"/>
  <c r="G428" i="24"/>
  <c r="G430" i="24"/>
  <c r="G432" i="24"/>
  <c r="G434" i="24"/>
  <c r="I498" i="24"/>
  <c r="I494" i="24"/>
  <c r="I501" i="24"/>
  <c r="I497" i="24"/>
  <c r="I493" i="24"/>
  <c r="I500" i="24"/>
  <c r="I496" i="24"/>
  <c r="I492" i="24"/>
  <c r="I495" i="24"/>
  <c r="I499" i="24"/>
  <c r="G410" i="24"/>
  <c r="G408" i="24"/>
  <c r="G406" i="24"/>
  <c r="G404" i="24"/>
  <c r="G402" i="24"/>
  <c r="G407" i="24"/>
  <c r="G409" i="24"/>
  <c r="G401" i="24"/>
  <c r="G405" i="24"/>
  <c r="G403" i="24"/>
  <c r="H59" i="24"/>
  <c r="H57" i="24"/>
  <c r="H55" i="24"/>
  <c r="H53" i="24"/>
  <c r="H51" i="24"/>
  <c r="H58" i="24"/>
  <c r="H54" i="24"/>
  <c r="H50" i="24"/>
  <c r="H56" i="24"/>
  <c r="H52" i="24"/>
  <c r="H357" i="24"/>
  <c r="H355" i="24"/>
  <c r="H353" i="24"/>
  <c r="H351" i="24"/>
  <c r="H349" i="24"/>
  <c r="H358" i="24"/>
  <c r="H350" i="24"/>
  <c r="H352" i="24"/>
  <c r="H356" i="24"/>
  <c r="H354" i="24"/>
  <c r="I305" i="24"/>
  <c r="I303" i="24"/>
  <c r="I304" i="24"/>
  <c r="I300" i="24"/>
  <c r="I306" i="24"/>
  <c r="I299" i="24"/>
  <c r="I302" i="24"/>
  <c r="I301" i="24"/>
  <c r="I298" i="24"/>
  <c r="I297" i="24"/>
  <c r="F239" i="24"/>
  <c r="F238" i="24"/>
  <c r="F237" i="24"/>
  <c r="F236" i="24"/>
  <c r="F232" i="24"/>
  <c r="F233" i="24"/>
  <c r="F241" i="24"/>
  <c r="F235" i="24"/>
  <c r="F234" i="24"/>
  <c r="F240" i="24"/>
  <c r="G137" i="24"/>
  <c r="G135" i="24"/>
  <c r="G133" i="24"/>
  <c r="G131" i="24"/>
  <c r="G129" i="24"/>
  <c r="G132" i="24"/>
  <c r="G136" i="24"/>
  <c r="G130" i="24"/>
  <c r="G134" i="24"/>
  <c r="G128" i="24"/>
  <c r="I33" i="24"/>
  <c r="I29" i="24"/>
  <c r="I25" i="24"/>
  <c r="I32" i="24"/>
  <c r="I31" i="24"/>
  <c r="I30" i="24"/>
  <c r="I28" i="24"/>
  <c r="I27" i="24"/>
  <c r="I26" i="24"/>
  <c r="I24" i="24"/>
  <c r="F457" i="24"/>
  <c r="F456" i="24"/>
  <c r="F462" i="24"/>
  <c r="F455" i="24"/>
  <c r="F454" i="24"/>
  <c r="F461" i="24"/>
  <c r="F458" i="24"/>
  <c r="F460" i="24"/>
  <c r="F459" i="24"/>
  <c r="F453" i="24"/>
  <c r="H527" i="24"/>
  <c r="H525" i="24"/>
  <c r="H523" i="24"/>
  <c r="H521" i="24"/>
  <c r="H519" i="24"/>
  <c r="H524" i="24"/>
  <c r="H520" i="24"/>
  <c r="H526" i="24"/>
  <c r="H522" i="24"/>
  <c r="H518" i="24"/>
  <c r="I108" i="24"/>
  <c r="I104" i="24"/>
  <c r="I111" i="24"/>
  <c r="I107" i="24"/>
  <c r="I103" i="24"/>
  <c r="I106" i="24"/>
  <c r="I109" i="24"/>
  <c r="I105" i="24"/>
  <c r="I110" i="24"/>
  <c r="I102" i="24"/>
  <c r="F267" i="24"/>
  <c r="F260" i="24"/>
  <c r="F259" i="24"/>
  <c r="F266" i="24"/>
  <c r="F265" i="24"/>
  <c r="F258" i="24"/>
  <c r="F261" i="24"/>
  <c r="F263" i="24"/>
  <c r="F262" i="24"/>
  <c r="F264" i="24"/>
  <c r="G20" i="24"/>
  <c r="G16" i="24"/>
  <c r="G12" i="24"/>
  <c r="G11" i="24"/>
  <c r="N5" i="23" s="1"/>
  <c r="G5" i="23" s="1"/>
  <c r="G15" i="24"/>
  <c r="G13" i="24"/>
  <c r="G19" i="24"/>
  <c r="G18" i="24"/>
  <c r="G17" i="24"/>
  <c r="G14" i="24"/>
  <c r="E488" i="24"/>
  <c r="E486" i="24"/>
  <c r="E484" i="24"/>
  <c r="E482" i="24"/>
  <c r="E480" i="24"/>
  <c r="E481" i="24"/>
  <c r="E487" i="24"/>
  <c r="E479" i="24"/>
  <c r="E483" i="24"/>
  <c r="E485" i="24"/>
  <c r="E513" i="24"/>
  <c r="E511" i="24"/>
  <c r="E509" i="24"/>
  <c r="E507" i="24"/>
  <c r="E505" i="24"/>
  <c r="E514" i="24"/>
  <c r="E506" i="24"/>
  <c r="E512" i="24"/>
  <c r="E510" i="24"/>
  <c r="E508" i="24"/>
  <c r="E447" i="24"/>
  <c r="E443" i="24"/>
  <c r="E446" i="24"/>
  <c r="E442" i="24"/>
  <c r="E449" i="24"/>
  <c r="E445" i="24"/>
  <c r="E441" i="24"/>
  <c r="E448" i="24"/>
  <c r="E440" i="24"/>
  <c r="E444" i="24"/>
  <c r="E33" i="24"/>
  <c r="E29" i="24"/>
  <c r="E25" i="24"/>
  <c r="E28" i="24"/>
  <c r="E26" i="24"/>
  <c r="E32" i="24"/>
  <c r="E31" i="24"/>
  <c r="E30" i="24"/>
  <c r="E24" i="24"/>
  <c r="E27" i="24"/>
  <c r="H332" i="24"/>
  <c r="H330" i="24"/>
  <c r="H328" i="24"/>
  <c r="H326" i="24"/>
  <c r="H324" i="24"/>
  <c r="H331" i="24"/>
  <c r="H323" i="24"/>
  <c r="H325" i="24"/>
  <c r="H327" i="24"/>
  <c r="H329" i="24"/>
  <c r="F122" i="24"/>
  <c r="F121" i="24"/>
  <c r="F119" i="24"/>
  <c r="F117" i="24"/>
  <c r="F124" i="24"/>
  <c r="F123" i="24"/>
  <c r="F116" i="24"/>
  <c r="F115" i="24"/>
  <c r="F120" i="24"/>
  <c r="F118" i="24"/>
  <c r="G71" i="24"/>
  <c r="G69" i="24"/>
  <c r="G67" i="24"/>
  <c r="G65" i="24"/>
  <c r="G63" i="24"/>
  <c r="G70" i="24"/>
  <c r="G66" i="24"/>
  <c r="G72" i="24"/>
  <c r="G64" i="24"/>
  <c r="G68" i="24"/>
  <c r="I124" i="24"/>
  <c r="I122" i="24"/>
  <c r="I120" i="24"/>
  <c r="I118" i="24"/>
  <c r="I116" i="24"/>
  <c r="I117" i="24"/>
  <c r="I123" i="24"/>
  <c r="I115" i="24"/>
  <c r="I121" i="24"/>
  <c r="I119" i="24"/>
  <c r="H305" i="24"/>
  <c r="H303" i="24"/>
  <c r="H301" i="24"/>
  <c r="H299" i="24"/>
  <c r="H297" i="24"/>
  <c r="H302" i="24"/>
  <c r="H304" i="24"/>
  <c r="H300" i="24"/>
  <c r="H306" i="24"/>
  <c r="H298" i="24"/>
  <c r="H163" i="24"/>
  <c r="H161" i="24"/>
  <c r="H159" i="24"/>
  <c r="H157" i="24"/>
  <c r="H155" i="24"/>
  <c r="H158" i="24"/>
  <c r="H160" i="24"/>
  <c r="H156" i="24"/>
  <c r="H162" i="24"/>
  <c r="H154" i="24"/>
  <c r="H462" i="24"/>
  <c r="H461" i="24"/>
  <c r="H454" i="24"/>
  <c r="H453" i="24"/>
  <c r="H460" i="24"/>
  <c r="H459" i="24"/>
  <c r="H458" i="24"/>
  <c r="H455" i="24"/>
  <c r="H457" i="24"/>
  <c r="H456" i="24"/>
  <c r="F85" i="24"/>
  <c r="F83" i="24"/>
  <c r="F81" i="24"/>
  <c r="F79" i="24"/>
  <c r="F77" i="24"/>
  <c r="F84" i="24"/>
  <c r="F80" i="24"/>
  <c r="F76" i="24"/>
  <c r="F82" i="24"/>
  <c r="F78" i="24"/>
  <c r="F501" i="24"/>
  <c r="F499" i="24"/>
  <c r="F497" i="24"/>
  <c r="F495" i="24"/>
  <c r="F493" i="24"/>
  <c r="F500" i="24"/>
  <c r="F496" i="24"/>
  <c r="F492" i="24"/>
  <c r="F498" i="24"/>
  <c r="F494" i="24"/>
  <c r="H292" i="24"/>
  <c r="H291" i="24"/>
  <c r="H284" i="24"/>
  <c r="H290" i="24"/>
  <c r="H289" i="24"/>
  <c r="H293" i="24"/>
  <c r="H287" i="24"/>
  <c r="H286" i="24"/>
  <c r="H288" i="24"/>
  <c r="H285" i="24"/>
  <c r="G46" i="24"/>
  <c r="G42" i="24"/>
  <c r="G38" i="24"/>
  <c r="G45" i="24"/>
  <c r="G44" i="24"/>
  <c r="G43" i="24"/>
  <c r="G37" i="24"/>
  <c r="G41" i="24"/>
  <c r="G40" i="24"/>
  <c r="G39" i="24"/>
  <c r="I436" i="24"/>
  <c r="I434" i="24"/>
  <c r="I432" i="24"/>
  <c r="I430" i="24"/>
  <c r="I428" i="24"/>
  <c r="I429" i="24"/>
  <c r="I431" i="24"/>
  <c r="I435" i="24"/>
  <c r="I433" i="24"/>
  <c r="I427" i="24"/>
  <c r="F474" i="24"/>
  <c r="F472" i="24"/>
  <c r="F470" i="24"/>
  <c r="F468" i="24"/>
  <c r="F466" i="24"/>
  <c r="F475" i="24"/>
  <c r="F471" i="24"/>
  <c r="F467" i="24"/>
  <c r="F469" i="24"/>
  <c r="F473" i="24"/>
  <c r="F526" i="24"/>
  <c r="F524" i="24"/>
  <c r="F522" i="24"/>
  <c r="F520" i="24"/>
  <c r="F518" i="24"/>
  <c r="F525" i="24"/>
  <c r="F521" i="24"/>
  <c r="F527" i="24"/>
  <c r="F523" i="24"/>
  <c r="F519" i="24"/>
  <c r="E124" i="24"/>
  <c r="E122" i="24"/>
  <c r="E120" i="24"/>
  <c r="E118" i="24"/>
  <c r="E116" i="24"/>
  <c r="E123" i="24"/>
  <c r="E115" i="24"/>
  <c r="E119" i="24"/>
  <c r="E117" i="24"/>
  <c r="E121" i="24"/>
  <c r="E266" i="24"/>
  <c r="E264" i="24"/>
  <c r="E262" i="24"/>
  <c r="E260" i="24"/>
  <c r="E258" i="24"/>
  <c r="E261" i="24"/>
  <c r="E267" i="24"/>
  <c r="E259" i="24"/>
  <c r="E263" i="24"/>
  <c r="E265" i="24"/>
  <c r="E461" i="24"/>
  <c r="E459" i="24"/>
  <c r="E457" i="24"/>
  <c r="E455" i="24"/>
  <c r="E453" i="24"/>
  <c r="E458" i="24"/>
  <c r="E456" i="24"/>
  <c r="E454" i="24"/>
  <c r="E462" i="24"/>
  <c r="E460" i="24"/>
  <c r="E44" i="24"/>
  <c r="E40" i="24"/>
  <c r="E39" i="24"/>
  <c r="E38" i="24"/>
  <c r="E37" i="24"/>
  <c r="E43" i="24"/>
  <c r="E46" i="24"/>
  <c r="E42" i="24"/>
  <c r="E41" i="24"/>
  <c r="E45" i="24"/>
  <c r="E215" i="24"/>
  <c r="E213" i="24"/>
  <c r="E211" i="24"/>
  <c r="E209" i="24"/>
  <c r="E207" i="24"/>
  <c r="E212" i="24"/>
  <c r="E206" i="24"/>
  <c r="E210" i="24"/>
  <c r="E214" i="24"/>
  <c r="E208" i="24"/>
  <c r="E188" i="24"/>
  <c r="E186" i="24"/>
  <c r="E184" i="24"/>
  <c r="E182" i="24"/>
  <c r="E180" i="24"/>
  <c r="E183" i="24"/>
  <c r="E187" i="24"/>
  <c r="E189" i="24"/>
  <c r="E181" i="24"/>
  <c r="E185" i="24"/>
  <c r="H136" i="24"/>
  <c r="H134" i="24"/>
  <c r="H132" i="24"/>
  <c r="H130" i="24"/>
  <c r="H128" i="24"/>
  <c r="H131" i="24"/>
  <c r="H133" i="24"/>
  <c r="H137" i="24"/>
  <c r="H129" i="24"/>
  <c r="H135" i="24"/>
  <c r="H19" i="24"/>
  <c r="H15" i="24"/>
  <c r="H11" i="24"/>
  <c r="O5" i="23" s="1"/>
  <c r="H5" i="23" s="1"/>
  <c r="H13" i="24"/>
  <c r="H18" i="24"/>
  <c r="H17" i="24"/>
  <c r="H20" i="24"/>
  <c r="H14" i="24"/>
  <c r="H12" i="24"/>
  <c r="H16" i="24"/>
  <c r="H436" i="24"/>
  <c r="H434" i="24"/>
  <c r="H432" i="24"/>
  <c r="H430" i="24"/>
  <c r="H428" i="24"/>
  <c r="H435" i="24"/>
  <c r="H427" i="24"/>
  <c r="H429" i="24"/>
  <c r="H431" i="24"/>
  <c r="H433" i="24"/>
  <c r="F383" i="24"/>
  <c r="F381" i="24"/>
  <c r="F379" i="24"/>
  <c r="F377" i="24"/>
  <c r="F375" i="24"/>
  <c r="F378" i="24"/>
  <c r="F380" i="24"/>
  <c r="F384" i="24"/>
  <c r="F382" i="24"/>
  <c r="F376" i="24"/>
  <c r="G123" i="24"/>
  <c r="G121" i="24"/>
  <c r="G119" i="24"/>
  <c r="G117" i="24"/>
  <c r="G115" i="24"/>
  <c r="G120" i="24"/>
  <c r="G122" i="24"/>
  <c r="G118" i="24"/>
  <c r="G124" i="24"/>
  <c r="G116" i="24"/>
  <c r="G331" i="24"/>
  <c r="G329" i="24"/>
  <c r="G327" i="24"/>
  <c r="G325" i="24"/>
  <c r="G323" i="24"/>
  <c r="G332" i="24"/>
  <c r="G324" i="24"/>
  <c r="G326" i="24"/>
  <c r="G330" i="24"/>
  <c r="G328" i="24"/>
  <c r="H188" i="24"/>
  <c r="H186" i="24"/>
  <c r="H184" i="24"/>
  <c r="H182" i="24"/>
  <c r="H180" i="24"/>
  <c r="H185" i="24"/>
  <c r="H187" i="24"/>
  <c r="H183" i="24"/>
  <c r="H189" i="24"/>
  <c r="H181" i="24"/>
  <c r="F306" i="24"/>
  <c r="F304" i="24"/>
  <c r="F302" i="24"/>
  <c r="F300" i="24"/>
  <c r="F298" i="24"/>
  <c r="F303" i="24"/>
  <c r="F301" i="24"/>
  <c r="F297" i="24"/>
  <c r="F305" i="24"/>
  <c r="F299" i="24"/>
  <c r="H215" i="24"/>
  <c r="H213" i="24"/>
  <c r="H211" i="24"/>
  <c r="H209" i="24"/>
  <c r="H207" i="24"/>
  <c r="H214" i="24"/>
  <c r="H206" i="24"/>
  <c r="H208" i="24"/>
  <c r="H212" i="24"/>
  <c r="H210" i="24"/>
  <c r="H510" i="24"/>
  <c r="H509" i="24"/>
  <c r="H508" i="24"/>
  <c r="H507" i="24"/>
  <c r="H513" i="24"/>
  <c r="H512" i="24"/>
  <c r="H514" i="24"/>
  <c r="H511" i="24"/>
  <c r="H506" i="24"/>
  <c r="H505" i="24"/>
  <c r="H265" i="24"/>
  <c r="H264" i="24"/>
  <c r="H263" i="24"/>
  <c r="H262" i="24"/>
  <c r="H266" i="24"/>
  <c r="H260" i="24"/>
  <c r="H259" i="24"/>
  <c r="H267" i="24"/>
  <c r="H261" i="24"/>
  <c r="H258" i="24"/>
  <c r="H150" i="24"/>
  <c r="H148" i="24"/>
  <c r="H146" i="24"/>
  <c r="H144" i="24"/>
  <c r="H142" i="24"/>
  <c r="H149" i="24"/>
  <c r="H141" i="24"/>
  <c r="H147" i="24"/>
  <c r="H143" i="24"/>
  <c r="H145" i="24"/>
  <c r="I57" i="24"/>
  <c r="I53" i="24"/>
  <c r="I52" i="24"/>
  <c r="I59" i="24"/>
  <c r="I51" i="24"/>
  <c r="I58" i="24"/>
  <c r="I54" i="24"/>
  <c r="I50" i="24"/>
  <c r="I56" i="24"/>
  <c r="I55" i="24"/>
  <c r="I448" i="24"/>
  <c r="I444" i="24"/>
  <c r="I440" i="24"/>
  <c r="I447" i="24"/>
  <c r="I443" i="24"/>
  <c r="I446" i="24"/>
  <c r="I442" i="24"/>
  <c r="I449" i="24"/>
  <c r="I445" i="24"/>
  <c r="I441" i="24"/>
  <c r="F137" i="24"/>
  <c r="F135" i="24"/>
  <c r="F133" i="24"/>
  <c r="F131" i="24"/>
  <c r="F129" i="24"/>
  <c r="F130" i="24"/>
  <c r="F134" i="24"/>
  <c r="F136" i="24"/>
  <c r="F128" i="24"/>
  <c r="F132" i="24"/>
  <c r="G31" i="24"/>
  <c r="G27" i="24"/>
  <c r="G26" i="24"/>
  <c r="G25" i="24"/>
  <c r="G24" i="24"/>
  <c r="G30" i="24"/>
  <c r="G28" i="24"/>
  <c r="G32" i="24"/>
  <c r="G29" i="24"/>
  <c r="G33" i="24"/>
  <c r="G240" i="24"/>
  <c r="G238" i="24"/>
  <c r="G236" i="24"/>
  <c r="G234" i="24"/>
  <c r="G232" i="24"/>
  <c r="G237" i="24"/>
  <c r="G235" i="24"/>
  <c r="G233" i="24"/>
  <c r="G239" i="24"/>
  <c r="G241" i="24"/>
  <c r="G449" i="24"/>
  <c r="G448" i="24"/>
  <c r="G445" i="24"/>
  <c r="G444" i="24"/>
  <c r="G441" i="24"/>
  <c r="G440" i="24"/>
  <c r="G446" i="24"/>
  <c r="G442" i="24"/>
  <c r="G447" i="24"/>
  <c r="G443" i="24"/>
  <c r="H485" i="24"/>
  <c r="H484" i="24"/>
  <c r="H483" i="24"/>
  <c r="H482" i="24"/>
  <c r="H481" i="24"/>
  <c r="H488" i="24"/>
  <c r="H487" i="24"/>
  <c r="H486" i="24"/>
  <c r="H479" i="24"/>
  <c r="H480" i="24"/>
  <c r="I293" i="24"/>
  <c r="I291" i="24"/>
  <c r="I289" i="24"/>
  <c r="I287" i="24"/>
  <c r="I285" i="24"/>
  <c r="I290" i="24"/>
  <c r="I288" i="24"/>
  <c r="I284" i="24"/>
  <c r="I292" i="24"/>
  <c r="I286" i="24"/>
  <c r="G150" i="24"/>
  <c r="G148" i="24"/>
  <c r="G146" i="24"/>
  <c r="G144" i="24"/>
  <c r="G142" i="24"/>
  <c r="G147" i="24"/>
  <c r="G149" i="24"/>
  <c r="G145" i="24"/>
  <c r="G141" i="24"/>
  <c r="G143" i="24"/>
  <c r="H111" i="24"/>
  <c r="H109" i="24"/>
  <c r="H107" i="24"/>
  <c r="H105" i="24"/>
  <c r="H103" i="24"/>
  <c r="H110" i="24"/>
  <c r="H106" i="24"/>
  <c r="H102" i="24"/>
  <c r="H108" i="24"/>
  <c r="H104" i="24"/>
  <c r="H409" i="24"/>
  <c r="H407" i="24"/>
  <c r="H405" i="24"/>
  <c r="H403" i="24"/>
  <c r="H401" i="24"/>
  <c r="H406" i="24"/>
  <c r="H408" i="24"/>
  <c r="H402" i="24"/>
  <c r="H410" i="24"/>
  <c r="H404" i="24"/>
  <c r="I357" i="24"/>
  <c r="I355" i="24"/>
  <c r="I353" i="24"/>
  <c r="I351" i="24"/>
  <c r="I349" i="24"/>
  <c r="I352" i="24"/>
  <c r="I354" i="24"/>
  <c r="I356" i="24"/>
  <c r="I350" i="24"/>
  <c r="I358" i="24"/>
  <c r="I473" i="24"/>
  <c r="I469" i="24"/>
  <c r="I472" i="24"/>
  <c r="I468" i="24"/>
  <c r="I475" i="24"/>
  <c r="I471" i="24"/>
  <c r="I467" i="24"/>
  <c r="I474" i="24"/>
  <c r="I470" i="24"/>
  <c r="I466" i="24"/>
  <c r="F43" i="24"/>
  <c r="F39" i="24"/>
  <c r="F42" i="24"/>
  <c r="F41" i="24"/>
  <c r="F40" i="24"/>
  <c r="F45" i="24"/>
  <c r="F38" i="24"/>
  <c r="F37" i="24"/>
  <c r="F46" i="24"/>
  <c r="F44" i="24"/>
  <c r="H30" i="24"/>
  <c r="H26" i="24"/>
  <c r="H29" i="24"/>
  <c r="H28" i="24"/>
  <c r="H27" i="24"/>
  <c r="H32" i="24"/>
  <c r="H25" i="24"/>
  <c r="H24" i="24"/>
  <c r="H33" i="24"/>
  <c r="H31" i="24"/>
  <c r="E56" i="24"/>
  <c r="E52" i="24"/>
  <c r="E58" i="24"/>
  <c r="E57" i="24"/>
  <c r="E53" i="24"/>
  <c r="E59" i="24"/>
  <c r="E55" i="24"/>
  <c r="E51" i="24"/>
  <c r="E54" i="24"/>
  <c r="E50" i="24"/>
  <c r="E149" i="24"/>
  <c r="E147" i="24"/>
  <c r="E145" i="24"/>
  <c r="E143" i="24"/>
  <c r="E141" i="24"/>
  <c r="E146" i="24"/>
  <c r="E150" i="24"/>
  <c r="E142" i="24"/>
  <c r="E144" i="24"/>
  <c r="E148" i="24"/>
  <c r="E293" i="24"/>
  <c r="E291" i="24"/>
  <c r="E289" i="24"/>
  <c r="E287" i="24"/>
  <c r="E285" i="24"/>
  <c r="E288" i="24"/>
  <c r="E286" i="24"/>
  <c r="E290" i="24"/>
  <c r="E292" i="24"/>
  <c r="E284" i="24"/>
  <c r="I488" i="24"/>
  <c r="I486" i="24"/>
  <c r="I484" i="24"/>
  <c r="I482" i="24"/>
  <c r="I480" i="24"/>
  <c r="I483" i="24"/>
  <c r="I481" i="24"/>
  <c r="I487" i="24"/>
  <c r="I485" i="24"/>
  <c r="I479" i="24"/>
  <c r="F488" i="24"/>
  <c r="F487" i="24"/>
  <c r="F480" i="24"/>
  <c r="F479" i="24"/>
  <c r="F486" i="24"/>
  <c r="F485" i="24"/>
  <c r="F484" i="24"/>
  <c r="F481" i="24"/>
  <c r="F482" i="24"/>
  <c r="F483" i="24"/>
  <c r="H384" i="24"/>
  <c r="H382" i="24"/>
  <c r="H380" i="24"/>
  <c r="H378" i="24"/>
  <c r="H376" i="24"/>
  <c r="H379" i="24"/>
  <c r="H381" i="24"/>
  <c r="H375" i="24"/>
  <c r="H383" i="24"/>
  <c r="H377" i="24"/>
  <c r="F513" i="24"/>
  <c r="F512" i="24"/>
  <c r="F505" i="24"/>
  <c r="F511" i="24"/>
  <c r="F510" i="24"/>
  <c r="F506" i="24"/>
  <c r="F508" i="24"/>
  <c r="F507" i="24"/>
  <c r="F514" i="24"/>
  <c r="F509" i="24"/>
  <c r="G162" i="24"/>
  <c r="G160" i="24"/>
  <c r="G158" i="24"/>
  <c r="G156" i="24"/>
  <c r="G154" i="24"/>
  <c r="G159" i="24"/>
  <c r="G163" i="24"/>
  <c r="G155" i="24"/>
  <c r="G157" i="24"/>
  <c r="G161" i="24"/>
  <c r="H475" i="24"/>
  <c r="H473" i="24"/>
  <c r="H471" i="24"/>
  <c r="H469" i="24"/>
  <c r="H467" i="24"/>
  <c r="H474" i="24"/>
  <c r="H470" i="24"/>
  <c r="H466" i="24"/>
  <c r="H472" i="24"/>
  <c r="H468" i="24"/>
  <c r="I266" i="24"/>
  <c r="I264" i="24"/>
  <c r="I262" i="24"/>
  <c r="I260" i="24"/>
  <c r="I258" i="24"/>
  <c r="I263" i="24"/>
  <c r="I261" i="24"/>
  <c r="I267" i="24"/>
  <c r="I259" i="24"/>
  <c r="I265" i="24"/>
  <c r="F32" i="24"/>
  <c r="F28" i="24"/>
  <c r="F24" i="24"/>
  <c r="F26" i="24"/>
  <c r="F30" i="24"/>
  <c r="F33" i="24"/>
  <c r="F27" i="24"/>
  <c r="F25" i="24"/>
  <c r="F31" i="24"/>
  <c r="F29" i="24"/>
  <c r="F449" i="24"/>
  <c r="F447" i="24"/>
  <c r="F445" i="24"/>
  <c r="F443" i="24"/>
  <c r="F441" i="24"/>
  <c r="F446" i="24"/>
  <c r="F442" i="24"/>
  <c r="F448" i="24"/>
  <c r="F444" i="24"/>
  <c r="F440" i="24"/>
  <c r="H84" i="24"/>
  <c r="H82" i="24"/>
  <c r="H80" i="24"/>
  <c r="H78" i="24"/>
  <c r="H76" i="24"/>
  <c r="H83" i="24"/>
  <c r="H79" i="24"/>
  <c r="H85" i="24"/>
  <c r="H81" i="24"/>
  <c r="H77" i="24"/>
  <c r="G358" i="24"/>
  <c r="G356" i="24"/>
  <c r="G354" i="24"/>
  <c r="G352" i="24"/>
  <c r="G350" i="24"/>
  <c r="G351" i="24"/>
  <c r="G353" i="24"/>
  <c r="G355" i="24"/>
  <c r="G349" i="24"/>
  <c r="G357" i="24"/>
  <c r="G214" i="24"/>
  <c r="G212" i="24"/>
  <c r="G210" i="24"/>
  <c r="G208" i="24"/>
  <c r="G206" i="24"/>
  <c r="G215" i="24"/>
  <c r="G207" i="24"/>
  <c r="G211" i="24"/>
  <c r="G213" i="24"/>
  <c r="G209" i="24"/>
  <c r="I215" i="24"/>
  <c r="I213" i="24"/>
  <c r="I211" i="24"/>
  <c r="I209" i="24"/>
  <c r="I207" i="24"/>
  <c r="I208" i="24"/>
  <c r="I210" i="24"/>
  <c r="I214" i="24"/>
  <c r="I206" i="24"/>
  <c r="I212" i="24"/>
  <c r="E332" i="24"/>
  <c r="E330" i="24"/>
  <c r="E328" i="24"/>
  <c r="E326" i="24"/>
  <c r="E324" i="24"/>
  <c r="E329" i="24"/>
  <c r="E331" i="24"/>
  <c r="E323" i="24"/>
  <c r="E325" i="24"/>
  <c r="E327" i="24"/>
  <c r="E305" i="24"/>
  <c r="E303" i="24"/>
  <c r="E299" i="24"/>
  <c r="E302" i="24"/>
  <c r="E298" i="24"/>
  <c r="E306" i="24"/>
  <c r="E301" i="24"/>
  <c r="E297" i="24"/>
  <c r="E304" i="24"/>
  <c r="E300" i="24"/>
  <c r="E241" i="24"/>
  <c r="E239" i="24"/>
  <c r="E237" i="24"/>
  <c r="E235" i="24"/>
  <c r="E233" i="24"/>
  <c r="E240" i="24"/>
  <c r="E232" i="24"/>
  <c r="E238" i="24"/>
  <c r="E236" i="24"/>
  <c r="E234" i="24"/>
  <c r="H448" i="24"/>
  <c r="H446" i="24"/>
  <c r="H444" i="24"/>
  <c r="H442" i="24"/>
  <c r="H440" i="24"/>
  <c r="H449" i="24"/>
  <c r="H445" i="24"/>
  <c r="H441" i="24"/>
  <c r="H447" i="24"/>
  <c r="H443" i="24"/>
  <c r="I72" i="24"/>
  <c r="I70" i="24"/>
  <c r="I68" i="24"/>
  <c r="I66" i="24"/>
  <c r="I64" i="24"/>
  <c r="I67" i="24"/>
  <c r="I65" i="24"/>
  <c r="I71" i="24"/>
  <c r="I69" i="24"/>
  <c r="I63" i="24"/>
  <c r="F331" i="24"/>
  <c r="F329" i="24"/>
  <c r="F327" i="24"/>
  <c r="F325" i="24"/>
  <c r="F323" i="24"/>
  <c r="F330" i="24"/>
  <c r="F332" i="24"/>
  <c r="F324" i="24"/>
  <c r="F328" i="24"/>
  <c r="F326" i="24"/>
  <c r="G487" i="24"/>
  <c r="G485" i="24"/>
  <c r="G483" i="24"/>
  <c r="G481" i="24"/>
  <c r="G479" i="24"/>
  <c r="G486" i="24"/>
  <c r="G484" i="24"/>
  <c r="G480" i="24"/>
  <c r="G482" i="24"/>
  <c r="G488" i="24"/>
  <c r="F149" i="24"/>
  <c r="F147" i="24"/>
  <c r="F145" i="24"/>
  <c r="F143" i="24"/>
  <c r="F141" i="24"/>
  <c r="F148" i="24"/>
  <c r="F142" i="24"/>
  <c r="F144" i="24"/>
  <c r="F146" i="24"/>
  <c r="F150" i="24"/>
  <c r="G514" i="24"/>
  <c r="G512" i="24"/>
  <c r="G510" i="24"/>
  <c r="G508" i="24"/>
  <c r="G506" i="24"/>
  <c r="G511" i="24"/>
  <c r="G509" i="24"/>
  <c r="G507" i="24"/>
  <c r="G513" i="24"/>
  <c r="G505" i="24"/>
  <c r="G267" i="24"/>
  <c r="G265" i="24"/>
  <c r="G263" i="24"/>
  <c r="G261" i="24"/>
  <c r="G259" i="24"/>
  <c r="G266" i="24"/>
  <c r="G258" i="24"/>
  <c r="G264" i="24"/>
  <c r="G260" i="24"/>
  <c r="G262" i="24"/>
  <c r="H45" i="24"/>
  <c r="H41" i="24"/>
  <c r="H37" i="24"/>
  <c r="H46" i="24"/>
  <c r="H39" i="24"/>
  <c r="H44" i="24"/>
  <c r="H43" i="24"/>
  <c r="H42" i="24"/>
  <c r="H40" i="24"/>
  <c r="H38" i="24"/>
  <c r="I527" i="24"/>
  <c r="I523" i="24"/>
  <c r="I519" i="24"/>
  <c r="I526" i="24"/>
  <c r="I522" i="24"/>
  <c r="I518" i="24"/>
  <c r="I524" i="24"/>
  <c r="I520" i="24"/>
  <c r="I525" i="24"/>
  <c r="I521" i="24"/>
  <c r="F287" i="24"/>
  <c r="F286" i="24"/>
  <c r="F293" i="24"/>
  <c r="F292" i="24"/>
  <c r="F285" i="24"/>
  <c r="F284" i="24"/>
  <c r="F291" i="24"/>
  <c r="F290" i="24"/>
  <c r="F289" i="24"/>
  <c r="F288" i="24"/>
  <c r="G189" i="24"/>
  <c r="G187" i="24"/>
  <c r="G185" i="24"/>
  <c r="G183" i="24"/>
  <c r="G181" i="24"/>
  <c r="G186" i="24"/>
  <c r="G182" i="24"/>
  <c r="G184" i="24"/>
  <c r="G188" i="24"/>
  <c r="G180" i="24"/>
  <c r="I384" i="24"/>
  <c r="I382" i="24"/>
  <c r="I380" i="24"/>
  <c r="I378" i="24"/>
  <c r="I376" i="24"/>
  <c r="I381" i="24"/>
  <c r="I383" i="24"/>
  <c r="I375" i="24"/>
  <c r="I377" i="24"/>
  <c r="I379" i="24"/>
  <c r="G462" i="24"/>
  <c r="G460" i="24"/>
  <c r="G458" i="24"/>
  <c r="G456" i="24"/>
  <c r="G454" i="24"/>
  <c r="G455" i="24"/>
  <c r="G461" i="24"/>
  <c r="G453" i="24"/>
  <c r="G457" i="24"/>
  <c r="G459" i="24"/>
  <c r="I44" i="24"/>
  <c r="I40" i="24"/>
  <c r="I39" i="24"/>
  <c r="I37" i="24"/>
  <c r="I43" i="24"/>
  <c r="I41" i="24"/>
  <c r="I46" i="24"/>
  <c r="I45" i="24"/>
  <c r="I38" i="24"/>
  <c r="I42" i="24"/>
  <c r="I149" i="24"/>
  <c r="I147" i="24"/>
  <c r="I145" i="24"/>
  <c r="I143" i="24"/>
  <c r="I141" i="24"/>
  <c r="I150" i="24"/>
  <c r="I142" i="24"/>
  <c r="I144" i="24"/>
  <c r="I146" i="24"/>
  <c r="I148" i="24"/>
  <c r="I18" i="24"/>
  <c r="I14" i="24"/>
  <c r="I13" i="24"/>
  <c r="I12" i="24"/>
  <c r="I11" i="24"/>
  <c r="P5" i="23" s="1"/>
  <c r="I5" i="23" s="1"/>
  <c r="I17" i="24"/>
  <c r="I15" i="24"/>
  <c r="I20" i="24"/>
  <c r="I16" i="24"/>
  <c r="I19" i="24"/>
  <c r="E384" i="24"/>
  <c r="E382" i="24"/>
  <c r="E380" i="24"/>
  <c r="E378" i="24"/>
  <c r="E376" i="24"/>
  <c r="E377" i="24"/>
  <c r="E379" i="24"/>
  <c r="E375" i="24"/>
  <c r="E383" i="24"/>
  <c r="E381" i="24"/>
  <c r="E436" i="24"/>
  <c r="E434" i="24"/>
  <c r="E432" i="24"/>
  <c r="E430" i="24"/>
  <c r="E428" i="24"/>
  <c r="E433" i="24"/>
  <c r="E435" i="24"/>
  <c r="E427" i="24"/>
  <c r="E431" i="24"/>
  <c r="E429" i="24"/>
  <c r="E72" i="24"/>
  <c r="E70" i="24"/>
  <c r="E68" i="24"/>
  <c r="E66" i="24"/>
  <c r="E64" i="24"/>
  <c r="E65" i="24"/>
  <c r="E71" i="24"/>
  <c r="E67" i="24"/>
  <c r="E63" i="24"/>
  <c r="E69" i="24"/>
  <c r="E163" i="24"/>
  <c r="E161" i="24"/>
  <c r="E159" i="24"/>
  <c r="E157" i="24"/>
  <c r="E155" i="24"/>
  <c r="E156" i="24"/>
  <c r="E158" i="24"/>
  <c r="E162" i="24"/>
  <c r="E154" i="24"/>
  <c r="E160" i="24"/>
  <c r="E409" i="24"/>
  <c r="E407" i="24"/>
  <c r="E405" i="24"/>
  <c r="E403" i="24"/>
  <c r="E401" i="24"/>
  <c r="E404" i="24"/>
  <c r="E406" i="24"/>
  <c r="E410" i="24"/>
  <c r="E408" i="24"/>
  <c r="E402" i="24"/>
  <c r="E526" i="24"/>
  <c r="E522" i="24"/>
  <c r="E518" i="24"/>
  <c r="E525" i="24"/>
  <c r="E521" i="24"/>
  <c r="E527" i="24"/>
  <c r="E523" i="24"/>
  <c r="E519" i="24"/>
  <c r="E524" i="24"/>
  <c r="E520" i="24"/>
  <c r="E111" i="24"/>
  <c r="E107" i="24"/>
  <c r="E103" i="24"/>
  <c r="E109" i="24"/>
  <c r="E105" i="24"/>
  <c r="E108" i="24"/>
  <c r="E104" i="24"/>
  <c r="E110" i="24"/>
  <c r="E106" i="24"/>
  <c r="E102" i="24"/>
  <c r="E136" i="24"/>
  <c r="E134" i="24"/>
  <c r="E132" i="24"/>
  <c r="E130" i="24"/>
  <c r="E137" i="24"/>
  <c r="E129" i="24"/>
  <c r="E128" i="24"/>
  <c r="E131" i="24"/>
  <c r="E135" i="24"/>
  <c r="E133" i="24"/>
  <c r="H236" i="24"/>
  <c r="H235" i="24"/>
  <c r="H241" i="24"/>
  <c r="H234" i="24"/>
  <c r="H233" i="24"/>
  <c r="H239" i="24"/>
  <c r="H238" i="24"/>
  <c r="H232" i="24"/>
  <c r="H240" i="24"/>
  <c r="H237" i="24"/>
  <c r="H119" i="24"/>
  <c r="H118" i="24"/>
  <c r="H117" i="24"/>
  <c r="H123" i="24"/>
  <c r="H115" i="24"/>
  <c r="H121" i="24"/>
  <c r="H120" i="24"/>
  <c r="H124" i="24"/>
  <c r="H116" i="24"/>
  <c r="H122" i="24"/>
  <c r="I136" i="24"/>
  <c r="I134" i="24"/>
  <c r="I132" i="24"/>
  <c r="I130" i="24"/>
  <c r="I128" i="24"/>
  <c r="I133" i="24"/>
  <c r="I135" i="24"/>
  <c r="I129" i="24"/>
  <c r="I131" i="24"/>
  <c r="I137" i="24"/>
  <c r="I409" i="24"/>
  <c r="I407" i="24"/>
  <c r="I405" i="24"/>
  <c r="I403" i="24"/>
  <c r="I401" i="24"/>
  <c r="I408" i="24"/>
  <c r="I410" i="24"/>
  <c r="I402" i="24"/>
  <c r="I404" i="24"/>
  <c r="I406" i="24"/>
  <c r="F435" i="24"/>
  <c r="F433" i="24"/>
  <c r="F431" i="24"/>
  <c r="F429" i="24"/>
  <c r="F427" i="24"/>
  <c r="F434" i="24"/>
  <c r="F436" i="24"/>
  <c r="F428" i="24"/>
  <c r="F432" i="24"/>
  <c r="F430" i="24"/>
  <c r="G383" i="24"/>
  <c r="G381" i="24"/>
  <c r="G379" i="24"/>
  <c r="G377" i="24"/>
  <c r="G375" i="24"/>
  <c r="G380" i="24"/>
  <c r="G382" i="24"/>
  <c r="G378" i="24"/>
  <c r="G384" i="24"/>
  <c r="G376" i="24"/>
  <c r="H69" i="24"/>
  <c r="H68" i="24"/>
  <c r="H67" i="24"/>
  <c r="H64" i="24"/>
  <c r="H71" i="24"/>
  <c r="H70" i="24"/>
  <c r="H63" i="24"/>
  <c r="H66" i="24"/>
  <c r="H72" i="24"/>
  <c r="H65" i="24"/>
  <c r="I461" i="24"/>
  <c r="I459" i="24"/>
  <c r="I457" i="24"/>
  <c r="I455" i="24"/>
  <c r="I453" i="24"/>
  <c r="I460" i="24"/>
  <c r="I458" i="24"/>
  <c r="I462" i="24"/>
  <c r="I456" i="24"/>
  <c r="I454" i="24"/>
  <c r="F410" i="24"/>
  <c r="F408" i="24"/>
  <c r="F406" i="24"/>
  <c r="F404" i="24"/>
  <c r="F402" i="24"/>
  <c r="F405" i="24"/>
  <c r="F407" i="24"/>
  <c r="F401" i="24"/>
  <c r="F409" i="24"/>
  <c r="F403" i="24"/>
  <c r="G306" i="24"/>
  <c r="G304" i="24"/>
  <c r="G302" i="24"/>
  <c r="G303" i="24"/>
  <c r="G301" i="24"/>
  <c r="G298" i="24"/>
  <c r="G297" i="24"/>
  <c r="G305" i="24"/>
  <c r="G299" i="24"/>
  <c r="G300" i="24"/>
  <c r="G110" i="24"/>
  <c r="G109" i="24"/>
  <c r="G106" i="24"/>
  <c r="G105" i="24"/>
  <c r="G102" i="24"/>
  <c r="G111" i="24"/>
  <c r="G103" i="24"/>
  <c r="G108" i="24"/>
  <c r="G107" i="24"/>
  <c r="G104" i="24"/>
  <c r="G474" i="24"/>
  <c r="G473" i="24"/>
  <c r="G470" i="24"/>
  <c r="G469" i="24"/>
  <c r="G466" i="24"/>
  <c r="G475" i="24"/>
  <c r="G471" i="24"/>
  <c r="G467" i="24"/>
  <c r="G472" i="24"/>
  <c r="G468" i="24"/>
  <c r="I163" i="24"/>
  <c r="I161" i="24"/>
  <c r="I159" i="24"/>
  <c r="I157" i="24"/>
  <c r="I155" i="24"/>
  <c r="I160" i="24"/>
  <c r="I162" i="24"/>
  <c r="I158" i="24"/>
  <c r="I154" i="24"/>
  <c r="I156" i="24"/>
  <c r="I332" i="24"/>
  <c r="I330" i="24"/>
  <c r="I328" i="24"/>
  <c r="I326" i="24"/>
  <c r="I324" i="24"/>
  <c r="I325" i="24"/>
  <c r="I327" i="24"/>
  <c r="I323" i="24"/>
  <c r="I331" i="24"/>
  <c r="I329" i="24"/>
  <c r="I513" i="24"/>
  <c r="I511" i="24"/>
  <c r="I509" i="24"/>
  <c r="I507" i="24"/>
  <c r="I505" i="24"/>
  <c r="I508" i="24"/>
  <c r="I514" i="24"/>
  <c r="I506" i="24"/>
  <c r="I510" i="24"/>
  <c r="I512" i="24"/>
  <c r="F189" i="24"/>
  <c r="F187" i="24"/>
  <c r="F185" i="24"/>
  <c r="F183" i="24"/>
  <c r="F181" i="24"/>
  <c r="F184" i="24"/>
  <c r="F186" i="24"/>
  <c r="F188" i="24"/>
  <c r="F180" i="24"/>
  <c r="F182" i="24"/>
  <c r="G82" i="24"/>
  <c r="G78" i="24"/>
  <c r="G85" i="24"/>
  <c r="G84" i="24"/>
  <c r="G81" i="24"/>
  <c r="G80" i="24"/>
  <c r="G77" i="24"/>
  <c r="G76" i="24"/>
  <c r="G83" i="24"/>
  <c r="G79" i="24"/>
  <c r="G292" i="24"/>
  <c r="G290" i="24"/>
  <c r="G288" i="24"/>
  <c r="G286" i="24"/>
  <c r="G284" i="24"/>
  <c r="G293" i="24"/>
  <c r="G285" i="24"/>
  <c r="G291" i="24"/>
  <c r="G289" i="24"/>
  <c r="G287" i="24"/>
  <c r="G499" i="24"/>
  <c r="G498" i="24"/>
  <c r="G495" i="24"/>
  <c r="G494" i="24"/>
  <c r="G500" i="24"/>
  <c r="G496" i="24"/>
  <c r="G492" i="24"/>
  <c r="G501" i="24"/>
  <c r="G497" i="24"/>
  <c r="G493" i="24"/>
  <c r="H500" i="24"/>
  <c r="H498" i="24"/>
  <c r="H496" i="24"/>
  <c r="H494" i="24"/>
  <c r="H492" i="24"/>
  <c r="H499" i="24"/>
  <c r="H495" i="24"/>
  <c r="H501" i="24"/>
  <c r="H497" i="24"/>
  <c r="H493" i="24"/>
  <c r="I188" i="24"/>
  <c r="I186" i="24"/>
  <c r="I184" i="24"/>
  <c r="I182" i="24"/>
  <c r="I180" i="24"/>
  <c r="I187" i="24"/>
  <c r="I189" i="24"/>
  <c r="I181" i="24"/>
  <c r="I185" i="24"/>
  <c r="I183" i="24"/>
  <c r="F358" i="24"/>
  <c r="F356" i="24"/>
  <c r="F354" i="24"/>
  <c r="F352" i="24"/>
  <c r="F350" i="24"/>
  <c r="F357" i="24"/>
  <c r="F349" i="24"/>
  <c r="F351" i="24"/>
  <c r="F355" i="24"/>
  <c r="F353" i="24"/>
  <c r="G57" i="24"/>
  <c r="G54" i="24"/>
  <c r="G50" i="24"/>
  <c r="G59" i="24"/>
  <c r="G56" i="24"/>
  <c r="G55" i="24"/>
  <c r="G52" i="24"/>
  <c r="G51" i="24"/>
  <c r="G58" i="24"/>
  <c r="G53" i="24"/>
  <c r="G527" i="24"/>
  <c r="G524" i="24"/>
  <c r="G523" i="24"/>
  <c r="G520" i="24"/>
  <c r="G519" i="24"/>
  <c r="G526" i="24"/>
  <c r="G522" i="24"/>
  <c r="G518" i="24"/>
  <c r="G525" i="24"/>
  <c r="G521" i="24"/>
  <c r="F162" i="24"/>
  <c r="F160" i="24"/>
  <c r="F158" i="24"/>
  <c r="F156" i="24"/>
  <c r="F154" i="24"/>
  <c r="F157" i="24"/>
  <c r="F161" i="24"/>
  <c r="F163" i="24"/>
  <c r="F155" i="24"/>
  <c r="F159" i="24"/>
  <c r="F214" i="24"/>
  <c r="F212" i="24"/>
  <c r="F210" i="24"/>
  <c r="F208" i="24"/>
  <c r="F206" i="24"/>
  <c r="F213" i="24"/>
  <c r="F215" i="24"/>
  <c r="F209" i="24"/>
  <c r="F211" i="24"/>
  <c r="F207" i="24"/>
  <c r="F58" i="24"/>
  <c r="F56" i="24"/>
  <c r="F54" i="24"/>
  <c r="F52" i="24"/>
  <c r="F50" i="24"/>
  <c r="F59" i="24"/>
  <c r="F55" i="24"/>
  <c r="F51" i="24"/>
  <c r="F53" i="24"/>
  <c r="F57" i="24"/>
  <c r="I82" i="24"/>
  <c r="I78" i="24"/>
  <c r="I85" i="24"/>
  <c r="I84" i="24"/>
  <c r="I80" i="24"/>
  <c r="I76" i="24"/>
  <c r="I83" i="24"/>
  <c r="I79" i="24"/>
  <c r="I81" i="24"/>
  <c r="I77" i="24"/>
  <c r="F110" i="24"/>
  <c r="F108" i="24"/>
  <c r="F106" i="24"/>
  <c r="F104" i="24"/>
  <c r="F102" i="24"/>
  <c r="F109" i="24"/>
  <c r="F105" i="24"/>
  <c r="F111" i="24"/>
  <c r="F107" i="24"/>
  <c r="F103" i="24"/>
  <c r="F17" i="24"/>
  <c r="F13" i="24"/>
  <c r="F20" i="24"/>
  <c r="F19" i="24"/>
  <c r="F18" i="24"/>
  <c r="F11" i="24"/>
  <c r="M5" i="23" s="1"/>
  <c r="F5" i="23" s="1"/>
  <c r="F16" i="24"/>
  <c r="F15" i="24"/>
  <c r="F14" i="24"/>
  <c r="F12" i="24"/>
  <c r="M24" i="12"/>
  <c r="L25" i="12"/>
  <c r="H65" i="30" l="1"/>
  <c r="E392" i="22"/>
  <c r="F391" i="22"/>
  <c r="F260" i="22"/>
  <c r="E261" i="22"/>
  <c r="G79" i="34"/>
  <c r="K65" i="30"/>
  <c r="J65" i="30"/>
  <c r="F79" i="34"/>
  <c r="S65" i="30"/>
  <c r="S57" i="30"/>
  <c r="H16" i="30"/>
  <c r="J79" i="34"/>
  <c r="C74" i="34"/>
  <c r="F51" i="31"/>
  <c r="G51" i="31" s="1"/>
  <c r="E128" i="31" s="1"/>
  <c r="H17" i="30"/>
  <c r="S58" i="30"/>
  <c r="F52" i="31"/>
  <c r="G52" i="31" s="1"/>
  <c r="E129" i="31" s="1"/>
  <c r="F53" i="31"/>
  <c r="G53" i="31" s="1"/>
  <c r="E130" i="31" s="1"/>
  <c r="I79" i="34"/>
  <c r="M65" i="30"/>
  <c r="H18" i="30"/>
  <c r="S59" i="30"/>
  <c r="M390" i="22"/>
  <c r="J80" i="34" s="1"/>
  <c r="H69" i="34"/>
  <c r="K386" i="22"/>
  <c r="K384" i="22"/>
  <c r="L91" i="30"/>
  <c r="K80" i="34"/>
  <c r="O93" i="30"/>
  <c r="I69" i="34"/>
  <c r="L384" i="22"/>
  <c r="M91" i="30"/>
  <c r="L386" i="22"/>
  <c r="L387" i="22" s="1"/>
  <c r="K92" i="30"/>
  <c r="J390" i="22"/>
  <c r="F114" i="31"/>
  <c r="F142" i="31"/>
  <c r="F128" i="31"/>
  <c r="N6" i="23"/>
  <c r="G6" i="23" s="1"/>
  <c r="M6" i="23"/>
  <c r="F6" i="23" s="1"/>
  <c r="P6" i="23"/>
  <c r="I6" i="23" s="1"/>
  <c r="L6" i="23"/>
  <c r="E6" i="23" s="1"/>
  <c r="O6" i="23"/>
  <c r="H6" i="23" s="1"/>
  <c r="M25" i="12"/>
  <c r="L26" i="12"/>
  <c r="F261" i="22" l="1"/>
  <c r="G260" i="22"/>
  <c r="F392" i="22"/>
  <c r="G391" i="22"/>
  <c r="N93" i="30"/>
  <c r="L390" i="22"/>
  <c r="M92" i="30"/>
  <c r="K387" i="22"/>
  <c r="D394" i="22" s="1"/>
  <c r="D402" i="22"/>
  <c r="D396" i="22"/>
  <c r="K93" i="30"/>
  <c r="G80" i="34"/>
  <c r="L27" i="12"/>
  <c r="M26" i="12" s="1"/>
  <c r="G261" i="22" l="1"/>
  <c r="H260" i="22"/>
  <c r="G392" i="22"/>
  <c r="H391" i="22"/>
  <c r="S93" i="30"/>
  <c r="J24" i="30"/>
  <c r="K390" i="22"/>
  <c r="L92" i="30"/>
  <c r="D395" i="22"/>
  <c r="F67" i="31"/>
  <c r="G67" i="31" s="1"/>
  <c r="E144" i="31" s="1"/>
  <c r="S87" i="30"/>
  <c r="O63" i="33"/>
  <c r="J18" i="30"/>
  <c r="I80" i="34"/>
  <c r="M93" i="30"/>
  <c r="O59" i="33"/>
  <c r="J16" i="30"/>
  <c r="F65" i="31"/>
  <c r="G65" i="31" s="1"/>
  <c r="E142" i="31" s="1"/>
  <c r="S85" i="30"/>
  <c r="L28" i="12"/>
  <c r="H261" i="22" l="1"/>
  <c r="I260" i="22"/>
  <c r="H392" i="22"/>
  <c r="I391" i="22"/>
  <c r="L93" i="30"/>
  <c r="H80" i="34"/>
  <c r="J17" i="30"/>
  <c r="F66" i="31"/>
  <c r="G66" i="31" s="1"/>
  <c r="E143" i="31" s="1"/>
  <c r="D74" i="34"/>
  <c r="O61" i="33"/>
  <c r="S86" i="30"/>
  <c r="M27" i="12"/>
  <c r="L29" i="12"/>
  <c r="I261" i="22" l="1"/>
  <c r="J260" i="22"/>
  <c r="I392" i="22"/>
  <c r="J391" i="22"/>
  <c r="L30" i="12"/>
  <c r="J392" i="22" l="1"/>
  <c r="K391" i="22"/>
  <c r="J261" i="22"/>
  <c r="K260" i="22"/>
  <c r="L31" i="12"/>
  <c r="K261" i="22" l="1"/>
  <c r="L260" i="22"/>
  <c r="K392" i="22"/>
  <c r="L391" i="22"/>
  <c r="L32" i="12"/>
  <c r="L261" i="22" l="1"/>
  <c r="M260" i="22"/>
  <c r="M391" i="22"/>
  <c r="L392" i="22"/>
  <c r="L33" i="12"/>
  <c r="M392" i="22" l="1"/>
  <c r="N391" i="22"/>
  <c r="N392" i="22" s="1"/>
  <c r="M261" i="22"/>
  <c r="N260" i="22"/>
  <c r="N261" i="22" s="1"/>
  <c r="L34" i="12"/>
  <c r="D32" i="6"/>
  <c r="F18" i="6"/>
  <c r="F19" i="6"/>
  <c r="F20" i="6"/>
  <c r="F26" i="6"/>
  <c r="F17" i="6"/>
  <c r="O261" i="22" l="1"/>
  <c r="D270" i="22" s="1"/>
  <c r="S64" i="30" s="1"/>
  <c r="O392" i="22"/>
  <c r="D401" i="22" s="1"/>
  <c r="J23" i="30" s="1"/>
  <c r="L35" i="12"/>
  <c r="L36" i="12" s="1"/>
  <c r="L37" i="12" s="1"/>
  <c r="L38" i="12" s="1"/>
  <c r="L39" i="12" s="1"/>
  <c r="L40" i="12" s="1"/>
  <c r="L41" i="12" s="1"/>
  <c r="L42" i="12" s="1"/>
  <c r="L43" i="12" s="1"/>
  <c r="L44" i="12" s="1"/>
  <c r="L45" i="12" s="1"/>
  <c r="L46" i="12" s="1"/>
  <c r="L47" i="12" s="1"/>
  <c r="L48" i="12" s="1"/>
  <c r="L49" i="12" s="1"/>
  <c r="L50" i="12" s="1"/>
  <c r="L51" i="12" s="1"/>
  <c r="L52" i="12" s="1"/>
  <c r="L53" i="12" s="1"/>
  <c r="L54" i="12" s="1"/>
  <c r="L55" i="12" s="1"/>
  <c r="L56" i="12" s="1"/>
  <c r="L57" i="12" s="1"/>
  <c r="L58" i="12" s="1"/>
  <c r="L59" i="12" s="1"/>
  <c r="L60" i="12" s="1"/>
  <c r="L61" i="12" s="1"/>
  <c r="L62" i="12" s="1"/>
  <c r="L63" i="12" s="1"/>
  <c r="D12" i="6"/>
  <c r="H23" i="30" l="1"/>
  <c r="O57" i="32"/>
  <c r="O57" i="33"/>
  <c r="S92" i="30"/>
  <c r="M28" i="12"/>
  <c r="M60" i="12"/>
  <c r="M41" i="12"/>
  <c r="M54" i="12"/>
  <c r="M53" i="12"/>
  <c r="M51" i="12"/>
  <c r="M30" i="12"/>
  <c r="M31" i="12"/>
  <c r="M49" i="12"/>
  <c r="M40" i="12"/>
  <c r="M36" i="12"/>
  <c r="M62" i="12"/>
  <c r="M57" i="12"/>
  <c r="M63" i="12"/>
  <c r="M38" i="12"/>
  <c r="M58" i="12"/>
  <c r="M37" i="12"/>
  <c r="M56" i="12"/>
  <c r="M48" i="12"/>
  <c r="M29" i="12"/>
  <c r="M34" i="12"/>
  <c r="M44" i="12"/>
  <c r="M47" i="12"/>
  <c r="M33" i="12"/>
  <c r="M46" i="12"/>
  <c r="M45" i="12"/>
  <c r="M59" i="12"/>
  <c r="M32" i="12"/>
  <c r="M52" i="12"/>
  <c r="M43" i="12"/>
  <c r="M50" i="12"/>
  <c r="M39" i="12"/>
  <c r="M55" i="12"/>
  <c r="M61" i="12"/>
  <c r="M35" i="12"/>
  <c r="M42" i="12"/>
  <c r="C71" i="12"/>
  <c r="C5" i="12" s="1"/>
  <c r="D43" i="1"/>
  <c r="G23" i="4" l="1"/>
  <c r="G26" i="4"/>
  <c r="G22" i="4"/>
  <c r="G25" i="4"/>
  <c r="G21" i="4"/>
  <c r="G30" i="4"/>
  <c r="G29" i="4"/>
  <c r="G32" i="4"/>
  <c r="G28" i="4"/>
  <c r="G31" i="4"/>
  <c r="G27" i="4"/>
  <c r="G24" i="4"/>
  <c r="G19" i="4"/>
  <c r="G254" i="4"/>
  <c r="G250" i="4"/>
  <c r="G245" i="4"/>
  <c r="G240" i="4"/>
  <c r="G236" i="4"/>
  <c r="G231" i="4"/>
  <c r="G226" i="4"/>
  <c r="G220" i="4"/>
  <c r="G215" i="4"/>
  <c r="G210" i="4"/>
  <c r="G205" i="4"/>
  <c r="G200" i="4"/>
  <c r="G196" i="4"/>
  <c r="G192" i="4"/>
  <c r="G188" i="4"/>
  <c r="G184" i="4"/>
  <c r="G177" i="4"/>
  <c r="G172" i="4"/>
  <c r="G168" i="4"/>
  <c r="G163" i="4"/>
  <c r="G158" i="4"/>
  <c r="G153" i="4"/>
  <c r="G147" i="4"/>
  <c r="G142" i="4"/>
  <c r="G137" i="4"/>
  <c r="G132" i="4"/>
  <c r="G127" i="4"/>
  <c r="G123" i="4"/>
  <c r="G119" i="4"/>
  <c r="G115" i="4"/>
  <c r="G111" i="4"/>
  <c r="G253" i="4"/>
  <c r="G249" i="4"/>
  <c r="G244" i="4"/>
  <c r="G239" i="4"/>
  <c r="G234" i="4"/>
  <c r="G230" i="4"/>
  <c r="G225" i="4"/>
  <c r="G219" i="4"/>
  <c r="G214" i="4"/>
  <c r="G209" i="4"/>
  <c r="G204" i="4"/>
  <c r="G199" i="4"/>
  <c r="G195" i="4"/>
  <c r="G191" i="4"/>
  <c r="G187" i="4"/>
  <c r="G180" i="4"/>
  <c r="G176" i="4"/>
  <c r="G171" i="4"/>
  <c r="G166" i="4"/>
  <c r="G162" i="4"/>
  <c r="G157" i="4"/>
  <c r="G152" i="4"/>
  <c r="G146" i="4"/>
  <c r="G141" i="4"/>
  <c r="G136" i="4"/>
  <c r="G131" i="4"/>
  <c r="G126" i="4"/>
  <c r="G122" i="4"/>
  <c r="G252" i="4"/>
  <c r="G243" i="4"/>
  <c r="G233" i="4"/>
  <c r="G224" i="4"/>
  <c r="G213" i="4"/>
  <c r="G203" i="4"/>
  <c r="G194" i="4"/>
  <c r="G186" i="4"/>
  <c r="G175" i="4"/>
  <c r="G165" i="4"/>
  <c r="G156" i="4"/>
  <c r="G145" i="4"/>
  <c r="G135" i="4"/>
  <c r="G125" i="4"/>
  <c r="G118" i="4"/>
  <c r="G113" i="4"/>
  <c r="G251" i="4"/>
  <c r="G242" i="4"/>
  <c r="G232" i="4"/>
  <c r="G221" i="4"/>
  <c r="G211" i="4"/>
  <c r="G201" i="4"/>
  <c r="G193" i="4"/>
  <c r="G185" i="4"/>
  <c r="G174" i="4"/>
  <c r="G164" i="4"/>
  <c r="G154" i="4"/>
  <c r="G144" i="4"/>
  <c r="G134" i="4"/>
  <c r="G124" i="4"/>
  <c r="G117" i="4"/>
  <c r="G112" i="4"/>
  <c r="G248" i="4"/>
  <c r="G238" i="4"/>
  <c r="G228" i="4"/>
  <c r="G218" i="4"/>
  <c r="G208" i="4"/>
  <c r="G198" i="4"/>
  <c r="G190" i="4"/>
  <c r="G179" i="4"/>
  <c r="G170" i="4"/>
  <c r="G160" i="4"/>
  <c r="G151" i="4"/>
  <c r="G140" i="4"/>
  <c r="G130" i="4"/>
  <c r="G121" i="4"/>
  <c r="G116" i="4"/>
  <c r="G110" i="4"/>
  <c r="G246" i="4"/>
  <c r="G237" i="4"/>
  <c r="G227" i="4"/>
  <c r="G216" i="4"/>
  <c r="G206" i="4"/>
  <c r="G197" i="4"/>
  <c r="G189" i="4"/>
  <c r="G178" i="4"/>
  <c r="G169" i="4"/>
  <c r="G159" i="4"/>
  <c r="G150" i="4"/>
  <c r="G139" i="4"/>
  <c r="G129" i="4"/>
  <c r="G120" i="4"/>
  <c r="G114" i="4"/>
  <c r="G288" i="4"/>
  <c r="G284" i="4"/>
  <c r="G280" i="4"/>
  <c r="G276" i="4"/>
  <c r="G272" i="4"/>
  <c r="G268" i="4"/>
  <c r="G264" i="4"/>
  <c r="G260" i="4"/>
  <c r="G283" i="4"/>
  <c r="G279" i="4"/>
  <c r="G275" i="4"/>
  <c r="G271" i="4"/>
  <c r="G267" i="4"/>
  <c r="G263" i="4"/>
  <c r="G259" i="4"/>
  <c r="G286" i="4"/>
  <c r="G282" i="4"/>
  <c r="G278" i="4"/>
  <c r="G274" i="4"/>
  <c r="G270" i="4"/>
  <c r="G266" i="4"/>
  <c r="G262" i="4"/>
  <c r="G258" i="4"/>
  <c r="G285" i="4"/>
  <c r="G281" i="4"/>
  <c r="G277" i="4"/>
  <c r="G273" i="4"/>
  <c r="G269" i="4"/>
  <c r="G261" i="4"/>
  <c r="G287" i="4"/>
  <c r="G265" i="4"/>
  <c r="G257" i="4"/>
  <c r="G18" i="4"/>
  <c r="G14" i="4"/>
  <c r="G10" i="4"/>
  <c r="G103" i="4"/>
  <c r="G97" i="4"/>
  <c r="G92" i="4"/>
  <c r="G88" i="4"/>
  <c r="G83" i="4"/>
  <c r="G72" i="4"/>
  <c r="G67" i="4"/>
  <c r="G62" i="4"/>
  <c r="G57" i="4"/>
  <c r="G77" i="4"/>
  <c r="G45" i="4"/>
  <c r="G39" i="4"/>
  <c r="G52" i="4"/>
  <c r="G48" i="4"/>
  <c r="G41" i="4"/>
  <c r="G101" i="4"/>
  <c r="G85" i="4"/>
  <c r="G70" i="4"/>
  <c r="G60" i="4"/>
  <c r="G55" i="4"/>
  <c r="G15" i="4"/>
  <c r="G11" i="4"/>
  <c r="G104" i="4"/>
  <c r="G89" i="4"/>
  <c r="G73" i="4"/>
  <c r="G63" i="4"/>
  <c r="G58" i="4"/>
  <c r="G78" i="4"/>
  <c r="G44" i="4"/>
  <c r="G17" i="4"/>
  <c r="G13" i="4"/>
  <c r="G9" i="4"/>
  <c r="G106" i="4"/>
  <c r="G102" i="4"/>
  <c r="G96" i="4"/>
  <c r="G91" i="4"/>
  <c r="G86" i="4"/>
  <c r="G82" i="4"/>
  <c r="G71" i="4"/>
  <c r="G66" i="4"/>
  <c r="G61" i="4"/>
  <c r="G56" i="4"/>
  <c r="G76" i="4"/>
  <c r="G43" i="4"/>
  <c r="G80" i="4"/>
  <c r="G51" i="4"/>
  <c r="G47" i="4"/>
  <c r="G38" i="4"/>
  <c r="G16" i="4"/>
  <c r="G12" i="4"/>
  <c r="G105" i="4"/>
  <c r="G95" i="4"/>
  <c r="G90" i="4"/>
  <c r="G65" i="4"/>
  <c r="G42" i="4"/>
  <c r="G79" i="4"/>
  <c r="G50" i="4"/>
  <c r="G46" i="4"/>
  <c r="G37" i="4"/>
  <c r="G100" i="4"/>
  <c r="G98" i="4"/>
  <c r="G94" i="4"/>
  <c r="G84" i="4"/>
  <c r="G68" i="4"/>
  <c r="G40" i="4"/>
  <c r="G53" i="4"/>
  <c r="G49" i="4"/>
  <c r="G36" i="4"/>
  <c r="E6" i="4"/>
  <c r="G6" i="4"/>
  <c r="D41" i="1"/>
  <c r="E5" i="4" l="1"/>
  <c r="G5" i="4"/>
  <c r="D39" i="1" l="1"/>
  <c r="E4" i="4" l="1"/>
  <c r="G4" i="4"/>
  <c r="N70" i="22"/>
  <c r="M70" i="22"/>
  <c r="L70" i="22"/>
  <c r="K70" i="22"/>
  <c r="J70" i="22"/>
  <c r="F70" i="22"/>
  <c r="I70" i="22"/>
  <c r="G70" i="22"/>
  <c r="H70" i="22"/>
  <c r="E70" i="22"/>
  <c r="E155" i="14"/>
  <c r="I156" i="14"/>
  <c r="E156" i="14" l="1"/>
  <c r="E158" i="14" s="1"/>
  <c r="J68" i="22" s="1"/>
  <c r="J69" i="22" s="1"/>
  <c r="I158" i="14"/>
  <c r="J91" i="22" l="1"/>
  <c r="J92" i="22" s="1"/>
  <c r="J93" i="22" s="1"/>
  <c r="G22" i="22"/>
  <c r="G23" i="22" s="1"/>
  <c r="F22" i="22"/>
  <c r="F23" i="22" s="1"/>
  <c r="I91" i="22"/>
  <c r="I92" i="22" s="1"/>
  <c r="I93" i="22" s="1"/>
  <c r="K91" i="22"/>
  <c r="K92" i="22" s="1"/>
  <c r="K93" i="22" s="1"/>
  <c r="M68" i="22"/>
  <c r="M69" i="22" s="1"/>
  <c r="G45" i="22"/>
  <c r="G46" i="22" s="1"/>
  <c r="G47" i="22" s="1"/>
  <c r="M91" i="22"/>
  <c r="M92" i="22" s="1"/>
  <c r="M93" i="22" s="1"/>
  <c r="H22" i="22"/>
  <c r="N45" i="22"/>
  <c r="N46" i="22" s="1"/>
  <c r="N47" i="22" s="1"/>
  <c r="H68" i="22"/>
  <c r="H69" i="22" s="1"/>
  <c r="F91" i="22"/>
  <c r="F92" i="22" s="1"/>
  <c r="F93" i="22" s="1"/>
  <c r="K45" i="22"/>
  <c r="K46" i="22" s="1"/>
  <c r="K47" i="22" s="1"/>
  <c r="M45" i="22"/>
  <c r="M46" i="22" s="1"/>
  <c r="M47" i="22" s="1"/>
  <c r="H91" i="22"/>
  <c r="H92" i="22" s="1"/>
  <c r="H93" i="22" s="1"/>
  <c r="K68" i="22"/>
  <c r="K69" i="22" s="1"/>
  <c r="E68" i="22"/>
  <c r="E69" i="22" s="1"/>
  <c r="N68" i="22"/>
  <c r="N69" i="22" s="1"/>
  <c r="J22" i="22"/>
  <c r="J23" i="22" s="1"/>
  <c r="L91" i="22"/>
  <c r="L92" i="22" s="1"/>
  <c r="L93" i="22" s="1"/>
  <c r="L68" i="22"/>
  <c r="L69" i="22" s="1"/>
  <c r="E63" i="20"/>
  <c r="I68" i="22"/>
  <c r="I69" i="22" s="1"/>
  <c r="N91" i="22"/>
  <c r="N92" i="22" s="1"/>
  <c r="N93" i="22" s="1"/>
  <c r="E91" i="22"/>
  <c r="E92" i="22" s="1"/>
  <c r="E93" i="22" s="1"/>
  <c r="I22" i="22"/>
  <c r="I23" i="22" s="1"/>
  <c r="I45" i="22"/>
  <c r="I46" i="22" s="1"/>
  <c r="I47" i="22" s="1"/>
  <c r="E45" i="22"/>
  <c r="E46" i="22" s="1"/>
  <c r="E47" i="22" s="1"/>
  <c r="J45" i="22"/>
  <c r="J46" i="22" s="1"/>
  <c r="J47" i="22" s="1"/>
  <c r="E22" i="22"/>
  <c r="E23" i="22" s="1"/>
  <c r="F45" i="22"/>
  <c r="F46" i="22" s="1"/>
  <c r="F47" i="22" s="1"/>
  <c r="G68" i="22"/>
  <c r="G69" i="22" s="1"/>
  <c r="L45" i="22"/>
  <c r="L46" i="22" s="1"/>
  <c r="L47" i="22" s="1"/>
  <c r="F68" i="22"/>
  <c r="F69" i="22" s="1"/>
  <c r="G91" i="22"/>
  <c r="G92" i="22" s="1"/>
  <c r="G93" i="22" s="1"/>
  <c r="H45" i="22"/>
  <c r="H46" i="22" s="1"/>
  <c r="H47" i="22" s="1"/>
  <c r="H23" i="22"/>
  <c r="J105" i="22" l="1"/>
  <c r="J119" i="22" s="1"/>
  <c r="J120" i="22" s="1"/>
  <c r="J121" i="22" s="1"/>
  <c r="E105" i="22"/>
  <c r="E119" i="22" s="1"/>
  <c r="E120" i="22" s="1"/>
  <c r="E121" i="22" s="1"/>
  <c r="H105" i="22"/>
  <c r="H119" i="22" s="1"/>
  <c r="H120" i="22" s="1"/>
  <c r="H121" i="22" s="1"/>
  <c r="G105" i="22"/>
  <c r="G119" i="22" s="1"/>
  <c r="G120" i="22" s="1"/>
  <c r="G121" i="22" s="1"/>
  <c r="F105" i="22"/>
  <c r="F119" i="22" s="1"/>
  <c r="F120" i="22" s="1"/>
  <c r="F121" i="22" s="1"/>
  <c r="I105" i="22"/>
  <c r="I119" i="22" s="1"/>
  <c r="I120" i="22" s="1"/>
  <c r="I121" i="22" s="1"/>
  <c r="G106" i="22"/>
  <c r="G24" i="22"/>
  <c r="E24" i="22"/>
  <c r="E106" i="22"/>
  <c r="F106" i="22"/>
  <c r="F24" i="22"/>
  <c r="H24" i="22"/>
  <c r="H106" i="22"/>
  <c r="J106" i="22"/>
  <c r="J24" i="22"/>
  <c r="I24" i="22"/>
  <c r="I106" i="22"/>
  <c r="G19" i="34" l="1"/>
  <c r="B19" i="34"/>
  <c r="F30" i="30"/>
  <c r="D19" i="34"/>
  <c r="E19" i="34"/>
  <c r="C19" i="34"/>
  <c r="H30" i="30"/>
  <c r="G30" i="30"/>
  <c r="K30" i="30"/>
  <c r="I30" i="30"/>
  <c r="F19" i="34"/>
  <c r="J30" i="30"/>
  <c r="H122" i="22"/>
  <c r="E22" i="34"/>
  <c r="H124" i="22"/>
  <c r="H125" i="22" s="1"/>
  <c r="I35" i="30"/>
  <c r="B22" i="34"/>
  <c r="F35" i="30"/>
  <c r="E124" i="22"/>
  <c r="E122" i="22"/>
  <c r="G107" i="22"/>
  <c r="H31" i="30"/>
  <c r="K31" i="30"/>
  <c r="J107" i="22"/>
  <c r="K35" i="30"/>
  <c r="J122" i="22"/>
  <c r="J124" i="22"/>
  <c r="J125" i="22" s="1"/>
  <c r="G22" i="34"/>
  <c r="F107" i="22"/>
  <c r="G31" i="30"/>
  <c r="F122" i="22"/>
  <c r="C22" i="34"/>
  <c r="G35" i="30"/>
  <c r="F124" i="22"/>
  <c r="F125" i="22" s="1"/>
  <c r="I107" i="22"/>
  <c r="J31" i="30"/>
  <c r="F22" i="34"/>
  <c r="I124" i="22"/>
  <c r="I125" i="22" s="1"/>
  <c r="J35" i="30"/>
  <c r="I122" i="22"/>
  <c r="I31" i="30"/>
  <c r="H107" i="22"/>
  <c r="F31" i="30"/>
  <c r="E107" i="22"/>
  <c r="D22" i="34"/>
  <c r="G124" i="22"/>
  <c r="G125" i="22" s="1"/>
  <c r="H35" i="30"/>
  <c r="G122" i="22"/>
  <c r="E125" i="22" l="1"/>
  <c r="H128" i="22"/>
  <c r="I36" i="30"/>
  <c r="G128" i="22"/>
  <c r="H36" i="30"/>
  <c r="J36" i="30"/>
  <c r="I128" i="22"/>
  <c r="F128" i="22"/>
  <c r="G36" i="30"/>
  <c r="J128" i="22"/>
  <c r="K36" i="30"/>
  <c r="J37" i="30" l="1"/>
  <c r="F78" i="34"/>
  <c r="F36" i="30"/>
  <c r="E128" i="22"/>
  <c r="I37" i="30"/>
  <c r="E78" i="34"/>
  <c r="K37" i="30"/>
  <c r="G78" i="34"/>
  <c r="G37" i="30"/>
  <c r="C78" i="34"/>
  <c r="D78" i="34"/>
  <c r="H37" i="30"/>
  <c r="F37" i="30" l="1"/>
  <c r="E129" i="22"/>
  <c r="B78" i="34"/>
  <c r="F129" i="22" l="1"/>
  <c r="E130" i="22"/>
  <c r="F130" i="22" l="1"/>
  <c r="G129" i="22"/>
  <c r="G130" i="22" l="1"/>
  <c r="H129" i="22"/>
  <c r="I129" i="22" l="1"/>
  <c r="H130" i="22"/>
  <c r="J129" i="22" l="1"/>
  <c r="I130" i="22"/>
  <c r="J130" i="22" l="1"/>
  <c r="K100" i="22"/>
  <c r="L100" i="22"/>
  <c r="N100" i="22"/>
  <c r="L19" i="22"/>
  <c r="M100" i="22"/>
  <c r="M22" i="22"/>
  <c r="M105" i="22" s="1"/>
  <c r="M19" i="22"/>
  <c r="M20" i="22" s="1"/>
  <c r="J11" i="34" s="1"/>
  <c r="L22" i="22"/>
  <c r="L105" i="22" s="1"/>
  <c r="N19" i="22"/>
  <c r="N22" i="22"/>
  <c r="N105" i="22" s="1"/>
  <c r="K19" i="34" s="1"/>
  <c r="K22" i="22"/>
  <c r="K105" i="22" s="1"/>
  <c r="K19" i="22"/>
  <c r="K102" i="22" l="1"/>
  <c r="K20" i="22"/>
  <c r="N102" i="22"/>
  <c r="N20" i="22"/>
  <c r="K11" i="34" s="1"/>
  <c r="M102" i="22"/>
  <c r="L102" i="22"/>
  <c r="L20" i="22"/>
  <c r="I11" i="34" s="1"/>
  <c r="H19" i="34"/>
  <c r="L30" i="30"/>
  <c r="O30" i="30"/>
  <c r="I19" i="34"/>
  <c r="M30" i="30"/>
  <c r="J19" i="34"/>
  <c r="N30" i="30"/>
  <c r="K103" i="22" l="1"/>
  <c r="K114" i="22" s="1"/>
  <c r="K116" i="22" s="1"/>
  <c r="H11" i="34"/>
  <c r="H18" i="34" s="1"/>
  <c r="B5" i="34"/>
  <c r="K26" i="22"/>
  <c r="K109" i="22" s="1"/>
  <c r="L33" i="30" s="1"/>
  <c r="K23" i="22"/>
  <c r="K106" i="22" s="1"/>
  <c r="L31" i="30" s="1"/>
  <c r="M23" i="22"/>
  <c r="M106" i="22" s="1"/>
  <c r="N31" i="30" s="1"/>
  <c r="M26" i="22"/>
  <c r="M109" i="22" s="1"/>
  <c r="J18" i="34"/>
  <c r="M103" i="22"/>
  <c r="N23" i="22"/>
  <c r="N106" i="22" s="1"/>
  <c r="O31" i="30" s="1"/>
  <c r="K18" i="34"/>
  <c r="N26" i="22"/>
  <c r="N109" i="22" s="1"/>
  <c r="N103" i="22"/>
  <c r="I18" i="34"/>
  <c r="L23" i="22"/>
  <c r="L106" i="22" s="1"/>
  <c r="M31" i="30" s="1"/>
  <c r="L26" i="22"/>
  <c r="L109" i="22" s="1"/>
  <c r="L103" i="22"/>
  <c r="L29" i="30" l="1"/>
  <c r="K111" i="22"/>
  <c r="L34" i="30" s="1"/>
  <c r="K24" i="22"/>
  <c r="D135" i="22"/>
  <c r="F40" i="31" s="1"/>
  <c r="G40" i="31" s="1"/>
  <c r="K107" i="22"/>
  <c r="N24" i="22"/>
  <c r="M24" i="22"/>
  <c r="L24" i="22"/>
  <c r="M29" i="30"/>
  <c r="L107" i="22"/>
  <c r="L114" i="22"/>
  <c r="L116" i="22" s="1"/>
  <c r="L111" i="22"/>
  <c r="M34" i="30" s="1"/>
  <c r="O29" i="30"/>
  <c r="N107" i="22"/>
  <c r="N111" i="22"/>
  <c r="O34" i="30" s="1"/>
  <c r="N114" i="22"/>
  <c r="N116" i="22" s="1"/>
  <c r="N33" i="30"/>
  <c r="M33" i="30"/>
  <c r="L32" i="30"/>
  <c r="H20" i="34"/>
  <c r="O33" i="30"/>
  <c r="M111" i="22"/>
  <c r="N34" i="30" s="1"/>
  <c r="M114" i="22"/>
  <c r="M116" i="22" s="1"/>
  <c r="N29" i="30"/>
  <c r="M107" i="22"/>
  <c r="K118" i="22" l="1"/>
  <c r="K119" i="22" s="1"/>
  <c r="K120" i="22" s="1"/>
  <c r="K121" i="22" s="1"/>
  <c r="K124" i="22" s="1"/>
  <c r="K125" i="22" s="1"/>
  <c r="H21" i="34"/>
  <c r="S32" i="30"/>
  <c r="F19" i="30"/>
  <c r="N118" i="22"/>
  <c r="N119" i="22" s="1"/>
  <c r="L118" i="22"/>
  <c r="L119" i="22" s="1"/>
  <c r="E117" i="31"/>
  <c r="J21" i="34"/>
  <c r="K20" i="34"/>
  <c r="O32" i="30"/>
  <c r="M32" i="30"/>
  <c r="I20" i="34"/>
  <c r="J20" i="34"/>
  <c r="N32" i="30"/>
  <c r="I21" i="34"/>
  <c r="M118" i="22"/>
  <c r="M119" i="22" s="1"/>
  <c r="K21" i="34"/>
  <c r="M120" i="22" l="1"/>
  <c r="M121" i="22" s="1"/>
  <c r="L120" i="22"/>
  <c r="L121" i="22" s="1"/>
  <c r="I22" i="34" s="1"/>
  <c r="N120" i="22"/>
  <c r="N121" i="22" s="1"/>
  <c r="O35" i="30" s="1"/>
  <c r="H22" i="34"/>
  <c r="L35" i="30"/>
  <c r="K122" i="22"/>
  <c r="L36" i="30"/>
  <c r="K128" i="22"/>
  <c r="L122" i="22" l="1"/>
  <c r="J22" i="34"/>
  <c r="M124" i="22"/>
  <c r="M125" i="22" s="1"/>
  <c r="N35" i="30"/>
  <c r="M122" i="22"/>
  <c r="N124" i="22"/>
  <c r="N125" i="22" s="1"/>
  <c r="N128" i="22" s="1"/>
  <c r="K78" i="34" s="1"/>
  <c r="L124" i="22"/>
  <c r="L125" i="22" s="1"/>
  <c r="K22" i="34"/>
  <c r="M35" i="30"/>
  <c r="N122" i="22"/>
  <c r="L37" i="30"/>
  <c r="K129" i="22"/>
  <c r="H78" i="34"/>
  <c r="D132" i="22" l="1"/>
  <c r="L128" i="22"/>
  <c r="I78" i="34" s="1"/>
  <c r="M36" i="30"/>
  <c r="O37" i="30"/>
  <c r="O36" i="30"/>
  <c r="D134" i="22"/>
  <c r="F18" i="30" s="1"/>
  <c r="D140" i="22"/>
  <c r="S37" i="30" s="1"/>
  <c r="K130" i="22"/>
  <c r="M128" i="22"/>
  <c r="N36" i="30"/>
  <c r="D133" i="22"/>
  <c r="L129" i="22" l="1"/>
  <c r="L130" i="22" s="1"/>
  <c r="M37" i="30"/>
  <c r="F39" i="31"/>
  <c r="G39" i="31" s="1"/>
  <c r="E116" i="31" s="1"/>
  <c r="F116" i="31" s="1"/>
  <c r="S31" i="30"/>
  <c r="O63" i="20"/>
  <c r="F24" i="30"/>
  <c r="J78" i="34"/>
  <c r="N37" i="30"/>
  <c r="B74" i="34"/>
  <c r="F38" i="31"/>
  <c r="G38" i="31" s="1"/>
  <c r="F17" i="30"/>
  <c r="O61" i="20"/>
  <c r="S30" i="30"/>
  <c r="M129" i="22" l="1"/>
  <c r="M130" i="22" s="1"/>
  <c r="F130" i="31"/>
  <c r="F144" i="31"/>
  <c r="E115" i="31"/>
  <c r="F115" i="31" s="1"/>
  <c r="E14" i="31" s="1"/>
  <c r="F129" i="31"/>
  <c r="F143" i="31"/>
  <c r="S29" i="30"/>
  <c r="F37" i="31"/>
  <c r="G37" i="31" s="1"/>
  <c r="F16" i="30"/>
  <c r="O59" i="20"/>
  <c r="N129" i="22" l="1"/>
  <c r="N130" i="22" s="1"/>
  <c r="O130" i="22" s="1"/>
  <c r="D139" i="22" s="1"/>
  <c r="F23" i="30" s="1"/>
  <c r="E17" i="31"/>
  <c r="D3" i="32" s="1"/>
  <c r="C3" i="13"/>
  <c r="D3" i="20"/>
  <c r="E20" i="31"/>
  <c r="D3" i="33" s="1"/>
  <c r="E114" i="31"/>
  <c r="O57" i="20" l="1"/>
  <c r="S36" i="30"/>
</calcChain>
</file>

<file path=xl/comments1.xml><?xml version="1.0" encoding="utf-8"?>
<comments xmlns="http://schemas.openxmlformats.org/spreadsheetml/2006/main">
  <authors>
    <author>BTS London IT</author>
  </authors>
  <commentList>
    <comment ref="C22" authorId="0" shapeId="0">
      <text>
        <r>
          <rPr>
            <b/>
            <sz val="9"/>
            <color indexed="81"/>
            <rFont val="Tahoma"/>
            <family val="2"/>
          </rPr>
          <t>Enter here the code for the SI.  These are how the SIs will be referred to in the rest of the program.
E.g. 
SP (special program)
VAS (value added service)
M (marketing)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</rPr>
          <t>Connect these cells to the CBAL page of the sim, to check whether or not the initiative has been previously selected (either this year or in previous years).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22" authorId="0" shapeId="0">
      <text>
        <r>
          <rPr>
            <b/>
            <sz val="9"/>
            <color indexed="81"/>
            <rFont val="Tahoma"/>
            <family val="2"/>
          </rPr>
          <t>If you wish, you can add conditions that determine whether or not an initiative is available, e.g. only available if you have already launched another SI, or if you have chosen a particular option for a wobbler.
If you do not wish to have additional conditions, simply leave these cells as TRUE.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Sagar Bansal</author>
  </authors>
  <commentList>
    <comment ref="E42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G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K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O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Q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47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57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</commentList>
</comments>
</file>

<file path=xl/comments3.xml><?xml version="1.0" encoding="utf-8"?>
<comments xmlns="http://schemas.openxmlformats.org/spreadsheetml/2006/main">
  <authors>
    <author>Sagar Bansal</author>
  </authors>
  <commentList>
    <comment ref="E42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G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K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O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Q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47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57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</commentList>
</comments>
</file>

<file path=xl/comments4.xml><?xml version="1.0" encoding="utf-8"?>
<comments xmlns="http://schemas.openxmlformats.org/spreadsheetml/2006/main">
  <authors>
    <author>Sagar Bansal</author>
  </authors>
  <commentList>
    <comment ref="E42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G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K42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M42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O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Q42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47" authorId="0" shapeId="0">
      <text>
        <r>
          <rPr>
            <b/>
            <sz val="9"/>
            <color indexed="81"/>
            <rFont val="Tahoma"/>
            <family val="2"/>
          </rPr>
          <t xml:space="preserve">Adjustable Output based on number of indications
</t>
        </r>
      </text>
    </comment>
    <comment ref="C49" authorId="0" shapeId="0">
      <text>
        <r>
          <rPr>
            <b/>
            <sz val="9"/>
            <color indexed="81"/>
            <rFont val="Tahoma"/>
            <family val="2"/>
          </rPr>
          <t xml:space="preserve">Input
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  <comment ref="C53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57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59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geography
</t>
        </r>
      </text>
    </comment>
    <comment ref="C61" authorId="0" shapeId="0">
      <text>
        <r>
          <rPr>
            <b/>
            <sz val="9"/>
            <color indexed="81"/>
            <rFont val="Tahoma"/>
            <family val="2"/>
          </rPr>
          <t xml:space="preserve">parameter based on franchise and geo.
</t>
        </r>
      </text>
    </comment>
    <comment ref="C63" authorId="0" shapeId="0">
      <text>
        <r>
          <rPr>
            <b/>
            <sz val="9"/>
            <color indexed="81"/>
            <rFont val="Tahoma"/>
            <family val="2"/>
          </rPr>
          <t xml:space="preserve">Adjustable baseline based on franchise and region
</t>
        </r>
      </text>
    </comment>
  </commentList>
</comments>
</file>

<file path=xl/comments5.xml><?xml version="1.0" encoding="utf-8"?>
<comments xmlns="http://schemas.openxmlformats.org/spreadsheetml/2006/main">
  <authors>
    <author>Sagar Bansal</author>
  </authors>
  <commentList>
    <comment ref="C90" authorId="0" shapeId="0">
      <text>
        <r>
          <rPr>
            <b/>
            <sz val="9"/>
            <color indexed="81"/>
            <rFont val="Tahoma"/>
            <family val="2"/>
          </rPr>
          <t>Sagar Bansal:</t>
        </r>
        <r>
          <rPr>
            <sz val="9"/>
            <color indexed="81"/>
            <rFont val="Tahoma"/>
            <family val="2"/>
          </rPr>
          <t xml:space="preserve">
IF you select Japan and US but do not conduct Global trials in Phase 2 and/or Phase 3, your PTS decreases significantly. You also get a red message saying that you need to do so.
</t>
        </r>
      </text>
    </comment>
    <comment ref="C232" authorId="0" shapeId="0">
      <text>
        <r>
          <rPr>
            <b/>
            <sz val="9"/>
            <color indexed="81"/>
            <rFont val="Tahoma"/>
            <family val="2"/>
          </rPr>
          <t>Sagar Bansal:</t>
        </r>
        <r>
          <rPr>
            <sz val="9"/>
            <color indexed="81"/>
            <rFont val="Tahoma"/>
            <family val="2"/>
          </rPr>
          <t xml:space="preserve">
IF you select Japan and US but do not conduct Global trials in Phase 2 and/or Phase 3, your PTS decreases significantly. You also get a red message saying that you need to do so.
</t>
        </r>
      </text>
    </comment>
    <comment ref="C375" authorId="0" shapeId="0">
      <text>
        <r>
          <rPr>
            <b/>
            <sz val="9"/>
            <color indexed="81"/>
            <rFont val="Tahoma"/>
            <family val="2"/>
          </rPr>
          <t>Sagar Bansal:</t>
        </r>
        <r>
          <rPr>
            <sz val="9"/>
            <color indexed="81"/>
            <rFont val="Tahoma"/>
            <family val="2"/>
          </rPr>
          <t xml:space="preserve">
IF you select Japan and US but do not conduct Global trials in Phase 2 and/or Phase 3, your PTS decreases significantly. You also get a red message saying that you need to do so.
</t>
        </r>
      </text>
    </comment>
  </commentList>
</comments>
</file>

<file path=xl/sharedStrings.xml><?xml version="1.0" encoding="utf-8"?>
<sst xmlns="http://schemas.openxmlformats.org/spreadsheetml/2006/main" count="3913" uniqueCount="1513">
  <si>
    <t>core_FilePrefix</t>
  </si>
  <si>
    <t>This is used by the "Filename" macro, to determine what to name files as when saving</t>
  </si>
  <si>
    <t>tl</t>
  </si>
  <si>
    <t>this specifies what named ranges the tool reset decision macros search for</t>
  </si>
  <si>
    <t>e.g. if the named range on the dec page is "decTeamName" then the reset macro will look for [dec_toolInputPrefix &amp; "TeamName"]</t>
  </si>
  <si>
    <t>dec_ErrorCheck</t>
  </si>
  <si>
    <t>dec_ErrorMessage</t>
  </si>
  <si>
    <t>Decisions</t>
  </si>
  <si>
    <t>Team 1</t>
  </si>
  <si>
    <t>Team 2</t>
  </si>
  <si>
    <t>Team 3</t>
  </si>
  <si>
    <t>Team 4</t>
  </si>
  <si>
    <t>Team 5</t>
  </si>
  <si>
    <t>Formula Reset</t>
  </si>
  <si>
    <t>Tool Reset Every Year</t>
  </si>
  <si>
    <t>Tool Reset Values</t>
  </si>
  <si>
    <t>Dec History</t>
  </si>
  <si>
    <t>dec_Names</t>
  </si>
  <si>
    <t>dec_FormulaReset</t>
  </si>
  <si>
    <t>dec_ToolReset</t>
  </si>
  <si>
    <t>dec_ToolResetValues</t>
  </si>
  <si>
    <t>T1Y1</t>
  </si>
  <si>
    <t>T2Y1</t>
  </si>
  <si>
    <t>T3Y1</t>
  </si>
  <si>
    <t>T4Y1</t>
  </si>
  <si>
    <t>T5Y1</t>
  </si>
  <si>
    <t>T1Y2</t>
  </si>
  <si>
    <t>T2Y2</t>
  </si>
  <si>
    <t>T3Y2</t>
  </si>
  <si>
    <t>T4Y2</t>
  </si>
  <si>
    <t>T5Y2</t>
  </si>
  <si>
    <t>T1Y3</t>
  </si>
  <si>
    <t>T2Y3</t>
  </si>
  <si>
    <t>T3Y3</t>
  </si>
  <si>
    <t>T4Y3</t>
  </si>
  <si>
    <t>T5Y3</t>
  </si>
  <si>
    <t>Paste. Leave This Row Blank</t>
  </si>
  <si>
    <t>dec_Paste</t>
  </si>
  <si>
    <t>dec_PasteY1</t>
  </si>
  <si>
    <t>dec_PasteY2</t>
  </si>
  <si>
    <t>dec_PasteY3</t>
  </si>
  <si>
    <t>Team Name</t>
  </si>
  <si>
    <t>decTeamName</t>
  </si>
  <si>
    <t>BTS</t>
  </si>
  <si>
    <t>Round</t>
  </si>
  <si>
    <t>decRound</t>
  </si>
  <si>
    <t>End of Decisions</t>
  </si>
  <si>
    <t>dec_End</t>
  </si>
  <si>
    <t>xxRound</t>
  </si>
  <si>
    <t>dec_TeamName</t>
  </si>
  <si>
    <t>Menu Active</t>
  </si>
  <si>
    <t>Level 1 Menus</t>
  </si>
  <si>
    <t>vbaPopupMenu1Lvl1ItemNumber</t>
  </si>
  <si>
    <t>Level 2 Menus</t>
  </si>
  <si>
    <t>vbaPopupMenu1Lvl2ItemNumber</t>
  </si>
  <si>
    <t>Total</t>
  </si>
  <si>
    <t>vbaPopupMenu1ItemNumber</t>
  </si>
  <si>
    <t>Menu Items</t>
  </si>
  <si>
    <t>Menu Level</t>
  </si>
  <si>
    <t>Title</t>
  </si>
  <si>
    <t>Macro</t>
  </si>
  <si>
    <t>Face Id</t>
  </si>
  <si>
    <t>SimReset</t>
  </si>
  <si>
    <t>vbaPopupMenu1ListLevel</t>
  </si>
  <si>
    <t>vbaPopupMenu1ListTitle</t>
  </si>
  <si>
    <t>vbaPopupMenu1ListMacro</t>
  </si>
  <si>
    <t>vbaPopupMenu1ListFaceID</t>
  </si>
  <si>
    <t>ID</t>
  </si>
  <si>
    <t>Symbol</t>
  </si>
  <si>
    <t>Blank</t>
  </si>
  <si>
    <t>Save</t>
  </si>
  <si>
    <t>Print</t>
  </si>
  <si>
    <t>Cut</t>
  </si>
  <si>
    <t>Paste</t>
  </si>
  <si>
    <t>Open</t>
  </si>
  <si>
    <t>Rotate/Reset</t>
  </si>
  <si>
    <t>Trash</t>
  </si>
  <si>
    <t>Search</t>
  </si>
  <si>
    <t>Do Not Enter</t>
  </si>
  <si>
    <t>Delete (x)</t>
  </si>
  <si>
    <t>=</t>
  </si>
  <si>
    <t>+</t>
  </si>
  <si>
    <t>-</t>
  </si>
  <si>
    <t>70 - 79</t>
  </si>
  <si>
    <t>0-9</t>
  </si>
  <si>
    <t>80-105</t>
  </si>
  <si>
    <t>A-Z</t>
  </si>
  <si>
    <t>cnstSingleQuote</t>
  </si>
  <si>
    <t>cnstDoubleQuote</t>
  </si>
  <si>
    <t>Macro Name</t>
  </si>
  <si>
    <t>Arg 1</t>
  </si>
  <si>
    <t>Arg 2</t>
  </si>
  <si>
    <t>Team Number</t>
  </si>
  <si>
    <t>decTeamNumber</t>
  </si>
  <si>
    <t>dec_TeamNumber</t>
  </si>
  <si>
    <t>Connect this to tlTeamName on Intro page</t>
  </si>
  <si>
    <t>Connect this to tlTeamNumber on Intro page</t>
  </si>
  <si>
    <t>dec_Round</t>
  </si>
  <si>
    <t>Connect this to xxRound on your Controls page</t>
  </si>
  <si>
    <t>Reset Dec Formulae</t>
  </si>
  <si>
    <t>DecResetFormulae</t>
  </si>
  <si>
    <t>Reset Tool Decs</t>
  </si>
  <si>
    <t>DecResetToolDecs</t>
  </si>
  <si>
    <t>dec_ToolResetR0</t>
  </si>
  <si>
    <t>Warning messages to display when exporting decisions</t>
  </si>
  <si>
    <t>Warning</t>
  </si>
  <si>
    <t>Formatted Message</t>
  </si>
  <si>
    <t>Check FTEs</t>
  </si>
  <si>
    <t>dec_LineBreak</t>
  </si>
  <si>
    <t>Show Error Message</t>
  </si>
  <si>
    <t>DecShowErrorMessage</t>
  </si>
  <si>
    <t>Constants</t>
  </si>
  <si>
    <t>Opening Balances</t>
  </si>
  <si>
    <t>obal_ResetR0</t>
  </si>
  <si>
    <t>obal_Paste</t>
  </si>
  <si>
    <t>KPIs</t>
  </si>
  <si>
    <t>End of Opening Balances</t>
  </si>
  <si>
    <t>obal_End</t>
  </si>
  <si>
    <t>Closing Balances</t>
  </si>
  <si>
    <t>cbal_Paste</t>
  </si>
  <si>
    <t>BalancesExport</t>
  </si>
  <si>
    <t>Reset R0 Balances</t>
  </si>
  <si>
    <t>Outputs</t>
  </si>
  <si>
    <t>Inputs</t>
  </si>
  <si>
    <t>Year</t>
  </si>
  <si>
    <t>Revenue</t>
  </si>
  <si>
    <t>Calculations</t>
  </si>
  <si>
    <t>hood_OnHoodCloseGoTo</t>
  </si>
  <si>
    <t>hood_ToolPrefix</t>
  </si>
  <si>
    <t>tlIntro</t>
  </si>
  <si>
    <t>Screen</t>
  </si>
  <si>
    <t>A1:H18</t>
  </si>
  <si>
    <t>xxSim0Tool1</t>
  </si>
  <si>
    <t>xxIndexTeam</t>
  </si>
  <si>
    <t>HideRows</t>
  </si>
  <si>
    <t>SI_AvailableProgramDropDown</t>
  </si>
  <si>
    <t xml:space="preserve">Use the above cell to create a drop-down menu for SIs in the sim by using data validation to read from a list.  </t>
  </si>
  <si>
    <t>In the list source, type "=indirect(SI_AvailableProgramDropDown)".</t>
  </si>
  <si>
    <t>Example:</t>
  </si>
  <si>
    <t>SP1: Six Sigma</t>
  </si>
  <si>
    <t>Separator</t>
  </si>
  <si>
    <t>:</t>
  </si>
  <si>
    <t>This impacts the cells in the "Displayed Name" column</t>
  </si>
  <si>
    <t>SI_selectedSeparator</t>
  </si>
  <si>
    <t>Index</t>
  </si>
  <si>
    <t>Code</t>
  </si>
  <si>
    <t>Name</t>
  </si>
  <si>
    <t>Displayed Name</t>
  </si>
  <si>
    <t>Available from Round</t>
  </si>
  <si>
    <t>Available this Year</t>
  </si>
  <si>
    <t>Name Valid</t>
  </si>
  <si>
    <t>Previously Selected</t>
  </si>
  <si>
    <t>Other Valid Conditions</t>
  </si>
  <si>
    <t xml:space="preserve">Available </t>
  </si>
  <si>
    <t>Available Count</t>
  </si>
  <si>
    <t>List of Available</t>
  </si>
  <si>
    <t>Select Project</t>
  </si>
  <si>
    <t>SI_DisplayedName</t>
  </si>
  <si>
    <t>SI_AvailableCount</t>
  </si>
  <si>
    <t>Sheet Name</t>
  </si>
  <si>
    <t>SI_WorksheetName</t>
  </si>
  <si>
    <t>Available SIs</t>
  </si>
  <si>
    <t>SI_TotalAvailable</t>
  </si>
  <si>
    <t>Strategic Initiatives</t>
  </si>
  <si>
    <t>decSI01</t>
  </si>
  <si>
    <t>Initiative 1</t>
  </si>
  <si>
    <t>Initiative 2</t>
  </si>
  <si>
    <t>decSI02</t>
  </si>
  <si>
    <t>Glossary</t>
  </si>
  <si>
    <t>English</t>
  </si>
  <si>
    <t>Language 2</t>
  </si>
  <si>
    <t>Language 3</t>
  </si>
  <si>
    <t>glossary_Language</t>
  </si>
  <si>
    <t>nmTeamName</t>
  </si>
  <si>
    <t>nmTeamNumber</t>
  </si>
  <si>
    <t>nmRound</t>
  </si>
  <si>
    <t>nmInitiatives</t>
  </si>
  <si>
    <t>SI Code</t>
  </si>
  <si>
    <t>Cost</t>
  </si>
  <si>
    <t>SI_Code</t>
  </si>
  <si>
    <t>FTEs</t>
  </si>
  <si>
    <t>Link this to the current sim round</t>
  </si>
  <si>
    <t>SI_currentRound</t>
  </si>
  <si>
    <t>cnstMillion</t>
  </si>
  <si>
    <t>Initiative (Code) - R1 #1</t>
  </si>
  <si>
    <t>Initiative (Code) - R1 #2</t>
  </si>
  <si>
    <t>Initiative 3</t>
  </si>
  <si>
    <t>Initiative 4</t>
  </si>
  <si>
    <t>Initiative 5</t>
  </si>
  <si>
    <t>decSI03</t>
  </si>
  <si>
    <t>decSI04</t>
  </si>
  <si>
    <t>decSI05</t>
  </si>
  <si>
    <t>Initiative (Code) - R1 #3</t>
  </si>
  <si>
    <t>Initiative (Code) - R1 #4</t>
  </si>
  <si>
    <t>Initiative (Code) - R1 #5</t>
  </si>
  <si>
    <t>Initiative (Code) - R2 #1</t>
  </si>
  <si>
    <t>Initiative (Code) - R2 #2</t>
  </si>
  <si>
    <t>Initiative (Code) - R2 #3</t>
  </si>
  <si>
    <t>Initiative (Code) - R2 #4</t>
  </si>
  <si>
    <t>Initiative (Code) - R2 #5</t>
  </si>
  <si>
    <t>Initiative (Code) - R3 #1</t>
  </si>
  <si>
    <t>Initiative (Code) - R3 #2</t>
  </si>
  <si>
    <t>Initiative (Code) - R3 #3</t>
  </si>
  <si>
    <t>Initiative (Code) - R3 #4</t>
  </si>
  <si>
    <t>Initiative (Code) - R3 #5</t>
  </si>
  <si>
    <t>obalSI1CodeR1</t>
  </si>
  <si>
    <t>obalSI2CodeR1</t>
  </si>
  <si>
    <t>obalSI3CodeR1</t>
  </si>
  <si>
    <t>obalSI4CodeR1</t>
  </si>
  <si>
    <t>obalSI5CodeR1</t>
  </si>
  <si>
    <t>obalSI1CodeR2</t>
  </si>
  <si>
    <t>obalSI2CodeR2</t>
  </si>
  <si>
    <t>obalSI3CodeR2</t>
  </si>
  <si>
    <t>obalSI4CodeR2</t>
  </si>
  <si>
    <t>obalSI5CodeR2</t>
  </si>
  <si>
    <t>obalSI1CodeR3</t>
  </si>
  <si>
    <t>obalSI2CodeR3</t>
  </si>
  <si>
    <t>obalSI3CodeR3</t>
  </si>
  <si>
    <t>obalSI4CodeR3</t>
  </si>
  <si>
    <t>obalSI5CodeR3</t>
  </si>
  <si>
    <t>cbalSI1CodeR1</t>
  </si>
  <si>
    <t>cbalSI2CodeR1</t>
  </si>
  <si>
    <t>cbalSI3CodeR1</t>
  </si>
  <si>
    <t>cbalSI4CodeR1</t>
  </si>
  <si>
    <t>cbalSI5CodeR1</t>
  </si>
  <si>
    <t>cbalSI1CodeR2</t>
  </si>
  <si>
    <t>cbalSI2CodeR2</t>
  </si>
  <si>
    <t>cbalSI3CodeR2</t>
  </si>
  <si>
    <t>cbalSI4CodeR2</t>
  </si>
  <si>
    <t>cbalSI5CodeR2</t>
  </si>
  <si>
    <t>cbalSI1CodeR3</t>
  </si>
  <si>
    <t>cbalSI2CodeR3</t>
  </si>
  <si>
    <t>cbalSI3CodeR3</t>
  </si>
  <si>
    <t>cbalSI4CodeR3</t>
  </si>
  <si>
    <t>cbalSI5CodeR3</t>
  </si>
  <si>
    <t>Project 1</t>
  </si>
  <si>
    <t>Project 2</t>
  </si>
  <si>
    <t>Project 3</t>
  </si>
  <si>
    <t>Project 4</t>
  </si>
  <si>
    <t>Project 5</t>
  </si>
  <si>
    <t>Feedback</t>
  </si>
  <si>
    <t>feedback_FeedbackSheetName</t>
  </si>
  <si>
    <t>FeedbackTS</t>
  </si>
  <si>
    <t>feedback_TimeSeriesFeedbackSheetName</t>
  </si>
  <si>
    <t>feedback_FeedbackFileName</t>
  </si>
  <si>
    <t>Instructions</t>
  </si>
  <si>
    <t>sim_OnResetGoTo</t>
  </si>
  <si>
    <t>This named range determines which page to go to once the sim has been reset; by default it goes to the "Instructions" page you have just created</t>
  </si>
  <si>
    <t>Leave this blank if you do not want to specify a page to go to</t>
  </si>
  <si>
    <t>SimNewRound</t>
  </si>
  <si>
    <t>nmProd1</t>
  </si>
  <si>
    <t>Product 1</t>
  </si>
  <si>
    <t>nmPrice</t>
  </si>
  <si>
    <t>Price</t>
  </si>
  <si>
    <t>nmForecast</t>
  </si>
  <si>
    <t>Forecast</t>
  </si>
  <si>
    <t>nmProd1Seg1</t>
  </si>
  <si>
    <t>nmProd1Seg2</t>
  </si>
  <si>
    <t>nmProd1Seg3</t>
  </si>
  <si>
    <t>Seg A</t>
  </si>
  <si>
    <t>Seg B</t>
  </si>
  <si>
    <t>Seg C</t>
  </si>
  <si>
    <t>nmMarketing</t>
  </si>
  <si>
    <t>Marketing</t>
  </si>
  <si>
    <t>Tool Reset R0</t>
  </si>
  <si>
    <t>nmRevenue</t>
  </si>
  <si>
    <t>Financials</t>
  </si>
  <si>
    <t>COGS</t>
  </si>
  <si>
    <t>nmCOGS</t>
  </si>
  <si>
    <t>nmGrossProfit</t>
  </si>
  <si>
    <t>Gross Profit</t>
  </si>
  <si>
    <t>nmGrossMargin</t>
  </si>
  <si>
    <t>Gross Margin</t>
  </si>
  <si>
    <t>nmMillion</t>
  </si>
  <si>
    <t>Mn</t>
  </si>
  <si>
    <t>Names</t>
  </si>
  <si>
    <t>Controls</t>
  </si>
  <si>
    <t>this specifices which sheets the hood close macro acts upon</t>
  </si>
  <si>
    <t>after the hood is closed, which sheet should be navigated to (must begin with the prefix specified in hood_ToolPrefix)</t>
  </si>
  <si>
    <t>specifices the line break used in the error check pop-up</t>
  </si>
  <si>
    <t>Navigation</t>
  </si>
  <si>
    <t>Intro</t>
  </si>
  <si>
    <t>HoodGoToScreen</t>
  </si>
  <si>
    <t>tlProd1</t>
  </si>
  <si>
    <t>tlSIs</t>
  </si>
  <si>
    <t>Error Message</t>
  </si>
  <si>
    <t>In each of the cells in the "Warning" column below, you may enter an error check formula</t>
  </si>
  <si>
    <t>Manually type in the message the is to be displayed in the event that this error occurs</t>
  </si>
  <si>
    <t>When decisions are exported by teams, if any of the errors occur, a pop-up dialog box will display</t>
  </si>
  <si>
    <t>If no errors occur, the participants will see nothing</t>
  </si>
  <si>
    <t>Calculations &amp; Constants - Do NOT modify these</t>
  </si>
  <si>
    <t>This is the name of the feedback file - whatever you enter here will be what the macro searches for when updating feedbacks</t>
  </si>
  <si>
    <t>nmProgramTitle</t>
  </si>
  <si>
    <t>nmProgramSubtitle</t>
  </si>
  <si>
    <t>Client Name</t>
  </si>
  <si>
    <t>A1:Q19</t>
  </si>
  <si>
    <t>Business Simulation</t>
  </si>
  <si>
    <t>SimCreateTools</t>
  </si>
  <si>
    <t>Processing</t>
  </si>
  <si>
    <t>DecImportDecisions</t>
  </si>
  <si>
    <t>SimImportToolBalances</t>
  </si>
  <si>
    <t>Developer</t>
  </si>
  <si>
    <t>Tool - Export Decisions</t>
  </si>
  <si>
    <t>Tool - Import Balances</t>
  </si>
  <si>
    <t>Sim - Import Decisions</t>
  </si>
  <si>
    <t>Sim - Export Balances</t>
  </si>
  <si>
    <t>Sim - Advance to Next Round</t>
  </si>
  <si>
    <t>Sim - Reset to R0</t>
  </si>
  <si>
    <t>Sim - Create Tools</t>
  </si>
  <si>
    <t>Sim - Update Feedbacks</t>
  </si>
  <si>
    <t>dec_ToolInputPrefix</t>
  </si>
  <si>
    <t>Master Reset</t>
  </si>
  <si>
    <t>MasterReset</t>
  </si>
  <si>
    <t>FeedbackFile.xlsx</t>
  </si>
  <si>
    <t>This determines how many tools to create</t>
  </si>
  <si>
    <t>xxNumOfTeams</t>
  </si>
  <si>
    <t>DecExportDecisions</t>
  </si>
  <si>
    <t>BTSMaster</t>
  </si>
  <si>
    <t>Parameters</t>
  </si>
  <si>
    <t>#</t>
  </si>
  <si>
    <t>A/R</t>
  </si>
  <si>
    <t>Base Value</t>
  </si>
  <si>
    <t>Named Range</t>
  </si>
  <si>
    <t># Adjustments</t>
  </si>
  <si>
    <t>Must be in numerical order</t>
  </si>
  <si>
    <t>Initiatives</t>
  </si>
  <si>
    <t>A</t>
  </si>
  <si>
    <t>Other</t>
  </si>
  <si>
    <t>Sample</t>
  </si>
  <si>
    <t>Test</t>
  </si>
  <si>
    <t>R</t>
  </si>
  <si>
    <t>End of Params</t>
  </si>
  <si>
    <t>Adjustments</t>
  </si>
  <si>
    <t>Parameter #</t>
  </si>
  <si>
    <t>Parameter Name</t>
  </si>
  <si>
    <t>FTE Code</t>
  </si>
  <si>
    <t>adj_FTECode</t>
  </si>
  <si>
    <t>Cost Code</t>
  </si>
  <si>
    <t>adj_CostCode</t>
  </si>
  <si>
    <t>Costs</t>
  </si>
  <si>
    <t>If not chosen</t>
  </si>
  <si>
    <t>1st Round</t>
  </si>
  <si>
    <t>2nd Round</t>
  </si>
  <si>
    <t>3rd Round</t>
  </si>
  <si>
    <t>4th Round</t>
  </si>
  <si>
    <t>SI Name</t>
  </si>
  <si>
    <t>Launched?</t>
  </si>
  <si>
    <t>Rounds into launch</t>
  </si>
  <si>
    <t>SI_Name</t>
  </si>
  <si>
    <t>Project 6</t>
  </si>
  <si>
    <t>Project 7</t>
  </si>
  <si>
    <t>Project 8</t>
  </si>
  <si>
    <t>Project 9</t>
  </si>
  <si>
    <t>Project 10</t>
  </si>
  <si>
    <t>Project 11</t>
  </si>
  <si>
    <t>SI_Index</t>
  </si>
  <si>
    <t>adj_IndexTeam</t>
  </si>
  <si>
    <t>xxToolPrefix</t>
  </si>
  <si>
    <t>CONFIGURATION - These MAY be set up by the developer at the beginning of the development; You are unlikely to need to modify these</t>
  </si>
  <si>
    <t>STATE - These are modified by macros, or may be manually adjusted by the developer for testing purposes</t>
  </si>
  <si>
    <t>SET UP - These MUST be set up by the developer at the beginning of the development</t>
  </si>
  <si>
    <t>SETTINGS - These may be modified by the developer or consultant</t>
  </si>
  <si>
    <t>INTERFACE - For modules that are being imported, these cells must be correctly connected to other cells in the simulation</t>
  </si>
  <si>
    <t>Connect this to xxToolPrefix on your controls page</t>
  </si>
  <si>
    <t>Popup Menu (Crtl + M)</t>
  </si>
  <si>
    <t>Version 3.0</t>
  </si>
  <si>
    <t>Menu Name</t>
  </si>
  <si>
    <t>PopUpMenu1</t>
  </si>
  <si>
    <t>vbaPopupMenuName</t>
  </si>
  <si>
    <t>vbaPopupMenuActive</t>
  </si>
  <si>
    <t>Popup Menu 1</t>
  </si>
  <si>
    <t>Arg 3</t>
  </si>
  <si>
    <t>Menu Level Count</t>
  </si>
  <si>
    <t>Popup Menu Constants</t>
  </si>
  <si>
    <t>Useful Face IDs:</t>
  </si>
  <si>
    <t>Menu Constants</t>
  </si>
  <si>
    <t>Single Quote</t>
  </si>
  <si>
    <t>'</t>
  </si>
  <si>
    <t>Double Quote</t>
  </si>
  <si>
    <t>"</t>
  </si>
  <si>
    <t>Comma</t>
  </si>
  <si>
    <t>,</t>
  </si>
  <si>
    <t>cnstComma</t>
  </si>
  <si>
    <t>BalancesResetT0Obals</t>
  </si>
  <si>
    <t>ClearAdjRange25</t>
  </si>
  <si>
    <t>Named Range 25</t>
  </si>
  <si>
    <t>ClearAdjRange24</t>
  </si>
  <si>
    <t>Named Range 24</t>
  </si>
  <si>
    <t>ClearAdjRange23</t>
  </si>
  <si>
    <t>Named Range 23</t>
  </si>
  <si>
    <t>ClearAdjRange22</t>
  </si>
  <si>
    <t>Named Range 22</t>
  </si>
  <si>
    <t>ClearAdjRange21</t>
  </si>
  <si>
    <t>Named Range 21</t>
  </si>
  <si>
    <t>ClearAdjRange20</t>
  </si>
  <si>
    <t>Named Range 20</t>
  </si>
  <si>
    <t>ClearAdjRange19</t>
  </si>
  <si>
    <t>Named Range 19</t>
  </si>
  <si>
    <t>ClearAdjRange18</t>
  </si>
  <si>
    <t>Named Range 18</t>
  </si>
  <si>
    <t>ClearAdjRange17</t>
  </si>
  <si>
    <t>Named Range 17</t>
  </si>
  <si>
    <t>ClearAdjRange16</t>
  </si>
  <si>
    <t>Named Range 16</t>
  </si>
  <si>
    <t>ClearAdjRange15</t>
  </si>
  <si>
    <t>Named Range 15</t>
  </si>
  <si>
    <t>ClearAdjRange14</t>
  </si>
  <si>
    <t>Named Range 14</t>
  </si>
  <si>
    <t>ClearAdjRange13</t>
  </si>
  <si>
    <t>Named Range 13</t>
  </si>
  <si>
    <t>ClearAdjRange12</t>
  </si>
  <si>
    <t>Named Range 12</t>
  </si>
  <si>
    <t>ClearAdjRange11</t>
  </si>
  <si>
    <t>Named Range 11</t>
  </si>
  <si>
    <t>ClearAdjRange10</t>
  </si>
  <si>
    <t>Named Range 10</t>
  </si>
  <si>
    <t>ClearAdjRange9</t>
  </si>
  <si>
    <t>Named Range 9</t>
  </si>
  <si>
    <t>ClearAdjRange8</t>
  </si>
  <si>
    <t>Named Range 8</t>
  </si>
  <si>
    <t>ClearAdjRange7</t>
  </si>
  <si>
    <t>Named Range 7</t>
  </si>
  <si>
    <t>ClearAdjRange6</t>
  </si>
  <si>
    <t>Named Range 6</t>
  </si>
  <si>
    <t>ClearAdjRange5</t>
  </si>
  <si>
    <t>Named Range 5</t>
  </si>
  <si>
    <t>ClearAdjRange4</t>
  </si>
  <si>
    <t>Named Range 4</t>
  </si>
  <si>
    <t>ClearAdjRange3</t>
  </si>
  <si>
    <t>Named Range 3</t>
  </si>
  <si>
    <t>ClearAdjRange2</t>
  </si>
  <si>
    <t>Named Range 2</t>
  </si>
  <si>
    <t>ClearAdjRange1</t>
  </si>
  <si>
    <t>Named Range 1</t>
  </si>
  <si>
    <t>**Locations of manual adjustment lines include market model, sat, and index pages</t>
  </si>
  <si>
    <t>Inputs - Manual Adjustments to Clear</t>
  </si>
  <si>
    <t xml:space="preserve">  Clears all manual adjustments in simulation.</t>
  </si>
  <si>
    <t>ClearAdjustments</t>
  </si>
  <si>
    <t>Description</t>
  </si>
  <si>
    <t xml:space="preserve">  Cell values must be linked to another worksheet.</t>
  </si>
  <si>
    <t xml:space="preserve">  Formula cell.  Developer may modify.</t>
  </si>
  <si>
    <t xml:space="preserve">  Hard-coded input cell.  Developer may modify by entering value.</t>
  </si>
  <si>
    <t>Legend</t>
  </si>
  <si>
    <t>Adam.Aranyos@bts.com</t>
  </si>
  <si>
    <t>For support contact:</t>
  </si>
  <si>
    <t>ClearAdj Module - Clear Manual Adjustments</t>
  </si>
  <si>
    <t>Outputs - Linked to SimNewRound and SimReset Macros</t>
  </si>
  <si>
    <r>
      <t xml:space="preserve">Manual Adjustment Named Range </t>
    </r>
    <r>
      <rPr>
        <i/>
        <sz val="10"/>
        <color theme="1"/>
        <rFont val="Verdana"/>
        <family val="2"/>
      </rPr>
      <t>(Do not cut and paste)</t>
    </r>
  </si>
  <si>
    <t>core_SimType</t>
  </si>
  <si>
    <t>This is used to determine what kind of solution you are creating</t>
  </si>
  <si>
    <t>Instructions and Notes</t>
  </si>
  <si>
    <t>Streamline</t>
  </si>
  <si>
    <t>In-House</t>
  </si>
  <si>
    <t>datalistAcquire</t>
  </si>
  <si>
    <t>Acquire</t>
  </si>
  <si>
    <t>In-License</t>
  </si>
  <si>
    <t>datalistFranchise</t>
  </si>
  <si>
    <t>FOTE</t>
  </si>
  <si>
    <t>Glaucoma</t>
  </si>
  <si>
    <t>BOTE</t>
  </si>
  <si>
    <t>R&amp;D Cost</t>
  </si>
  <si>
    <t>LOE</t>
  </si>
  <si>
    <t>Peak Sales</t>
  </si>
  <si>
    <t>RESET</t>
  </si>
  <si>
    <t>R0/R1/R2</t>
  </si>
  <si>
    <t>P1</t>
  </si>
  <si>
    <t>P2</t>
  </si>
  <si>
    <t>P3</t>
  </si>
  <si>
    <t>Time Required (Years)</t>
  </si>
  <si>
    <t xml:space="preserve"> </t>
  </si>
  <si>
    <t>Japan</t>
  </si>
  <si>
    <t>Asia</t>
  </si>
  <si>
    <t>Europe</t>
  </si>
  <si>
    <t>US</t>
  </si>
  <si>
    <t>Peak Market Share</t>
  </si>
  <si>
    <t>Notes</t>
  </si>
  <si>
    <t>NPV</t>
  </si>
  <si>
    <t>Formulation</t>
  </si>
  <si>
    <t>Administation</t>
  </si>
  <si>
    <t>Diagnosed Patients</t>
  </si>
  <si>
    <t>Market Share</t>
  </si>
  <si>
    <t>Penetration</t>
  </si>
  <si>
    <t>Patient Compliance</t>
  </si>
  <si>
    <t>Dosages</t>
  </si>
  <si>
    <t>R&amp;D</t>
  </si>
  <si>
    <t>Discount/Rebate %</t>
  </si>
  <si>
    <t>S&amp;M % of Rev</t>
  </si>
  <si>
    <t># of Secondary Endpoints</t>
  </si>
  <si>
    <t># of Primary Endpoints</t>
  </si>
  <si>
    <t>Comparator Type</t>
  </si>
  <si>
    <t>EPV</t>
  </si>
  <si>
    <t>Launch Date</t>
  </si>
  <si>
    <t>Royalty</t>
  </si>
  <si>
    <t>Avg. Penetration/Uptake Rate</t>
  </si>
  <si>
    <t>Avg. Patient Compliance Rate</t>
  </si>
  <si>
    <t>Trial Size (Number of Patients)</t>
  </si>
  <si>
    <t>Metric 1</t>
  </si>
  <si>
    <t>Metric 2</t>
  </si>
  <si>
    <t>Metric 3</t>
  </si>
  <si>
    <t>Commit to Action</t>
  </si>
  <si>
    <t>Commitment</t>
  </si>
  <si>
    <t>Individual Accountable</t>
  </si>
  <si>
    <t>Expected Outcome</t>
  </si>
  <si>
    <t>Commitment 2</t>
  </si>
  <si>
    <t>Commitment 3</t>
  </si>
  <si>
    <t>Commitment 4</t>
  </si>
  <si>
    <t>Commitment 5</t>
  </si>
  <si>
    <t>Dashboard</t>
  </si>
  <si>
    <t>PRINT</t>
  </si>
  <si>
    <t>Scenario 1</t>
  </si>
  <si>
    <t>Scenario 2</t>
  </si>
  <si>
    <t>Scenario 3</t>
  </si>
  <si>
    <t>`</t>
  </si>
  <si>
    <t>Additional Indications Study</t>
  </si>
  <si>
    <t>Target Launch Date</t>
  </si>
  <si>
    <t>Guide/Example</t>
  </si>
  <si>
    <t>Reseach</t>
  </si>
  <si>
    <t>Pre-Launch</t>
  </si>
  <si>
    <t>* Can we fit all the information in the table on the right in the fields above</t>
  </si>
  <si>
    <t>Enter Region</t>
  </si>
  <si>
    <t>Discount Rate - NPV</t>
  </si>
  <si>
    <t>Discount Rate - EPV</t>
  </si>
  <si>
    <t>Assumption 1</t>
  </si>
  <si>
    <t>Assumption 3</t>
  </si>
  <si>
    <t>Assumption 2</t>
  </si>
  <si>
    <t>datalistLMH</t>
  </si>
  <si>
    <t>Low</t>
  </si>
  <si>
    <t>Medium</t>
  </si>
  <si>
    <t>High</t>
  </si>
  <si>
    <t>datalistYesNo</t>
  </si>
  <si>
    <t>Yes</t>
  </si>
  <si>
    <t>No</t>
  </si>
  <si>
    <t>datalist123</t>
  </si>
  <si>
    <t>No P2b</t>
  </si>
  <si>
    <t>datalistIndication</t>
  </si>
  <si>
    <t>datalistComparator</t>
  </si>
  <si>
    <t>Active</t>
  </si>
  <si>
    <t>Historical</t>
  </si>
  <si>
    <t>R&amp;D Cost Drivers</t>
  </si>
  <si>
    <t>FTEs Cost Drivers</t>
  </si>
  <si>
    <t>Research</t>
  </si>
  <si>
    <t>Ending</t>
  </si>
  <si>
    <t>Manual Adjustment</t>
  </si>
  <si>
    <t>Total Impact</t>
  </si>
  <si>
    <t>Timeline Drivers</t>
  </si>
  <si>
    <t>PTS Drivers</t>
  </si>
  <si>
    <t>Baseline (Based on Franchise)</t>
  </si>
  <si>
    <t>In-Licensed/
Acquisition Period</t>
  </si>
  <si>
    <t>datalistAcquisition</t>
  </si>
  <si>
    <t>Phase I</t>
  </si>
  <si>
    <t>Phase II</t>
  </si>
  <si>
    <t>Phase III</t>
  </si>
  <si>
    <t>Average</t>
  </si>
  <si>
    <t>Rank</t>
  </si>
  <si>
    <t>Multinational Trials</t>
  </si>
  <si>
    <t>datalistGlobalTrials</t>
  </si>
  <si>
    <t>Local</t>
  </si>
  <si>
    <t>Japan/US</t>
  </si>
  <si>
    <t>$ Avg. COGS/Patient/Year</t>
  </si>
  <si>
    <t>S&amp;M %</t>
  </si>
  <si>
    <t>Phase IIb Study</t>
  </si>
  <si>
    <t>Phase IIb Trials</t>
  </si>
  <si>
    <t>Data List</t>
  </si>
  <si>
    <t>Drug Delivery Frequency</t>
  </si>
  <si>
    <t>Baseline (Based on Region)</t>
  </si>
  <si>
    <t>2-5</t>
  </si>
  <si>
    <t>R&amp;D Cost ($M)</t>
  </si>
  <si>
    <t>FTEs Cost ($M)</t>
  </si>
  <si>
    <t>Regional Decisions</t>
  </si>
  <si>
    <t>Global Decisions</t>
  </si>
  <si>
    <t>Comparison Report</t>
  </si>
  <si>
    <t>PTS</t>
  </si>
  <si>
    <t># of Primary Endpoints Met</t>
  </si>
  <si>
    <t># of Secondary Endpoints Met</t>
  </si>
  <si>
    <t>Addressable Patient Population (000)</t>
  </si>
  <si>
    <t>datalistFormulation</t>
  </si>
  <si>
    <t>datalistSizePh1</t>
  </si>
  <si>
    <t>datalistSizePh2</t>
  </si>
  <si>
    <t>datalistSizePh3</t>
  </si>
  <si>
    <t>datalistDurationPh1</t>
  </si>
  <si>
    <t>datalistDurationPh2</t>
  </si>
  <si>
    <t>datalistDurationPh3</t>
  </si>
  <si>
    <t>+ 6 months</t>
  </si>
  <si>
    <t>- 6 months</t>
  </si>
  <si>
    <t>0 months</t>
  </si>
  <si>
    <t>Additional Biomarker &amp; Diagnostic</t>
  </si>
  <si>
    <t>datalistBiomarkers</t>
  </si>
  <si>
    <t>Formulation Administration</t>
  </si>
  <si>
    <t>datalistAdmin</t>
  </si>
  <si>
    <t>IV</t>
  </si>
  <si>
    <t>Subcutaneous</t>
  </si>
  <si>
    <t>Eye Drops</t>
  </si>
  <si>
    <t>Regulatory Succcess</t>
  </si>
  <si>
    <t>$Price/Patient/Year</t>
  </si>
  <si>
    <t>HELP/GUIDE</t>
  </si>
  <si>
    <t>SCIENTIFIC BACKGROUND</t>
  </si>
  <si>
    <t>ALIGNMENT &amp; PLANNING</t>
  </si>
  <si>
    <t>PLANNING</t>
  </si>
  <si>
    <t>Disease
Area</t>
  </si>
  <si>
    <t>Target 
Indication</t>
  </si>
  <si>
    <t>Project 
Start Date</t>
  </si>
  <si>
    <t>Current 
Stage</t>
  </si>
  <si>
    <t>PROJECT
NAME</t>
  </si>
  <si>
    <t xml:space="preserve">What is our goal or purpose for using this Tool?
</t>
  </si>
  <si>
    <t>What do we already know about this asset?  What further information do we need to know?</t>
  </si>
  <si>
    <t>What are the primary assumptions &amp; risks that might strongly affect our project’s outcomes?</t>
  </si>
  <si>
    <t>What decisions or investments do we think will have the biggest impact on identified business metrics and assumptions/risks?</t>
  </si>
  <si>
    <t>Given our stage of development, what business metrics are most important to our success?</t>
  </si>
  <si>
    <t>What opportunities do we have to apply this evaluation onto our current asset’s development?</t>
  </si>
  <si>
    <t>DEVELOPMENT PLAN</t>
  </si>
  <si>
    <t>BUSINESS VALUATION</t>
  </si>
  <si>
    <t xml:space="preserve">Change in Observation Period </t>
  </si>
  <si>
    <t>P2/P2b</t>
  </si>
  <si>
    <t>Medical Affairs Effort</t>
  </si>
  <si>
    <t>datalistMetrics</t>
  </si>
  <si>
    <t>ROI</t>
  </si>
  <si>
    <t>POS</t>
  </si>
  <si>
    <t>DashBoard</t>
  </si>
  <si>
    <t>ModuleFactory@bts.com</t>
  </si>
  <si>
    <t>Input Cell Types</t>
  </si>
  <si>
    <t>Calculation Cell Types</t>
  </si>
  <si>
    <t xml:space="preserve">  Hard-coded cell.  Developer may modify.</t>
  </si>
  <si>
    <t xml:space="preserve">  Calculated cell. User must not modify.</t>
  </si>
  <si>
    <t xml:space="preserve">  Cell must be linked to another worksheet.</t>
  </si>
  <si>
    <t>Dashboard 1</t>
  </si>
  <si>
    <t>DB_Dashboard1</t>
  </si>
  <si>
    <t>Dashboard 2</t>
  </si>
  <si>
    <t>DB_Dashboard2</t>
  </si>
  <si>
    <t>Dashboard 3</t>
  </si>
  <si>
    <t>DB_Dashboard3</t>
  </si>
  <si>
    <t>Dashboard 4</t>
  </si>
  <si>
    <t>DB_Dashboard4</t>
  </si>
  <si>
    <t>Dashboard 5</t>
  </si>
  <si>
    <t>DB_Dashboard5</t>
  </si>
  <si>
    <t>White Space Length</t>
  </si>
  <si>
    <t>DB_WhiteSpaceLength</t>
  </si>
  <si>
    <t>Large White Space Length</t>
  </si>
  <si>
    <t>DB_LargeWhiteSpaceLength</t>
  </si>
  <si>
    <t>Sub Value Space Length</t>
  </si>
  <si>
    <t>DB_SubWhiteSpaceLength</t>
  </si>
  <si>
    <t>KPI Name</t>
  </si>
  <si>
    <t>Raw Value</t>
  </si>
  <si>
    <t>Formatted Value</t>
  </si>
  <si>
    <t>Sub Raw Value</t>
  </si>
  <si>
    <t>Formatted Sub Raw Value</t>
  </si>
  <si>
    <t>DB_ArrayDash1Names</t>
  </si>
  <si>
    <t>DB_ArrayDash1Values</t>
  </si>
  <si>
    <t>DB_ArrayDash2Names</t>
  </si>
  <si>
    <t>DB_ArrayDash2Values</t>
  </si>
  <si>
    <t>DB_ArrayDash3Names</t>
  </si>
  <si>
    <t>DB_ArrayDash3Values</t>
  </si>
  <si>
    <t>DB_ArrayDash4Names</t>
  </si>
  <si>
    <t>DB_ArrayDash4Values</t>
  </si>
  <si>
    <t>DB_ArrayDash5Names</t>
  </si>
  <si>
    <t>DB_ArrayDash5Values</t>
  </si>
  <si>
    <t xml:space="preserve">White Space </t>
  </si>
  <si>
    <t>DB_WhiteSpace</t>
  </si>
  <si>
    <t>Large White Space</t>
  </si>
  <si>
    <t>DB_LargeWhiteSpace</t>
  </si>
  <si>
    <t>Sub Value Space</t>
  </si>
  <si>
    <t>DB_SubWhiteSpace</t>
  </si>
  <si>
    <t>String</t>
  </si>
  <si>
    <t>Active String</t>
  </si>
  <si>
    <t>datalistTrueFalse</t>
  </si>
  <si>
    <t>Validated?</t>
  </si>
  <si>
    <t>Further Insights</t>
  </si>
  <si>
    <t>Hypothesis</t>
  </si>
  <si>
    <t>Expected Completion Date</t>
  </si>
  <si>
    <t>Observation Duration</t>
  </si>
  <si>
    <t>Regulatory Success</t>
  </si>
  <si>
    <t>Plan</t>
  </si>
  <si>
    <t>Action</t>
  </si>
  <si>
    <t>Business Evaluation</t>
  </si>
  <si>
    <t>tlInputScenario1ResearchPTS</t>
  </si>
  <si>
    <t>tlInputScenario1Ph1PTS</t>
  </si>
  <si>
    <t>tlInputScenario1Ph2PTS</t>
  </si>
  <si>
    <t>tlInputScenario1Ph3PTS</t>
  </si>
  <si>
    <t>tlInputScenario1ResearchTimeReq</t>
  </si>
  <si>
    <t>tlInputScenario1Ph1TimeReq</t>
  </si>
  <si>
    <t>tlInputScenario1Ph2TimeReq</t>
  </si>
  <si>
    <t>tlInputScenario1Ph3TimeReq</t>
  </si>
  <si>
    <t>Time Required</t>
  </si>
  <si>
    <t>tlInputScenario1ResearchRnDCost</t>
  </si>
  <si>
    <t>tlInputScenario1Ph1RnDCost</t>
  </si>
  <si>
    <t>tlInputScenario1Ph2RnDCost</t>
  </si>
  <si>
    <t>tlInputScenario1Ph3RnDCost</t>
  </si>
  <si>
    <t>tlInputScenario1ResearchFTECost</t>
  </si>
  <si>
    <t>tlInputScenario1Ph1FTECost</t>
  </si>
  <si>
    <t>tlInputScenario1Ph2FTECost</t>
  </si>
  <si>
    <t>tlInputScenario1Ph3FTECost</t>
  </si>
  <si>
    <t>FTE Cost</t>
  </si>
  <si>
    <t>tlInputScenario1PriceRegion1</t>
  </si>
  <si>
    <t>tlInputScenario1Region1SnM</t>
  </si>
  <si>
    <t>tlInputScenario1PriceRegion2</t>
  </si>
  <si>
    <t>tlInputScenario1Region2SnM</t>
  </si>
  <si>
    <t>tlInputScenario1PriceRegion3</t>
  </si>
  <si>
    <t>tlInputScenario1Region3SnM</t>
  </si>
  <si>
    <t>tlInputScenario1PriceRegion4</t>
  </si>
  <si>
    <t>tlInputScenario1Region4SnM</t>
  </si>
  <si>
    <t>tlInputScenario1Penetration</t>
  </si>
  <si>
    <t>tlInputScenario1Compliance</t>
  </si>
  <si>
    <t>tlInputScenario1DiscountRate</t>
  </si>
  <si>
    <t>tlInputScenario1COGS</t>
  </si>
  <si>
    <t>decScenario1AddBiomarker</t>
  </si>
  <si>
    <t>decScenario1Administration</t>
  </si>
  <si>
    <t>decScenario1TrialSizePh1</t>
  </si>
  <si>
    <t>decScenario1TrialSizePh2</t>
  </si>
  <si>
    <t>decScenario1TrialSizePh3</t>
  </si>
  <si>
    <t>decScenario1ObservationPh1</t>
  </si>
  <si>
    <t>decScenario1ObservationPh2</t>
  </si>
  <si>
    <t>decScenario1ObservationPh3</t>
  </si>
  <si>
    <t>decScenario1MNTrialsPh2</t>
  </si>
  <si>
    <t>decScenario1MNTrialsPh3</t>
  </si>
  <si>
    <t>decScenario1AddIndication</t>
  </si>
  <si>
    <t>decScenario1Ph2bStudy</t>
  </si>
  <si>
    <t>decScenario1DDFrequency</t>
  </si>
  <si>
    <t>decScenario1PrimaryEndpoint</t>
  </si>
  <si>
    <t>decScenario1SecondaryEndpoint</t>
  </si>
  <si>
    <t>decScenario1Comparator</t>
  </si>
  <si>
    <t>decScenario1MAEffort</t>
  </si>
  <si>
    <t>decScenario1RegulatorySuccess</t>
  </si>
  <si>
    <t>decScenario1ResearchPTS</t>
  </si>
  <si>
    <t>decScenario1Ph1PTS</t>
  </si>
  <si>
    <t>decScenario1Ph2PTS</t>
  </si>
  <si>
    <t>decScenario1Ph3PTS</t>
  </si>
  <si>
    <t>decScenario1ResearchTimeReq</t>
  </si>
  <si>
    <t>decScenario1Ph1TimeReq</t>
  </si>
  <si>
    <t>decScenario1Ph2TimeReq</t>
  </si>
  <si>
    <t>decScenario1Ph3TimeReq</t>
  </si>
  <si>
    <t>decScenario1ResearchRnDCost</t>
  </si>
  <si>
    <t>decScenario1Ph1RnDCost</t>
  </si>
  <si>
    <t>decScenario1Ph2RnDCost</t>
  </si>
  <si>
    <t>decScenario1Ph3RnDCost</t>
  </si>
  <si>
    <t>decScenario1ResearchFTECost</t>
  </si>
  <si>
    <t>decScenario1Ph1FTECost</t>
  </si>
  <si>
    <t>decScenario1Ph2FTECost</t>
  </si>
  <si>
    <t>decScenario1Ph3FTECost</t>
  </si>
  <si>
    <t>decScenario1EnterRegion1</t>
  </si>
  <si>
    <t>decScenario1PatPopRegion1</t>
  </si>
  <si>
    <t>decScenario1PeakMSRegion1</t>
  </si>
  <si>
    <t>decScenario1PriceRegion1</t>
  </si>
  <si>
    <t>decScenario1Region1SnM</t>
  </si>
  <si>
    <t>decScenario1EnterRegion2</t>
  </si>
  <si>
    <t>decScenario1PatPopRegion2</t>
  </si>
  <si>
    <t>decScenario1PeakMSRegion2</t>
  </si>
  <si>
    <t>decScenario1PriceRegion2</t>
  </si>
  <si>
    <t>decScenario1Region2SnM</t>
  </si>
  <si>
    <t>decScenario1EnterRegion3</t>
  </si>
  <si>
    <t>decScenario1PatPopRegion3</t>
  </si>
  <si>
    <t>decScenario1PeakMSRegion3</t>
  </si>
  <si>
    <t>decScenario1PriceRegion3</t>
  </si>
  <si>
    <t>decScenario1Region3SnM</t>
  </si>
  <si>
    <t>decScenario1EnterRegion4</t>
  </si>
  <si>
    <t>decScenario1PatPopRegion4</t>
  </si>
  <si>
    <t>decScenario1PeakMSRegion4</t>
  </si>
  <si>
    <t>decScenario1PriceRegion4</t>
  </si>
  <si>
    <t>decScenario1Region4SnM</t>
  </si>
  <si>
    <t>decScenario1Penetration</t>
  </si>
  <si>
    <t>decScenario1Compliance</t>
  </si>
  <si>
    <t>decScenario1DiscountRate</t>
  </si>
  <si>
    <t>decScenario1COGS</t>
  </si>
  <si>
    <t>decScenario1Royalty</t>
  </si>
  <si>
    <t>decScenario1EPVRate</t>
  </si>
  <si>
    <t>decScenario1NPVRate</t>
  </si>
  <si>
    <t>decPlanProjectName</t>
  </si>
  <si>
    <t>decPlanTargetIndication</t>
  </si>
  <si>
    <t>decPlanCurrentStage</t>
  </si>
  <si>
    <t>decPlanDiseaseArea</t>
  </si>
  <si>
    <t>decPlanProjectStartDate</t>
  </si>
  <si>
    <t>decPlanLOEDate</t>
  </si>
  <si>
    <t>decPlanFormulation</t>
  </si>
  <si>
    <t>decPlanTargetLaunchDate</t>
  </si>
  <si>
    <t>decPlanDrugAdministration</t>
  </si>
  <si>
    <t>decPlanInLicenseStage</t>
  </si>
  <si>
    <t>calcScenario1ResearchRnDCost</t>
  </si>
  <si>
    <t>calcScenario1Ph1RnDCost</t>
  </si>
  <si>
    <t>calcScenario1Ph2RnDCost</t>
  </si>
  <si>
    <t>calcScenario1Ph3RnDCost</t>
  </si>
  <si>
    <t>calcScenario1TotRnDCost</t>
  </si>
  <si>
    <t>calcScenario1ResearchFTECost</t>
  </si>
  <si>
    <t>calcScenario1Ph1FTECost</t>
  </si>
  <si>
    <t>calcScenario1Ph2FTECost</t>
  </si>
  <si>
    <t>calcScenario1Ph3FTECost</t>
  </si>
  <si>
    <t>calcScenario1TotFTECost</t>
  </si>
  <si>
    <t>calcScenario1ResearchPTS</t>
  </si>
  <si>
    <t>calcScenario1Ph1PTS</t>
  </si>
  <si>
    <t>calcScenario1Ph2PTS</t>
  </si>
  <si>
    <t>calcScenario1Ph3PTS</t>
  </si>
  <si>
    <t>calcScenario1TotPOS</t>
  </si>
  <si>
    <t>calcScenario1RegulatorySuccess</t>
  </si>
  <si>
    <t>calcScenario1ResearchTimeReq</t>
  </si>
  <si>
    <t>calcScenario1Ph1TimeReq</t>
  </si>
  <si>
    <t>calcScenario1Ph2TimeReq</t>
  </si>
  <si>
    <t>calcScenario1Ph3TimeReq</t>
  </si>
  <si>
    <t>calcScenario1TotTimeReq</t>
  </si>
  <si>
    <t>Hypothesis Validate Metric 1</t>
  </si>
  <si>
    <t>Hypothesis Validate Metric 2</t>
  </si>
  <si>
    <t>Hypothesis Validate Metric 3</t>
  </si>
  <si>
    <t>Hypothesis Validate Assumption 1</t>
  </si>
  <si>
    <t>Hypothesis Validate Assumption 2</t>
  </si>
  <si>
    <t>Hypothesis Validate Assumption 3</t>
  </si>
  <si>
    <t>Insight 1</t>
  </si>
  <si>
    <t>Insight 2</t>
  </si>
  <si>
    <t>Insight 3</t>
  </si>
  <si>
    <t>Insight 4</t>
  </si>
  <si>
    <t>Insight 5</t>
  </si>
  <si>
    <t>Insight 6</t>
  </si>
  <si>
    <t>Commitment 1</t>
  </si>
  <si>
    <t>Accountable 1</t>
  </si>
  <si>
    <t>Accountable 2</t>
  </si>
  <si>
    <t>Accountable 3</t>
  </si>
  <si>
    <t>Accountable 4</t>
  </si>
  <si>
    <t>Accountable 5</t>
  </si>
  <si>
    <t>Completion Date 1</t>
  </si>
  <si>
    <t>Completion Date 2</t>
  </si>
  <si>
    <t>Completion Date 3</t>
  </si>
  <si>
    <t>Completion Date 4</t>
  </si>
  <si>
    <t>Completion Date 5</t>
  </si>
  <si>
    <t>Outcome 1</t>
  </si>
  <si>
    <t>Outcome 2</t>
  </si>
  <si>
    <t>Outcome 3</t>
  </si>
  <si>
    <t>Outcome 4</t>
  </si>
  <si>
    <t>Outcome 5</t>
  </si>
  <si>
    <t>decActionAsExpected4</t>
  </si>
  <si>
    <t>decActionAsExpected5</t>
  </si>
  <si>
    <t>decActionAsExpected6</t>
  </si>
  <si>
    <t>decActionAsExpected1</t>
  </si>
  <si>
    <t>decActionAsExpected2</t>
  </si>
  <si>
    <t>decActionAsExpected3</t>
  </si>
  <si>
    <t>decActionAsExpectedInsight1</t>
  </si>
  <si>
    <t>decActionAsExpectedInsight2</t>
  </si>
  <si>
    <t>decActionAsExpectedInsight3</t>
  </si>
  <si>
    <t>decActionAsExpectedInsight4</t>
  </si>
  <si>
    <t>decActionAsExpectedInsight5</t>
  </si>
  <si>
    <t>decActionAsExpectedInsight6</t>
  </si>
  <si>
    <t>decActionCommitment1</t>
  </si>
  <si>
    <t>decActionCommitment2</t>
  </si>
  <si>
    <t>decActionCommitment3</t>
  </si>
  <si>
    <t>decActionCommitment4</t>
  </si>
  <si>
    <t>decActionCommitment5</t>
  </si>
  <si>
    <t>decActionAccountable1</t>
  </si>
  <si>
    <t>decActionAccountable2</t>
  </si>
  <si>
    <t>decActionAccountable3</t>
  </si>
  <si>
    <t>decActionAccountable4</t>
  </si>
  <si>
    <t>decActionAccountable5</t>
  </si>
  <si>
    <t>decActionCompletionDate1</t>
  </si>
  <si>
    <t>decActionCompletionDate2</t>
  </si>
  <si>
    <t>decActionCompletionDate3</t>
  </si>
  <si>
    <t>decActionCompletionDate4</t>
  </si>
  <si>
    <t>decActionCompletionDate5</t>
  </si>
  <si>
    <t>decActionOutcome1</t>
  </si>
  <si>
    <t>decActionOutcome2</t>
  </si>
  <si>
    <t>decActionOutcome3</t>
  </si>
  <si>
    <t>decActionOutcome4</t>
  </si>
  <si>
    <t>decActionOutcome5</t>
  </si>
  <si>
    <t>decScenario3AddBiomarker</t>
  </si>
  <si>
    <t>decScenario3Administration</t>
  </si>
  <si>
    <t>decScenario3TrialSizePh1</t>
  </si>
  <si>
    <t>decScenario3TrialSizePh2</t>
  </si>
  <si>
    <t>decScenario3TrialSizePh3</t>
  </si>
  <si>
    <t>decScenario3ObservationPh1</t>
  </si>
  <si>
    <t>decScenario3ObservationPh2</t>
  </si>
  <si>
    <t>decScenario3ObservationPh3</t>
  </si>
  <si>
    <t>decScenario3MNTrialsPh2</t>
  </si>
  <si>
    <t>decScenario3MNTrialsPh3</t>
  </si>
  <si>
    <t>decScenario3AddIndication</t>
  </si>
  <si>
    <t>decScenario3Ph2bStudy</t>
  </si>
  <si>
    <t>decScenario3DDFrequency</t>
  </si>
  <si>
    <t>decScenario3PrimaryEndpoint</t>
  </si>
  <si>
    <t>decScenario3SecondaryEndpoint</t>
  </si>
  <si>
    <t>decScenario3Comparator</t>
  </si>
  <si>
    <t>decScenario3MAEffort</t>
  </si>
  <si>
    <t>decScenario3RegulatorySuccess</t>
  </si>
  <si>
    <t>tlInputScenario3ResearchPTS</t>
  </si>
  <si>
    <t>decScenario3ResearchPTS</t>
  </si>
  <si>
    <t>tlInputScenario3Ph1PTS</t>
  </si>
  <si>
    <t>decScenario3Ph1PTS</t>
  </si>
  <si>
    <t>tlInputScenario3Ph2PTS</t>
  </si>
  <si>
    <t>decScenario3Ph2PTS</t>
  </si>
  <si>
    <t>tlInputScenario3Ph3PTS</t>
  </si>
  <si>
    <t>decScenario3Ph3PTS</t>
  </si>
  <si>
    <t>tlInputScenario3ResearchTimeReq</t>
  </si>
  <si>
    <t>decScenario3ResearchTimeReq</t>
  </si>
  <si>
    <t>tlInputScenario3Ph1TimeReq</t>
  </si>
  <si>
    <t>decScenario3Ph1TimeReq</t>
  </si>
  <si>
    <t>tlInputScenario3Ph2TimeReq</t>
  </si>
  <si>
    <t>decScenario3Ph2TimeReq</t>
  </si>
  <si>
    <t>tlInputScenario3Ph3TimeReq</t>
  </si>
  <si>
    <t>decScenario3Ph3TimeReq</t>
  </si>
  <si>
    <t>tlInputScenario3ResearchRnDCost</t>
  </si>
  <si>
    <t>decScenario3ResearchRnDCost</t>
  </si>
  <si>
    <t>tlInputScenario3Ph1RnDCost</t>
  </si>
  <si>
    <t>decScenario3Ph1RnDCost</t>
  </si>
  <si>
    <t>tlInputScenario3Ph2RnDCost</t>
  </si>
  <si>
    <t>decScenario3Ph2RnDCost</t>
  </si>
  <si>
    <t>tlInputScenario3Ph3RnDCost</t>
  </si>
  <si>
    <t>decScenario3Ph3RnDCost</t>
  </si>
  <si>
    <t>tlInputScenario3ResearchFTECost</t>
  </si>
  <si>
    <t>decScenario3ResearchFTECost</t>
  </si>
  <si>
    <t>tlInputScenario3Ph1FTECost</t>
  </si>
  <si>
    <t>decScenario3Ph1FTECost</t>
  </si>
  <si>
    <t>tlInputScenario3Ph2FTECost</t>
  </si>
  <si>
    <t>decScenario3Ph2FTECost</t>
  </si>
  <si>
    <t>tlInputScenario3Ph3FTECost</t>
  </si>
  <si>
    <t>decScenario3Ph3FTECost</t>
  </si>
  <si>
    <t>decScenario3EnterRegion1</t>
  </si>
  <si>
    <t>decScenario3PatPopRegion1</t>
  </si>
  <si>
    <t>decScenario3PeakMSRegion1</t>
  </si>
  <si>
    <t>tlInputScenario3PriceRegion1</t>
  </si>
  <si>
    <t>decScenario3PriceRegion1</t>
  </si>
  <si>
    <t>tlInputScenario3Region1SnM</t>
  </si>
  <si>
    <t>decScenario3Region1SnM</t>
  </si>
  <si>
    <t>decScenario3EnterRegion2</t>
  </si>
  <si>
    <t>decScenario3PatPopRegion2</t>
  </si>
  <si>
    <t>decScenario3PeakMSRegion2</t>
  </si>
  <si>
    <t>tlInputScenario3PriceRegion2</t>
  </si>
  <si>
    <t>decScenario3PriceRegion2</t>
  </si>
  <si>
    <t>tlInputScenario3Region2SnM</t>
  </si>
  <si>
    <t>decScenario3Region2SnM</t>
  </si>
  <si>
    <t>decScenario3EnterRegion3</t>
  </si>
  <si>
    <t>decScenario3PatPopRegion3</t>
  </si>
  <si>
    <t>decScenario3PeakMSRegion3</t>
  </si>
  <si>
    <t>tlInputScenario3PriceRegion3</t>
  </si>
  <si>
    <t>decScenario3PriceRegion3</t>
  </si>
  <si>
    <t>tlInputScenario3Region3SnM</t>
  </si>
  <si>
    <t>decScenario3Region3SnM</t>
  </si>
  <si>
    <t>decScenario3EnterRegion4</t>
  </si>
  <si>
    <t>decScenario3PatPopRegion4</t>
  </si>
  <si>
    <t>decScenario3PeakMSRegion4</t>
  </si>
  <si>
    <t>tlInputScenario3PriceRegion4</t>
  </si>
  <si>
    <t>decScenario3PriceRegion4</t>
  </si>
  <si>
    <t>tlInputScenario3Region4SnM</t>
  </si>
  <si>
    <t>decScenario3Region4SnM</t>
  </si>
  <si>
    <t>tlInputScenario3Penetration</t>
  </si>
  <si>
    <t>decScenario3Penetration</t>
  </si>
  <si>
    <t>tlInputScenario3Compliance</t>
  </si>
  <si>
    <t>decScenario3Compliance</t>
  </si>
  <si>
    <t>tlInputScenario3DiscountRate</t>
  </si>
  <si>
    <t>decScenario3DiscountRate</t>
  </si>
  <si>
    <t>tlInputScenario3COGS</t>
  </si>
  <si>
    <t>decScenario3COGS</t>
  </si>
  <si>
    <t>decScenario3Royalty</t>
  </si>
  <si>
    <t>decScenario3EPVRate</t>
  </si>
  <si>
    <t>decScenario3NPVRate</t>
  </si>
  <si>
    <t>decScenario2AddBiomarker</t>
  </si>
  <si>
    <t>decScenario2Administration</t>
  </si>
  <si>
    <t>decScenario2TrialSizePh1</t>
  </si>
  <si>
    <t>decScenario2TrialSizePh2</t>
  </si>
  <si>
    <t>decScenario2TrialSizePh3</t>
  </si>
  <si>
    <t>decScenario2ObservationPh1</t>
  </si>
  <si>
    <t>decScenario2ObservationPh2</t>
  </si>
  <si>
    <t>decScenario2ObservationPh3</t>
  </si>
  <si>
    <t>decScenario2MNTrialsPh2</t>
  </si>
  <si>
    <t>decScenario2MNTrialsPh3</t>
  </si>
  <si>
    <t>decScenario2AddIndication</t>
  </si>
  <si>
    <t>decScenario2Ph2bStudy</t>
  </si>
  <si>
    <t>decScenario2DDFrequency</t>
  </si>
  <si>
    <t>decScenario2PrimaryEndpoint</t>
  </si>
  <si>
    <t>decScenario2SecondaryEndpoint</t>
  </si>
  <si>
    <t>decScenario2Comparator</t>
  </si>
  <si>
    <t>decScenario2MAEffort</t>
  </si>
  <si>
    <t>decScenario2RegulatorySuccess</t>
  </si>
  <si>
    <t>tlInputScenario2ResearchPTS</t>
  </si>
  <si>
    <t>decScenario2ResearchPTS</t>
  </si>
  <si>
    <t>tlInputScenario2Ph1PTS</t>
  </si>
  <si>
    <t>decScenario2Ph1PTS</t>
  </si>
  <si>
    <t>tlInputScenario2Ph2PTS</t>
  </si>
  <si>
    <t>decScenario2Ph2PTS</t>
  </si>
  <si>
    <t>tlInputScenario2Ph3PTS</t>
  </si>
  <si>
    <t>decScenario2Ph3PTS</t>
  </si>
  <si>
    <t>tlInputScenario2ResearchTimeReq</t>
  </si>
  <si>
    <t>decScenario2ResearchTimeReq</t>
  </si>
  <si>
    <t>tlInputScenario2Ph1TimeReq</t>
  </si>
  <si>
    <t>decScenario2Ph1TimeReq</t>
  </si>
  <si>
    <t>tlInputScenario2Ph2TimeReq</t>
  </si>
  <si>
    <t>decScenario2Ph2TimeReq</t>
  </si>
  <si>
    <t>tlInputScenario2Ph3TimeReq</t>
  </si>
  <si>
    <t>decScenario2Ph3TimeReq</t>
  </si>
  <si>
    <t>tlInputScenario2ResearchRnDCost</t>
  </si>
  <si>
    <t>decScenario2ResearchRnDCost</t>
  </si>
  <si>
    <t>tlInputScenario2Ph1RnDCost</t>
  </si>
  <si>
    <t>decScenario2Ph1RnDCost</t>
  </si>
  <si>
    <t>tlInputScenario2Ph2RnDCost</t>
  </si>
  <si>
    <t>decScenario2Ph2RnDCost</t>
  </si>
  <si>
    <t>tlInputScenario2Ph3RnDCost</t>
  </si>
  <si>
    <t>decScenario2Ph3RnDCost</t>
  </si>
  <si>
    <t>tlInputScenario2ResearchFTECost</t>
  </si>
  <si>
    <t>decScenario2ResearchFTECost</t>
  </si>
  <si>
    <t>tlInputScenario2Ph1FTECost</t>
  </si>
  <si>
    <t>decScenario2Ph1FTECost</t>
  </si>
  <si>
    <t>tlInputScenario2Ph2FTECost</t>
  </si>
  <si>
    <t>decScenario2Ph2FTECost</t>
  </si>
  <si>
    <t>tlInputScenario2Ph3FTECost</t>
  </si>
  <si>
    <t>decScenario2Ph3FTECost</t>
  </si>
  <si>
    <t>decScenario2EnterRegion1</t>
  </si>
  <si>
    <t>decScenario2PatPopRegion1</t>
  </si>
  <si>
    <t>decScenario2PeakMSRegion1</t>
  </si>
  <si>
    <t>tlInputScenario2PriceRegion1</t>
  </si>
  <si>
    <t>decScenario2PriceRegion1</t>
  </si>
  <si>
    <t>tlInputScenario2Region1SnM</t>
  </si>
  <si>
    <t>decScenario2Region1SnM</t>
  </si>
  <si>
    <t>decScenario2EnterRegion2</t>
  </si>
  <si>
    <t>decScenario2PatPopRegion2</t>
  </si>
  <si>
    <t>decScenario2PeakMSRegion2</t>
  </si>
  <si>
    <t>tlInputScenario2PriceRegion2</t>
  </si>
  <si>
    <t>decScenario2PriceRegion2</t>
  </si>
  <si>
    <t>tlInputScenario2Region2SnM</t>
  </si>
  <si>
    <t>decScenario2Region2SnM</t>
  </si>
  <si>
    <t>decScenario2EnterRegion3</t>
  </si>
  <si>
    <t>decScenario2PatPopRegion3</t>
  </si>
  <si>
    <t>decScenario2PeakMSRegion3</t>
  </si>
  <si>
    <t>tlInputScenario2PriceRegion3</t>
  </si>
  <si>
    <t>decScenario2PriceRegion3</t>
  </si>
  <si>
    <t>tlInputScenario2Region3SnM</t>
  </si>
  <si>
    <t>decScenario2Region3SnM</t>
  </si>
  <si>
    <t>decScenario2EnterRegion4</t>
  </si>
  <si>
    <t>decScenario2PatPopRegion4</t>
  </si>
  <si>
    <t>decScenario2PeakMSRegion4</t>
  </si>
  <si>
    <t>tlInputScenario2PriceRegion4</t>
  </si>
  <si>
    <t>decScenario2PriceRegion4</t>
  </si>
  <si>
    <t>tlInputScenario2Region4SnM</t>
  </si>
  <si>
    <t>decScenario2Region4SnM</t>
  </si>
  <si>
    <t>tlInputScenario2Penetration</t>
  </si>
  <si>
    <t>decScenario2Penetration</t>
  </si>
  <si>
    <t>tlInputScenario2Compliance</t>
  </si>
  <si>
    <t>decScenario2Compliance</t>
  </si>
  <si>
    <t>tlInputScenario2DiscountRate</t>
  </si>
  <si>
    <t>decScenario2DiscountRate</t>
  </si>
  <si>
    <t>tlInputScenario2COGS</t>
  </si>
  <si>
    <t>decScenario2COGS</t>
  </si>
  <si>
    <t>decScenario2Royalty</t>
  </si>
  <si>
    <t>decScenario2EPVRate</t>
  </si>
  <si>
    <t>decScenario2NPVRate</t>
  </si>
  <si>
    <t>calcScenario1AverageSnM</t>
  </si>
  <si>
    <t>calcScenario1Reg1SnM</t>
  </si>
  <si>
    <t>calcScenario1Reg2SnM</t>
  </si>
  <si>
    <t>calcScenario1Reg3SnM</t>
  </si>
  <si>
    <t>calcScenario1Reg4SnM</t>
  </si>
  <si>
    <t>$ Price/Patient/Year</t>
  </si>
  <si>
    <t>calcScenario1AveragePenetration</t>
  </si>
  <si>
    <t>calcScenario1Reg1Penetration</t>
  </si>
  <si>
    <t>calcScenario1Reg2Penetration</t>
  </si>
  <si>
    <t>calcScenario1Reg3Penetration</t>
  </si>
  <si>
    <t>calcScenario1Reg4Penetration</t>
  </si>
  <si>
    <t>calcScenario1AverageCompliance</t>
  </si>
  <si>
    <t>calcScenario1Reg1Compliance</t>
  </si>
  <si>
    <t>calcScenario1Reg2Compliance</t>
  </si>
  <si>
    <t>calcScenario1Reg3Compliance</t>
  </si>
  <si>
    <t>calcScenario1Reg4Compliance</t>
  </si>
  <si>
    <t>calcScenario1AveragePrice</t>
  </si>
  <si>
    <t>calcScenario1Reg1Price</t>
  </si>
  <si>
    <t>calcScenario1Reg2Price</t>
  </si>
  <si>
    <t>calcScenario1Reg3Price</t>
  </si>
  <si>
    <t>calcScenario1Reg4Price</t>
  </si>
  <si>
    <t>calcScenario1AverageDiscount</t>
  </si>
  <si>
    <t>calcScenario1Reg1Discount</t>
  </si>
  <si>
    <t>calcScenario1Reg2Discount</t>
  </si>
  <si>
    <t>calcScenario1Reg3Discount</t>
  </si>
  <si>
    <t>calcScenario1Reg4Discount</t>
  </si>
  <si>
    <t>calcScenario1AverageCOGS</t>
  </si>
  <si>
    <t>calcScenario1Reg1COGS</t>
  </si>
  <si>
    <t>calcScenario1Reg2COGS</t>
  </si>
  <si>
    <t>calcScenario1Reg3COGS</t>
  </si>
  <si>
    <t>calcScenario1Reg4COGS</t>
  </si>
  <si>
    <t>calcScenario3ResearchRnDCost</t>
  </si>
  <si>
    <t>calcScenario3Ph1RnDCost</t>
  </si>
  <si>
    <t>calcScenario3Ph2RnDCost</t>
  </si>
  <si>
    <t>calcScenario3Ph3RnDCost</t>
  </si>
  <si>
    <t>calcScenario3TotRnDCost</t>
  </si>
  <si>
    <t>calcScenario3ResearchFTECost</t>
  </si>
  <si>
    <t>calcScenario3Ph1FTECost</t>
  </si>
  <si>
    <t>calcScenario3Ph2FTECost</t>
  </si>
  <si>
    <t>calcScenario3Ph3FTECost</t>
  </si>
  <si>
    <t>calcScenario3TotFTECost</t>
  </si>
  <si>
    <t>calcScenario3ResearchTimeReq</t>
  </si>
  <si>
    <t>calcScenario3Ph1TimeReq</t>
  </si>
  <si>
    <t>calcScenario3Ph2TimeReq</t>
  </si>
  <si>
    <t>calcScenario3Ph3TimeReq</t>
  </si>
  <si>
    <t>calcScenario3TotTimeReq</t>
  </si>
  <si>
    <t>calcScenario3ResearchPTS</t>
  </si>
  <si>
    <t>calcScenario3Ph1PTS</t>
  </si>
  <si>
    <t>calcScenario3Ph2PTS</t>
  </si>
  <si>
    <t>calcScenario3Ph3PTS</t>
  </si>
  <si>
    <t>calcScenario3RegulatorySuccess</t>
  </si>
  <si>
    <t>calcScenario3TotPOS</t>
  </si>
  <si>
    <t>calcScenario3AverageSnM</t>
  </si>
  <si>
    <t>calcScenario3Reg1SnM</t>
  </si>
  <si>
    <t>calcScenario3Reg2SnM</t>
  </si>
  <si>
    <t>calcScenario3Reg3SnM</t>
  </si>
  <si>
    <t>calcScenario3Reg4SnM</t>
  </si>
  <si>
    <t>calcScenario3AveragePenetration</t>
  </si>
  <si>
    <t>calcScenario3Reg1Penetration</t>
  </si>
  <si>
    <t>calcScenario3Reg2Penetration</t>
  </si>
  <si>
    <t>calcScenario3Reg3Penetration</t>
  </si>
  <si>
    <t>calcScenario3Reg4Penetration</t>
  </si>
  <si>
    <t>calcScenario3AverageCompliance</t>
  </si>
  <si>
    <t>calcScenario3Reg1Compliance</t>
  </si>
  <si>
    <t>calcScenario3Reg2Compliance</t>
  </si>
  <si>
    <t>calcScenario3Reg3Compliance</t>
  </si>
  <si>
    <t>calcScenario3Reg4Compliance</t>
  </si>
  <si>
    <t>calcScenario3AveragePrice</t>
  </si>
  <si>
    <t>calcScenario3Reg1Price</t>
  </si>
  <si>
    <t>calcScenario3Reg2Price</t>
  </si>
  <si>
    <t>calcScenario3Reg3Price</t>
  </si>
  <si>
    <t>calcScenario3Reg4Price</t>
  </si>
  <si>
    <t>calcScenario3AverageDiscount</t>
  </si>
  <si>
    <t>calcScenario3Reg1Discount</t>
  </si>
  <si>
    <t>calcScenario3Reg2Discount</t>
  </si>
  <si>
    <t>calcScenario3Reg3Discount</t>
  </si>
  <si>
    <t>calcScenario3Reg4Discount</t>
  </si>
  <si>
    <t>calcScenario3AverageCOGS</t>
  </si>
  <si>
    <t>calcScenario3Reg1COGS</t>
  </si>
  <si>
    <t>calcScenario3Reg2COGS</t>
  </si>
  <si>
    <t>calcScenario3Reg3COGS</t>
  </si>
  <si>
    <t>calcScenario3Reg4COGS</t>
  </si>
  <si>
    <t>calcScenario2ResearchRnDCost</t>
  </si>
  <si>
    <t>calcScenario2Ph1RnDCost</t>
  </si>
  <si>
    <t>calcScenario2Ph2RnDCost</t>
  </si>
  <si>
    <t>calcScenario2Ph3RnDCost</t>
  </si>
  <si>
    <t>calcScenario2TotRnDCost</t>
  </si>
  <si>
    <t>calcScenario2ResearchFTECost</t>
  </si>
  <si>
    <t>calcScenario2Ph1FTECost</t>
  </si>
  <si>
    <t>calcScenario2Ph2FTECost</t>
  </si>
  <si>
    <t>calcScenario2Ph3FTECost</t>
  </si>
  <si>
    <t>calcScenario2TotFTECost</t>
  </si>
  <si>
    <t>calcScenario2ResearchTimeReq</t>
  </si>
  <si>
    <t>calcScenario2Ph1TimeReq</t>
  </si>
  <si>
    <t>calcScenario2Ph2TimeReq</t>
  </si>
  <si>
    <t>calcScenario2Ph3TimeReq</t>
  </si>
  <si>
    <t>calcScenario2TotTimeReq</t>
  </si>
  <si>
    <t>calcScenario2ResearchPTS</t>
  </si>
  <si>
    <t>calcScenario2Ph1PTS</t>
  </si>
  <si>
    <t>calcScenario2Ph2PTS</t>
  </si>
  <si>
    <t>calcScenario2Ph3PTS</t>
  </si>
  <si>
    <t>calcScenario2RegulatorySuccess</t>
  </si>
  <si>
    <t>calcScenario2TotPOS</t>
  </si>
  <si>
    <t>calcScenario2AverageSnM</t>
  </si>
  <si>
    <t>calcScenario2Reg1SnM</t>
  </si>
  <si>
    <t>calcScenario2Reg2SnM</t>
  </si>
  <si>
    <t>calcScenario2Reg3SnM</t>
  </si>
  <si>
    <t>calcScenario2Reg4SnM</t>
  </si>
  <si>
    <t>calcScenario2AveragePenetration</t>
  </si>
  <si>
    <t>calcScenario2Reg1Penetration</t>
  </si>
  <si>
    <t>calcScenario2Reg2Penetration</t>
  </si>
  <si>
    <t>calcScenario2Reg3Penetration</t>
  </si>
  <si>
    <t>calcScenario2Reg4Penetration</t>
  </si>
  <si>
    <t>calcScenario2AverageCompliance</t>
  </si>
  <si>
    <t>calcScenario2Reg1Compliance</t>
  </si>
  <si>
    <t>calcScenario2Reg2Compliance</t>
  </si>
  <si>
    <t>calcScenario2Reg3Compliance</t>
  </si>
  <si>
    <t>calcScenario2Reg4Compliance</t>
  </si>
  <si>
    <t>calcScenario2AveragePrice</t>
  </si>
  <si>
    <t>calcScenario2Reg1Price</t>
  </si>
  <si>
    <t>calcScenario2Reg2Price</t>
  </si>
  <si>
    <t>calcScenario2Reg3Price</t>
  </si>
  <si>
    <t>calcScenario2Reg4Price</t>
  </si>
  <si>
    <t>calcScenario2AverageDiscount</t>
  </si>
  <si>
    <t>calcScenario2Reg1Discount</t>
  </si>
  <si>
    <t>calcScenario2Reg2Discount</t>
  </si>
  <si>
    <t>calcScenario2Reg3Discount</t>
  </si>
  <si>
    <t>calcScenario2Reg4Discount</t>
  </si>
  <si>
    <t>calcScenario2AverageCOGS</t>
  </si>
  <si>
    <t>calcScenario2Reg1COGS</t>
  </si>
  <si>
    <t>calcScenario2Reg2COGS</t>
  </si>
  <si>
    <t>calcScenario2Reg3COGS</t>
  </si>
  <si>
    <t>calcScenario2Reg4COGS</t>
  </si>
  <si>
    <t>Forecasting &amp; Planning Tool</t>
  </si>
  <si>
    <t>Project 2 Name</t>
  </si>
  <si>
    <t>Project 3 Name</t>
  </si>
  <si>
    <t>Project 1 Name</t>
  </si>
  <si>
    <t>Last Modified</t>
  </si>
  <si>
    <t>Time</t>
  </si>
  <si>
    <t>User Name:</t>
  </si>
  <si>
    <t>12:25PM</t>
  </si>
  <si>
    <t>04:40PM</t>
  </si>
  <si>
    <t>Medical Affairs Involvement</t>
  </si>
  <si>
    <t>Early Stage</t>
  </si>
  <si>
    <t>Late Stage</t>
  </si>
  <si>
    <t>Prelaunch</t>
  </si>
  <si>
    <t>Dose Frequency</t>
  </si>
  <si>
    <t>EMAIL</t>
  </si>
  <si>
    <t>In-Licensed/
Acquisition Cost ($M)</t>
  </si>
  <si>
    <t>In-Licensed/Acquisition Cost</t>
  </si>
  <si>
    <t>decPlanInLicenseCost</t>
  </si>
  <si>
    <t>In-Licensed/
Acquisition Cost</t>
  </si>
  <si>
    <t>- 12 months</t>
  </si>
  <si>
    <t>+ 12 months</t>
  </si>
  <si>
    <t>COPY BASE CASE</t>
  </si>
  <si>
    <t>Scenario 1 Page Charts</t>
  </si>
  <si>
    <t>Graphs and Charts</t>
  </si>
  <si>
    <t>Region</t>
  </si>
  <si>
    <t>Scenario 2 Page Charts</t>
  </si>
  <si>
    <t>Scenario 3 Page Charts</t>
  </si>
  <si>
    <t>Peak Sales ($M)</t>
  </si>
  <si>
    <t>Revenues</t>
  </si>
  <si>
    <t>Gross Margin %</t>
  </si>
  <si>
    <t>Operating Cash Flows</t>
  </si>
  <si>
    <t>Reseach &amp; Development</t>
  </si>
  <si>
    <t>Sales &amp; Marketing</t>
  </si>
  <si>
    <t>Key Metrics</t>
  </si>
  <si>
    <t>Project Name</t>
  </si>
  <si>
    <t>Product Margin</t>
  </si>
  <si>
    <t>Breakeven</t>
  </si>
  <si>
    <t>+/- Hide/Unhide Chart</t>
  </si>
  <si>
    <t>Sales by Region</t>
  </si>
  <si>
    <t>Operating Margin</t>
  </si>
  <si>
    <t>Product Operating Margin</t>
  </si>
  <si>
    <t>IRR</t>
  </si>
  <si>
    <t>EPV (M)</t>
  </si>
  <si>
    <t>NPV (M)</t>
  </si>
  <si>
    <t>Peak Sales (M)</t>
  </si>
  <si>
    <t>R&amp;D Cost (M)</t>
  </si>
  <si>
    <t>Summary</t>
  </si>
  <si>
    <t>Reports Charts</t>
  </si>
  <si>
    <t>Discount Cash Flow</t>
  </si>
  <si>
    <t>datatableFranchiseRnDCost</t>
  </si>
  <si>
    <t>Additional Biomarker &amp; Diagnostic ($M)</t>
  </si>
  <si>
    <t>R&amp;D Cost Baseline</t>
  </si>
  <si>
    <t>Patient Population P1</t>
  </si>
  <si>
    <t>Patient Population P2</t>
  </si>
  <si>
    <t>Patient Population P3</t>
  </si>
  <si>
    <t>datatableSizePh1RnDCost</t>
  </si>
  <si>
    <t>datatableSizePh2RnDCost</t>
  </si>
  <si>
    <t>datatableSizePh3RnDCost</t>
  </si>
  <si>
    <t>Observation Period P1</t>
  </si>
  <si>
    <t>Observation Period P3</t>
  </si>
  <si>
    <t>Observation Period P2</t>
  </si>
  <si>
    <t>datatableDurationPh1RnDCost</t>
  </si>
  <si>
    <t>datatableDurationPh2RnDCost</t>
  </si>
  <si>
    <t>datatableDurationPh3RnDCost</t>
  </si>
  <si>
    <t>Additional Indication RnD Cost</t>
  </si>
  <si>
    <t>datatableAddIndRnDCost</t>
  </si>
  <si>
    <t>Multinational Trials RnD Cost</t>
  </si>
  <si>
    <t>datatableGlobalTrialsRnDCost</t>
  </si>
  <si>
    <t>Dosage Frequency RnD Cost</t>
  </si>
  <si>
    <t>Phase 2b Trial R&amp;D Cost</t>
  </si>
  <si>
    <t>datatableDosageRnDCost</t>
  </si>
  <si>
    <t>datatableP2bTrialsRnDCost</t>
  </si>
  <si>
    <t>Dosage Frequency</t>
  </si>
  <si>
    <t>Primary Endpoints RnD Cost</t>
  </si>
  <si>
    <t>datatablePrimaryEPRnDCost</t>
  </si>
  <si>
    <t>datatableMARnDCost</t>
  </si>
  <si>
    <t>MA RnD Cost</t>
  </si>
  <si>
    <t>Comparator RnD Cost</t>
  </si>
  <si>
    <t>datatableComparatorRnDCost</t>
  </si>
  <si>
    <t>Acquisition Tracker</t>
  </si>
  <si>
    <t>dataTableAcquisitionTracker</t>
  </si>
  <si>
    <t>calcAcquisitionTracker</t>
  </si>
  <si>
    <t>FTE Cost Drivers</t>
  </si>
  <si>
    <t>datatableFranchiseFTECost</t>
  </si>
  <si>
    <t>datatableSizePh1FTECost</t>
  </si>
  <si>
    <t>datatableDurationPh1FTECost</t>
  </si>
  <si>
    <t>datatableSizePh2FTECost</t>
  </si>
  <si>
    <t>datatableDurationPh2FTECost</t>
  </si>
  <si>
    <t>datatableSizePh3FTECost</t>
  </si>
  <si>
    <t>datatableDurationPh3FTECost</t>
  </si>
  <si>
    <t>Additional Indication FTE Cost</t>
  </si>
  <si>
    <t>Primary Endpoints FTE Cost</t>
  </si>
  <si>
    <t>datatablePrimaryEPFTECost</t>
  </si>
  <si>
    <t>datatableAddIndFTECost</t>
  </si>
  <si>
    <t>Comparator FTE Cost</t>
  </si>
  <si>
    <t>Multinational Trials FTE Cost</t>
  </si>
  <si>
    <t>datatableComparatorFTECost</t>
  </si>
  <si>
    <t>datatableGlobalTrialsFTECost</t>
  </si>
  <si>
    <t>MA FTE Cost</t>
  </si>
  <si>
    <t>Dosage Frequency FTE Cost</t>
  </si>
  <si>
    <t>datatableMAFTECost</t>
  </si>
  <si>
    <t>datatableDosageFTECost</t>
  </si>
  <si>
    <t>datatableP2bTrialsFTECost</t>
  </si>
  <si>
    <t>FTE Cost Baseline</t>
  </si>
  <si>
    <t>Phase 2b Trial FTE Cost</t>
  </si>
  <si>
    <t>datatableFranchiseTTM</t>
  </si>
  <si>
    <t>datatableSizePh1TTM</t>
  </si>
  <si>
    <t>datatableDurationPh1TTM</t>
  </si>
  <si>
    <t>datatableSizePh2TTM</t>
  </si>
  <si>
    <t>datatableDurationPh2TTM</t>
  </si>
  <si>
    <t>datatableSizePh3TTM</t>
  </si>
  <si>
    <t>datatableDurationPh3TTM</t>
  </si>
  <si>
    <t>datatablePrimaryEPTTM</t>
  </si>
  <si>
    <t>datatableAddIndTTM</t>
  </si>
  <si>
    <t>datatableComparatorTTM</t>
  </si>
  <si>
    <t>datatableGlobalTrialsTTM</t>
  </si>
  <si>
    <t>datatableDosageTTM</t>
  </si>
  <si>
    <t>datatableP2bTrialsTTM</t>
  </si>
  <si>
    <t>TTM Baseline</t>
  </si>
  <si>
    <t>Additional Indication TTM</t>
  </si>
  <si>
    <t>Primary Endpoints TTM</t>
  </si>
  <si>
    <t>Comparator TTM</t>
  </si>
  <si>
    <t>Multinational Trials TTM</t>
  </si>
  <si>
    <t>Dosage Frequency TTM</t>
  </si>
  <si>
    <t>Phase 2b Trial TTM</t>
  </si>
  <si>
    <t>Enter Name</t>
  </si>
  <si>
    <t>Secondary Endpoints TTM</t>
  </si>
  <si>
    <t>datatableSecondaryEPTTM</t>
  </si>
  <si>
    <t>datatableFormulationCost</t>
  </si>
  <si>
    <t>datatableFormulationFTECost</t>
  </si>
  <si>
    <t>datatableFormulationTTM</t>
  </si>
  <si>
    <t>Additional Biomarkers</t>
  </si>
  <si>
    <t>Time Impact</t>
  </si>
  <si>
    <t>datatableAddBiomarkerTTM</t>
  </si>
  <si>
    <t>datatableSizePh1PTS</t>
  </si>
  <si>
    <t>datatableDurationPh1PTS</t>
  </si>
  <si>
    <t>datatableSizePh2PTS</t>
  </si>
  <si>
    <t>datatableDurationPh2PTS</t>
  </si>
  <si>
    <t>datatableSizePh3PTS</t>
  </si>
  <si>
    <t>datatableDurationPh3PTS</t>
  </si>
  <si>
    <t>datatablePrimaryEPPTS</t>
  </si>
  <si>
    <t>datatableAddIndPTS</t>
  </si>
  <si>
    <t>datatableComparatorPTS</t>
  </si>
  <si>
    <t>datatableGlobalTrialsPTS</t>
  </si>
  <si>
    <t>datatableMAPTS</t>
  </si>
  <si>
    <t>datatableDosagePTS</t>
  </si>
  <si>
    <t>datatableP2bTrialsPTS</t>
  </si>
  <si>
    <t>Additional Indication PTS</t>
  </si>
  <si>
    <t>Primary Endpoints PTS</t>
  </si>
  <si>
    <t>Comparator PTS</t>
  </si>
  <si>
    <t>Multinational Trials PTS</t>
  </si>
  <si>
    <t>MA PTS</t>
  </si>
  <si>
    <t>Dosage Frequency PTS</t>
  </si>
  <si>
    <t>Phase 2b Trial PTS</t>
  </si>
  <si>
    <t>datatableFormulationPTS</t>
  </si>
  <si>
    <t>datatableAddBiomarkerPTS</t>
  </si>
  <si>
    <t>Secondary Endpoints PTS</t>
  </si>
  <si>
    <t>datatableSecondaryEPPTS</t>
  </si>
  <si>
    <t>PTS Baseline Japan/Asia</t>
  </si>
  <si>
    <t>datatableReg12PTS</t>
  </si>
  <si>
    <t>datatableReg34PTS</t>
  </si>
  <si>
    <t>PTS Baseline US/Europe</t>
  </si>
  <si>
    <t>Baseline (Based on Region and Disease)</t>
  </si>
  <si>
    <t>Multinational Trials Trigger</t>
  </si>
  <si>
    <t>1 = Multinational, 0 = Local</t>
  </si>
  <si>
    <t>S&amp;M Drivers</t>
  </si>
  <si>
    <t>USA</t>
  </si>
  <si>
    <t>datatableBaselineSnM</t>
  </si>
  <si>
    <t>datatableAddIndicationSnM</t>
  </si>
  <si>
    <t>S&amp;M Baseline</t>
  </si>
  <si>
    <t>Add Indication S&amp;M</t>
  </si>
  <si>
    <t>Primary EP S&amp;M</t>
  </si>
  <si>
    <t>Secondary EP S&amp;M</t>
  </si>
  <si>
    <t>datatablePrimaryEPSnM</t>
  </si>
  <si>
    <t>datatableSecondaryEPSnM</t>
  </si>
  <si>
    <t>Medical Affairs S&amp;M</t>
  </si>
  <si>
    <t>datatableMASnM</t>
  </si>
  <si>
    <t>Penetration Drivers</t>
  </si>
  <si>
    <t>Penetration Baseline</t>
  </si>
  <si>
    <t>Primary EP Penetration</t>
  </si>
  <si>
    <t>Secondary EP Penetration</t>
  </si>
  <si>
    <t>datatableBaselinePenetration</t>
  </si>
  <si>
    <t>datatablePrimaryEPPenetration</t>
  </si>
  <si>
    <t>datatableSecondaryEPPenetration</t>
  </si>
  <si>
    <t>Medical Affairs Penetration</t>
  </si>
  <si>
    <t>datatableMAPenetration</t>
  </si>
  <si>
    <t>Compliance Rate Drivers</t>
  </si>
  <si>
    <t>Compliance Baseline</t>
  </si>
  <si>
    <t>datatableBaselineCompliance</t>
  </si>
  <si>
    <t>Dosage Frequency Compliance</t>
  </si>
  <si>
    <t>Discount Baseline</t>
  </si>
  <si>
    <t>datatableBaselineDiscount</t>
  </si>
  <si>
    <t>COGS Drivers</t>
  </si>
  <si>
    <t>COGS Baseline</t>
  </si>
  <si>
    <t>Dosage Frequency COGS</t>
  </si>
  <si>
    <t>datatableDosageCompliance</t>
  </si>
  <si>
    <t>datatableBaselineCOGS</t>
  </si>
  <si>
    <t>datatableDosageCOGS</t>
  </si>
  <si>
    <t>Price Drivers</t>
  </si>
  <si>
    <t>datatableBaselinePrice</t>
  </si>
  <si>
    <t>datatablePrimaryEPPrice</t>
  </si>
  <si>
    <t>datatableSecondaryEPPrice</t>
  </si>
  <si>
    <t>datatableMAPrice</t>
  </si>
  <si>
    <t>Price Baseline</t>
  </si>
  <si>
    <t>Primary EP Price</t>
  </si>
  <si>
    <t>Secondary EP Price</t>
  </si>
  <si>
    <t>Medical Affairs Price</t>
  </si>
  <si>
    <t>Drug Dosage Price</t>
  </si>
  <si>
    <t>datatableDosagePrice</t>
  </si>
  <si>
    <t>Addressable Patient Population</t>
  </si>
  <si>
    <t>Compliance Rate</t>
  </si>
  <si>
    <t>Price Growth</t>
  </si>
  <si>
    <t>Growth=c*a^(b^year)</t>
  </si>
  <si>
    <t>a</t>
  </si>
  <si>
    <t>b</t>
  </si>
  <si>
    <t>c</t>
  </si>
  <si>
    <t>Patients Treated</t>
  </si>
  <si>
    <t>$Price/Patient</t>
  </si>
  <si>
    <t>Patient Population Growth</t>
  </si>
  <si>
    <t>Gross Sales</t>
  </si>
  <si>
    <t>Net Sales</t>
  </si>
  <si>
    <t>Year Post Launch</t>
  </si>
  <si>
    <t>Discount/Rebate</t>
  </si>
  <si>
    <t>Total Operating Expense</t>
  </si>
  <si>
    <t>In-License/Acquisition Cost</t>
  </si>
  <si>
    <t>Product Margin %</t>
  </si>
  <si>
    <t>Operating Cash Flows X POS</t>
  </si>
  <si>
    <t>Discount Factor</t>
  </si>
  <si>
    <t>Cumulative DCF</t>
  </si>
  <si>
    <t>First Yr. Penetration/Uptake Rate</t>
  </si>
  <si>
    <t>Royalty &amp; Other</t>
  </si>
  <si>
    <t>(M)</t>
  </si>
  <si>
    <t>S&amp;M, Royalty &amp; Other</t>
  </si>
  <si>
    <t>finScenario1ROI</t>
  </si>
  <si>
    <t>finScenario1EPV</t>
  </si>
  <si>
    <t>finScenario1NPV</t>
  </si>
  <si>
    <t>finScenario1PeakSales</t>
  </si>
  <si>
    <t>finScenario1LaunchDate</t>
  </si>
  <si>
    <t>finScenario1RnDCost</t>
  </si>
  <si>
    <t>finScenario1POS</t>
  </si>
  <si>
    <t>finScenario1Breakeven</t>
  </si>
  <si>
    <t>finScenario1IRR</t>
  </si>
  <si>
    <t>finScenario3ROI</t>
  </si>
  <si>
    <t>finScenario3EPV</t>
  </si>
  <si>
    <t>finScenario3NPV</t>
  </si>
  <si>
    <t>finScenario3PeakSales</t>
  </si>
  <si>
    <t>finScenario3LaunchDate</t>
  </si>
  <si>
    <t>finScenario3RnDCost</t>
  </si>
  <si>
    <t>finScenario3POS</t>
  </si>
  <si>
    <t>finScenario3Breakeven</t>
  </si>
  <si>
    <t>finScenario3IRR</t>
  </si>
  <si>
    <t>finScenario2ROI</t>
  </si>
  <si>
    <t>finScenario2EPV</t>
  </si>
  <si>
    <t>finScenario2NPV</t>
  </si>
  <si>
    <t>finScenario2PeakSales</t>
  </si>
  <si>
    <t>finScenario2LaunchDate</t>
  </si>
  <si>
    <t>finScenario2RnDCost</t>
  </si>
  <si>
    <t>finScenario2POS</t>
  </si>
  <si>
    <t>finScenario2Breakeven</t>
  </si>
  <si>
    <t>finScenario2IRR</t>
  </si>
  <si>
    <t>Planning Metrics</t>
  </si>
  <si>
    <t>Q1 Notes</t>
  </si>
  <si>
    <t>Q2 Notes</t>
  </si>
  <si>
    <t>Q3 Notes</t>
  </si>
  <si>
    <t>Q4 Notes</t>
  </si>
  <si>
    <t>Q5 Notes</t>
  </si>
  <si>
    <t>Q6 Notes</t>
  </si>
  <si>
    <t>decPlanQ1Metric1</t>
  </si>
  <si>
    <t>decPlanQ1Metric2</t>
  </si>
  <si>
    <t>decPlanQ1Metric3</t>
  </si>
  <si>
    <t>decPlanQ1Notes</t>
  </si>
  <si>
    <t>decPlanQ2Notes</t>
  </si>
  <si>
    <t>decPlanQ3Notes</t>
  </si>
  <si>
    <t>decPlanQ4Assumption1</t>
  </si>
  <si>
    <t>decPlanQ4Assumption2</t>
  </si>
  <si>
    <t>decPlanQ4Assumption3</t>
  </si>
  <si>
    <t>decPlanQ4Notes</t>
  </si>
  <si>
    <t>decPlanQ5</t>
  </si>
  <si>
    <t>decPlanQ6</t>
  </si>
  <si>
    <t>calcDBTriggerMetric1</t>
  </si>
  <si>
    <t>calcDBTriggerMetric2</t>
  </si>
  <si>
    <t>calcDBTriggerMetric3</t>
  </si>
  <si>
    <t>calcDBTriggerMetric4</t>
  </si>
  <si>
    <t>calcDBTriggerMetric5</t>
  </si>
  <si>
    <t>calcDBTriggerMetric6</t>
  </si>
  <si>
    <t>calcDBTriggerMetric7</t>
  </si>
  <si>
    <t>datatableFormulationAdminDefault</t>
  </si>
  <si>
    <t>datatableMAFTETTM</t>
  </si>
  <si>
    <t>MA TTM</t>
  </si>
  <si>
    <t>Cumulative POS</t>
  </si>
  <si>
    <t>Expected Launch Date</t>
  </si>
  <si>
    <t>Total R&amp;D Cost (M)</t>
  </si>
  <si>
    <t>Total FTE Cost (M)</t>
  </si>
  <si>
    <t>Breakeven Year</t>
  </si>
  <si>
    <t>Match Function</t>
  </si>
  <si>
    <t>calcMatchFunc</t>
  </si>
  <si>
    <t>Number of Regions</t>
  </si>
  <si>
    <t>calcScenario1NumberofRegionsEntered</t>
  </si>
  <si>
    <t>calcScenario2NumberofRegionsEntered</t>
  </si>
  <si>
    <t>calcScenario3NumberofRegionsEntered</t>
  </si>
  <si>
    <t>Rebate/Discount Rate Drivers</t>
  </si>
  <si>
    <t>tlOutputDBScenario1ConditionMetric1</t>
  </si>
  <si>
    <t>tlOutputDBScenario1ConditionMetric2</t>
  </si>
  <si>
    <t>tlOutputDBScenario1ConditionMetric3</t>
  </si>
  <si>
    <t>tlOutputDBScenario1ConditionMetric4</t>
  </si>
  <si>
    <t>tlOutputDBScenario1ConditionMetric5</t>
  </si>
  <si>
    <t>tlOutputDBScenario1ConditionMetric6</t>
  </si>
  <si>
    <t>tlOutputDBScenario1ConditionMetric7</t>
  </si>
  <si>
    <t>tlOutputDBScenario3ConditionMetric1</t>
  </si>
  <si>
    <t>tlOutputDBScenario3ConditionMetric2</t>
  </si>
  <si>
    <t>tlOutputDBScenario3ConditionMetric3</t>
  </si>
  <si>
    <t>tlOutputDBScenario3ConditionMetric4</t>
  </si>
  <si>
    <t>tlOutputDBScenario3ConditionMetric5</t>
  </si>
  <si>
    <t>tlOutputDBScenario3ConditionMetric6</t>
  </si>
  <si>
    <t>tlOutputDBScenario3ConditionMetric7</t>
  </si>
  <si>
    <t>tlOutputDBScenario2ConditionMetric1</t>
  </si>
  <si>
    <t>tlOutputDBScenario2ConditionMetric2</t>
  </si>
  <si>
    <t>tlOutputDBScenario2ConditionMetric3</t>
  </si>
  <si>
    <t>tlOutputDBScenario2ConditionMetric4</t>
  </si>
  <si>
    <t>tlOutputDBScenario2ConditionMetric5</t>
  </si>
  <si>
    <t>tlOutputDBScenario2ConditionMetric6</t>
  </si>
  <si>
    <t>tlOutputDBScenario2ConditionMetric7</t>
  </si>
  <si>
    <t>Enter Text Here</t>
  </si>
  <si>
    <t>datatableFormulationCOGS</t>
  </si>
  <si>
    <t>Change</t>
  </si>
  <si>
    <t>LOE Index</t>
  </si>
  <si>
    <t>LOE Rev Reference</t>
  </si>
  <si>
    <t>LOE Drop Off Rate</t>
  </si>
  <si>
    <t>Rate</t>
  </si>
  <si>
    <t>datatableLOEDropOff</t>
  </si>
  <si>
    <t xml:space="preserve">
</t>
  </si>
  <si>
    <t>Select Metric</t>
  </si>
  <si>
    <t>Product Margin After Tax</t>
  </si>
  <si>
    <t>Tax</t>
  </si>
  <si>
    <t>Discount Cash Flows (EPV)</t>
  </si>
  <si>
    <t>Observation Period Trigger</t>
  </si>
  <si>
    <t>calcScenario2TrialDurationPh1Trigger</t>
  </si>
  <si>
    <t>calcScenario2TrialDurationPh2Trigger</t>
  </si>
  <si>
    <t>calcScenario2TrialDurationPh3Trigger</t>
  </si>
  <si>
    <t>calcScenario3TrialDurationPh1Trigger</t>
  </si>
  <si>
    <t>calcScenario3TrialDurationPh2Trigger</t>
  </si>
  <si>
    <t>calcScenario3TrialDurationPh3Trigger</t>
  </si>
  <si>
    <t>calcScenario3FTECostTrigger</t>
  </si>
  <si>
    <t>calcScenario1FTECostTrigger</t>
  </si>
  <si>
    <t>calcScenario2FTECostTrigger</t>
  </si>
  <si>
    <t>Multiple Arms</t>
  </si>
  <si>
    <t>+ Competitive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</si>
</sst>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2">
    <numFmt numFmtId="164" formatCode="&quot;$&quot;#,##0_);\(&quot;$&quot;#,##0\)"/>
    <numFmt numFmtId="165" formatCode="&quot;$&quot;#,##0_);[Red]\(&quot;$&quot;#,##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\-* #,##0_-;_-* &quot;-&quot;_-;_-@_-"/>
    <numFmt numFmtId="169" formatCode="_-* #,##0.00_-;\-* #,##0.00_-;_-* &quot;-&quot;??_-;_-@_-"/>
    <numFmt numFmtId="170" formatCode="#,##0.00\ &quot;mk&quot;;[Red]\-#,##0.00\ &quot;mk&quot;"/>
    <numFmt numFmtId="171" formatCode="\ #,##0_);\ \(#,##0\);_(* &quot;-&quot;??_);_(@_)"/>
    <numFmt numFmtId="172" formatCode="#,##0.0_);\(#,##0.0\)"/>
    <numFmt numFmtId="173" formatCode="#,##0,_);\ \(#,##0,\);_(* &quot;-&quot;_);_(@_)"/>
    <numFmt numFmtId="174" formatCode="#,###.##,,_);\ \(#,##0,,\);_(* &quot;-&quot;_);_(@_)"/>
    <numFmt numFmtId="175" formatCode="#,##0,,_);\ \(#,##0,,\);_(* &quot;-&quot;_);_(@_)"/>
    <numFmt numFmtId="176" formatCode="_(* #,##0.0_);_(* \(#,##0.0\);_(* &quot;-&quot;?_);_(@_)"/>
    <numFmt numFmtId="177" formatCode="0%\ \ "/>
    <numFmt numFmtId="178" formatCode="_(&quot;$&quot;\ #,##0,_);_(&quot;$&quot;\ \ \(#,##0,\);_(&quot;$&quot;\ &quot;-&quot;_);_(@_)"/>
    <numFmt numFmtId="179" formatCode="mmm\ dd\ &quot;Year&quot;\ yy"/>
    <numFmt numFmtId="180" formatCode="_([$€-2]* #,##0.00_);_([$€-2]* \(#,##0.00\);_([$€-2]* &quot;-&quot;??_)"/>
    <numFmt numFmtId="181" formatCode="#,###,;\(#,###,\);_(* &quot;-&quot;_);_(@_)"/>
    <numFmt numFmtId="182" formatCode="0.00_)"/>
    <numFmt numFmtId="183" formatCode="0.0%"/>
    <numFmt numFmtId="184" formatCode="#,##0;\-#,##0;&quot;-&quot;"/>
    <numFmt numFmtId="185" formatCode="_(* #,##0_);_(* \(#,##0\);_(* &quot;-&quot;??_);_(@_)"/>
    <numFmt numFmtId="186" formatCode="_(&quot;$&quot;* #,##0.0_);_(&quot;$&quot;* \(#,##0.0\);_(&quot;$&quot;* &quot;-&quot;??_);_(@_)"/>
    <numFmt numFmtId="187" formatCode="0.0"/>
    <numFmt numFmtId="188" formatCode="&quot;$&quot;#,##0,,_);[Red]\(&quot;$&quot;#,##0,,\)"/>
    <numFmt numFmtId="189" formatCode="_(&quot;$&quot;\ #,##0.0,,_);_(&quot;$&quot;\ \(#,##0.0,,\);_(&quot;$&quot;\ &quot;-&quot;??_);_(@_)"/>
    <numFmt numFmtId="190" formatCode="&quot;$&quot;#,##0.0,,_);[Red]\(&quot;$&quot;#,##0.0,,\)"/>
    <numFmt numFmtId="191" formatCode="#,##0.0,,"/>
    <numFmt numFmtId="192" formatCode="_(* #,##0.0_);_(* \(#,##0.0\);_(* &quot;-&quot;??_);_(@_)"/>
    <numFmt numFmtId="193" formatCode="_(* #,##0.000_);_(* \(#,##0.000\);_(* &quot;-&quot;??_);_(@_)"/>
    <numFmt numFmtId="194" formatCode="_(&quot;$&quot;* #,##0_);_(&quot;$&quot;* \(#,##0\);_(&quot;$&quot;* &quot;-&quot;??_);_(@_)"/>
    <numFmt numFmtId="195" formatCode="0.000"/>
  </numFmts>
  <fonts count="77">
    <font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Verdana"/>
      <family val="2"/>
    </font>
    <font>
      <sz val="14"/>
      <color theme="0"/>
      <name val="Verdana"/>
      <family val="2"/>
    </font>
    <font>
      <sz val="12"/>
      <color theme="0"/>
      <name val="Verdana"/>
      <family val="2"/>
    </font>
    <font>
      <sz val="14"/>
      <color theme="1"/>
      <name val="Verdana"/>
      <family val="2"/>
    </font>
    <font>
      <sz val="9"/>
      <color theme="0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10"/>
      <name val="MS Sans Serif"/>
      <family val="2"/>
    </font>
    <font>
      <sz val="8"/>
      <name val="Arial"/>
      <family val="2"/>
    </font>
    <font>
      <sz val="10"/>
      <name val="Arial Black"/>
      <family val="2"/>
    </font>
    <font>
      <b/>
      <sz val="9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9"/>
      <name val="Arial"/>
      <family val="2"/>
    </font>
    <font>
      <sz val="10"/>
      <name val="Helv"/>
    </font>
    <font>
      <sz val="9"/>
      <name val="Arial Rounded MT Bold"/>
      <family val="2"/>
    </font>
    <font>
      <b/>
      <sz val="10"/>
      <name val="Helv"/>
    </font>
    <font>
      <b/>
      <sz val="18"/>
      <name val="Garamond"/>
      <family val="1"/>
    </font>
    <font>
      <sz val="7"/>
      <name val="Small Fonts"/>
      <family val="2"/>
    </font>
    <font>
      <b/>
      <i/>
      <sz val="16"/>
      <name val="Helv"/>
    </font>
    <font>
      <sz val="12"/>
      <color theme="1"/>
      <name val="Open Sans"/>
      <family val="2"/>
    </font>
    <font>
      <b/>
      <sz val="12"/>
      <name val="Garamond"/>
      <family val="1"/>
    </font>
    <font>
      <sz val="12"/>
      <color theme="1"/>
      <name val="Verdana"/>
      <family val="2"/>
    </font>
    <font>
      <sz val="12"/>
      <color theme="0" tint="-0.34998626667073579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Verdana"/>
      <family val="2"/>
    </font>
    <font>
      <b/>
      <sz val="12"/>
      <color theme="0"/>
      <name val="Verdana"/>
      <family val="2"/>
    </font>
    <font>
      <i/>
      <sz val="12"/>
      <color theme="1"/>
      <name val="Verdana"/>
      <family val="2"/>
    </font>
    <font>
      <sz val="12"/>
      <color rgb="FFFF0000"/>
      <name val="Verdana"/>
      <family val="2"/>
    </font>
    <font>
      <sz val="14"/>
      <color theme="4"/>
      <name val="Verdana"/>
      <family val="2"/>
    </font>
    <font>
      <sz val="18"/>
      <color theme="1"/>
      <name val="Verdana"/>
      <family val="2"/>
    </font>
    <font>
      <sz val="16"/>
      <color theme="0"/>
      <name val="Calibri"/>
      <family val="2"/>
      <scheme val="minor"/>
    </font>
    <font>
      <sz val="16"/>
      <name val="Calibri"/>
      <family val="2"/>
      <scheme val="minor"/>
    </font>
    <font>
      <sz val="11"/>
      <name val="Verdana"/>
      <family val="2"/>
    </font>
    <font>
      <sz val="12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name val="Verdana"/>
      <family val="2"/>
    </font>
    <font>
      <i/>
      <sz val="10"/>
      <color theme="1"/>
      <name val="Verdana"/>
      <family val="2"/>
    </font>
    <font>
      <b/>
      <sz val="11"/>
      <color theme="0"/>
      <name val="Verdana"/>
      <family val="2"/>
    </font>
    <font>
      <b/>
      <sz val="10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Verdana"/>
      <family val="2"/>
    </font>
    <font>
      <sz val="8"/>
      <color rgb="FF000000"/>
      <name val="Tahoma"/>
      <family val="2"/>
    </font>
    <font>
      <b/>
      <sz val="16"/>
      <color theme="1"/>
      <name val="Verdana"/>
      <family val="2"/>
    </font>
    <font>
      <sz val="11"/>
      <color theme="3"/>
      <name val="Verdana"/>
      <family val="2"/>
    </font>
    <font>
      <b/>
      <sz val="13"/>
      <color theme="1"/>
      <name val="Verdana"/>
      <family val="2"/>
    </font>
    <font>
      <sz val="13"/>
      <color theme="1"/>
      <name val="Verdana"/>
      <family val="2"/>
    </font>
    <font>
      <sz val="26"/>
      <color theme="4"/>
      <name val="Verdana"/>
      <family val="2"/>
    </font>
    <font>
      <sz val="12"/>
      <name val="Verdana"/>
      <family val="2"/>
    </font>
    <font>
      <sz val="12"/>
      <color theme="5"/>
      <name val="Verdana"/>
      <family val="2"/>
    </font>
    <font>
      <sz val="12"/>
      <color theme="4"/>
      <name val="Verdana"/>
      <family val="2"/>
    </font>
    <font>
      <sz val="12"/>
      <color theme="3"/>
      <name val="Verdana"/>
      <family val="2"/>
    </font>
    <font>
      <b/>
      <sz val="12"/>
      <color theme="6"/>
      <name val="Verdana"/>
      <family val="2"/>
    </font>
    <font>
      <b/>
      <sz val="12"/>
      <color theme="4"/>
      <name val="Verdana"/>
      <family val="2"/>
    </font>
    <font>
      <b/>
      <sz val="12"/>
      <color theme="3"/>
      <name val="Verdana"/>
      <family val="2"/>
    </font>
    <font>
      <b/>
      <sz val="12"/>
      <color theme="7"/>
      <name val="Verdana"/>
      <family val="2"/>
    </font>
    <font>
      <b/>
      <sz val="12"/>
      <color theme="8"/>
      <name val="Verdana"/>
      <family val="2"/>
    </font>
    <font>
      <b/>
      <sz val="12"/>
      <color theme="9"/>
      <name val="Verdana"/>
      <family val="2"/>
    </font>
    <font>
      <i/>
      <sz val="14"/>
      <color theme="0"/>
      <name val="Verdana"/>
      <family val="2"/>
    </font>
    <font>
      <u/>
      <sz val="11"/>
      <color theme="10"/>
      <name val="Verdana"/>
      <family val="2"/>
    </font>
    <font>
      <b/>
      <sz val="11"/>
      <name val="Verdana"/>
      <family val="2"/>
    </font>
    <font>
      <sz val="12"/>
      <color theme="9"/>
      <name val="Verdana"/>
      <family val="2"/>
    </font>
    <font>
      <sz val="28"/>
      <color theme="3"/>
      <name val="Verdana"/>
      <family val="2"/>
    </font>
    <font>
      <b/>
      <sz val="14"/>
      <color theme="1"/>
      <name val="Verdana"/>
      <family val="2"/>
    </font>
    <font>
      <b/>
      <sz val="9"/>
      <color theme="1"/>
      <name val="Verdana"/>
      <family val="2"/>
    </font>
    <font>
      <i/>
      <sz val="11"/>
      <color theme="1"/>
      <name val="Verdana"/>
      <family val="2"/>
    </font>
    <font>
      <sz val="11"/>
      <name val="ＭＳ Ｐゴシック"/>
      <family val="3"/>
      <charset val="128"/>
    </font>
    <font>
      <sz val="11"/>
      <color rgb="FFFF0000"/>
      <name val="Verdana"/>
      <family val="2"/>
    </font>
  </fonts>
  <fills count="43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8E8E8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8E8E"/>
        <bgColor theme="8"/>
      </patternFill>
    </fill>
    <fill>
      <patternFill patternType="solid">
        <fgColor rgb="FFCCCCCC"/>
        <bgColor theme="8" tint="0.79998168889431442"/>
      </patternFill>
    </fill>
    <fill>
      <patternFill patternType="solid">
        <fgColor rgb="FFCCCCCC"/>
        <bgColor indexed="64"/>
      </patternFill>
    </fill>
    <fill>
      <patternFill patternType="solid">
        <fgColor indexed="22"/>
        <bgColor indexed="64"/>
      </patternFill>
    </fill>
    <fill>
      <patternFill patternType="lightGray">
        <fgColor indexed="13"/>
        <bgColor indexed="43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</fills>
  <borders count="6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63"/>
      </left>
      <right style="medium">
        <color indexed="9"/>
      </right>
      <top style="medium">
        <color indexed="63"/>
      </top>
      <bottom style="medium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55"/>
      </right>
      <top style="medium">
        <color indexed="64"/>
      </top>
      <bottom style="medium">
        <color indexed="55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 tint="-0.34998626667073579"/>
      </left>
      <right style="medium">
        <color theme="0"/>
      </right>
      <top style="medium">
        <color theme="0" tint="-0.34998626667073579"/>
      </top>
      <bottom style="medium">
        <color theme="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 style="medium">
        <color theme="0"/>
      </bottom>
      <diagonal/>
    </border>
    <border>
      <left/>
      <right/>
      <top style="medium">
        <color theme="0" tint="-0.34998626667073579"/>
      </top>
      <bottom style="medium">
        <color theme="0"/>
      </bottom>
      <diagonal/>
    </border>
    <border>
      <left/>
      <right style="medium">
        <color theme="0"/>
      </right>
      <top style="medium">
        <color theme="0" tint="-0.34998626667073579"/>
      </top>
      <bottom style="medium">
        <color theme="0"/>
      </bottom>
      <diagonal/>
    </border>
    <border>
      <left style="thin">
        <color theme="4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/>
      <top/>
      <bottom style="medium">
        <color theme="0" tint="-0.34998626667073579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n">
        <color theme="4"/>
      </bottom>
      <diagonal/>
    </border>
    <border>
      <left style="medium">
        <color theme="0" tint="-0.24994659260841701"/>
      </left>
      <right style="medium">
        <color theme="0"/>
      </right>
      <top style="medium">
        <color theme="0" tint="-0.24994659260841701"/>
      </top>
      <bottom style="medium">
        <color theme="0"/>
      </bottom>
      <diagonal/>
    </border>
    <border>
      <left/>
      <right/>
      <top/>
      <bottom style="hair">
        <color theme="4"/>
      </bottom>
      <diagonal/>
    </border>
    <border>
      <left/>
      <right style="medium">
        <color theme="0" tint="-0.24994659260841701"/>
      </right>
      <top/>
      <bottom/>
      <diagonal/>
    </border>
    <border>
      <left/>
      <right/>
      <top/>
      <bottom style="medium">
        <color theme="5"/>
      </bottom>
      <diagonal/>
    </border>
    <border>
      <left/>
      <right/>
      <top style="thick">
        <color theme="0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68">
    <xf numFmtId="0" fontId="0" fillId="0" borderId="0"/>
    <xf numFmtId="0" fontId="10" fillId="0" borderId="0"/>
    <xf numFmtId="1" fontId="13" fillId="0" borderId="0"/>
    <xf numFmtId="0" fontId="14" fillId="16" borderId="0" applyFont="0" applyFill="0" applyBorder="0" applyAlignment="0" applyProtection="0"/>
    <xf numFmtId="0" fontId="14" fillId="16" borderId="0" applyFont="0" applyFill="0" applyBorder="0" applyAlignment="0" applyProtection="0"/>
    <xf numFmtId="0" fontId="15" fillId="17" borderId="13" applyNumberFormat="0" applyFont="0" applyProtection="0"/>
    <xf numFmtId="0" fontId="15" fillId="17" borderId="13" applyNumberFormat="0" applyFont="0" applyProtection="0"/>
    <xf numFmtId="0" fontId="15" fillId="17" borderId="14" applyNumberFormat="0" applyFont="0" applyProtection="0"/>
    <xf numFmtId="0" fontId="15" fillId="17" borderId="14" applyNumberFormat="0" applyFont="0" applyProtection="0"/>
    <xf numFmtId="0" fontId="15" fillId="17" borderId="14" applyFont="0"/>
    <xf numFmtId="0" fontId="15" fillId="17" borderId="14" applyFont="0"/>
    <xf numFmtId="0" fontId="16" fillId="16" borderId="13" applyNumberFormat="0" applyFont="0"/>
    <xf numFmtId="0" fontId="16" fillId="16" borderId="13" applyNumberFormat="0" applyFont="0"/>
    <xf numFmtId="0" fontId="16" fillId="16" borderId="14" applyNumberFormat="0" applyFont="0"/>
    <xf numFmtId="0" fontId="16" fillId="16" borderId="14" applyNumberFormat="0" applyFont="0"/>
    <xf numFmtId="0" fontId="14" fillId="18" borderId="0" applyNumberFormat="0" applyFont="0" applyBorder="0" applyAlignment="0"/>
    <xf numFmtId="0" fontId="14" fillId="18" borderId="0" applyNumberFormat="0" applyFont="0" applyBorder="0" applyAlignment="0"/>
    <xf numFmtId="0" fontId="14" fillId="19" borderId="0" applyNumberFormat="0" applyFont="0" applyBorder="0" applyAlignment="0">
      <protection locked="0"/>
    </xf>
    <xf numFmtId="0" fontId="14" fillId="19" borderId="0" applyNumberFormat="0" applyFont="0" applyBorder="0" applyAlignment="0">
      <protection locked="0"/>
    </xf>
    <xf numFmtId="0" fontId="17" fillId="0" borderId="15">
      <alignment horizontal="center"/>
    </xf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70" fontId="18" fillId="0" borderId="0"/>
    <xf numFmtId="168" fontId="18" fillId="0" borderId="0" applyFont="0" applyFill="0" applyBorder="0" applyAlignment="0" applyProtection="0"/>
    <xf numFmtId="168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171" fontId="17" fillId="20" borderId="2" applyFont="0" applyFill="0" applyBorder="0" applyAlignment="0" applyProtection="0">
      <alignment horizontal="center"/>
      <protection locked="0"/>
    </xf>
    <xf numFmtId="171" fontId="17" fillId="20" borderId="2" applyFont="0" applyFill="0" applyBorder="0" applyAlignment="0" applyProtection="0">
      <alignment horizontal="center"/>
      <protection locked="0"/>
    </xf>
    <xf numFmtId="172" fontId="18" fillId="0" borderId="0" applyFont="0" applyFill="0" applyBorder="0" applyAlignment="0" applyProtection="0">
      <alignment horizontal="center"/>
    </xf>
    <xf numFmtId="173" fontId="19" fillId="0" borderId="0" applyFont="0" applyFill="0" applyBorder="0" applyAlignment="0" applyProtection="0"/>
    <xf numFmtId="174" fontId="14" fillId="0" borderId="0" applyFont="0" applyFill="0" applyBorder="0" applyAlignment="0" applyProtection="0"/>
    <xf numFmtId="174" fontId="14" fillId="0" borderId="0" applyFont="0" applyFill="0" applyBorder="0" applyAlignment="0" applyProtection="0"/>
    <xf numFmtId="175" fontId="14" fillId="0" borderId="0" applyFont="0" applyFill="0" applyBorder="0" applyAlignment="0" applyProtection="0"/>
    <xf numFmtId="175" fontId="14" fillId="0" borderId="0" applyFont="0" applyFill="0" applyBorder="0" applyAlignment="0" applyProtection="0"/>
    <xf numFmtId="0" fontId="19" fillId="0" borderId="0" applyFont="0" applyFill="0" applyBorder="0" applyAlignment="0" applyProtection="0"/>
    <xf numFmtId="176" fontId="20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0" fillId="0" borderId="0" applyFont="0" applyFill="0" applyBorder="0" applyAlignment="0" applyProtection="0"/>
    <xf numFmtId="168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37" fontId="21" fillId="21" borderId="16" applyFont="0" applyFill="0" applyBorder="0" applyAlignment="0" applyProtection="0">
      <alignment horizontal="centerContinuous" vertical="center"/>
    </xf>
    <xf numFmtId="0" fontId="18" fillId="17" borderId="14" applyFont="0" applyFill="0" applyBorder="0" applyAlignment="0" applyProtection="0">
      <alignment horizontal="center"/>
      <protection locked="0"/>
    </xf>
    <xf numFmtId="0" fontId="18" fillId="17" borderId="14" applyFont="0" applyFill="0" applyBorder="0" applyAlignment="0" applyProtection="0">
      <alignment horizontal="center"/>
      <protection locked="0"/>
    </xf>
    <xf numFmtId="0" fontId="18" fillId="20" borderId="0" applyFont="0" applyFill="0" applyBorder="0" applyAlignment="0" applyProtection="0"/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6" borderId="0" applyFont="0" applyFill="0" applyBorder="0" applyAlignment="0" applyProtection="0"/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177" fontId="18" fillId="16" borderId="0" applyFont="0" applyFill="0" applyBorder="0" applyAlignment="0" applyProtection="0"/>
    <xf numFmtId="3" fontId="18" fillId="0" borderId="0" applyFont="0" applyFill="0" applyBorder="0" applyAlignment="0" applyProtection="0"/>
    <xf numFmtId="0" fontId="22" fillId="0" borderId="0"/>
    <xf numFmtId="3" fontId="18" fillId="16" borderId="0" applyFont="0" applyFill="0" applyBorder="0" applyAlignment="0" applyProtection="0">
      <alignment horizontal="center"/>
    </xf>
    <xf numFmtId="0" fontId="22" fillId="0" borderId="0"/>
    <xf numFmtId="0" fontId="18" fillId="0" borderId="0"/>
    <xf numFmtId="0" fontId="22" fillId="0" borderId="0"/>
    <xf numFmtId="0" fontId="22" fillId="0" borderId="0"/>
    <xf numFmtId="178" fontId="20" fillId="22" borderId="0" applyFont="0" applyFill="0" applyBorder="0" applyAlignment="0" applyProtection="0"/>
    <xf numFmtId="166" fontId="14" fillId="0" borderId="0" applyFont="0" applyFill="0" applyBorder="0" applyAlignment="0" applyProtection="0"/>
    <xf numFmtId="166" fontId="14" fillId="0" borderId="0" applyFont="0" applyFill="0" applyBorder="0" applyAlignment="0" applyProtection="0"/>
    <xf numFmtId="0" fontId="19" fillId="17" borderId="14" applyFont="0" applyFill="0" applyBorder="0" applyAlignment="0" applyProtection="0">
      <protection locked="0"/>
    </xf>
    <xf numFmtId="0" fontId="19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164" fontId="18" fillId="0" borderId="0" applyFont="0" applyFill="0" applyBorder="0" applyAlignment="0" applyProtection="0"/>
    <xf numFmtId="0" fontId="18" fillId="0" borderId="0" applyFill="0" applyBorder="0" applyAlignment="0" applyProtection="0"/>
    <xf numFmtId="179" fontId="14" fillId="0" borderId="0" applyFont="0" applyFill="0" applyBorder="0" applyAlignment="0" applyProtection="0"/>
    <xf numFmtId="179" fontId="14" fillId="0" borderId="0" applyFont="0" applyFill="0" applyBorder="0" applyAlignment="0" applyProtection="0"/>
    <xf numFmtId="3" fontId="23" fillId="23" borderId="17">
      <alignment horizontal="center" vertical="center"/>
      <protection locked="0"/>
    </xf>
    <xf numFmtId="180" fontId="14" fillId="0" borderId="0" applyFont="0" applyFill="0" applyBorder="0" applyAlignment="0" applyProtection="0"/>
    <xf numFmtId="180" fontId="14" fillId="0" borderId="0" applyFont="0" applyFill="0" applyBorder="0" applyAlignment="0" applyProtection="0"/>
    <xf numFmtId="0" fontId="14" fillId="24" borderId="0" applyFont="0" applyBorder="0" applyAlignment="0" applyProtection="0"/>
    <xf numFmtId="0" fontId="14" fillId="24" borderId="0" applyFont="0" applyBorder="0" applyAlignment="0" applyProtection="0"/>
    <xf numFmtId="0" fontId="14" fillId="25" borderId="0" applyFont="0" applyBorder="0" applyAlignment="0" applyProtection="0"/>
    <xf numFmtId="0" fontId="14" fillId="25" borderId="0" applyFont="0" applyBorder="0" applyAlignment="0" applyProtection="0"/>
    <xf numFmtId="181" fontId="14" fillId="24" borderId="0" applyFont="0" applyBorder="0" applyAlignment="0" applyProtection="0"/>
    <xf numFmtId="2" fontId="18" fillId="0" borderId="0" applyFont="0" applyFill="0" applyBorder="0" applyAlignment="0" applyProtection="0"/>
    <xf numFmtId="0" fontId="22" fillId="0" borderId="0"/>
    <xf numFmtId="12" fontId="24" fillId="0" borderId="18" applyFont="0" applyFill="0" applyBorder="0" applyAlignment="0" applyProtection="0"/>
    <xf numFmtId="38" fontId="14" fillId="16" borderId="0" applyNumberFormat="0" applyBorder="0" applyAlignment="0" applyProtection="0"/>
    <xf numFmtId="38" fontId="14" fillId="16" borderId="0" applyNumberFormat="0" applyBorder="0" applyAlignment="0" applyProtection="0"/>
    <xf numFmtId="10" fontId="14" fillId="23" borderId="19" applyNumberFormat="0" applyBorder="0" applyAlignment="0" applyProtection="0"/>
    <xf numFmtId="10" fontId="14" fillId="23" borderId="19" applyNumberFormat="0" applyBorder="0" applyAlignment="0" applyProtection="0"/>
    <xf numFmtId="0" fontId="25" fillId="20" borderId="14" applyNumberFormat="0" applyFont="0">
      <alignment horizontal="center"/>
      <protection locked="0"/>
    </xf>
    <xf numFmtId="0" fontId="25" fillId="20" borderId="14" applyNumberFormat="0" applyFont="0">
      <alignment horizontal="center"/>
      <protection locked="0"/>
    </xf>
    <xf numFmtId="37" fontId="26" fillId="0" borderId="0"/>
    <xf numFmtId="182" fontId="27" fillId="0" borderId="0"/>
    <xf numFmtId="0" fontId="14" fillId="0" borderId="0"/>
    <xf numFmtId="0" fontId="18" fillId="0" borderId="0"/>
    <xf numFmtId="0" fontId="14" fillId="0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28" fillId="0" borderId="0"/>
    <xf numFmtId="37" fontId="18" fillId="20" borderId="0" applyFont="0" applyFill="0" applyBorder="0" applyAlignment="0" applyProtection="0">
      <alignment horizontal="center"/>
    </xf>
    <xf numFmtId="0" fontId="22" fillId="0" borderId="0"/>
    <xf numFmtId="0" fontId="22" fillId="0" borderId="0"/>
    <xf numFmtId="183" fontId="29" fillId="23" borderId="0" applyFont="0" applyFill="0" applyBorder="0" applyAlignment="0" applyProtection="0"/>
    <xf numFmtId="10" fontId="22" fillId="0" borderId="0" applyFont="0" applyFill="0" applyBorder="0" applyAlignment="0" applyProtection="0">
      <protection locked="0"/>
    </xf>
    <xf numFmtId="10" fontId="18" fillId="0" borderId="0" applyFont="0" applyFill="0" applyBorder="0" applyAlignment="0" applyProtection="0"/>
    <xf numFmtId="183" fontId="14" fillId="0" borderId="0" applyFont="0" applyFill="0" applyBorder="0" applyAlignment="0" applyProtection="0"/>
    <xf numFmtId="183" fontId="14" fillId="0" borderId="0" applyFont="0" applyFill="0" applyBorder="0" applyAlignment="0" applyProtection="0"/>
    <xf numFmtId="10" fontId="14" fillId="0" borderId="5" applyFont="0" applyFill="0" applyBorder="0" applyAlignment="0" applyProtection="0"/>
    <xf numFmtId="10" fontId="14" fillId="0" borderId="5" applyFont="0" applyFill="0" applyBorder="0" applyAlignment="0" applyProtection="0"/>
    <xf numFmtId="10" fontId="14" fillId="0" borderId="5" applyFont="0" applyFill="0" applyBorder="0" applyAlignment="0" applyProtection="0"/>
    <xf numFmtId="10" fontId="14" fillId="0" borderId="5" applyFont="0" applyFill="0" applyBorder="0" applyAlignment="0" applyProtection="0"/>
    <xf numFmtId="9" fontId="18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28" fillId="0" borderId="0" applyFont="0" applyFill="0" applyBorder="0" applyAlignment="0" applyProtection="0"/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0" fontId="18" fillId="17" borderId="14" applyFont="0" applyFill="0" applyBorder="0" applyAlignment="0" applyProtection="0">
      <protection locked="0"/>
    </xf>
    <xf numFmtId="9" fontId="34" fillId="0" borderId="0" applyFont="0" applyFill="0" applyBorder="0" applyAlignment="0" applyProtection="0"/>
    <xf numFmtId="0" fontId="3" fillId="0" borderId="0"/>
    <xf numFmtId="0" fontId="34" fillId="0" borderId="0"/>
    <xf numFmtId="168" fontId="18" fillId="0" borderId="0" applyFont="0" applyFill="0" applyBorder="0" applyAlignment="0" applyProtection="0"/>
    <xf numFmtId="168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8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14" fillId="0" borderId="0" applyFont="0" applyFill="0" applyBorder="0" applyAlignment="0" applyProtection="0"/>
    <xf numFmtId="169" fontId="3" fillId="0" borderId="0" applyFont="0" applyFill="0" applyBorder="0" applyAlignment="0" applyProtection="0"/>
    <xf numFmtId="168" fontId="14" fillId="0" borderId="0" applyFont="0" applyFill="0" applyBorder="0" applyAlignment="0" applyProtection="0"/>
    <xf numFmtId="168" fontId="14" fillId="0" borderId="0" applyFont="0" applyFill="0" applyBorder="0" applyAlignment="0" applyProtection="0"/>
    <xf numFmtId="0" fontId="3" fillId="0" borderId="0"/>
    <xf numFmtId="9" fontId="34" fillId="0" borderId="0" applyFont="0" applyFill="0" applyBorder="0" applyAlignment="0" applyProtection="0"/>
    <xf numFmtId="0" fontId="2" fillId="0" borderId="0"/>
    <xf numFmtId="0" fontId="2" fillId="0" borderId="0"/>
    <xf numFmtId="0" fontId="49" fillId="0" borderId="0" applyNumberFormat="0" applyFill="0" applyBorder="0" applyAlignment="0" applyProtection="0"/>
    <xf numFmtId="167" fontId="34" fillId="0" borderId="0" applyFont="0" applyFill="0" applyBorder="0" applyAlignment="0" applyProtection="0"/>
    <xf numFmtId="0" fontId="1" fillId="0" borderId="0"/>
    <xf numFmtId="166" fontId="34" fillId="0" borderId="0" applyFont="0" applyFill="0" applyBorder="0" applyAlignment="0" applyProtection="0"/>
    <xf numFmtId="9" fontId="75" fillId="0" borderId="0" applyFont="0" applyFill="0" applyBorder="0" applyAlignment="0" applyProtection="0">
      <alignment vertical="center"/>
    </xf>
  </cellStyleXfs>
  <cellXfs count="604">
    <xf numFmtId="0" fontId="0" fillId="0" borderId="0" xfId="0"/>
    <xf numFmtId="0" fontId="0" fillId="2" borderId="0" xfId="0" applyFill="1"/>
    <xf numFmtId="0" fontId="4" fillId="3" borderId="0" xfId="0" applyFont="1" applyFill="1"/>
    <xf numFmtId="0" fontId="5" fillId="4" borderId="0" xfId="0" applyFont="1" applyFill="1" applyAlignment="1">
      <alignment horizontal="left" vertical="center"/>
    </xf>
    <xf numFmtId="0" fontId="5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0" fontId="7" fillId="5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8" fillId="5" borderId="0" xfId="0" applyFont="1" applyFill="1" applyAlignment="1">
      <alignment horizontal="center" vertical="center" wrapText="1"/>
    </xf>
    <xf numFmtId="0" fontId="5" fillId="5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4" fillId="4" borderId="0" xfId="0" applyFont="1" applyFill="1"/>
    <xf numFmtId="0" fontId="4" fillId="3" borderId="0" xfId="0" applyFont="1" applyFill="1" applyAlignment="1">
      <alignment horizontal="center"/>
    </xf>
    <xf numFmtId="0" fontId="0" fillId="6" borderId="0" xfId="0" applyFill="1"/>
    <xf numFmtId="0" fontId="0" fillId="6" borderId="19" xfId="0" applyFill="1" applyBorder="1"/>
    <xf numFmtId="0" fontId="4" fillId="4" borderId="0" xfId="0" applyFont="1" applyFill="1" applyAlignment="1">
      <alignment horizontal="center"/>
    </xf>
    <xf numFmtId="0" fontId="4" fillId="5" borderId="0" xfId="0" applyFont="1" applyFill="1"/>
    <xf numFmtId="0" fontId="4" fillId="5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/>
    <xf numFmtId="0" fontId="31" fillId="0" borderId="0" xfId="0" applyFont="1"/>
    <xf numFmtId="0" fontId="0" fillId="0" borderId="0" xfId="0" applyFill="1"/>
    <xf numFmtId="3" fontId="0" fillId="2" borderId="0" xfId="0" applyNumberFormat="1" applyFill="1" applyAlignment="1">
      <alignment horizontal="center"/>
    </xf>
    <xf numFmtId="0" fontId="4" fillId="4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4" fillId="3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30" borderId="0" xfId="0" applyFont="1" applyFill="1" applyAlignment="1">
      <alignment horizontal="center"/>
    </xf>
    <xf numFmtId="0" fontId="0" fillId="0" borderId="0" xfId="0" applyBorder="1" applyAlignment="1">
      <alignment vertical="center"/>
    </xf>
    <xf numFmtId="0" fontId="0" fillId="2" borderId="0" xfId="0" applyFill="1" applyAlignment="1">
      <alignment horizontal="left" vertical="center"/>
    </xf>
    <xf numFmtId="0" fontId="4" fillId="5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0" fontId="4" fillId="32" borderId="0" xfId="0" applyFont="1" applyFill="1"/>
    <xf numFmtId="0" fontId="30" fillId="0" borderId="0" xfId="0" applyFont="1"/>
    <xf numFmtId="0" fontId="30" fillId="0" borderId="0" xfId="0" applyFont="1" applyAlignment="1">
      <alignment horizontal="left"/>
    </xf>
    <xf numFmtId="0" fontId="30" fillId="6" borderId="19" xfId="0" applyFont="1" applyFill="1" applyBorder="1" applyAlignment="1">
      <alignment horizontal="center"/>
    </xf>
    <xf numFmtId="0" fontId="36" fillId="0" borderId="0" xfId="0" applyFont="1"/>
    <xf numFmtId="0" fontId="37" fillId="0" borderId="1" xfId="0" applyFont="1" applyBorder="1"/>
    <xf numFmtId="0" fontId="30" fillId="27" borderId="19" xfId="0" applyFont="1" applyFill="1" applyBorder="1" applyAlignment="1">
      <alignment horizontal="center"/>
    </xf>
    <xf numFmtId="0" fontId="30" fillId="2" borderId="19" xfId="0" applyFont="1" applyFill="1" applyBorder="1" applyAlignment="1">
      <alignment horizontal="center"/>
    </xf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center" wrapText="1"/>
    </xf>
    <xf numFmtId="0" fontId="30" fillId="2" borderId="15" xfId="0" applyFont="1" applyFill="1" applyBorder="1"/>
    <xf numFmtId="0" fontId="30" fillId="2" borderId="15" xfId="0" applyFont="1" applyFill="1" applyBorder="1" applyAlignment="1">
      <alignment horizontal="center"/>
    </xf>
    <xf numFmtId="0" fontId="30" fillId="28" borderId="15" xfId="0" applyFont="1" applyFill="1" applyBorder="1"/>
    <xf numFmtId="0" fontId="30" fillId="6" borderId="15" xfId="0" applyFont="1" applyFill="1" applyBorder="1"/>
    <xf numFmtId="0" fontId="30" fillId="28" borderId="15" xfId="0" applyFont="1" applyFill="1" applyBorder="1" applyAlignment="1">
      <alignment horizontal="center"/>
    </xf>
    <xf numFmtId="0" fontId="30" fillId="29" borderId="22" xfId="0" applyFont="1" applyFill="1" applyBorder="1"/>
    <xf numFmtId="0" fontId="30" fillId="29" borderId="22" xfId="0" applyFont="1" applyFill="1" applyBorder="1" applyAlignment="1">
      <alignment horizontal="center"/>
    </xf>
    <xf numFmtId="0" fontId="30" fillId="6" borderId="22" xfId="0" applyFont="1" applyFill="1" applyBorder="1"/>
    <xf numFmtId="0" fontId="30" fillId="27" borderId="22" xfId="0" applyFont="1" applyFill="1" applyBorder="1" applyAlignment="1">
      <alignment horizontal="center"/>
    </xf>
    <xf numFmtId="0" fontId="30" fillId="27" borderId="22" xfId="0" applyFont="1" applyFill="1" applyBorder="1"/>
    <xf numFmtId="0" fontId="30" fillId="6" borderId="22" xfId="0" applyFont="1" applyFill="1" applyBorder="1" applyAlignment="1">
      <alignment horizontal="center"/>
    </xf>
    <xf numFmtId="0" fontId="30" fillId="2" borderId="22" xfId="0" applyFont="1" applyFill="1" applyBorder="1"/>
    <xf numFmtId="0" fontId="30" fillId="2" borderId="22" xfId="0" applyFont="1" applyFill="1" applyBorder="1" applyAlignment="1">
      <alignment horizontal="center"/>
    </xf>
    <xf numFmtId="0" fontId="30" fillId="2" borderId="23" xfId="0" applyFont="1" applyFill="1" applyBorder="1"/>
    <xf numFmtId="0" fontId="30" fillId="2" borderId="23" xfId="0" applyFont="1" applyFill="1" applyBorder="1" applyAlignment="1">
      <alignment horizontal="center"/>
    </xf>
    <xf numFmtId="0" fontId="30" fillId="6" borderId="23" xfId="0" applyFont="1" applyFill="1" applyBorder="1"/>
    <xf numFmtId="0" fontId="30" fillId="27" borderId="23" xfId="0" applyFont="1" applyFill="1" applyBorder="1" applyAlignment="1">
      <alignment horizontal="center"/>
    </xf>
    <xf numFmtId="0" fontId="30" fillId="27" borderId="23" xfId="0" applyFont="1" applyFill="1" applyBorder="1"/>
    <xf numFmtId="0" fontId="30" fillId="6" borderId="23" xfId="0" applyFont="1" applyFill="1" applyBorder="1" applyAlignment="1">
      <alignment horizontal="center"/>
    </xf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35" fillId="32" borderId="0" xfId="0" applyFont="1" applyFill="1"/>
    <xf numFmtId="0" fontId="6" fillId="32" borderId="0" xfId="0" applyFont="1" applyFill="1"/>
    <xf numFmtId="0" fontId="6" fillId="32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30" fillId="9" borderId="0" xfId="0" applyFont="1" applyFill="1" applyAlignment="1">
      <alignment horizontal="center" vertical="center"/>
    </xf>
    <xf numFmtId="0" fontId="30" fillId="9" borderId="0" xfId="0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0" fillId="31" borderId="0" xfId="0" applyFill="1" applyAlignment="1">
      <alignment vertical="center"/>
    </xf>
    <xf numFmtId="184" fontId="0" fillId="0" borderId="0" xfId="0" applyNumberForma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Fill="1" applyAlignment="1">
      <alignment horizontal="center" vertical="center"/>
    </xf>
    <xf numFmtId="0" fontId="30" fillId="18" borderId="24" xfId="0" applyFont="1" applyFill="1" applyBorder="1" applyAlignment="1">
      <alignment vertical="center"/>
    </xf>
    <xf numFmtId="0" fontId="38" fillId="18" borderId="24" xfId="0" applyFont="1" applyFill="1" applyBorder="1" applyAlignment="1">
      <alignment vertical="center"/>
    </xf>
    <xf numFmtId="0" fontId="30" fillId="9" borderId="0" xfId="0" applyFont="1" applyFill="1" applyAlignment="1">
      <alignment vertical="center"/>
    </xf>
    <xf numFmtId="0" fontId="30" fillId="0" borderId="0" xfId="0" applyFont="1" applyAlignment="1">
      <alignment vertical="center"/>
    </xf>
    <xf numFmtId="0" fontId="30" fillId="2" borderId="0" xfId="0" applyFont="1" applyFill="1" applyAlignment="1">
      <alignment vertical="center"/>
    </xf>
    <xf numFmtId="0" fontId="30" fillId="3" borderId="0" xfId="0" applyFont="1" applyFill="1" applyAlignment="1">
      <alignment vertical="center"/>
    </xf>
    <xf numFmtId="0" fontId="30" fillId="18" borderId="0" xfId="0" applyFont="1" applyFill="1" applyAlignment="1">
      <alignment vertical="center"/>
    </xf>
    <xf numFmtId="0" fontId="5" fillId="3" borderId="0" xfId="0" applyFont="1" applyFill="1" applyAlignment="1">
      <alignment horizontal="left" vertical="center"/>
    </xf>
    <xf numFmtId="0" fontId="30" fillId="9" borderId="0" xfId="0" applyFont="1" applyFill="1"/>
    <xf numFmtId="0" fontId="30" fillId="18" borderId="0" xfId="0" applyFont="1" applyFill="1"/>
    <xf numFmtId="0" fontId="30" fillId="18" borderId="0" xfId="0" applyFont="1" applyFill="1" applyAlignment="1">
      <alignment horizontal="left" vertical="center"/>
    </xf>
    <xf numFmtId="0" fontId="40" fillId="8" borderId="0" xfId="141" applyFont="1" applyFill="1"/>
    <xf numFmtId="0" fontId="41" fillId="8" borderId="0" xfId="141" applyFont="1" applyFill="1"/>
    <xf numFmtId="0" fontId="40" fillId="8" borderId="0" xfId="141" applyFont="1" applyFill="1" applyAlignment="1">
      <alignment horizontal="right"/>
    </xf>
    <xf numFmtId="0" fontId="11" fillId="9" borderId="0" xfId="141" applyFont="1" applyFill="1"/>
    <xf numFmtId="0" fontId="11" fillId="10" borderId="2" xfId="141" applyFont="1" applyFill="1" applyBorder="1" applyAlignment="1">
      <alignment horizontal="center"/>
    </xf>
    <xf numFmtId="0" fontId="11" fillId="10" borderId="4" xfId="141" applyFont="1" applyFill="1" applyBorder="1" applyAlignment="1">
      <alignment horizontal="center"/>
    </xf>
    <xf numFmtId="0" fontId="11" fillId="11" borderId="5" xfId="141" applyFont="1" applyFill="1" applyBorder="1" applyAlignment="1">
      <alignment horizontal="center"/>
    </xf>
    <xf numFmtId="0" fontId="11" fillId="11" borderId="6" xfId="141" applyFont="1" applyFill="1" applyBorder="1" applyAlignment="1">
      <alignment horizontal="center"/>
    </xf>
    <xf numFmtId="0" fontId="11" fillId="11" borderId="7" xfId="141" applyFont="1" applyFill="1" applyBorder="1" applyAlignment="1">
      <alignment horizontal="center"/>
    </xf>
    <xf numFmtId="1" fontId="11" fillId="10" borderId="8" xfId="141" applyNumberFormat="1" applyFont="1" applyFill="1" applyBorder="1" applyAlignment="1">
      <alignment horizontal="center"/>
    </xf>
    <xf numFmtId="0" fontId="11" fillId="10" borderId="0" xfId="141" applyFont="1" applyFill="1" applyBorder="1" applyAlignment="1">
      <alignment horizontal="left"/>
    </xf>
    <xf numFmtId="1" fontId="11" fillId="10" borderId="0" xfId="141" applyNumberFormat="1" applyFont="1" applyFill="1" applyBorder="1" applyAlignment="1">
      <alignment horizontal="left"/>
    </xf>
    <xf numFmtId="0" fontId="11" fillId="15" borderId="0" xfId="141" applyFont="1" applyFill="1" applyBorder="1" applyAlignment="1">
      <alignment horizontal="left"/>
    </xf>
    <xf numFmtId="0" fontId="11" fillId="10" borderId="9" xfId="141" applyFont="1" applyFill="1" applyBorder="1" applyAlignment="1">
      <alignment horizontal="center"/>
    </xf>
    <xf numFmtId="1" fontId="11" fillId="10" borderId="10" xfId="141" applyNumberFormat="1" applyFont="1" applyFill="1" applyBorder="1" applyAlignment="1">
      <alignment horizontal="center"/>
    </xf>
    <xf numFmtId="0" fontId="11" fillId="10" borderId="11" xfId="141" applyFont="1" applyFill="1" applyBorder="1" applyAlignment="1">
      <alignment horizontal="left"/>
    </xf>
    <xf numFmtId="1" fontId="11" fillId="10" borderId="11" xfId="141" applyNumberFormat="1" applyFont="1" applyFill="1" applyBorder="1" applyAlignment="1">
      <alignment horizontal="left"/>
    </xf>
    <xf numFmtId="0" fontId="11" fillId="10" borderId="11" xfId="141" quotePrefix="1" applyFont="1" applyFill="1" applyBorder="1" applyAlignment="1">
      <alignment horizontal="left"/>
    </xf>
    <xf numFmtId="0" fontId="11" fillId="15" borderId="11" xfId="141" quotePrefix="1" applyFont="1" applyFill="1" applyBorder="1" applyAlignment="1">
      <alignment horizontal="left"/>
    </xf>
    <xf numFmtId="0" fontId="11" fillId="10" borderId="12" xfId="141" applyFont="1" applyFill="1" applyBorder="1" applyAlignment="1">
      <alignment horizontal="center"/>
    </xf>
    <xf numFmtId="0" fontId="11" fillId="12" borderId="0" xfId="141" applyFont="1" applyFill="1"/>
    <xf numFmtId="0" fontId="11" fillId="9" borderId="0" xfId="141" applyFont="1" applyFill="1" applyAlignment="1">
      <alignment horizontal="right"/>
    </xf>
    <xf numFmtId="0" fontId="11" fillId="11" borderId="2" xfId="141" applyFont="1" applyFill="1" applyBorder="1"/>
    <xf numFmtId="0" fontId="11" fillId="11" borderId="3" xfId="141" applyFont="1" applyFill="1" applyBorder="1"/>
    <xf numFmtId="0" fontId="11" fillId="11" borderId="4" xfId="141" applyFont="1" applyFill="1" applyBorder="1"/>
    <xf numFmtId="0" fontId="12" fillId="13" borderId="5" xfId="141" applyFont="1" applyFill="1" applyBorder="1" applyAlignment="1">
      <alignment horizontal="center"/>
    </xf>
    <xf numFmtId="0" fontId="12" fillId="13" borderId="7" xfId="141" applyFont="1" applyFill="1" applyBorder="1" applyAlignment="1">
      <alignment horizontal="center"/>
    </xf>
    <xf numFmtId="0" fontId="11" fillId="14" borderId="8" xfId="141" applyFont="1" applyFill="1" applyBorder="1" applyAlignment="1">
      <alignment horizontal="right"/>
    </xf>
    <xf numFmtId="0" fontId="11" fillId="14" borderId="9" xfId="141" applyFont="1" applyFill="1" applyBorder="1" applyAlignment="1">
      <alignment horizontal="right"/>
    </xf>
    <xf numFmtId="0" fontId="11" fillId="15" borderId="8" xfId="141" applyFont="1" applyFill="1" applyBorder="1" applyAlignment="1">
      <alignment horizontal="right"/>
    </xf>
    <xf numFmtId="0" fontId="11" fillId="15" borderId="9" xfId="141" applyFont="1" applyFill="1" applyBorder="1" applyAlignment="1">
      <alignment horizontal="right"/>
    </xf>
    <xf numFmtId="0" fontId="11" fillId="15" borderId="10" xfId="141" applyFont="1" applyFill="1" applyBorder="1" applyAlignment="1">
      <alignment horizontal="right"/>
    </xf>
    <xf numFmtId="0" fontId="11" fillId="15" borderId="12" xfId="141" applyFont="1" applyFill="1" applyBorder="1" applyAlignment="1">
      <alignment horizontal="right"/>
    </xf>
    <xf numFmtId="0" fontId="42" fillId="11" borderId="2" xfId="142" applyFont="1" applyFill="1" applyBorder="1" applyAlignment="1">
      <alignment horizontal="center"/>
    </xf>
    <xf numFmtId="0" fontId="11" fillId="11" borderId="3" xfId="104" applyFont="1" applyFill="1" applyBorder="1" applyAlignment="1">
      <alignment horizontal="center"/>
    </xf>
    <xf numFmtId="0" fontId="11" fillId="11" borderId="4" xfId="104" applyFont="1" applyFill="1" applyBorder="1" applyAlignment="1">
      <alignment horizontal="center"/>
    </xf>
    <xf numFmtId="0" fontId="43" fillId="12" borderId="0" xfId="142" applyFont="1" applyFill="1"/>
    <xf numFmtId="0" fontId="44" fillId="0" borderId="0" xfId="161" applyFont="1"/>
    <xf numFmtId="0" fontId="2" fillId="0" borderId="0" xfId="162" applyAlignment="1">
      <alignment horizontal="left"/>
    </xf>
    <xf numFmtId="0" fontId="44" fillId="33" borderId="0" xfId="162" applyFont="1" applyFill="1" applyAlignment="1">
      <alignment horizontal="center"/>
    </xf>
    <xf numFmtId="0" fontId="45" fillId="0" borderId="0" xfId="162" quotePrefix="1" applyFont="1" applyFill="1" applyBorder="1"/>
    <xf numFmtId="0" fontId="2" fillId="0" borderId="0" xfId="162"/>
    <xf numFmtId="0" fontId="2" fillId="0" borderId="0" xfId="162" applyAlignment="1">
      <alignment horizontal="center"/>
    </xf>
    <xf numFmtId="0" fontId="44" fillId="0" borderId="0" xfId="161" applyFont="1" applyFill="1" applyBorder="1"/>
    <xf numFmtId="0" fontId="46" fillId="0" borderId="0" xfId="161" applyFont="1" applyFill="1" applyBorder="1"/>
    <xf numFmtId="0" fontId="44" fillId="0" borderId="0" xfId="161" applyFont="1" applyAlignment="1">
      <alignment horizontal="center"/>
    </xf>
    <xf numFmtId="0" fontId="46" fillId="0" borderId="0" xfId="161" applyFont="1"/>
    <xf numFmtId="0" fontId="4" fillId="5" borderId="0" xfId="161" applyFont="1" applyFill="1"/>
    <xf numFmtId="0" fontId="4" fillId="5" borderId="0" xfId="161" applyFont="1" applyFill="1" applyAlignment="1">
      <alignment horizontal="center"/>
    </xf>
    <xf numFmtId="0" fontId="47" fillId="5" borderId="0" xfId="161" applyFont="1" applyFill="1" applyAlignment="1">
      <alignment horizontal="left" vertical="center"/>
    </xf>
    <xf numFmtId="0" fontId="44" fillId="0" borderId="0" xfId="162" applyFont="1"/>
    <xf numFmtId="0" fontId="44" fillId="0" borderId="0" xfId="162" applyFont="1" applyFill="1" applyBorder="1"/>
    <xf numFmtId="0" fontId="44" fillId="0" borderId="0" xfId="162" quotePrefix="1" applyFont="1" applyFill="1" applyBorder="1"/>
    <xf numFmtId="0" fontId="44" fillId="26" borderId="0" xfId="162" applyFont="1" applyFill="1"/>
    <xf numFmtId="0" fontId="48" fillId="0" borderId="0" xfId="162" applyFont="1" applyFill="1" applyBorder="1"/>
    <xf numFmtId="0" fontId="48" fillId="0" borderId="0" xfId="162" applyFont="1"/>
    <xf numFmtId="0" fontId="45" fillId="0" borderId="0" xfId="162" quotePrefix="1" applyFont="1"/>
    <xf numFmtId="0" fontId="44" fillId="34" borderId="0" xfId="162" applyFont="1" applyFill="1"/>
    <xf numFmtId="0" fontId="44" fillId="33" borderId="0" xfId="162" applyFont="1" applyFill="1"/>
    <xf numFmtId="0" fontId="4" fillId="5" borderId="0" xfId="161" applyFont="1" applyFill="1" applyAlignment="1">
      <alignment horizontal="left"/>
    </xf>
    <xf numFmtId="0" fontId="49" fillId="0" borderId="0" xfId="163" applyAlignment="1">
      <alignment horizontal="center" vertical="center"/>
    </xf>
    <xf numFmtId="0" fontId="49" fillId="0" borderId="0" xfId="163" applyAlignment="1">
      <alignment horizontal="left" vertical="center"/>
    </xf>
    <xf numFmtId="0" fontId="9" fillId="8" borderId="0" xfId="161" applyFont="1" applyFill="1" applyAlignment="1">
      <alignment vertical="center"/>
    </xf>
    <xf numFmtId="0" fontId="47" fillId="4" borderId="0" xfId="161" applyFont="1" applyFill="1" applyAlignment="1">
      <alignment vertical="center"/>
    </xf>
    <xf numFmtId="0" fontId="47" fillId="4" borderId="0" xfId="161" applyFont="1" applyFill="1" applyAlignment="1">
      <alignment horizontal="right" vertical="center"/>
    </xf>
    <xf numFmtId="0" fontId="0" fillId="4" borderId="0" xfId="0" applyFill="1" applyAlignment="1">
      <alignment vertical="center"/>
    </xf>
    <xf numFmtId="0" fontId="30" fillId="18" borderId="0" xfId="0" applyFont="1" applyFill="1" applyAlignment="1">
      <alignment horizontal="center" vertical="center"/>
    </xf>
    <xf numFmtId="0" fontId="30" fillId="18" borderId="21" xfId="0" applyFont="1" applyFill="1" applyBorder="1" applyAlignment="1">
      <alignment vertical="center"/>
    </xf>
    <xf numFmtId="0" fontId="50" fillId="18" borderId="21" xfId="0" applyFont="1" applyFill="1" applyBorder="1" applyAlignment="1">
      <alignment vertical="center"/>
    </xf>
    <xf numFmtId="0" fontId="30" fillId="18" borderId="0" xfId="0" applyFont="1" applyFill="1" applyBorder="1" applyAlignment="1">
      <alignment vertical="center"/>
    </xf>
    <xf numFmtId="0" fontId="50" fillId="18" borderId="0" xfId="0" applyFont="1" applyFill="1" applyBorder="1" applyAlignment="1">
      <alignment vertical="center"/>
    </xf>
    <xf numFmtId="0" fontId="37" fillId="18" borderId="0" xfId="0" applyFont="1" applyFill="1" applyBorder="1" applyAlignment="1">
      <alignment vertical="center"/>
    </xf>
    <xf numFmtId="0" fontId="37" fillId="18" borderId="0" xfId="0" applyFont="1" applyFill="1" applyAlignment="1">
      <alignment vertical="center"/>
    </xf>
    <xf numFmtId="9" fontId="30" fillId="18" borderId="0" xfId="0" applyNumberFormat="1" applyFont="1" applyFill="1" applyAlignment="1">
      <alignment vertical="center"/>
    </xf>
    <xf numFmtId="9" fontId="30" fillId="18" borderId="0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vertical="center"/>
    </xf>
    <xf numFmtId="9" fontId="30" fillId="18" borderId="0" xfId="140" applyFont="1" applyFill="1" applyBorder="1" applyAlignment="1">
      <alignment horizontal="center" vertical="center"/>
    </xf>
    <xf numFmtId="0" fontId="30" fillId="18" borderId="0" xfId="0" applyFont="1" applyFill="1" applyBorder="1" applyAlignment="1">
      <alignment horizontal="center" vertical="center"/>
    </xf>
    <xf numFmtId="185" fontId="30" fillId="18" borderId="0" xfId="164" applyNumberFormat="1" applyFont="1" applyFill="1" applyBorder="1" applyAlignment="1">
      <alignment horizontal="center" vertical="center"/>
    </xf>
    <xf numFmtId="0" fontId="52" fillId="18" borderId="0" xfId="0" applyFont="1" applyFill="1" applyAlignment="1">
      <alignment vertical="center"/>
    </xf>
    <xf numFmtId="0" fontId="39" fillId="9" borderId="0" xfId="0" applyFont="1" applyFill="1" applyAlignment="1">
      <alignment vertical="center"/>
    </xf>
    <xf numFmtId="0" fontId="30" fillId="18" borderId="0" xfId="0" applyFont="1" applyFill="1" applyAlignment="1">
      <alignment horizontal="right" vertical="center"/>
    </xf>
    <xf numFmtId="0" fontId="30" fillId="18" borderId="0" xfId="0" applyFont="1" applyFill="1" applyAlignment="1">
      <alignment horizontal="center" vertical="center"/>
    </xf>
    <xf numFmtId="0" fontId="30" fillId="35" borderId="0" xfId="0" applyFont="1" applyFill="1" applyAlignment="1">
      <alignment vertical="center"/>
    </xf>
    <xf numFmtId="0" fontId="50" fillId="18" borderId="0" xfId="0" applyFont="1" applyFill="1" applyAlignment="1">
      <alignment vertical="center"/>
    </xf>
    <xf numFmtId="0" fontId="50" fillId="18" borderId="0" xfId="0" applyFont="1" applyFill="1" applyAlignment="1">
      <alignment horizontal="center" vertical="center"/>
    </xf>
    <xf numFmtId="0" fontId="50" fillId="18" borderId="21" xfId="0" applyFont="1" applyFill="1" applyBorder="1" applyAlignment="1">
      <alignment horizontal="center" vertical="center"/>
    </xf>
    <xf numFmtId="0" fontId="50" fillId="18" borderId="21" xfId="0" applyFont="1" applyFill="1" applyBorder="1" applyAlignment="1">
      <alignment horizontal="center" vertical="center" wrapText="1"/>
    </xf>
    <xf numFmtId="0" fontId="30" fillId="18" borderId="5" xfId="0" applyFont="1" applyFill="1" applyBorder="1" applyAlignment="1">
      <alignment vertical="center"/>
    </xf>
    <xf numFmtId="0" fontId="30" fillId="18" borderId="6" xfId="0" applyFont="1" applyFill="1" applyBorder="1" applyAlignment="1">
      <alignment vertical="center"/>
    </xf>
    <xf numFmtId="0" fontId="30" fillId="18" borderId="7" xfId="0" applyFont="1" applyFill="1" applyBorder="1" applyAlignment="1">
      <alignment vertical="center"/>
    </xf>
    <xf numFmtId="0" fontId="30" fillId="18" borderId="8" xfId="0" applyFont="1" applyFill="1" applyBorder="1" applyAlignment="1">
      <alignment vertical="center"/>
    </xf>
    <xf numFmtId="0" fontId="30" fillId="18" borderId="9" xfId="0" applyFont="1" applyFill="1" applyBorder="1" applyAlignment="1">
      <alignment vertical="center"/>
    </xf>
    <xf numFmtId="0" fontId="30" fillId="18" borderId="10" xfId="0" applyFont="1" applyFill="1" applyBorder="1" applyAlignment="1">
      <alignment vertical="center"/>
    </xf>
    <xf numFmtId="0" fontId="30" fillId="18" borderId="11" xfId="0" applyFont="1" applyFill="1" applyBorder="1" applyAlignment="1">
      <alignment vertical="center"/>
    </xf>
    <xf numFmtId="0" fontId="30" fillId="18" borderId="12" xfId="0" applyFont="1" applyFill="1" applyBorder="1" applyAlignment="1">
      <alignment vertical="center"/>
    </xf>
    <xf numFmtId="0" fontId="0" fillId="18" borderId="0" xfId="0" applyFill="1"/>
    <xf numFmtId="0" fontId="30" fillId="18" borderId="21" xfId="0" applyFont="1" applyFill="1" applyBorder="1" applyAlignment="1">
      <alignment horizontal="center" vertical="center" wrapText="1"/>
    </xf>
    <xf numFmtId="0" fontId="0" fillId="18" borderId="0" xfId="0" applyFill="1" applyBorder="1"/>
    <xf numFmtId="0" fontId="30" fillId="36" borderId="0" xfId="0" applyFont="1" applyFill="1" applyAlignment="1">
      <alignment vertical="center"/>
    </xf>
    <xf numFmtId="0" fontId="30" fillId="35" borderId="0" xfId="0" applyFont="1" applyFill="1" applyAlignment="1">
      <alignment vertical="center" wrapText="1"/>
    </xf>
    <xf numFmtId="0" fontId="30" fillId="18" borderId="0" xfId="0" applyFont="1" applyFill="1" applyAlignment="1">
      <alignment vertical="top"/>
    </xf>
    <xf numFmtId="0" fontId="9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3" fillId="0" borderId="0" xfId="0" quotePrefix="1" applyFont="1" applyAlignment="1">
      <alignment vertical="center"/>
    </xf>
    <xf numFmtId="16" fontId="0" fillId="0" borderId="0" xfId="0" quotePrefix="1" applyNumberFormat="1" applyAlignment="1">
      <alignment horizontal="right" vertical="center"/>
    </xf>
    <xf numFmtId="0" fontId="30" fillId="18" borderId="0" xfId="0" applyFont="1" applyFill="1" applyAlignment="1">
      <alignment horizontal="right" vertical="center" wrapText="1"/>
    </xf>
    <xf numFmtId="0" fontId="0" fillId="0" borderId="0" xfId="0" quotePrefix="1" applyAlignment="1">
      <alignment horizontal="left" vertical="center"/>
    </xf>
    <xf numFmtId="0" fontId="0" fillId="0" borderId="0" xfId="0" quotePrefix="1" applyAlignment="1">
      <alignment horizontal="center" vertical="center"/>
    </xf>
    <xf numFmtId="0" fontId="50" fillId="18" borderId="0" xfId="0" applyFont="1" applyFill="1" applyAlignment="1">
      <alignment horizontal="center" vertical="center"/>
    </xf>
    <xf numFmtId="0" fontId="30" fillId="18" borderId="0" xfId="0" applyNumberFormat="1" applyFont="1" applyFill="1" applyAlignment="1">
      <alignment vertical="center"/>
    </xf>
    <xf numFmtId="0" fontId="30" fillId="18" borderId="0" xfId="0" applyFont="1" applyFill="1" applyAlignment="1">
      <alignment horizontal="center" vertical="center"/>
    </xf>
    <xf numFmtId="0" fontId="50" fillId="18" borderId="0" xfId="0" applyFont="1" applyFill="1" applyAlignment="1">
      <alignment horizontal="center" vertical="center"/>
    </xf>
    <xf numFmtId="0" fontId="30" fillId="38" borderId="0" xfId="0" applyFont="1" applyFill="1" applyAlignment="1">
      <alignment vertical="center"/>
    </xf>
    <xf numFmtId="0" fontId="6" fillId="38" borderId="0" xfId="0" applyFont="1" applyFill="1" applyAlignment="1">
      <alignment vertical="center"/>
    </xf>
    <xf numFmtId="0" fontId="6" fillId="36" borderId="0" xfId="0" applyFont="1" applyFill="1" applyAlignment="1">
      <alignment vertical="center"/>
    </xf>
    <xf numFmtId="0" fontId="6" fillId="18" borderId="0" xfId="0" applyFont="1" applyFill="1" applyAlignment="1">
      <alignment vertical="center"/>
    </xf>
    <xf numFmtId="0" fontId="30" fillId="32" borderId="0" xfId="0" applyFont="1" applyFill="1" applyAlignment="1">
      <alignment vertical="center"/>
    </xf>
    <xf numFmtId="0" fontId="30" fillId="3" borderId="25" xfId="0" applyFont="1" applyFill="1" applyBorder="1" applyAlignment="1">
      <alignment vertical="center"/>
    </xf>
    <xf numFmtId="0" fontId="30" fillId="38" borderId="26" xfId="0" applyFont="1" applyFill="1" applyBorder="1" applyAlignment="1">
      <alignment vertical="center"/>
    </xf>
    <xf numFmtId="0" fontId="30" fillId="38" borderId="27" xfId="0" applyFont="1" applyFill="1" applyBorder="1" applyAlignment="1">
      <alignment vertical="center"/>
    </xf>
    <xf numFmtId="0" fontId="6" fillId="38" borderId="27" xfId="0" applyFont="1" applyFill="1" applyBorder="1" applyAlignment="1">
      <alignment vertical="center"/>
    </xf>
    <xf numFmtId="0" fontId="5" fillId="36" borderId="0" xfId="0" applyFont="1" applyFill="1" applyAlignment="1">
      <alignment horizontal="left" vertical="center" indent="2"/>
    </xf>
    <xf numFmtId="0" fontId="5" fillId="38" borderId="27" xfId="0" applyFont="1" applyFill="1" applyBorder="1" applyAlignment="1">
      <alignment horizontal="left" vertical="center" indent="2"/>
    </xf>
    <xf numFmtId="0" fontId="56" fillId="9" borderId="0" xfId="0" applyFont="1" applyFill="1" applyAlignment="1">
      <alignment vertical="center"/>
    </xf>
    <xf numFmtId="0" fontId="30" fillId="18" borderId="0" xfId="0" applyFont="1" applyFill="1" applyAlignment="1">
      <alignment vertical="center" wrapText="1"/>
    </xf>
    <xf numFmtId="0" fontId="30" fillId="18" borderId="0" xfId="0" applyFont="1" applyFill="1" applyAlignment="1">
      <alignment horizontal="center" vertical="center" wrapText="1"/>
    </xf>
    <xf numFmtId="0" fontId="30" fillId="9" borderId="30" xfId="0" applyFont="1" applyFill="1" applyBorder="1" applyAlignment="1">
      <alignment vertical="top"/>
    </xf>
    <xf numFmtId="0" fontId="30" fillId="9" borderId="30" xfId="0" applyFont="1" applyFill="1" applyBorder="1" applyAlignment="1">
      <alignment vertical="center"/>
    </xf>
    <xf numFmtId="0" fontId="30" fillId="9" borderId="31" xfId="0" applyFont="1" applyFill="1" applyBorder="1" applyAlignment="1">
      <alignment vertical="center"/>
    </xf>
    <xf numFmtId="0" fontId="30" fillId="9" borderId="32" xfId="0" applyFont="1" applyFill="1" applyBorder="1" applyAlignment="1">
      <alignment vertical="top"/>
    </xf>
    <xf numFmtId="0" fontId="30" fillId="9" borderId="0" xfId="0" applyFont="1" applyFill="1" applyBorder="1" applyAlignment="1">
      <alignment vertical="top"/>
    </xf>
    <xf numFmtId="0" fontId="30" fillId="9" borderId="0" xfId="0" applyFont="1" applyFill="1" applyBorder="1" applyAlignment="1">
      <alignment vertical="center"/>
    </xf>
    <xf numFmtId="0" fontId="30" fillId="9" borderId="33" xfId="0" applyFont="1" applyFill="1" applyBorder="1" applyAlignment="1">
      <alignment vertical="center"/>
    </xf>
    <xf numFmtId="0" fontId="30" fillId="9" borderId="34" xfId="0" applyFont="1" applyFill="1" applyBorder="1" applyAlignment="1">
      <alignment vertical="top"/>
    </xf>
    <xf numFmtId="0" fontId="30" fillId="9" borderId="35" xfId="0" applyFont="1" applyFill="1" applyBorder="1" applyAlignment="1">
      <alignment vertical="top"/>
    </xf>
    <xf numFmtId="0" fontId="30" fillId="9" borderId="35" xfId="0" applyFont="1" applyFill="1" applyBorder="1" applyAlignment="1">
      <alignment vertical="center"/>
    </xf>
    <xf numFmtId="0" fontId="30" fillId="9" borderId="36" xfId="0" applyFont="1" applyFill="1" applyBorder="1" applyAlignment="1">
      <alignment vertical="center"/>
    </xf>
    <xf numFmtId="0" fontId="5" fillId="18" borderId="0" xfId="0" applyFont="1" applyFill="1" applyAlignment="1">
      <alignment horizontal="left" vertical="center" indent="2"/>
    </xf>
    <xf numFmtId="0" fontId="62" fillId="18" borderId="0" xfId="0" applyFont="1" applyFill="1" applyAlignment="1">
      <alignment horizontal="center" vertical="center"/>
    </xf>
    <xf numFmtId="0" fontId="6" fillId="36" borderId="28" xfId="0" applyFont="1" applyFill="1" applyBorder="1" applyAlignment="1">
      <alignment horizontal="center" vertical="center" wrapText="1"/>
    </xf>
    <xf numFmtId="0" fontId="6" fillId="36" borderId="28" xfId="0" applyFont="1" applyFill="1" applyBorder="1" applyAlignment="1">
      <alignment horizontal="center" vertical="center"/>
    </xf>
    <xf numFmtId="0" fontId="30" fillId="9" borderId="41" xfId="0" applyFont="1" applyFill="1" applyBorder="1" applyAlignment="1">
      <alignment vertical="center"/>
    </xf>
    <xf numFmtId="0" fontId="62" fillId="18" borderId="0" xfId="0" applyFont="1" applyFill="1" applyBorder="1" applyAlignment="1">
      <alignment horizontal="center" vertical="center"/>
    </xf>
    <xf numFmtId="0" fontId="30" fillId="9" borderId="21" xfId="0" applyFont="1" applyFill="1" applyBorder="1" applyAlignment="1">
      <alignment vertical="center"/>
    </xf>
    <xf numFmtId="0" fontId="60" fillId="9" borderId="0" xfId="0" applyFont="1" applyFill="1" applyBorder="1" applyAlignment="1">
      <alignment vertical="center"/>
    </xf>
    <xf numFmtId="0" fontId="30" fillId="9" borderId="0" xfId="0" applyFont="1" applyFill="1" applyBorder="1" applyAlignment="1"/>
    <xf numFmtId="0" fontId="57" fillId="39" borderId="28" xfId="0" applyFont="1" applyFill="1" applyBorder="1" applyAlignment="1">
      <alignment vertical="center"/>
    </xf>
    <xf numFmtId="0" fontId="30" fillId="9" borderId="43" xfId="0" applyFont="1" applyFill="1" applyBorder="1" applyAlignment="1">
      <alignment vertical="center"/>
    </xf>
    <xf numFmtId="0" fontId="30" fillId="9" borderId="44" xfId="0" applyFont="1" applyFill="1" applyBorder="1" applyAlignment="1">
      <alignment vertical="center"/>
    </xf>
    <xf numFmtId="0" fontId="30" fillId="9" borderId="44" xfId="0" applyFont="1" applyFill="1" applyBorder="1" applyAlignment="1">
      <alignment horizontal="center" vertical="center"/>
    </xf>
    <xf numFmtId="0" fontId="60" fillId="9" borderId="44" xfId="0" applyFont="1" applyFill="1" applyBorder="1" applyAlignment="1">
      <alignment horizontal="center" vertical="center"/>
    </xf>
    <xf numFmtId="0" fontId="60" fillId="9" borderId="44" xfId="0" applyFont="1" applyFill="1" applyBorder="1" applyAlignment="1">
      <alignment vertical="center"/>
    </xf>
    <xf numFmtId="0" fontId="30" fillId="9" borderId="45" xfId="0" applyFont="1" applyFill="1" applyBorder="1" applyAlignment="1">
      <alignment horizontal="center" vertical="center"/>
    </xf>
    <xf numFmtId="0" fontId="37" fillId="9" borderId="47" xfId="0" applyFont="1" applyFill="1" applyBorder="1" applyAlignment="1">
      <alignment vertical="center"/>
    </xf>
    <xf numFmtId="0" fontId="30" fillId="9" borderId="48" xfId="0" applyFont="1" applyFill="1" applyBorder="1" applyAlignment="1">
      <alignment vertical="center"/>
    </xf>
    <xf numFmtId="0" fontId="30" fillId="9" borderId="49" xfId="0" applyFont="1" applyFill="1" applyBorder="1" applyAlignment="1">
      <alignment vertical="center"/>
    </xf>
    <xf numFmtId="0" fontId="30" fillId="9" borderId="50" xfId="0" applyFont="1" applyFill="1" applyBorder="1" applyAlignment="1">
      <alignment vertical="center"/>
    </xf>
    <xf numFmtId="0" fontId="30" fillId="9" borderId="45" xfId="0" applyFont="1" applyFill="1" applyBorder="1" applyAlignment="1">
      <alignment vertical="center"/>
    </xf>
    <xf numFmtId="0" fontId="30" fillId="9" borderId="46" xfId="0" applyFont="1" applyFill="1" applyBorder="1" applyAlignment="1">
      <alignment vertical="center"/>
    </xf>
    <xf numFmtId="0" fontId="30" fillId="9" borderId="47" xfId="0" applyFont="1" applyFill="1" applyBorder="1" applyAlignment="1">
      <alignment vertical="center"/>
    </xf>
    <xf numFmtId="0" fontId="60" fillId="18" borderId="40" xfId="0" applyFont="1" applyFill="1" applyBorder="1" applyAlignment="1">
      <alignment horizontal="center" vertical="center"/>
    </xf>
    <xf numFmtId="0" fontId="30" fillId="3" borderId="54" xfId="0" applyFont="1" applyFill="1" applyBorder="1" applyAlignment="1">
      <alignment vertical="center"/>
    </xf>
    <xf numFmtId="0" fontId="0" fillId="3" borderId="54" xfId="0" applyFill="1" applyBorder="1"/>
    <xf numFmtId="0" fontId="5" fillId="38" borderId="0" xfId="0" applyFont="1" applyFill="1" applyAlignment="1">
      <alignment vertical="center"/>
    </xf>
    <xf numFmtId="0" fontId="58" fillId="9" borderId="29" xfId="0" applyFont="1" applyFill="1" applyBorder="1" applyAlignment="1">
      <alignment vertical="top"/>
    </xf>
    <xf numFmtId="0" fontId="5" fillId="38" borderId="0" xfId="0" applyFont="1" applyFill="1" applyAlignment="1">
      <alignment horizontal="left" vertical="center" indent="3"/>
    </xf>
    <xf numFmtId="0" fontId="62" fillId="18" borderId="0" xfId="0" applyFont="1" applyFill="1" applyAlignment="1">
      <alignment horizontal="right" vertical="center" wrapText="1"/>
    </xf>
    <xf numFmtId="0" fontId="30" fillId="9" borderId="55" xfId="0" applyFont="1" applyFill="1" applyBorder="1" applyAlignment="1">
      <alignment vertical="center"/>
    </xf>
    <xf numFmtId="0" fontId="54" fillId="9" borderId="41" xfId="0" applyFont="1" applyFill="1" applyBorder="1" applyAlignment="1">
      <alignment vertical="center"/>
    </xf>
    <xf numFmtId="0" fontId="55" fillId="9" borderId="41" xfId="0" applyFont="1" applyFill="1" applyBorder="1" applyAlignment="1">
      <alignment vertical="center"/>
    </xf>
    <xf numFmtId="0" fontId="50" fillId="9" borderId="41" xfId="0" applyFont="1" applyFill="1" applyBorder="1" applyAlignment="1">
      <alignment horizontal="center" vertical="center"/>
    </xf>
    <xf numFmtId="9" fontId="30" fillId="9" borderId="0" xfId="0" applyNumberFormat="1" applyFont="1" applyFill="1" applyBorder="1" applyAlignment="1">
      <alignment horizontal="center" vertical="center"/>
    </xf>
    <xf numFmtId="0" fontId="30" fillId="18" borderId="0" xfId="0" quotePrefix="1" applyNumberFormat="1" applyFont="1" applyFill="1" applyBorder="1" applyAlignment="1">
      <alignment vertical="center"/>
    </xf>
    <xf numFmtId="14" fontId="30" fillId="18" borderId="0" xfId="0" quotePrefix="1" applyNumberFormat="1" applyFont="1" applyFill="1" applyBorder="1" applyAlignment="1">
      <alignment vertical="center"/>
    </xf>
    <xf numFmtId="0" fontId="6" fillId="36" borderId="56" xfId="0" applyFont="1" applyFill="1" applyBorder="1" applyAlignment="1">
      <alignment horizontal="center" vertical="center"/>
    </xf>
    <xf numFmtId="0" fontId="4" fillId="36" borderId="56" xfId="0" applyFont="1" applyFill="1" applyBorder="1" applyAlignment="1">
      <alignment horizontal="center" vertical="center"/>
    </xf>
    <xf numFmtId="0" fontId="6" fillId="36" borderId="56" xfId="0" quotePrefix="1" applyNumberFormat="1" applyFont="1" applyFill="1" applyBorder="1" applyAlignment="1">
      <alignment horizontal="center" vertical="center"/>
    </xf>
    <xf numFmtId="9" fontId="6" fillId="36" borderId="56" xfId="0" applyNumberFormat="1" applyFont="1" applyFill="1" applyBorder="1" applyAlignment="1">
      <alignment horizontal="center" vertical="center"/>
    </xf>
    <xf numFmtId="9" fontId="63" fillId="18" borderId="0" xfId="0" applyNumberFormat="1" applyFont="1" applyFill="1" applyBorder="1" applyAlignment="1">
      <alignment horizontal="center" vertical="center"/>
    </xf>
    <xf numFmtId="0" fontId="30" fillId="18" borderId="57" xfId="0" applyFont="1" applyFill="1" applyBorder="1" applyAlignment="1">
      <alignment vertical="center"/>
    </xf>
    <xf numFmtId="0" fontId="30" fillId="18" borderId="57" xfId="0" applyFont="1" applyFill="1" applyBorder="1" applyAlignment="1">
      <alignment horizontal="left" vertical="center"/>
    </xf>
    <xf numFmtId="0" fontId="52" fillId="18" borderId="57" xfId="0" applyFont="1" applyFill="1" applyBorder="1" applyAlignment="1">
      <alignment vertical="center"/>
    </xf>
    <xf numFmtId="0" fontId="30" fillId="18" borderId="58" xfId="0" applyFont="1" applyFill="1" applyBorder="1" applyAlignment="1">
      <alignment vertical="center"/>
    </xf>
    <xf numFmtId="0" fontId="30" fillId="9" borderId="21" xfId="0" applyFont="1" applyFill="1" applyBorder="1" applyAlignment="1">
      <alignment horizontal="center" vertical="center" wrapText="1"/>
    </xf>
    <xf numFmtId="0" fontId="0" fillId="9" borderId="0" xfId="0" applyFill="1"/>
    <xf numFmtId="0" fontId="62" fillId="18" borderId="0" xfId="0" applyFont="1" applyFill="1" applyBorder="1" applyAlignment="1">
      <alignment horizontal="left" vertical="center" indent="3"/>
    </xf>
    <xf numFmtId="0" fontId="62" fillId="18" borderId="59" xfId="0" applyFont="1" applyFill="1" applyBorder="1" applyAlignment="1">
      <alignment vertical="center"/>
    </xf>
    <xf numFmtId="0" fontId="59" fillId="18" borderId="59" xfId="0" applyFont="1" applyFill="1" applyBorder="1" applyAlignment="1">
      <alignment vertical="center"/>
    </xf>
    <xf numFmtId="0" fontId="50" fillId="18" borderId="21" xfId="0" applyFont="1" applyFill="1" applyBorder="1" applyAlignment="1">
      <alignment horizontal="left" vertical="center" wrapText="1" indent="3"/>
    </xf>
    <xf numFmtId="0" fontId="30" fillId="18" borderId="57" xfId="0" applyFont="1" applyFill="1" applyBorder="1" applyAlignment="1">
      <alignment horizontal="left" vertical="center" wrapText="1"/>
    </xf>
    <xf numFmtId="0" fontId="63" fillId="18" borderId="0" xfId="164" applyNumberFormat="1" applyFont="1" applyFill="1" applyBorder="1" applyAlignment="1">
      <alignment horizontal="center" vertical="center"/>
    </xf>
    <xf numFmtId="9" fontId="63" fillId="18" borderId="0" xfId="140" applyFont="1" applyFill="1" applyBorder="1" applyAlignment="1">
      <alignment horizontal="center" vertical="center"/>
    </xf>
    <xf numFmtId="0" fontId="64" fillId="18" borderId="59" xfId="0" applyFont="1" applyFill="1" applyBorder="1" applyAlignment="1">
      <alignment horizontal="center" vertical="center"/>
    </xf>
    <xf numFmtId="0" fontId="62" fillId="18" borderId="59" xfId="0" applyFont="1" applyFill="1" applyBorder="1" applyAlignment="1">
      <alignment horizontal="center" vertical="center"/>
    </xf>
    <xf numFmtId="0" fontId="65" fillId="18" borderId="59" xfId="0" applyFont="1" applyFill="1" applyBorder="1" applyAlignment="1">
      <alignment horizontal="center" vertical="center"/>
    </xf>
    <xf numFmtId="0" fontId="66" fillId="18" borderId="59" xfId="0" applyFont="1" applyFill="1" applyBorder="1" applyAlignment="1">
      <alignment horizontal="center" vertical="center"/>
    </xf>
    <xf numFmtId="0" fontId="61" fillId="18" borderId="59" xfId="0" applyFont="1" applyFill="1" applyBorder="1" applyAlignment="1">
      <alignment horizontal="center" vertical="center"/>
    </xf>
    <xf numFmtId="0" fontId="62" fillId="18" borderId="0" xfId="0" applyFont="1" applyFill="1" applyBorder="1" applyAlignment="1">
      <alignment vertical="center"/>
    </xf>
    <xf numFmtId="0" fontId="30" fillId="18" borderId="57" xfId="0" applyFont="1" applyFill="1" applyBorder="1" applyAlignment="1">
      <alignment horizontal="right" vertical="center"/>
    </xf>
    <xf numFmtId="0" fontId="6" fillId="7" borderId="56" xfId="0" applyNumberFormat="1" applyFont="1" applyFill="1" applyBorder="1" applyAlignment="1">
      <alignment horizontal="center" vertical="center"/>
    </xf>
    <xf numFmtId="9" fontId="6" fillId="7" borderId="56" xfId="0" applyNumberFormat="1" applyFont="1" applyFill="1" applyBorder="1" applyAlignment="1">
      <alignment horizontal="center" vertical="center"/>
    </xf>
    <xf numFmtId="9" fontId="6" fillId="37" borderId="56" xfId="0" applyNumberFormat="1" applyFont="1" applyFill="1" applyBorder="1" applyAlignment="1">
      <alignment horizontal="center" vertical="center"/>
    </xf>
    <xf numFmtId="0" fontId="6" fillId="37" borderId="56" xfId="0" applyNumberFormat="1" applyFont="1" applyFill="1" applyBorder="1" applyAlignment="1">
      <alignment horizontal="center" vertical="center"/>
    </xf>
    <xf numFmtId="9" fontId="6" fillId="27" borderId="56" xfId="0" applyNumberFormat="1" applyFont="1" applyFill="1" applyBorder="1" applyAlignment="1">
      <alignment horizontal="center" vertical="center"/>
    </xf>
    <xf numFmtId="0" fontId="6" fillId="27" borderId="56" xfId="0" applyNumberFormat="1" applyFont="1" applyFill="1" applyBorder="1" applyAlignment="1">
      <alignment horizontal="center" vertical="center"/>
    </xf>
    <xf numFmtId="9" fontId="6" fillId="2" borderId="56" xfId="0" applyNumberFormat="1" applyFont="1" applyFill="1" applyBorder="1" applyAlignment="1">
      <alignment horizontal="center" vertical="center"/>
    </xf>
    <xf numFmtId="0" fontId="6" fillId="2" borderId="56" xfId="0" applyNumberFormat="1" applyFont="1" applyFill="1" applyBorder="1" applyAlignment="1">
      <alignment horizontal="center" vertical="center"/>
    </xf>
    <xf numFmtId="9" fontId="64" fillId="18" borderId="0" xfId="0" applyNumberFormat="1" applyFont="1" applyFill="1" applyBorder="1" applyAlignment="1">
      <alignment horizontal="center" vertical="center"/>
    </xf>
    <xf numFmtId="9" fontId="61" fillId="18" borderId="0" xfId="0" applyNumberFormat="1" applyFont="1" applyFill="1" applyBorder="1" applyAlignment="1">
      <alignment horizontal="center" vertical="center"/>
    </xf>
    <xf numFmtId="9" fontId="65" fillId="18" borderId="0" xfId="0" applyNumberFormat="1" applyFont="1" applyFill="1" applyBorder="1" applyAlignment="1">
      <alignment horizontal="center" vertical="center"/>
    </xf>
    <xf numFmtId="9" fontId="66" fillId="18" borderId="0" xfId="0" applyNumberFormat="1" applyFont="1" applyFill="1" applyBorder="1" applyAlignment="1">
      <alignment horizontal="center" vertical="center"/>
    </xf>
    <xf numFmtId="0" fontId="0" fillId="9" borderId="41" xfId="0" applyFill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3" borderId="60" xfId="0" applyFill="1" applyBorder="1" applyAlignment="1">
      <alignment horizontal="center" vertical="center"/>
    </xf>
    <xf numFmtId="0" fontId="67" fillId="36" borderId="56" xfId="0" applyFont="1" applyFill="1" applyBorder="1" applyAlignment="1" applyProtection="1">
      <alignment horizontal="center" vertical="center"/>
      <protection locked="0"/>
    </xf>
    <xf numFmtId="0" fontId="30" fillId="18" borderId="0" xfId="0" applyFont="1" applyFill="1" applyAlignment="1">
      <alignment horizontal="right" vertical="center" indent="1"/>
    </xf>
    <xf numFmtId="0" fontId="30" fillId="18" borderId="0" xfId="0" applyFont="1" applyFill="1" applyAlignment="1">
      <alignment horizontal="center" vertical="center"/>
    </xf>
    <xf numFmtId="0" fontId="39" fillId="9" borderId="0" xfId="0" applyFont="1" applyFill="1" applyAlignment="1">
      <alignment horizontal="left" vertical="center"/>
    </xf>
    <xf numFmtId="0" fontId="50" fillId="18" borderId="0" xfId="0" applyFont="1" applyFill="1" applyAlignment="1">
      <alignment horizontal="center" vertical="center"/>
    </xf>
    <xf numFmtId="0" fontId="57" fillId="39" borderId="37" xfId="0" applyFont="1" applyFill="1" applyBorder="1" applyAlignment="1">
      <alignment vertical="center" wrapText="1"/>
    </xf>
    <xf numFmtId="0" fontId="57" fillId="39" borderId="38" xfId="0" applyFont="1" applyFill="1" applyBorder="1" applyAlignment="1">
      <alignment vertical="center" wrapText="1"/>
    </xf>
    <xf numFmtId="0" fontId="57" fillId="39" borderId="39" xfId="0" applyFont="1" applyFill="1" applyBorder="1" applyAlignment="1">
      <alignment vertical="center" wrapText="1"/>
    </xf>
    <xf numFmtId="0" fontId="57" fillId="39" borderId="38" xfId="0" applyFont="1" applyFill="1" applyBorder="1" applyAlignment="1">
      <alignment vertical="top" wrapText="1"/>
    </xf>
    <xf numFmtId="0" fontId="57" fillId="39" borderId="39" xfId="0" applyFont="1" applyFill="1" applyBorder="1" applyAlignment="1">
      <alignment vertical="top" wrapText="1"/>
    </xf>
    <xf numFmtId="0" fontId="47" fillId="4" borderId="0" xfId="112" applyFont="1" applyFill="1"/>
    <xf numFmtId="0" fontId="4" fillId="4" borderId="0" xfId="112" applyFont="1" applyFill="1"/>
    <xf numFmtId="0" fontId="34" fillId="0" borderId="0" xfId="165" applyFont="1"/>
    <xf numFmtId="0" fontId="34" fillId="0" borderId="0" xfId="165" applyFont="1" applyFill="1" applyBorder="1"/>
    <xf numFmtId="0" fontId="68" fillId="0" borderId="0" xfId="163" applyFont="1" applyAlignment="1">
      <alignment horizontal="left" vertical="center"/>
    </xf>
    <xf numFmtId="0" fontId="68" fillId="0" borderId="0" xfId="163" applyFont="1" applyAlignment="1">
      <alignment horizontal="center" vertical="center"/>
    </xf>
    <xf numFmtId="0" fontId="34" fillId="0" borderId="0" xfId="112" applyFont="1"/>
    <xf numFmtId="0" fontId="4" fillId="5" borderId="0" xfId="112" applyFont="1" applyFill="1" applyAlignment="1">
      <alignment horizontal="left"/>
    </xf>
    <xf numFmtId="0" fontId="4" fillId="5" borderId="0" xfId="112" applyFont="1" applyFill="1"/>
    <xf numFmtId="0" fontId="4" fillId="5" borderId="0" xfId="112" applyFont="1" applyFill="1" applyAlignment="1">
      <alignment horizontal="center"/>
    </xf>
    <xf numFmtId="0" fontId="9" fillId="0" borderId="0" xfId="112" applyFont="1"/>
    <xf numFmtId="0" fontId="69" fillId="0" borderId="0" xfId="112" applyFont="1"/>
    <xf numFmtId="0" fontId="34" fillId="40" borderId="0" xfId="112" applyFont="1" applyFill="1"/>
    <xf numFmtId="0" fontId="42" fillId="0" borderId="0" xfId="112" quotePrefix="1" applyFont="1"/>
    <xf numFmtId="0" fontId="34" fillId="6" borderId="0" xfId="112" applyFont="1" applyFill="1"/>
    <xf numFmtId="0" fontId="4" fillId="41" borderId="0" xfId="112" applyFont="1" applyFill="1"/>
    <xf numFmtId="0" fontId="4" fillId="42" borderId="0" xfId="112" applyFont="1" applyFill="1"/>
    <xf numFmtId="0" fontId="35" fillId="4" borderId="0" xfId="112" applyFont="1" applyFill="1"/>
    <xf numFmtId="0" fontId="6" fillId="4" borderId="0" xfId="112" applyFont="1" applyFill="1"/>
    <xf numFmtId="0" fontId="30" fillId="0" borderId="0" xfId="112" applyFont="1" applyFill="1"/>
    <xf numFmtId="0" fontId="30" fillId="6" borderId="0" xfId="112" applyFont="1" applyFill="1" applyAlignment="1"/>
    <xf numFmtId="0" fontId="30" fillId="0" borderId="0" xfId="112" applyFont="1" applyFill="1" applyAlignment="1"/>
    <xf numFmtId="0" fontId="57" fillId="0" borderId="0" xfId="112" applyFont="1" applyFill="1"/>
    <xf numFmtId="0" fontId="31" fillId="0" borderId="0" xfId="112" applyFont="1" applyFill="1"/>
    <xf numFmtId="0" fontId="30" fillId="0" borderId="0" xfId="112" applyFont="1" applyFill="1" applyAlignment="1">
      <alignment horizontal="left"/>
    </xf>
    <xf numFmtId="0" fontId="30" fillId="40" borderId="19" xfId="112" applyFont="1" applyFill="1" applyBorder="1" applyAlignment="1">
      <alignment horizontal="center"/>
    </xf>
    <xf numFmtId="0" fontId="50" fillId="0" borderId="0" xfId="112" applyFont="1" applyFill="1"/>
    <xf numFmtId="0" fontId="30" fillId="40" borderId="15" xfId="112" applyFont="1" applyFill="1" applyBorder="1"/>
    <xf numFmtId="0" fontId="6" fillId="42" borderId="15" xfId="112" applyFont="1" applyFill="1" applyBorder="1" applyAlignment="1">
      <alignment horizontal="center"/>
    </xf>
    <xf numFmtId="0" fontId="30" fillId="6" borderId="15" xfId="112" applyFont="1" applyFill="1" applyBorder="1" applyAlignment="1">
      <alignment horizontal="center"/>
    </xf>
    <xf numFmtId="0" fontId="30" fillId="40" borderId="22" xfId="112" applyFont="1" applyFill="1" applyBorder="1"/>
    <xf numFmtId="0" fontId="6" fillId="42" borderId="22" xfId="112" applyFont="1" applyFill="1" applyBorder="1" applyAlignment="1">
      <alignment horizontal="center"/>
    </xf>
    <xf numFmtId="0" fontId="30" fillId="6" borderId="22" xfId="112" applyFont="1" applyFill="1" applyBorder="1" applyAlignment="1">
      <alignment horizontal="center"/>
    </xf>
    <xf numFmtId="0" fontId="30" fillId="40" borderId="23" xfId="112" applyFont="1" applyFill="1" applyBorder="1"/>
    <xf numFmtId="0" fontId="6" fillId="42" borderId="23" xfId="112" applyFont="1" applyFill="1" applyBorder="1" applyAlignment="1">
      <alignment horizontal="center"/>
    </xf>
    <xf numFmtId="0" fontId="30" fillId="6" borderId="23" xfId="112" applyFont="1" applyFill="1" applyBorder="1" applyAlignment="1">
      <alignment horizontal="center"/>
    </xf>
    <xf numFmtId="0" fontId="30" fillId="9" borderId="0" xfId="112" applyFont="1" applyFill="1"/>
    <xf numFmtId="0" fontId="30" fillId="6" borderId="19" xfId="112" applyFont="1" applyFill="1" applyBorder="1"/>
    <xf numFmtId="0" fontId="30" fillId="9" borderId="15" xfId="112" applyFont="1" applyFill="1" applyBorder="1" applyAlignment="1">
      <alignment horizontal="left"/>
    </xf>
    <xf numFmtId="0" fontId="30" fillId="9" borderId="15" xfId="112" applyFont="1" applyFill="1" applyBorder="1"/>
    <xf numFmtId="0" fontId="30" fillId="9" borderId="22" xfId="112" applyFont="1" applyFill="1" applyBorder="1" applyAlignment="1">
      <alignment horizontal="left"/>
    </xf>
    <xf numFmtId="0" fontId="30" fillId="9" borderId="22" xfId="112" applyFont="1" applyFill="1" applyBorder="1"/>
    <xf numFmtId="0" fontId="30" fillId="9" borderId="23" xfId="112" applyFont="1" applyFill="1" applyBorder="1" applyAlignment="1">
      <alignment horizontal="left"/>
    </xf>
    <xf numFmtId="0" fontId="30" fillId="9" borderId="23" xfId="112" applyFont="1" applyFill="1" applyBorder="1"/>
    <xf numFmtId="0" fontId="30" fillId="0" borderId="0" xfId="112" applyFont="1"/>
    <xf numFmtId="0" fontId="30" fillId="18" borderId="0" xfId="0" applyFont="1" applyFill="1" applyBorder="1" applyAlignment="1">
      <alignment vertical="top"/>
    </xf>
    <xf numFmtId="0" fontId="30" fillId="18" borderId="0" xfId="0" applyFont="1" applyFill="1" applyAlignment="1">
      <alignment vertical="top" wrapText="1"/>
    </xf>
    <xf numFmtId="0" fontId="30" fillId="18" borderId="28" xfId="0" applyFont="1" applyFill="1" applyBorder="1" applyAlignment="1">
      <alignment horizontal="center" vertical="center"/>
    </xf>
    <xf numFmtId="0" fontId="30" fillId="18" borderId="28" xfId="0" applyFont="1" applyFill="1" applyBorder="1" applyAlignment="1">
      <alignment horizontal="center" vertical="center" wrapText="1"/>
    </xf>
    <xf numFmtId="17" fontId="30" fillId="18" borderId="28" xfId="0" applyNumberFormat="1" applyFont="1" applyFill="1" applyBorder="1" applyAlignment="1">
      <alignment horizontal="center" vertical="center"/>
    </xf>
    <xf numFmtId="0" fontId="30" fillId="35" borderId="0" xfId="0" applyFont="1" applyFill="1" applyAlignment="1">
      <alignment horizontal="center" vertical="center"/>
    </xf>
    <xf numFmtId="0" fontId="66" fillId="18" borderId="0" xfId="0" applyFont="1" applyFill="1" applyAlignment="1">
      <alignment vertical="center"/>
    </xf>
    <xf numFmtId="0" fontId="70" fillId="18" borderId="0" xfId="0" applyFont="1" applyFill="1" applyAlignment="1">
      <alignment vertical="center"/>
    </xf>
    <xf numFmtId="0" fontId="0" fillId="19" borderId="19" xfId="0" applyFill="1" applyBorder="1" applyAlignment="1">
      <alignment horizontal="center" vertical="center"/>
    </xf>
    <xf numFmtId="0" fontId="61" fillId="18" borderId="0" xfId="0" applyNumberFormat="1" applyFont="1" applyFill="1" applyBorder="1" applyAlignment="1">
      <alignment horizontal="center" vertical="center"/>
    </xf>
    <xf numFmtId="0" fontId="64" fillId="18" borderId="0" xfId="0" applyNumberFormat="1" applyFont="1" applyFill="1" applyBorder="1" applyAlignment="1">
      <alignment horizontal="center" vertical="center"/>
    </xf>
    <xf numFmtId="0" fontId="65" fillId="18" borderId="0" xfId="0" applyNumberFormat="1" applyFont="1" applyFill="1" applyBorder="1" applyAlignment="1">
      <alignment horizontal="center" vertical="center"/>
    </xf>
    <xf numFmtId="0" fontId="66" fillId="18" borderId="0" xfId="0" applyNumberFormat="1" applyFont="1" applyFill="1" applyBorder="1" applyAlignment="1">
      <alignment horizontal="center" vertical="center"/>
    </xf>
    <xf numFmtId="0" fontId="30" fillId="18" borderId="0" xfId="0" applyNumberFormat="1" applyFont="1" applyFill="1" applyBorder="1" applyAlignment="1">
      <alignment horizontal="center" vertical="center"/>
    </xf>
    <xf numFmtId="0" fontId="30" fillId="18" borderId="0" xfId="0" applyFont="1" applyFill="1" applyAlignment="1">
      <alignment horizontal="center" vertical="center"/>
    </xf>
    <xf numFmtId="0" fontId="50" fillId="18" borderId="0" xfId="0" applyFont="1" applyFill="1" applyAlignment="1">
      <alignment horizontal="center" vertical="center"/>
    </xf>
    <xf numFmtId="0" fontId="39" fillId="9" borderId="0" xfId="0" applyFont="1" applyFill="1" applyAlignment="1">
      <alignment horizontal="left" vertical="center"/>
    </xf>
    <xf numFmtId="0" fontId="30" fillId="18" borderId="0" xfId="0" applyFont="1" applyFill="1" applyAlignment="1">
      <alignment horizontal="center" vertical="center"/>
    </xf>
    <xf numFmtId="0" fontId="50" fillId="18" borderId="0" xfId="0" applyFont="1" applyFill="1" applyAlignment="1">
      <alignment horizontal="center" vertical="center"/>
    </xf>
    <xf numFmtId="0" fontId="39" fillId="9" borderId="0" xfId="0" applyFont="1" applyFill="1" applyAlignment="1">
      <alignment horizontal="left" vertical="center"/>
    </xf>
    <xf numFmtId="0" fontId="50" fillId="9" borderId="41" xfId="0" applyFont="1" applyFill="1" applyBorder="1" applyAlignment="1">
      <alignment vertical="center"/>
    </xf>
    <xf numFmtId="0" fontId="63" fillId="18" borderId="0" xfId="140" applyNumberFormat="1" applyFont="1" applyFill="1" applyBorder="1" applyAlignment="1">
      <alignment horizontal="center" vertical="center"/>
    </xf>
    <xf numFmtId="14" fontId="30" fillId="18" borderId="0" xfId="0" applyNumberFormat="1" applyFont="1" applyFill="1" applyAlignment="1">
      <alignment horizontal="center" vertical="center"/>
    </xf>
    <xf numFmtId="0" fontId="50" fillId="18" borderId="0" xfId="0" applyFont="1" applyFill="1" applyAlignment="1">
      <alignment horizontal="center" vertical="top"/>
    </xf>
    <xf numFmtId="0" fontId="30" fillId="18" borderId="0" xfId="0" applyFont="1" applyFill="1" applyBorder="1" applyAlignment="1">
      <alignment horizontal="center" vertical="top"/>
    </xf>
    <xf numFmtId="0" fontId="50" fillId="18" borderId="0" xfId="0" applyFont="1" applyFill="1" applyBorder="1" applyAlignment="1">
      <alignment horizontal="center" vertical="top"/>
    </xf>
    <xf numFmtId="0" fontId="9" fillId="18" borderId="0" xfId="0" applyFont="1" applyFill="1" applyAlignment="1">
      <alignment horizontal="right" vertical="center"/>
    </xf>
    <xf numFmtId="18" fontId="30" fillId="18" borderId="0" xfId="0" applyNumberFormat="1" applyFont="1" applyFill="1" applyBorder="1" applyAlignment="1">
      <alignment horizontal="center" vertical="center"/>
    </xf>
    <xf numFmtId="0" fontId="30" fillId="18" borderId="0" xfId="0" applyFont="1" applyFill="1" applyBorder="1" applyAlignment="1">
      <alignment horizontal="left" vertical="center"/>
    </xf>
    <xf numFmtId="0" fontId="63" fillId="18" borderId="0" xfId="0" applyFont="1" applyFill="1" applyAlignment="1">
      <alignment vertical="center"/>
    </xf>
    <xf numFmtId="0" fontId="72" fillId="18" borderId="21" xfId="0" applyFont="1" applyFill="1" applyBorder="1" applyAlignment="1">
      <alignment vertical="center"/>
    </xf>
    <xf numFmtId="0" fontId="50" fillId="18" borderId="0" xfId="0" applyFont="1" applyFill="1" applyAlignment="1">
      <alignment horizontal="center" vertical="center"/>
    </xf>
    <xf numFmtId="0" fontId="0" fillId="18" borderId="0" xfId="0" applyFont="1" applyFill="1" applyAlignment="1">
      <alignment vertical="top" wrapText="1"/>
    </xf>
    <xf numFmtId="0" fontId="73" fillId="9" borderId="41" xfId="0" applyFont="1" applyFill="1" applyBorder="1" applyAlignment="1">
      <alignment vertical="center"/>
    </xf>
    <xf numFmtId="0" fontId="0" fillId="19" borderId="0" xfId="0" applyFill="1"/>
    <xf numFmtId="0" fontId="0" fillId="37" borderId="0" xfId="0" applyFill="1"/>
    <xf numFmtId="0" fontId="30" fillId="18" borderId="0" xfId="0" applyFont="1" applyFill="1" applyBorder="1" applyAlignment="1">
      <alignment horizontal="right" vertical="center"/>
    </xf>
    <xf numFmtId="0" fontId="30" fillId="18" borderId="0" xfId="0" applyFont="1" applyFill="1" applyBorder="1" applyAlignment="1">
      <alignment horizontal="center" vertical="center" wrapText="1"/>
    </xf>
    <xf numFmtId="0" fontId="36" fillId="18" borderId="0" xfId="0" applyFont="1" applyFill="1" applyBorder="1" applyAlignment="1">
      <alignment horizontal="right" vertical="center"/>
    </xf>
    <xf numFmtId="0" fontId="30" fillId="18" borderId="0" xfId="0" applyFont="1" applyFill="1" applyBorder="1" applyAlignment="1">
      <alignment vertical="center" wrapText="1"/>
    </xf>
    <xf numFmtId="0" fontId="30" fillId="18" borderId="0" xfId="0" applyFont="1" applyFill="1" applyBorder="1" applyAlignment="1">
      <alignment horizontal="left" vertical="top"/>
    </xf>
    <xf numFmtId="0" fontId="50" fillId="18" borderId="0" xfId="0" applyFont="1" applyFill="1" applyAlignment="1">
      <alignment horizontal="left" vertical="center" wrapText="1"/>
    </xf>
    <xf numFmtId="0" fontId="50" fillId="18" borderId="0" xfId="0" applyFont="1" applyFill="1" applyAlignment="1">
      <alignment horizontal="right" vertical="center" wrapText="1"/>
    </xf>
    <xf numFmtId="0" fontId="50" fillId="18" borderId="0" xfId="0" applyFont="1" applyFill="1" applyAlignment="1">
      <alignment horizontal="right" vertical="center"/>
    </xf>
    <xf numFmtId="0" fontId="50" fillId="18" borderId="0" xfId="0" applyFont="1" applyFill="1" applyBorder="1" applyAlignment="1">
      <alignment horizontal="left" vertical="center"/>
    </xf>
    <xf numFmtId="0" fontId="50" fillId="18" borderId="0" xfId="0" applyFont="1" applyFill="1" applyBorder="1" applyAlignment="1">
      <alignment horizontal="right" vertical="center" wrapText="1"/>
    </xf>
    <xf numFmtId="0" fontId="50" fillId="18" borderId="0" xfId="0" applyFont="1" applyFill="1" applyBorder="1" applyAlignment="1">
      <alignment horizontal="right" vertical="center"/>
    </xf>
    <xf numFmtId="0" fontId="36" fillId="18" borderId="0" xfId="0" applyFont="1" applyFill="1" applyBorder="1" applyAlignment="1">
      <alignment horizontal="left" vertical="center"/>
    </xf>
    <xf numFmtId="0" fontId="36" fillId="18" borderId="0" xfId="0" applyFont="1" applyFill="1" applyAlignment="1">
      <alignment vertical="center" wrapText="1"/>
    </xf>
    <xf numFmtId="0" fontId="36" fillId="18" borderId="0" xfId="0" applyFont="1" applyFill="1" applyAlignment="1">
      <alignment vertical="center"/>
    </xf>
    <xf numFmtId="17" fontId="74" fillId="18" borderId="0" xfId="0" applyNumberFormat="1" applyFont="1" applyFill="1" applyBorder="1" applyAlignment="1">
      <alignment horizontal="left" vertical="center"/>
    </xf>
    <xf numFmtId="0" fontId="30" fillId="18" borderId="0" xfId="0" applyNumberFormat="1" applyFont="1" applyFill="1" applyBorder="1" applyAlignment="1">
      <alignment horizontal="left" vertical="center"/>
    </xf>
    <xf numFmtId="0" fontId="9" fillId="18" borderId="0" xfId="0" applyFont="1" applyFill="1" applyBorder="1" applyAlignment="1">
      <alignment horizontal="left" vertical="top"/>
    </xf>
    <xf numFmtId="0" fontId="9" fillId="18" borderId="0" xfId="0" applyFont="1" applyFill="1" applyBorder="1" applyAlignment="1">
      <alignment horizontal="left" vertical="center"/>
    </xf>
    <xf numFmtId="0" fontId="30" fillId="6" borderId="0" xfId="0" applyFont="1" applyFill="1" applyBorder="1" applyAlignment="1">
      <alignment vertical="center"/>
    </xf>
    <xf numFmtId="0" fontId="50" fillId="18" borderId="0" xfId="0" quotePrefix="1" applyFont="1" applyFill="1" applyBorder="1" applyAlignment="1">
      <alignment horizontal="left"/>
    </xf>
    <xf numFmtId="0" fontId="6" fillId="36" borderId="28" xfId="0" applyNumberFormat="1" applyFont="1" applyFill="1" applyBorder="1" applyAlignment="1">
      <alignment horizontal="center" vertical="center"/>
    </xf>
    <xf numFmtId="0" fontId="30" fillId="6" borderId="0" xfId="0" applyFont="1" applyFill="1" applyBorder="1" applyAlignment="1">
      <alignment horizontal="left" vertical="center"/>
    </xf>
    <xf numFmtId="9" fontId="30" fillId="6" borderId="0" xfId="0" applyNumberFormat="1" applyFont="1" applyFill="1" applyBorder="1" applyAlignment="1">
      <alignment horizontal="right" vertical="center"/>
    </xf>
    <xf numFmtId="9" fontId="30" fillId="18" borderId="0" xfId="0" applyNumberFormat="1" applyFont="1" applyFill="1" applyBorder="1" applyAlignment="1">
      <alignment horizontal="right" vertical="center"/>
    </xf>
    <xf numFmtId="165" fontId="30" fillId="18" borderId="0" xfId="0" applyNumberFormat="1" applyFont="1" applyFill="1" applyBorder="1" applyAlignment="1">
      <alignment horizontal="right" vertical="center"/>
    </xf>
    <xf numFmtId="165" fontId="0" fillId="0" borderId="0" xfId="0" applyNumberFormat="1"/>
    <xf numFmtId="185" fontId="0" fillId="0" borderId="0" xfId="164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19" xfId="0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185" fontId="0" fillId="0" borderId="19" xfId="164" applyNumberFormat="1" applyFont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0" borderId="19" xfId="164" applyNumberFormat="1" applyFont="1" applyBorder="1" applyAlignment="1">
      <alignment horizontal="center" vertical="center"/>
    </xf>
    <xf numFmtId="0" fontId="0" fillId="0" borderId="19" xfId="0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5" fontId="0" fillId="0" borderId="0" xfId="164" applyNumberFormat="1" applyFont="1" applyBorder="1" applyAlignment="1">
      <alignment horizontal="center" vertical="center"/>
    </xf>
    <xf numFmtId="185" fontId="0" fillId="0" borderId="0" xfId="164" applyNumberFormat="1" applyFont="1" applyAlignment="1">
      <alignment vertical="center"/>
    </xf>
    <xf numFmtId="185" fontId="0" fillId="28" borderId="0" xfId="164" applyNumberFormat="1" applyFont="1" applyFill="1" applyAlignment="1">
      <alignment vertical="center"/>
    </xf>
    <xf numFmtId="185" fontId="0" fillId="2" borderId="0" xfId="164" applyNumberFormat="1" applyFont="1" applyFill="1" applyAlignment="1">
      <alignment vertical="center"/>
    </xf>
    <xf numFmtId="185" fontId="9" fillId="0" borderId="0" xfId="164" applyNumberFormat="1" applyFont="1" applyAlignment="1">
      <alignment vertical="center"/>
    </xf>
    <xf numFmtId="0" fontId="30" fillId="18" borderId="0" xfId="0" applyFont="1" applyFill="1" applyBorder="1" applyAlignment="1">
      <alignment horizontal="center" vertical="center"/>
    </xf>
    <xf numFmtId="167" fontId="0" fillId="0" borderId="19" xfId="164" applyNumberFormat="1" applyFont="1" applyBorder="1" applyAlignment="1">
      <alignment horizontal="center" vertical="center"/>
    </xf>
    <xf numFmtId="167" fontId="0" fillId="0" borderId="19" xfId="164" applyFont="1" applyBorder="1" applyAlignment="1">
      <alignment horizontal="center" vertical="center"/>
    </xf>
    <xf numFmtId="2" fontId="0" fillId="0" borderId="19" xfId="164" applyNumberFormat="1" applyFont="1" applyBorder="1" applyAlignment="1">
      <alignment horizontal="center" vertical="center"/>
    </xf>
    <xf numFmtId="0" fontId="0" fillId="0" borderId="19" xfId="0" applyNumberFormat="1" applyBorder="1" applyAlignment="1">
      <alignment horizontal="center" vertical="center"/>
    </xf>
    <xf numFmtId="9" fontId="0" fillId="0" borderId="19" xfId="140" applyFont="1" applyBorder="1" applyAlignment="1">
      <alignment horizontal="center" vertical="center"/>
    </xf>
    <xf numFmtId="183" fontId="0" fillId="19" borderId="0" xfId="140" applyNumberFormat="1" applyFont="1" applyFill="1" applyAlignment="1">
      <alignment horizontal="center" vertical="center"/>
    </xf>
    <xf numFmtId="10" fontId="0" fillId="19" borderId="0" xfId="140" applyNumberFormat="1" applyFont="1" applyFill="1" applyAlignment="1">
      <alignment horizontal="center" vertical="center"/>
    </xf>
    <xf numFmtId="183" fontId="0" fillId="0" borderId="19" xfId="140" applyNumberFormat="1" applyFont="1" applyBorder="1" applyAlignment="1">
      <alignment horizontal="center" vertical="center"/>
    </xf>
    <xf numFmtId="9" fontId="0" fillId="0" borderId="0" xfId="140" applyFont="1" applyBorder="1" applyAlignment="1">
      <alignment horizontal="center" vertical="center"/>
    </xf>
    <xf numFmtId="183" fontId="0" fillId="0" borderId="0" xfId="140" applyNumberFormat="1" applyFont="1" applyFill="1" applyAlignment="1">
      <alignment vertical="center"/>
    </xf>
    <xf numFmtId="183" fontId="0" fillId="0" borderId="0" xfId="140" applyNumberFormat="1" applyFont="1" applyAlignment="1">
      <alignment vertical="center"/>
    </xf>
    <xf numFmtId="183" fontId="0" fillId="28" borderId="0" xfId="140" applyNumberFormat="1" applyFont="1" applyFill="1" applyAlignment="1">
      <alignment vertical="center"/>
    </xf>
    <xf numFmtId="183" fontId="0" fillId="2" borderId="0" xfId="140" applyNumberFormat="1" applyFont="1" applyFill="1" applyAlignment="1">
      <alignment vertical="center"/>
    </xf>
    <xf numFmtId="183" fontId="9" fillId="0" borderId="0" xfId="140" applyNumberFormat="1" applyFont="1" applyAlignment="1">
      <alignment vertical="center"/>
    </xf>
    <xf numFmtId="0" fontId="0" fillId="19" borderId="1" xfId="0" applyFill="1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2" xfId="0" applyBorder="1" applyAlignment="1">
      <alignment vertical="center"/>
    </xf>
    <xf numFmtId="167" fontId="0" fillId="0" borderId="0" xfId="164" applyNumberFormat="1" applyFont="1" applyAlignment="1">
      <alignment vertical="center"/>
    </xf>
    <xf numFmtId="2" fontId="0" fillId="0" borderId="19" xfId="140" applyNumberFormat="1" applyFont="1" applyBorder="1" applyAlignment="1">
      <alignment horizontal="center" vertical="center"/>
    </xf>
    <xf numFmtId="167" fontId="0" fillId="0" borderId="0" xfId="164" applyFont="1" applyFill="1" applyAlignment="1">
      <alignment vertical="center"/>
    </xf>
    <xf numFmtId="167" fontId="0" fillId="0" borderId="0" xfId="164" applyFont="1" applyAlignment="1">
      <alignment vertical="center"/>
    </xf>
    <xf numFmtId="167" fontId="0" fillId="2" borderId="0" xfId="164" applyFont="1" applyFill="1" applyAlignment="1">
      <alignment vertical="center"/>
    </xf>
    <xf numFmtId="166" fontId="0" fillId="0" borderId="19" xfId="166" applyFont="1" applyBorder="1" applyAlignment="1">
      <alignment horizontal="center" vertical="center"/>
    </xf>
    <xf numFmtId="166" fontId="0" fillId="0" borderId="0" xfId="166" applyFont="1" applyFill="1" applyAlignment="1">
      <alignment vertical="center"/>
    </xf>
    <xf numFmtId="166" fontId="0" fillId="0" borderId="0" xfId="166" applyFont="1" applyAlignment="1">
      <alignment vertical="center"/>
    </xf>
    <xf numFmtId="166" fontId="0" fillId="2" borderId="0" xfId="166" applyFont="1" applyFill="1" applyAlignment="1">
      <alignment vertical="center"/>
    </xf>
    <xf numFmtId="166" fontId="0" fillId="0" borderId="0" xfId="166" applyFont="1" applyBorder="1" applyAlignment="1">
      <alignment horizontal="center" vertical="center"/>
    </xf>
    <xf numFmtId="166" fontId="0" fillId="0" borderId="19" xfId="166" applyFont="1" applyBorder="1" applyAlignment="1">
      <alignment horizontal="left" vertical="center"/>
    </xf>
    <xf numFmtId="166" fontId="0" fillId="0" borderId="0" xfId="166" applyFont="1" applyAlignment="1">
      <alignment horizontal="center" vertical="center"/>
    </xf>
    <xf numFmtId="167" fontId="0" fillId="28" borderId="0" xfId="164" applyNumberFormat="1" applyFont="1" applyFill="1" applyAlignment="1">
      <alignment vertical="center"/>
    </xf>
    <xf numFmtId="167" fontId="0" fillId="28" borderId="0" xfId="0" applyNumberFormat="1" applyFill="1" applyAlignment="1">
      <alignment vertical="center"/>
    </xf>
    <xf numFmtId="167" fontId="0" fillId="0" borderId="0" xfId="0" applyNumberFormat="1" applyAlignment="1">
      <alignment vertical="center"/>
    </xf>
    <xf numFmtId="167" fontId="0" fillId="2" borderId="0" xfId="164" applyNumberFormat="1" applyFont="1" applyFill="1" applyAlignment="1">
      <alignment vertical="center"/>
    </xf>
    <xf numFmtId="167" fontId="9" fillId="0" borderId="0" xfId="164" applyNumberFormat="1" applyFont="1" applyAlignment="1">
      <alignment vertical="center"/>
    </xf>
    <xf numFmtId="0" fontId="0" fillId="19" borderId="1" xfId="0" applyFill="1" applyBorder="1"/>
    <xf numFmtId="9" fontId="0" fillId="19" borderId="1" xfId="0" applyNumberFormat="1" applyFill="1" applyBorder="1"/>
    <xf numFmtId="9" fontId="0" fillId="19" borderId="1" xfId="140" applyFont="1" applyFill="1" applyBorder="1"/>
    <xf numFmtId="0" fontId="0" fillId="0" borderId="0" xfId="0" applyAlignment="1">
      <alignment horizontal="right"/>
    </xf>
    <xf numFmtId="0" fontId="0" fillId="19" borderId="4" xfId="0" applyFill="1" applyBorder="1"/>
    <xf numFmtId="0" fontId="0" fillId="19" borderId="19" xfId="0" applyFill="1" applyBorder="1"/>
    <xf numFmtId="186" fontId="0" fillId="0" borderId="0" xfId="166" applyNumberFormat="1" applyFont="1"/>
    <xf numFmtId="185" fontId="0" fillId="0" borderId="0" xfId="164" applyNumberFormat="1" applyFont="1" applyAlignment="1">
      <alignment horizontal="center"/>
    </xf>
    <xf numFmtId="185" fontId="0" fillId="0" borderId="0" xfId="0" applyNumberFormat="1" applyAlignment="1">
      <alignment horizontal="center"/>
    </xf>
    <xf numFmtId="0" fontId="0" fillId="0" borderId="20" xfId="0" applyBorder="1" applyAlignment="1">
      <alignment horizontal="left"/>
    </xf>
    <xf numFmtId="0" fontId="0" fillId="0" borderId="20" xfId="0" applyBorder="1"/>
    <xf numFmtId="185" fontId="0" fillId="0" borderId="20" xfId="164" applyNumberFormat="1" applyFont="1" applyBorder="1" applyAlignment="1">
      <alignment horizontal="center"/>
    </xf>
    <xf numFmtId="9" fontId="0" fillId="19" borderId="4" xfId="0" applyNumberFormat="1" applyFill="1" applyBorder="1"/>
    <xf numFmtId="0" fontId="0" fillId="0" borderId="21" xfId="0" applyBorder="1"/>
    <xf numFmtId="185" fontId="0" fillId="0" borderId="21" xfId="0" applyNumberFormat="1" applyBorder="1" applyAlignment="1">
      <alignment horizontal="center"/>
    </xf>
    <xf numFmtId="183" fontId="0" fillId="0" borderId="0" xfId="140" applyNumberFormat="1" applyFont="1" applyAlignment="1">
      <alignment horizontal="right"/>
    </xf>
    <xf numFmtId="0" fontId="0" fillId="0" borderId="0" xfId="0" applyBorder="1" applyAlignment="1">
      <alignment horizontal="left"/>
    </xf>
    <xf numFmtId="0" fontId="0" fillId="0" borderId="0" xfId="0" applyBorder="1"/>
    <xf numFmtId="185" fontId="0" fillId="0" borderId="0" xfId="164" applyNumberFormat="1" applyFont="1" applyBorder="1" applyAlignment="1">
      <alignment horizontal="center"/>
    </xf>
    <xf numFmtId="183" fontId="0" fillId="0" borderId="21" xfId="140" applyNumberFormat="1" applyFont="1" applyFill="1" applyBorder="1"/>
    <xf numFmtId="183" fontId="0" fillId="19" borderId="1" xfId="140" applyNumberFormat="1" applyFont="1" applyFill="1" applyBorder="1"/>
    <xf numFmtId="185" fontId="0" fillId="0" borderId="0" xfId="0" applyNumberFormat="1" applyBorder="1" applyAlignment="1">
      <alignment horizontal="center"/>
    </xf>
    <xf numFmtId="185" fontId="0" fillId="0" borderId="0" xfId="164" applyNumberFormat="1" applyFont="1"/>
    <xf numFmtId="185" fontId="0" fillId="0" borderId="21" xfId="164" applyNumberFormat="1" applyFont="1" applyBorder="1"/>
    <xf numFmtId="185" fontId="0" fillId="0" borderId="0" xfId="164" applyNumberFormat="1" applyFont="1" applyBorder="1"/>
    <xf numFmtId="0" fontId="0" fillId="0" borderId="21" xfId="0" applyFill="1" applyBorder="1"/>
    <xf numFmtId="183" fontId="0" fillId="19" borderId="63" xfId="140" applyNumberFormat="1" applyFont="1" applyFill="1" applyBorder="1"/>
    <xf numFmtId="185" fontId="0" fillId="0" borderId="0" xfId="164" applyNumberFormat="1" applyFont="1" applyAlignment="1">
      <alignment horizontal="right"/>
    </xf>
    <xf numFmtId="185" fontId="0" fillId="0" borderId="0" xfId="0" applyNumberFormat="1"/>
    <xf numFmtId="1" fontId="0" fillId="0" borderId="0" xfId="0" applyNumberFormat="1"/>
    <xf numFmtId="185" fontId="0" fillId="0" borderId="21" xfId="0" applyNumberFormat="1" applyBorder="1"/>
    <xf numFmtId="185" fontId="0" fillId="0" borderId="21" xfId="164" applyNumberFormat="1" applyFont="1" applyBorder="1" applyAlignment="1">
      <alignment horizontal="center"/>
    </xf>
    <xf numFmtId="183" fontId="0" fillId="0" borderId="0" xfId="140" applyNumberFormat="1" applyFont="1" applyBorder="1" applyAlignment="1">
      <alignment horizontal="right"/>
    </xf>
    <xf numFmtId="9" fontId="0" fillId="0" borderId="0" xfId="0" applyNumberFormat="1"/>
    <xf numFmtId="183" fontId="0" fillId="0" borderId="0" xfId="140" applyNumberFormat="1" applyFont="1"/>
    <xf numFmtId="183" fontId="63" fillId="18" borderId="0" xfId="140" applyNumberFormat="1" applyFont="1" applyFill="1" applyBorder="1" applyAlignment="1">
      <alignment horizontal="center" vertical="center"/>
    </xf>
    <xf numFmtId="187" fontId="63" fillId="18" borderId="0" xfId="164" applyNumberFormat="1" applyFont="1" applyFill="1" applyBorder="1" applyAlignment="1">
      <alignment horizontal="center" vertical="center"/>
    </xf>
    <xf numFmtId="187" fontId="63" fillId="18" borderId="0" xfId="0" applyNumberFormat="1" applyFont="1" applyFill="1" applyBorder="1" applyAlignment="1">
      <alignment horizontal="center" vertical="center"/>
    </xf>
    <xf numFmtId="0" fontId="9" fillId="2" borderId="0" xfId="0" applyFont="1" applyFill="1"/>
    <xf numFmtId="188" fontId="30" fillId="6" borderId="0" xfId="0" applyNumberFormat="1" applyFont="1" applyFill="1" applyBorder="1" applyAlignment="1">
      <alignment horizontal="right" vertical="center"/>
    </xf>
    <xf numFmtId="1" fontId="30" fillId="6" borderId="0" xfId="0" applyNumberFormat="1" applyFont="1" applyFill="1" applyBorder="1" applyAlignment="1">
      <alignment horizontal="right" vertical="center"/>
    </xf>
    <xf numFmtId="190" fontId="30" fillId="6" borderId="0" xfId="166" applyNumberFormat="1" applyFont="1" applyFill="1" applyBorder="1" applyAlignment="1">
      <alignment vertical="center"/>
    </xf>
    <xf numFmtId="1" fontId="0" fillId="0" borderId="0" xfId="0" applyNumberFormat="1" applyAlignment="1">
      <alignment horizontal="center"/>
    </xf>
    <xf numFmtId="1" fontId="30" fillId="18" borderId="0" xfId="0" applyNumberFormat="1" applyFont="1" applyFill="1" applyBorder="1" applyAlignment="1">
      <alignment horizontal="center" vertical="center"/>
    </xf>
    <xf numFmtId="189" fontId="63" fillId="18" borderId="0" xfId="164" applyNumberFormat="1" applyFont="1" applyFill="1" applyBorder="1" applyAlignment="1">
      <alignment horizontal="center" vertical="center"/>
    </xf>
    <xf numFmtId="189" fontId="63" fillId="18" borderId="0" xfId="0" applyNumberFormat="1" applyFont="1" applyFill="1" applyBorder="1" applyAlignment="1">
      <alignment horizontal="center" vertical="center"/>
    </xf>
    <xf numFmtId="9" fontId="63" fillId="18" borderId="0" xfId="140" applyFont="1" applyFill="1" applyAlignment="1">
      <alignment vertical="center"/>
    </xf>
    <xf numFmtId="0" fontId="0" fillId="0" borderId="0" xfId="0" applyAlignment="1">
      <alignment horizontal="left"/>
    </xf>
    <xf numFmtId="191" fontId="0" fillId="0" borderId="0" xfId="0" applyNumberFormat="1"/>
    <xf numFmtId="189" fontId="0" fillId="0" borderId="0" xfId="166" applyNumberFormat="1" applyFont="1"/>
    <xf numFmtId="0" fontId="0" fillId="0" borderId="0" xfId="166" applyNumberFormat="1" applyFont="1"/>
    <xf numFmtId="193" fontId="0" fillId="0" borderId="19" xfId="164" applyNumberFormat="1" applyFont="1" applyBorder="1" applyAlignment="1">
      <alignment horizontal="center" vertical="center"/>
    </xf>
    <xf numFmtId="192" fontId="0" fillId="0" borderId="0" xfId="164" applyNumberFormat="1" applyFont="1" applyAlignment="1">
      <alignment vertical="center"/>
    </xf>
    <xf numFmtId="192" fontId="0" fillId="28" borderId="0" xfId="164" applyNumberFormat="1" applyFont="1" applyFill="1" applyAlignment="1">
      <alignment vertical="center"/>
    </xf>
    <xf numFmtId="185" fontId="76" fillId="0" borderId="0" xfId="164" applyNumberFormat="1" applyFont="1" applyAlignment="1">
      <alignment vertical="center"/>
    </xf>
    <xf numFmtId="9" fontId="63" fillId="18" borderId="0" xfId="140" applyNumberFormat="1" applyFont="1" applyFill="1" applyBorder="1" applyAlignment="1">
      <alignment horizontal="center" vertical="center"/>
    </xf>
    <xf numFmtId="1" fontId="63" fillId="18" borderId="0" xfId="0" applyNumberFormat="1" applyFont="1" applyFill="1" applyAlignment="1">
      <alignment vertical="center"/>
    </xf>
    <xf numFmtId="9" fontId="63" fillId="18" borderId="0" xfId="140" applyFont="1" applyFill="1" applyAlignment="1">
      <alignment horizontal="right" vertical="center"/>
    </xf>
    <xf numFmtId="1" fontId="63" fillId="18" borderId="0" xfId="0" applyNumberFormat="1" applyFont="1" applyFill="1" applyAlignment="1">
      <alignment horizontal="right" vertical="center"/>
    </xf>
    <xf numFmtId="0" fontId="63" fillId="18" borderId="0" xfId="0" applyFont="1" applyFill="1" applyAlignment="1">
      <alignment horizontal="right" vertical="center"/>
    </xf>
    <xf numFmtId="189" fontId="63" fillId="18" borderId="0" xfId="166" applyNumberFormat="1" applyFont="1" applyFill="1" applyAlignment="1">
      <alignment horizontal="right" vertical="center"/>
    </xf>
    <xf numFmtId="194" fontId="63" fillId="18" borderId="0" xfId="166" applyNumberFormat="1" applyFont="1" applyFill="1" applyAlignment="1">
      <alignment horizontal="right" vertical="center"/>
    </xf>
    <xf numFmtId="183" fontId="63" fillId="18" borderId="0" xfId="140" applyNumberFormat="1" applyFont="1" applyFill="1" applyAlignment="1">
      <alignment vertical="center"/>
    </xf>
    <xf numFmtId="10" fontId="0" fillId="0" borderId="0" xfId="140" applyNumberFormat="1" applyFont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Alignment="1">
      <alignment vertical="center"/>
    </xf>
    <xf numFmtId="9" fontId="0" fillId="0" borderId="0" xfId="140" applyFont="1" applyFill="1" applyAlignment="1">
      <alignment vertical="center"/>
    </xf>
    <xf numFmtId="195" fontId="0" fillId="0" borderId="19" xfId="140" applyNumberFormat="1" applyFont="1" applyBorder="1" applyAlignment="1">
      <alignment horizontal="center" vertical="center"/>
    </xf>
    <xf numFmtId="0" fontId="30" fillId="18" borderId="0" xfId="0" applyFont="1" applyFill="1" applyBorder="1" applyAlignment="1">
      <alignment horizontal="center" vertical="center"/>
    </xf>
    <xf numFmtId="9" fontId="0" fillId="0" borderId="19" xfId="166" applyNumberFormat="1" applyFont="1" applyBorder="1" applyAlignment="1">
      <alignment horizontal="center" vertical="center"/>
    </xf>
    <xf numFmtId="185" fontId="6" fillId="2" borderId="56" xfId="164" applyNumberFormat="1" applyFont="1" applyFill="1" applyBorder="1" applyAlignment="1">
      <alignment horizontal="center" vertical="center"/>
    </xf>
    <xf numFmtId="9" fontId="0" fillId="19" borderId="19" xfId="0" applyNumberFormat="1" applyFill="1" applyBorder="1" applyAlignment="1">
      <alignment horizontal="center"/>
    </xf>
    <xf numFmtId="0" fontId="0" fillId="19" borderId="19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85" fontId="0" fillId="19" borderId="19" xfId="0" applyNumberFormat="1" applyFill="1" applyBorder="1" applyAlignment="1">
      <alignment horizontal="center"/>
    </xf>
    <xf numFmtId="9" fontId="0" fillId="0" borderId="0" xfId="140" applyFont="1"/>
    <xf numFmtId="14" fontId="30" fillId="9" borderId="0" xfId="0" applyNumberFormat="1" applyFont="1" applyFill="1" applyAlignment="1">
      <alignment vertical="center"/>
    </xf>
    <xf numFmtId="190" fontId="30" fillId="6" borderId="0" xfId="0" applyNumberFormat="1" applyFont="1" applyFill="1" applyBorder="1" applyAlignment="1">
      <alignment horizontal="right" vertical="center"/>
    </xf>
    <xf numFmtId="190" fontId="30" fillId="6" borderId="0" xfId="0" applyNumberFormat="1" applyFont="1" applyFill="1" applyBorder="1" applyAlignment="1">
      <alignment vertical="center"/>
    </xf>
    <xf numFmtId="0" fontId="0" fillId="0" borderId="0" xfId="0" applyBorder="1" applyAlignment="1">
      <alignment horizontal="right"/>
    </xf>
    <xf numFmtId="1" fontId="0" fillId="0" borderId="0" xfId="0" applyNumberFormat="1" applyBorder="1"/>
    <xf numFmtId="0" fontId="0" fillId="0" borderId="0" xfId="0" applyFill="1" applyBorder="1"/>
    <xf numFmtId="185" fontId="0" fillId="0" borderId="0" xfId="0" applyNumberFormat="1" applyBorder="1"/>
    <xf numFmtId="183" fontId="0" fillId="0" borderId="0" xfId="140" applyNumberFormat="1" applyFont="1" applyBorder="1"/>
    <xf numFmtId="185" fontId="0" fillId="19" borderId="19" xfId="0" applyNumberFormat="1" applyFill="1" applyBorder="1"/>
    <xf numFmtId="185" fontId="0" fillId="19" borderId="19" xfId="164" applyNumberFormat="1" applyFont="1" applyFill="1" applyBorder="1"/>
    <xf numFmtId="185" fontId="0" fillId="19" borderId="15" xfId="0" applyNumberFormat="1" applyFill="1" applyBorder="1"/>
    <xf numFmtId="185" fontId="0" fillId="19" borderId="1" xfId="0" applyNumberFormat="1" applyFill="1" applyBorder="1"/>
    <xf numFmtId="9" fontId="0" fillId="0" borderId="0" xfId="0" applyNumberFormat="1" applyAlignment="1">
      <alignment horizontal="center" vertical="center"/>
    </xf>
    <xf numFmtId="0" fontId="0" fillId="19" borderId="64" xfId="0" applyFill="1" applyBorder="1" applyAlignment="1">
      <alignment vertical="center"/>
    </xf>
    <xf numFmtId="0" fontId="0" fillId="19" borderId="19" xfId="0" applyFill="1" applyBorder="1" applyAlignment="1">
      <alignment vertical="center"/>
    </xf>
    <xf numFmtId="0" fontId="0" fillId="19" borderId="65" xfId="0" applyFill="1" applyBorder="1" applyAlignment="1">
      <alignment vertical="center"/>
    </xf>
    <xf numFmtId="185" fontId="30" fillId="18" borderId="0" xfId="164" applyNumberFormat="1" applyFont="1" applyFill="1" applyAlignment="1">
      <alignment vertical="center"/>
    </xf>
    <xf numFmtId="167" fontId="30" fillId="18" borderId="0" xfId="0" applyNumberFormat="1" applyFont="1" applyFill="1" applyAlignment="1">
      <alignment vertical="center"/>
    </xf>
    <xf numFmtId="0" fontId="71" fillId="18" borderId="0" xfId="0" applyFont="1" applyFill="1" applyBorder="1" applyAlignment="1">
      <alignment horizontal="center" vertical="center" wrapText="1"/>
    </xf>
    <xf numFmtId="0" fontId="30" fillId="18" borderId="0" xfId="0" applyFont="1" applyFill="1" applyAlignment="1">
      <alignment horizontal="right" vertical="top" wrapText="1"/>
    </xf>
    <xf numFmtId="0" fontId="30" fillId="18" borderId="0" xfId="0" applyFont="1" applyFill="1" applyAlignment="1">
      <alignment horizontal="center" vertical="center"/>
    </xf>
    <xf numFmtId="0" fontId="30" fillId="9" borderId="51" xfId="0" applyFont="1" applyFill="1" applyBorder="1" applyAlignment="1">
      <alignment horizontal="center" vertical="center"/>
    </xf>
    <xf numFmtId="0" fontId="30" fillId="9" borderId="52" xfId="0" applyFont="1" applyFill="1" applyBorder="1" applyAlignment="1">
      <alignment horizontal="center" vertical="center"/>
    </xf>
    <xf numFmtId="0" fontId="30" fillId="9" borderId="53" xfId="0" applyFont="1" applyFill="1" applyBorder="1" applyAlignment="1">
      <alignment horizontal="center" vertical="center"/>
    </xf>
    <xf numFmtId="0" fontId="30" fillId="9" borderId="46" xfId="0" applyFont="1" applyFill="1" applyBorder="1" applyAlignment="1">
      <alignment horizontal="left" vertical="top" wrapText="1" indent="1"/>
    </xf>
    <xf numFmtId="0" fontId="30" fillId="9" borderId="0" xfId="0" applyFont="1" applyFill="1" applyBorder="1" applyAlignment="1">
      <alignment horizontal="left" vertical="top" wrapText="1" indent="1"/>
    </xf>
    <xf numFmtId="0" fontId="62" fillId="18" borderId="0" xfId="0" applyFont="1" applyFill="1" applyAlignment="1">
      <alignment horizontal="center" vertical="center"/>
    </xf>
    <xf numFmtId="0" fontId="62" fillId="18" borderId="35" xfId="0" applyFont="1" applyFill="1" applyBorder="1" applyAlignment="1">
      <alignment horizontal="center" vertical="center"/>
    </xf>
    <xf numFmtId="0" fontId="60" fillId="9" borderId="44" xfId="0" applyFont="1" applyFill="1" applyBorder="1" applyAlignment="1">
      <alignment horizontal="center" vertical="center"/>
    </xf>
    <xf numFmtId="0" fontId="60" fillId="9" borderId="42" xfId="0" applyFont="1" applyFill="1" applyBorder="1" applyAlignment="1">
      <alignment horizontal="center" vertical="center"/>
    </xf>
    <xf numFmtId="0" fontId="30" fillId="18" borderId="0" xfId="0" applyFont="1" applyFill="1" applyBorder="1" applyAlignment="1">
      <alignment horizontal="center" vertical="center"/>
    </xf>
    <xf numFmtId="0" fontId="30" fillId="18" borderId="0" xfId="0" applyFont="1" applyFill="1" applyBorder="1" applyAlignment="1">
      <alignment horizontal="right" vertical="center"/>
    </xf>
    <xf numFmtId="0" fontId="30" fillId="18" borderId="61" xfId="0" applyFont="1" applyFill="1" applyBorder="1" applyAlignment="1">
      <alignment horizontal="left" vertical="top" wrapText="1"/>
    </xf>
    <xf numFmtId="0" fontId="30" fillId="18" borderId="62" xfId="0" applyFont="1" applyFill="1" applyBorder="1" applyAlignment="1">
      <alignment horizontal="left" vertical="top" wrapText="1"/>
    </xf>
    <xf numFmtId="0" fontId="50" fillId="18" borderId="0" xfId="0" applyFont="1" applyFill="1" applyAlignment="1">
      <alignment horizontal="center" vertical="center"/>
    </xf>
    <xf numFmtId="0" fontId="30" fillId="35" borderId="0" xfId="0" applyFont="1" applyFill="1" applyAlignment="1">
      <alignment horizontal="left" vertical="top" wrapText="1"/>
    </xf>
    <xf numFmtId="0" fontId="30" fillId="35" borderId="0" xfId="0" applyFont="1" applyFill="1" applyAlignment="1">
      <alignment horizontal="center" vertical="center" wrapText="1"/>
    </xf>
    <xf numFmtId="0" fontId="50" fillId="18" borderId="21" xfId="0" applyFont="1" applyFill="1" applyBorder="1" applyAlignment="1">
      <alignment horizontal="center" vertical="center"/>
    </xf>
    <xf numFmtId="0" fontId="30" fillId="35" borderId="0" xfId="0" applyFont="1" applyFill="1" applyAlignment="1">
      <alignment horizontal="left" vertical="center" wrapText="1"/>
    </xf>
    <xf numFmtId="0" fontId="6" fillId="7" borderId="0" xfId="0" applyFont="1" applyFill="1" applyAlignment="1" applyProtection="1">
      <alignment horizontal="left" vertical="center"/>
      <protection locked="0"/>
    </xf>
    <xf numFmtId="0" fontId="39" fillId="9" borderId="0" xfId="0" applyFont="1" applyFill="1" applyAlignment="1">
      <alignment horizontal="left" vertical="center"/>
    </xf>
  </cellXfs>
  <cellStyles count="168">
    <cellStyle name="0" xfId="2"/>
    <cellStyle name="000" xfId="3"/>
    <cellStyle name="000 2" xfId="4"/>
    <cellStyle name="3_D" xfId="5"/>
    <cellStyle name="3_D 2" xfId="6"/>
    <cellStyle name="3_D_BTS_DTK" xfId="7"/>
    <cellStyle name="3_D_BTS_DTK 2" xfId="8"/>
    <cellStyle name="3_D_Tool" xfId="9"/>
    <cellStyle name="3_D_Tool 2" xfId="10"/>
    <cellStyle name="3_DNoColor" xfId="11"/>
    <cellStyle name="3_DNoColor 2" xfId="12"/>
    <cellStyle name="3_DNoColor_BTS_DTK" xfId="13"/>
    <cellStyle name="3_DNoColor_BTS_DTK 2" xfId="14"/>
    <cellStyle name="CellLock" xfId="15"/>
    <cellStyle name="CellLock 2" xfId="16"/>
    <cellStyle name="CellUnlock" xfId="17"/>
    <cellStyle name="CellUnlock 2" xfId="18"/>
    <cellStyle name="Column_Title" xfId="19"/>
    <cellStyle name="Comma" xfId="164" builtinId="3"/>
    <cellStyle name="Comma  - Style1" xfId="20"/>
    <cellStyle name="Comma  - Style2" xfId="21"/>
    <cellStyle name="Comma  - Style3" xfId="22"/>
    <cellStyle name="Comma  - Style4" xfId="23"/>
    <cellStyle name="Comma  - Style5" xfId="24"/>
    <cellStyle name="Comma  - Style6" xfId="25"/>
    <cellStyle name="Comma  - Style7" xfId="26"/>
    <cellStyle name="Comma  - Style8" xfId="27"/>
    <cellStyle name="Comma [0] 2" xfId="28"/>
    <cellStyle name="Comma [0] 2 2" xfId="143"/>
    <cellStyle name="Comma [0] 3" xfId="29"/>
    <cellStyle name="Comma [0] 3 2" xfId="30"/>
    <cellStyle name="Comma [0] 3 2 2" xfId="144"/>
    <cellStyle name="Comma [0] 3 3" xfId="145"/>
    <cellStyle name="Comma [0] Centered" xfId="31"/>
    <cellStyle name="Comma [0] Centered 2" xfId="32"/>
    <cellStyle name="Comma 0" xfId="33"/>
    <cellStyle name="Comma 000" xfId="34"/>
    <cellStyle name="Comma 000,0" xfId="35"/>
    <cellStyle name="Comma 000,0 2" xfId="36"/>
    <cellStyle name="Comma 000,000" xfId="37"/>
    <cellStyle name="Comma 000,000 2" xfId="38"/>
    <cellStyle name="Comma 000_Toyota_Dealer_Sim.2004Jul28" xfId="39"/>
    <cellStyle name="Comma 1" xfId="40"/>
    <cellStyle name="Comma 2" xfId="41"/>
    <cellStyle name="Comma 2 2" xfId="146"/>
    <cellStyle name="Comma 3" xfId="42"/>
    <cellStyle name="Comma 3 2" xfId="43"/>
    <cellStyle name="Comma 3 2 2" xfId="147"/>
    <cellStyle name="Comma 3 3" xfId="148"/>
    <cellStyle name="Comma 4" xfId="44"/>
    <cellStyle name="Comma 4 2" xfId="45"/>
    <cellStyle name="Comma 4 2 2" xfId="149"/>
    <cellStyle name="Comma 4 3" xfId="150"/>
    <cellStyle name="Comma 5" xfId="46"/>
    <cellStyle name="Comma 5 2" xfId="47"/>
    <cellStyle name="Comma 5 2 2" xfId="151"/>
    <cellStyle name="Comma 5 3" xfId="152"/>
    <cellStyle name="Comma 6" xfId="48"/>
    <cellStyle name="Comma 6 2" xfId="49"/>
    <cellStyle name="Comma 6 2 2" xfId="153"/>
    <cellStyle name="Comma 6 3" xfId="154"/>
    <cellStyle name="Comma 7" xfId="50"/>
    <cellStyle name="Comma 7 2" xfId="155"/>
    <cellStyle name="Comma 8" xfId="51"/>
    <cellStyle name="Comma 8 2" xfId="156"/>
    <cellStyle name="Comma Centered" xfId="52"/>
    <cellStyle name="Comma Centered 2" xfId="53"/>
    <cellStyle name="Comma Centered 2 2" xfId="157"/>
    <cellStyle name="Comma Centered 3" xfId="158"/>
    <cellStyle name="Comma, Centered" xfId="54"/>
    <cellStyle name="Comma, No Dec" xfId="55"/>
    <cellStyle name="Comma, No Dec 2" xfId="56"/>
    <cellStyle name="Comma, No Dec No 0" xfId="57"/>
    <cellStyle name="Comma, Pos" xfId="58"/>
    <cellStyle name="Comma, Pos 2" xfId="59"/>
    <cellStyle name="Comma, Pos, No Dec" xfId="60"/>
    <cellStyle name="Comma, Pos, No Dec, No 0" xfId="61"/>
    <cellStyle name="Comma, Pos, No Dec, No 0 2" xfId="62"/>
    <cellStyle name="Comma, Pos, No Dec_BarclaysFeedbacks" xfId="63"/>
    <cellStyle name="Comma0" xfId="64"/>
    <cellStyle name="Comma0 - Style4" xfId="65"/>
    <cellStyle name="Comma000" xfId="66"/>
    <cellStyle name="Comma1 - Style1" xfId="67"/>
    <cellStyle name="ContentsHyperlink" xfId="68"/>
    <cellStyle name="Curren - Style2" xfId="69"/>
    <cellStyle name="Curren - Style5" xfId="70"/>
    <cellStyle name="Currency" xfId="166" builtinId="4"/>
    <cellStyle name="Currency [0] (000)" xfId="71"/>
    <cellStyle name="Currency 2" xfId="72"/>
    <cellStyle name="Currency 2 2" xfId="73"/>
    <cellStyle name="Currency, No Dec" xfId="74"/>
    <cellStyle name="Currency, No Dec 2" xfId="75"/>
    <cellStyle name="Currency, Pos, 2 Dec" xfId="76"/>
    <cellStyle name="Currency, Pos, 2 Dec 2" xfId="77"/>
    <cellStyle name="Currency, Pos, No Dec" xfId="78"/>
    <cellStyle name="Currency, Pos, No Dec 2" xfId="79"/>
    <cellStyle name="Currency0" xfId="80"/>
    <cellStyle name="Date" xfId="81"/>
    <cellStyle name="DateTTM" xfId="82"/>
    <cellStyle name="DateTTM 2" xfId="83"/>
    <cellStyle name="Decision" xfId="84"/>
    <cellStyle name="Euro" xfId="85"/>
    <cellStyle name="Euro 2" xfId="86"/>
    <cellStyle name="Feedback000" xfId="87"/>
    <cellStyle name="Feedback000 2" xfId="88"/>
    <cellStyle name="Feedback000,000" xfId="89"/>
    <cellStyle name="Feedback000,000 2" xfId="90"/>
    <cellStyle name="Feedback000_Autodesk_SW_BAFeedbacks" xfId="91"/>
    <cellStyle name="Fixed" xfId="92"/>
    <cellStyle name="Fixed3 - Style3" xfId="93"/>
    <cellStyle name="Fraction (1)" xfId="94"/>
    <cellStyle name="Grey" xfId="95"/>
    <cellStyle name="Grey 2" xfId="96"/>
    <cellStyle name="Hyperlink" xfId="163" builtinId="8"/>
    <cellStyle name="Input [yellow]" xfId="97"/>
    <cellStyle name="Input [yellow] 2" xfId="98"/>
    <cellStyle name="InputBox" xfId="99"/>
    <cellStyle name="InputBox 2" xfId="100"/>
    <cellStyle name="no dec" xfId="101"/>
    <cellStyle name="Normal" xfId="0" builtinId="0"/>
    <cellStyle name="Normal - Style1" xfId="102"/>
    <cellStyle name="Normal 10" xfId="161"/>
    <cellStyle name="Normal 15" xfId="162"/>
    <cellStyle name="Normal 15 12" xfId="165"/>
    <cellStyle name="Normal 2" xfId="1"/>
    <cellStyle name="Normal 2 2" xfId="103"/>
    <cellStyle name="Normal 2 3" xfId="159"/>
    <cellStyle name="Normal 3" xfId="104"/>
    <cellStyle name="Normal 4" xfId="105"/>
    <cellStyle name="Normal 4 2" xfId="106"/>
    <cellStyle name="Normal 5" xfId="107"/>
    <cellStyle name="Normal 5 2" xfId="108"/>
    <cellStyle name="Normal 6" xfId="109"/>
    <cellStyle name="Normal 6 2" xfId="110"/>
    <cellStyle name="Normal 7" xfId="111"/>
    <cellStyle name="Normal 8" xfId="112"/>
    <cellStyle name="Normal 9" xfId="141"/>
    <cellStyle name="Normal 9 2" xfId="142"/>
    <cellStyle name="Number [0]" xfId="113"/>
    <cellStyle name="Percen - Style2" xfId="114"/>
    <cellStyle name="Percen - Style3" xfId="115"/>
    <cellStyle name="Percent" xfId="140" builtinId="5"/>
    <cellStyle name="Percent (1)" xfId="116"/>
    <cellStyle name="Percent (2)" xfId="117"/>
    <cellStyle name="Percent [2]" xfId="118"/>
    <cellStyle name="Percent 0" xfId="119"/>
    <cellStyle name="Percent 0 2" xfId="120"/>
    <cellStyle name="Percent 00" xfId="121"/>
    <cellStyle name="Percent 00 2" xfId="122"/>
    <cellStyle name="Percent 00 2 2" xfId="123"/>
    <cellStyle name="Percent 00 3" xfId="124"/>
    <cellStyle name="Percent 2" xfId="125"/>
    <cellStyle name="Percent 3" xfId="126"/>
    <cellStyle name="Percent 3 2" xfId="127"/>
    <cellStyle name="Percent 4" xfId="128"/>
    <cellStyle name="Percent 4 2" xfId="129"/>
    <cellStyle name="Percent 5" xfId="130"/>
    <cellStyle name="Percent 5 2" xfId="131"/>
    <cellStyle name="Percent 6" xfId="132"/>
    <cellStyle name="Percent 6 2" xfId="133"/>
    <cellStyle name="Percent 7" xfId="134"/>
    <cellStyle name="Percent 8" xfId="135"/>
    <cellStyle name="Percent 9" xfId="160"/>
    <cellStyle name="Percent, Pos" xfId="136"/>
    <cellStyle name="Percent, Pos 2" xfId="137"/>
    <cellStyle name="Percent, Pos, No 0" xfId="138"/>
    <cellStyle name="Percent, Pos, No 0 2" xfId="139"/>
    <cellStyle name="パーセント 3 2" xfId="167"/>
  </cellStyles>
  <dxfs count="22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rgb="FFCCCCCC"/>
        </patternFill>
      </fill>
    </dxf>
    <dxf>
      <fill>
        <patternFill>
          <bgColor rgb="FFCCCCCC"/>
        </patternFill>
      </fill>
    </dxf>
  </dxfs>
  <tableStyles count="0" defaultTableStyle="TableStyleMedium2" defaultPivotStyle="PivotStyleLight16"/>
  <colors>
    <mruColors>
      <color rgb="FF4F81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Region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7074864739380489E-2"/>
          <c:y val="0.18334448390029678"/>
          <c:w val="0.83938618683494892"/>
          <c:h val="0.636887790986910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Graphs!$A$11</c:f>
              <c:strCache>
                <c:ptCount val="1"/>
                <c:pt idx="0">
                  <c:v>Japan</c:v>
                </c:pt>
              </c:strCache>
            </c:strRef>
          </c:tx>
          <c:invertIfNegative val="0"/>
          <c:cat>
            <c:numRef>
              <c:f>Graphs!$B$10:$K$10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Graphs!$B$11:$K$11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36-46A4-93C4-3F1640902121}"/>
            </c:ext>
          </c:extLst>
        </c:ser>
        <c:ser>
          <c:idx val="1"/>
          <c:order val="1"/>
          <c:tx>
            <c:strRef>
              <c:f>Graphs!$A$12</c:f>
              <c:strCache>
                <c:ptCount val="1"/>
                <c:pt idx="0">
                  <c:v>Asia</c:v>
                </c:pt>
              </c:strCache>
            </c:strRef>
          </c:tx>
          <c:invertIfNegative val="0"/>
          <c:cat>
            <c:numRef>
              <c:f>Graphs!$B$10:$K$10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Graphs!$B$12:$K$12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36-46A4-93C4-3F1640902121}"/>
            </c:ext>
          </c:extLst>
        </c:ser>
        <c:ser>
          <c:idx val="2"/>
          <c:order val="2"/>
          <c:tx>
            <c:strRef>
              <c:f>Graphs!$A$13</c:f>
              <c:strCache>
                <c:ptCount val="1"/>
                <c:pt idx="0">
                  <c:v>Europe</c:v>
                </c:pt>
              </c:strCache>
            </c:strRef>
          </c:tx>
          <c:invertIfNegative val="0"/>
          <c:cat>
            <c:numRef>
              <c:f>Graphs!$B$10:$K$10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Graphs!$B$13:$K$13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36-46A4-93C4-3F1640902121}"/>
            </c:ext>
          </c:extLst>
        </c:ser>
        <c:ser>
          <c:idx val="3"/>
          <c:order val="3"/>
          <c:tx>
            <c:strRef>
              <c:f>Graphs!$A$14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Graphs!$B$10:$K$10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Graphs!$B$14:$K$14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36-46A4-93C4-3F164090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5333632"/>
        <c:axId val="186654720"/>
      </c:barChart>
      <c:catAx>
        <c:axId val="1853336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(Post Launch)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86654720"/>
        <c:crosses val="autoZero"/>
        <c:auto val="1"/>
        <c:lblAlgn val="ctr"/>
        <c:lblOffset val="100"/>
        <c:noMultiLvlLbl val="0"/>
      </c:catAx>
      <c:valAx>
        <c:axId val="18665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Revenue (Million)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185333632"/>
        <c:crosses val="autoZero"/>
        <c:crossBetween val="between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92564647345707218"/>
          <c:y val="0.37961539121335325"/>
          <c:w val="7.4353526542927845E-2"/>
          <c:h val="0.356237627159350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Graphs!$B$4</c:f>
              <c:strCache>
                <c:ptCount val="1"/>
                <c:pt idx="0">
                  <c:v>Peak Sales ($M)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Graphs!$A$5:$A$8</c:f>
              <c:strCache>
                <c:ptCount val="4"/>
                <c:pt idx="0">
                  <c:v>Japan</c:v>
                </c:pt>
                <c:pt idx="1">
                  <c:v>Asia</c:v>
                </c:pt>
                <c:pt idx="2">
                  <c:v>Europe</c:v>
                </c:pt>
                <c:pt idx="3">
                  <c:v>US</c:v>
                </c:pt>
              </c:strCache>
            </c:strRef>
          </c:cat>
          <c:val>
            <c:numRef>
              <c:f>Graphs!$B$5:$B$8</c:f>
              <c:numCache>
                <c:formatCode>#.##0.0..</c:formatCode>
                <c:ptCount val="4"/>
                <c:pt idx="0">
                  <c:v>10195820.909980277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5-46E2-8AC6-0664DFECB7C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Region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8851236070559175E-2"/>
          <c:y val="0.18334448390029678"/>
          <c:w val="0.84415607160618977"/>
          <c:h val="0.636887790986910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Graphs!$A$34</c:f>
              <c:strCache>
                <c:ptCount val="1"/>
                <c:pt idx="0">
                  <c:v>Japan</c:v>
                </c:pt>
              </c:strCache>
            </c:strRef>
          </c:tx>
          <c:invertIfNegative val="0"/>
          <c:cat>
            <c:numRef>
              <c:f>Graphs!$B$33:$K$33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Graphs!$B$34:$K$34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A-4651-9012-E94804A0E8C7}"/>
            </c:ext>
          </c:extLst>
        </c:ser>
        <c:ser>
          <c:idx val="1"/>
          <c:order val="1"/>
          <c:tx>
            <c:strRef>
              <c:f>Graphs!$A$35</c:f>
              <c:strCache>
                <c:ptCount val="1"/>
                <c:pt idx="0">
                  <c:v>Asia</c:v>
                </c:pt>
              </c:strCache>
            </c:strRef>
          </c:tx>
          <c:invertIfNegative val="0"/>
          <c:cat>
            <c:numRef>
              <c:f>Graphs!$B$33:$K$33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Graphs!$B$35:$K$35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A-4651-9012-E94804A0E8C7}"/>
            </c:ext>
          </c:extLst>
        </c:ser>
        <c:ser>
          <c:idx val="2"/>
          <c:order val="2"/>
          <c:tx>
            <c:strRef>
              <c:f>Graphs!$A$36</c:f>
              <c:strCache>
                <c:ptCount val="1"/>
                <c:pt idx="0">
                  <c:v>Europe</c:v>
                </c:pt>
              </c:strCache>
            </c:strRef>
          </c:tx>
          <c:invertIfNegative val="0"/>
          <c:cat>
            <c:numRef>
              <c:f>Graphs!$B$33:$K$33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Graphs!$B$36:$K$36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A-4651-9012-E94804A0E8C7}"/>
            </c:ext>
          </c:extLst>
        </c:ser>
        <c:ser>
          <c:idx val="3"/>
          <c:order val="3"/>
          <c:tx>
            <c:strRef>
              <c:f>Graphs!$A$37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Graphs!$B$33:$K$33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Graphs!$B$37:$K$37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9A-4651-9012-E94804A0E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625664"/>
        <c:axId val="192627840"/>
      </c:barChart>
      <c:catAx>
        <c:axId val="192625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(Post Launch)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92627840"/>
        <c:crosses val="autoZero"/>
        <c:auto val="1"/>
        <c:lblAlgn val="ctr"/>
        <c:lblOffset val="100"/>
        <c:noMultiLvlLbl val="0"/>
      </c:catAx>
      <c:valAx>
        <c:axId val="192627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Revenue (Million)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192625664"/>
        <c:crosses val="autoZero"/>
        <c:crossBetween val="between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92564647345707218"/>
          <c:y val="0.37961539121335325"/>
          <c:w val="7.4353526542927845E-2"/>
          <c:h val="0.356237627159350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Graphs!$B$27</c:f>
              <c:strCache>
                <c:ptCount val="1"/>
                <c:pt idx="0">
                  <c:v>Peak Sales ($M)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Graphs!$A$28:$A$31</c:f>
              <c:strCache>
                <c:ptCount val="4"/>
                <c:pt idx="0">
                  <c:v>Japan</c:v>
                </c:pt>
                <c:pt idx="1">
                  <c:v>Asia</c:v>
                </c:pt>
                <c:pt idx="2">
                  <c:v>Europe</c:v>
                </c:pt>
                <c:pt idx="3">
                  <c:v>US</c:v>
                </c:pt>
              </c:strCache>
            </c:strRef>
          </c:cat>
          <c:val>
            <c:numRef>
              <c:f>Graphs!$B$28:$B$31</c:f>
              <c:numCache>
                <c:formatCode>#.##0.0..</c:formatCode>
                <c:ptCount val="4"/>
                <c:pt idx="0">
                  <c:v>10195820.909980277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E-4885-8A44-D17813C7FF5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Sales by Region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5224762815799429E-2"/>
          <c:y val="0.18334448390029678"/>
          <c:w val="0.84778254486094951"/>
          <c:h val="0.6368877909869109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Graphs!$A$58</c:f>
              <c:strCache>
                <c:ptCount val="1"/>
                <c:pt idx="0">
                  <c:v>Japan</c:v>
                </c:pt>
              </c:strCache>
            </c:strRef>
          </c:tx>
          <c:invertIfNegative val="0"/>
          <c:cat>
            <c:numRef>
              <c:f>Graphs!$B$57:$K$57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Graphs!$B$58:$K$58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7-4C0C-BBD3-C303228B08AA}"/>
            </c:ext>
          </c:extLst>
        </c:ser>
        <c:ser>
          <c:idx val="1"/>
          <c:order val="1"/>
          <c:tx>
            <c:strRef>
              <c:f>Graphs!$A$59</c:f>
              <c:strCache>
                <c:ptCount val="1"/>
                <c:pt idx="0">
                  <c:v>Asia</c:v>
                </c:pt>
              </c:strCache>
            </c:strRef>
          </c:tx>
          <c:invertIfNegative val="0"/>
          <c:cat>
            <c:numRef>
              <c:f>Graphs!$B$57:$K$57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Graphs!$B$59:$K$59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E7-4C0C-BBD3-C303228B08AA}"/>
            </c:ext>
          </c:extLst>
        </c:ser>
        <c:ser>
          <c:idx val="2"/>
          <c:order val="2"/>
          <c:tx>
            <c:strRef>
              <c:f>Graphs!$A$60</c:f>
              <c:strCache>
                <c:ptCount val="1"/>
                <c:pt idx="0">
                  <c:v>Europe</c:v>
                </c:pt>
              </c:strCache>
            </c:strRef>
          </c:tx>
          <c:invertIfNegative val="0"/>
          <c:cat>
            <c:numRef>
              <c:f>Graphs!$B$57:$K$57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Graphs!$B$60:$K$60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E7-4C0C-BBD3-C303228B08AA}"/>
            </c:ext>
          </c:extLst>
        </c:ser>
        <c:ser>
          <c:idx val="3"/>
          <c:order val="3"/>
          <c:tx>
            <c:strRef>
              <c:f>Graphs!$A$61</c:f>
              <c:strCache>
                <c:ptCount val="1"/>
                <c:pt idx="0">
                  <c:v>US</c:v>
                </c:pt>
              </c:strCache>
            </c:strRef>
          </c:tx>
          <c:invertIfNegative val="0"/>
          <c:cat>
            <c:numRef>
              <c:f>Graphs!$B$57:$K$57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Graphs!$B$61:$K$61</c:f>
              <c:numCache>
                <c:formatCode>_("$"\ #.##0.0.._);_("$"\ \(#.##0.0..\);_("$"\ "-"??_);_(@_)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E7-4C0C-BBD3-C303228B0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5504128"/>
        <c:axId val="165506048"/>
      </c:barChart>
      <c:catAx>
        <c:axId val="1655041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(Post Launch)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5506048"/>
        <c:crosses val="autoZero"/>
        <c:auto val="1"/>
        <c:lblAlgn val="ctr"/>
        <c:lblOffset val="100"/>
        <c:noMultiLvlLbl val="0"/>
      </c:catAx>
      <c:valAx>
        <c:axId val="165506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Revenue (Million)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165504128"/>
        <c:crosses val="autoZero"/>
        <c:crossBetween val="between"/>
      </c:valAx>
      <c:spPr>
        <a:noFill/>
        <a:ln>
          <a:noFill/>
        </a:ln>
      </c:spPr>
    </c:plotArea>
    <c:legend>
      <c:legendPos val="r"/>
      <c:layout>
        <c:manualLayout>
          <c:xMode val="edge"/>
          <c:yMode val="edge"/>
          <c:x val="0.92564647345707218"/>
          <c:y val="0.37961539121335325"/>
          <c:w val="7.4353526542927845E-2"/>
          <c:h val="0.3562376271593502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Graphs!$B$50</c:f>
              <c:strCache>
                <c:ptCount val="1"/>
                <c:pt idx="0">
                  <c:v>Peak Sales ($M)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Graphs!$A$51:$A$54</c:f>
              <c:strCache>
                <c:ptCount val="4"/>
                <c:pt idx="0">
                  <c:v>Japan</c:v>
                </c:pt>
                <c:pt idx="1">
                  <c:v>Asia</c:v>
                </c:pt>
                <c:pt idx="2">
                  <c:v>Europe</c:v>
                </c:pt>
                <c:pt idx="3">
                  <c:v>US</c:v>
                </c:pt>
              </c:strCache>
            </c:strRef>
          </c:cat>
          <c:val>
            <c:numRef>
              <c:f>Graphs!$B$51:$B$54</c:f>
              <c:numCache>
                <c:formatCode>#.##0.0..</c:formatCode>
                <c:ptCount val="4"/>
                <c:pt idx="0">
                  <c:v>10195820.909980277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82-4F39-9A6D-67602FA36AF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Annual Product Operating Margin Post Launch - Scenario</a:t>
            </a:r>
            <a:r>
              <a:rPr lang="en-US" sz="1400" baseline="0"/>
              <a:t> 3</a:t>
            </a:r>
            <a:r>
              <a:rPr lang="en-US" sz="1400"/>
              <a:t> 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Graphs!$A$65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Graphs!$B$64:$K$64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Graphs!$B$65:$K$65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F9-425E-AC92-A3E5342F0672}"/>
            </c:ext>
          </c:extLst>
        </c:ser>
        <c:ser>
          <c:idx val="1"/>
          <c:order val="1"/>
          <c:tx>
            <c:strRef>
              <c:f>Graphs!$A$66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Graphs!$B$64:$K$64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Graphs!$B$66:$K$66</c:f>
              <c:numCache>
                <c:formatCode>_("$"\ #.##0.0.._);_("$"\ \(#.##0.0..\);_("$"\ "-"??_);_(@_)</c:formatCode>
                <c:ptCount val="10"/>
                <c:pt idx="0">
                  <c:v>-2299035.6517461836</c:v>
                </c:pt>
                <c:pt idx="1">
                  <c:v>-3437860.1598227904</c:v>
                </c:pt>
                <c:pt idx="2">
                  <c:v>-4203968.5428909911</c:v>
                </c:pt>
                <c:pt idx="3">
                  <c:v>-4648845.1775999162</c:v>
                </c:pt>
                <c:pt idx="4">
                  <c:v>-4888638.1834827634</c:v>
                </c:pt>
                <c:pt idx="5">
                  <c:v>-5013133.8675172227</c:v>
                </c:pt>
                <c:pt idx="6">
                  <c:v>-5076565.6290579503</c:v>
                </c:pt>
                <c:pt idx="7">
                  <c:v>-5108581.8566272482</c:v>
                </c:pt>
                <c:pt idx="8">
                  <c:v>-5124665.609437298</c:v>
                </c:pt>
                <c:pt idx="9">
                  <c:v>-2566363.2325235675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F9-425E-AC92-A3E5342F0672}"/>
            </c:ext>
          </c:extLst>
        </c:ser>
        <c:ser>
          <c:idx val="2"/>
          <c:order val="2"/>
          <c:tx>
            <c:strRef>
              <c:f>Graphs!$A$67</c:f>
              <c:strCache>
                <c:ptCount val="1"/>
                <c:pt idx="0">
                  <c:v>Reseach &amp; Development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Graphs!$B$64:$K$64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Graphs!$B$67:$K$67</c:f>
              <c:numCache>
                <c:formatCode>_("$"\ #.##0.0.._);_("$"\ \(#.##0.0..\);_("$"\ "-"??_);_(@_)</c:formatCode>
                <c:ptCount val="10"/>
                <c:pt idx="0">
                  <c:v>-51728.302164289133</c:v>
                </c:pt>
                <c:pt idx="1">
                  <c:v>-75804.816524092545</c:v>
                </c:pt>
                <c:pt idx="2">
                  <c:v>-90843.556243331434</c:v>
                </c:pt>
                <c:pt idx="3">
                  <c:v>-98447.757533901473</c:v>
                </c:pt>
                <c:pt idx="4">
                  <c:v>-101455.29463960664</c:v>
                </c:pt>
                <c:pt idx="5">
                  <c:v>-101958.20909980277</c:v>
                </c:pt>
                <c:pt idx="6">
                  <c:v>-101183.33212778351</c:v>
                </c:pt>
                <c:pt idx="7">
                  <c:v>-99785.032839428604</c:v>
                </c:pt>
                <c:pt idx="8">
                  <c:v>-98097.210081130586</c:v>
                </c:pt>
                <c:pt idx="9">
                  <c:v>-48143.241043416492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F9-425E-AC92-A3E5342F0672}"/>
            </c:ext>
          </c:extLst>
        </c:ser>
        <c:ser>
          <c:idx val="3"/>
          <c:order val="3"/>
          <c:tx>
            <c:strRef>
              <c:f>Graphs!$A$68</c:f>
              <c:strCache>
                <c:ptCount val="1"/>
                <c:pt idx="0">
                  <c:v>S&amp;M, Royalty &amp; Other</c:v>
                </c:pt>
              </c:strCache>
            </c:strRef>
          </c:tx>
          <c:invertIfNegative val="0"/>
          <c:cat>
            <c:numRef>
              <c:f>Graphs!$B$64:$K$64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Graphs!$B$68:$K$68</c:f>
              <c:numCache>
                <c:formatCode>_("$"\ #.##0.0.._);_("$"\ \(#.##0.0..\);_("$"\ "-"??_);_(@_)</c:formatCode>
                <c:ptCount val="10"/>
                <c:pt idx="0">
                  <c:v>-258641.51082144567</c:v>
                </c:pt>
                <c:pt idx="1">
                  <c:v>-379024.08262046269</c:v>
                </c:pt>
                <c:pt idx="2">
                  <c:v>-454217.7812166572</c:v>
                </c:pt>
                <c:pt idx="3">
                  <c:v>-492238.78766950732</c:v>
                </c:pt>
                <c:pt idx="4">
                  <c:v>-507276.47319803323</c:v>
                </c:pt>
                <c:pt idx="5">
                  <c:v>-509791.04549901385</c:v>
                </c:pt>
                <c:pt idx="6">
                  <c:v>-505916.66063891753</c:v>
                </c:pt>
                <c:pt idx="7">
                  <c:v>-498925.16419714299</c:v>
                </c:pt>
                <c:pt idx="8">
                  <c:v>-490486.05040565296</c:v>
                </c:pt>
                <c:pt idx="9">
                  <c:v>-240716.20521708249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F9-425E-AC92-A3E5342F0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391232"/>
        <c:axId val="193419904"/>
      </c:barChart>
      <c:lineChart>
        <c:grouping val="standard"/>
        <c:varyColors val="0"/>
        <c:ser>
          <c:idx val="4"/>
          <c:order val="4"/>
          <c:tx>
            <c:strRef>
              <c:f>Graphs!$A$69</c:f>
              <c:strCache>
                <c:ptCount val="1"/>
                <c:pt idx="0">
                  <c:v>Operating Margin</c:v>
                </c:pt>
              </c:strCache>
            </c:strRef>
          </c:tx>
          <c:marker>
            <c:symbol val="none"/>
          </c:marker>
          <c:cat>
            <c:numRef>
              <c:f>Graphs!$B$69:$K$69</c:f>
              <c:numCache>
                <c:formatCode>_("$"\ #.##0.0.._);_("$"\ \(#.##0.0..\);_("$"\ "-"??_);_(@_)</c:formatCode>
                <c:ptCount val="10"/>
                <c:pt idx="0">
                  <c:v>1538054.8510181967</c:v>
                </c:pt>
                <c:pt idx="1">
                  <c:v>2212675.5560651449</c:v>
                </c:pt>
                <c:pt idx="2">
                  <c:v>2601195.446389298</c:v>
                </c:pt>
                <c:pt idx="3">
                  <c:v>2763146.4183520926</c:v>
                </c:pt>
                <c:pt idx="4">
                  <c:v>2788895.7075841567</c:v>
                </c:pt>
                <c:pt idx="5">
                  <c:v>2742562.6727185422</c:v>
                </c:pt>
                <c:pt idx="6">
                  <c:v>2660800.5545722195</c:v>
                </c:pt>
                <c:pt idx="7">
                  <c:v>2562726.7381674238</c:v>
                </c:pt>
                <c:pt idx="8">
                  <c:v>2457883.2829133859</c:v>
                </c:pt>
                <c:pt idx="9">
                  <c:v>1175460.8553345497</c:v>
                </c:pt>
              </c:numCache>
            </c:numRef>
          </c:cat>
          <c:val>
            <c:numRef>
              <c:f>Graphs!$B$69:$K$69</c:f>
              <c:numCache>
                <c:formatCode>_("$"\ #.##0.0.._);_("$"\ \(#.##0.0..\);_("$"\ "-"??_);_(@_)</c:formatCode>
                <c:ptCount val="10"/>
                <c:pt idx="0">
                  <c:v>1538054.8510181967</c:v>
                </c:pt>
                <c:pt idx="1">
                  <c:v>2212675.5560651449</c:v>
                </c:pt>
                <c:pt idx="2">
                  <c:v>2601195.446389298</c:v>
                </c:pt>
                <c:pt idx="3">
                  <c:v>2763146.4183520926</c:v>
                </c:pt>
                <c:pt idx="4">
                  <c:v>2788895.7075841567</c:v>
                </c:pt>
                <c:pt idx="5">
                  <c:v>2742562.6727185422</c:v>
                </c:pt>
                <c:pt idx="6">
                  <c:v>2660800.5545722195</c:v>
                </c:pt>
                <c:pt idx="7">
                  <c:v>2562726.7381674238</c:v>
                </c:pt>
                <c:pt idx="8">
                  <c:v>2457883.2829133859</c:v>
                </c:pt>
                <c:pt idx="9">
                  <c:v>1175460.8553345497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F9-425E-AC92-A3E5342F0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391232"/>
        <c:axId val="193419904"/>
      </c:lineChart>
      <c:catAx>
        <c:axId val="19339123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3419904"/>
        <c:crosses val="autoZero"/>
        <c:auto val="1"/>
        <c:lblAlgn val="ctr"/>
        <c:lblOffset val="100"/>
        <c:noMultiLvlLbl val="0"/>
      </c:catAx>
      <c:valAx>
        <c:axId val="1934199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Million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193391232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Annual Product Operating Margin Post Launch - Scenario</a:t>
            </a:r>
            <a:r>
              <a:rPr lang="en-US" sz="1400" baseline="0"/>
              <a:t> 2</a:t>
            </a:r>
            <a:r>
              <a:rPr lang="en-US" sz="1400"/>
              <a:t> 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Graphs!$A$41</c:f>
              <c:strCache>
                <c:ptCount val="1"/>
                <c:pt idx="0">
                  <c:v>Revenues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Graphs!$B$40:$K$40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Graphs!$B$41:$K$41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05-436E-8D61-D4B2DAAA09B1}"/>
            </c:ext>
          </c:extLst>
        </c:ser>
        <c:ser>
          <c:idx val="1"/>
          <c:order val="1"/>
          <c:tx>
            <c:strRef>
              <c:f>Graphs!$A$42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Graphs!$B$40:$K$40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Graphs!$B$42:$K$42</c:f>
              <c:numCache>
                <c:formatCode>_("$"\ #.##0.0.._);_("$"\ \(#.##0.0..\);_("$"\ "-"??_);_(@_)</c:formatCode>
                <c:ptCount val="10"/>
                <c:pt idx="0">
                  <c:v>-2299035.6517461836</c:v>
                </c:pt>
                <c:pt idx="1">
                  <c:v>-3437860.1598227904</c:v>
                </c:pt>
                <c:pt idx="2">
                  <c:v>-4203968.5428909911</c:v>
                </c:pt>
                <c:pt idx="3">
                  <c:v>-4648845.1775999162</c:v>
                </c:pt>
                <c:pt idx="4">
                  <c:v>-4888638.1834827634</c:v>
                </c:pt>
                <c:pt idx="5">
                  <c:v>-5013133.8675172227</c:v>
                </c:pt>
                <c:pt idx="6">
                  <c:v>-5076565.6290579503</c:v>
                </c:pt>
                <c:pt idx="7">
                  <c:v>-5108581.8566272482</c:v>
                </c:pt>
                <c:pt idx="8">
                  <c:v>-5124665.609437298</c:v>
                </c:pt>
                <c:pt idx="9">
                  <c:v>-2566363.2325235675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05-436E-8D61-D4B2DAAA09B1}"/>
            </c:ext>
          </c:extLst>
        </c:ser>
        <c:ser>
          <c:idx val="2"/>
          <c:order val="2"/>
          <c:tx>
            <c:strRef>
              <c:f>Graphs!$A$43</c:f>
              <c:strCache>
                <c:ptCount val="1"/>
                <c:pt idx="0">
                  <c:v>Reseach &amp; Development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Graphs!$B$40:$K$40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Graphs!$B$43:$K$43</c:f>
              <c:numCache>
                <c:formatCode>_("$"\ #.##0.0.._);_("$"\ \(#.##0.0..\);_("$"\ "-"??_);_(@_)</c:formatCode>
                <c:ptCount val="10"/>
                <c:pt idx="0">
                  <c:v>-51728.302164289133</c:v>
                </c:pt>
                <c:pt idx="1">
                  <c:v>-75804.816524092545</c:v>
                </c:pt>
                <c:pt idx="2">
                  <c:v>-90843.556243331434</c:v>
                </c:pt>
                <c:pt idx="3">
                  <c:v>-98447.757533901473</c:v>
                </c:pt>
                <c:pt idx="4">
                  <c:v>-101455.29463960664</c:v>
                </c:pt>
                <c:pt idx="5">
                  <c:v>-101958.20909980277</c:v>
                </c:pt>
                <c:pt idx="6">
                  <c:v>-101183.33212778351</c:v>
                </c:pt>
                <c:pt idx="7">
                  <c:v>-99785.032839428604</c:v>
                </c:pt>
                <c:pt idx="8">
                  <c:v>-98097.210081130586</c:v>
                </c:pt>
                <c:pt idx="9">
                  <c:v>-48143.241043416492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05-436E-8D61-D4B2DAAA09B1}"/>
            </c:ext>
          </c:extLst>
        </c:ser>
        <c:ser>
          <c:idx val="3"/>
          <c:order val="3"/>
          <c:tx>
            <c:strRef>
              <c:f>Graphs!$A$44</c:f>
              <c:strCache>
                <c:ptCount val="1"/>
                <c:pt idx="0">
                  <c:v>S&amp;M, Royalty &amp; Other</c:v>
                </c:pt>
              </c:strCache>
            </c:strRef>
          </c:tx>
          <c:invertIfNegative val="0"/>
          <c:cat>
            <c:numRef>
              <c:f>Graphs!$B$40:$K$40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Graphs!$B$44:$K$44</c:f>
              <c:numCache>
                <c:formatCode>_("$"\ #.##0.0.._);_("$"\ \(#.##0.0..\);_("$"\ "-"??_);_(@_)</c:formatCode>
                <c:ptCount val="10"/>
                <c:pt idx="0">
                  <c:v>-258641.51082144567</c:v>
                </c:pt>
                <c:pt idx="1">
                  <c:v>-379024.08262046269</c:v>
                </c:pt>
                <c:pt idx="2">
                  <c:v>-454217.7812166572</c:v>
                </c:pt>
                <c:pt idx="3">
                  <c:v>-492238.78766950732</c:v>
                </c:pt>
                <c:pt idx="4">
                  <c:v>-507276.47319803323</c:v>
                </c:pt>
                <c:pt idx="5">
                  <c:v>-509791.04549901385</c:v>
                </c:pt>
                <c:pt idx="6">
                  <c:v>-505916.66063891753</c:v>
                </c:pt>
                <c:pt idx="7">
                  <c:v>-498925.16419714299</c:v>
                </c:pt>
                <c:pt idx="8">
                  <c:v>-490486.05040565296</c:v>
                </c:pt>
                <c:pt idx="9">
                  <c:v>-240716.20521708249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05-436E-8D61-D4B2DAAA0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564352"/>
        <c:axId val="202565888"/>
      </c:barChart>
      <c:lineChart>
        <c:grouping val="standard"/>
        <c:varyColors val="0"/>
        <c:ser>
          <c:idx val="4"/>
          <c:order val="4"/>
          <c:tx>
            <c:strRef>
              <c:f>Graphs!$A$45</c:f>
              <c:strCache>
                <c:ptCount val="1"/>
                <c:pt idx="0">
                  <c:v>Operating Margin</c:v>
                </c:pt>
              </c:strCache>
            </c:strRef>
          </c:tx>
          <c:marker>
            <c:symbol val="none"/>
          </c:marker>
          <c:cat>
            <c:numRef>
              <c:f>Graphs!$B$40:$K$40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Graphs!$B$45:$K$45</c:f>
              <c:numCache>
                <c:formatCode>_("$"\ #.##0.0.._);_("$"\ \(#.##0.0..\);_("$"\ "-"??_);_(@_)</c:formatCode>
                <c:ptCount val="10"/>
                <c:pt idx="0">
                  <c:v>1538054.8510181967</c:v>
                </c:pt>
                <c:pt idx="1">
                  <c:v>2212675.5560651449</c:v>
                </c:pt>
                <c:pt idx="2">
                  <c:v>2601195.446389298</c:v>
                </c:pt>
                <c:pt idx="3">
                  <c:v>2763146.4183520926</c:v>
                </c:pt>
                <c:pt idx="4">
                  <c:v>2788895.7075841567</c:v>
                </c:pt>
                <c:pt idx="5">
                  <c:v>2742562.6727185422</c:v>
                </c:pt>
                <c:pt idx="6">
                  <c:v>2660800.5545722195</c:v>
                </c:pt>
                <c:pt idx="7">
                  <c:v>2562726.7381674238</c:v>
                </c:pt>
                <c:pt idx="8">
                  <c:v>2457883.2829133859</c:v>
                </c:pt>
                <c:pt idx="9">
                  <c:v>1175460.8553345497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705-436E-8D61-D4B2DAAA0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564352"/>
        <c:axId val="202565888"/>
      </c:lineChart>
      <c:catAx>
        <c:axId val="2025643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02565888"/>
        <c:crosses val="autoZero"/>
        <c:auto val="1"/>
        <c:lblAlgn val="ctr"/>
        <c:lblOffset val="100"/>
        <c:noMultiLvlLbl val="0"/>
      </c:catAx>
      <c:valAx>
        <c:axId val="2025658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Million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202564352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Annual Product Operating Margin Post Launch - Scenario</a:t>
            </a:r>
            <a:r>
              <a:rPr lang="en-US" sz="1400" baseline="0"/>
              <a:t> 1</a:t>
            </a:r>
            <a:r>
              <a:rPr lang="en-US" sz="1400"/>
              <a:t> 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Graphs!$A$18</c:f>
              <c:strCache>
                <c:ptCount val="1"/>
                <c:pt idx="0">
                  <c:v>Net Sales</c:v>
                </c:pt>
              </c:strCache>
            </c:strRef>
          </c:tx>
          <c:spPr>
            <a:solidFill>
              <a:srgbClr val="FF0000"/>
            </a:solidFill>
          </c:spPr>
          <c:invertIfNegative val="0"/>
          <c:cat>
            <c:numRef>
              <c:f>Graphs!$B$17:$K$17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Graphs!$B$18:$K$18</c:f>
              <c:numCache>
                <c:formatCode>_("$"\ #.##0.0.._);_("$"\ \(#.##0.0..\);_("$"\ "-"??_);_(@_)</c:formatCode>
                <c:ptCount val="10"/>
                <c:pt idx="0">
                  <c:v>5172830.2164289132</c:v>
                </c:pt>
                <c:pt idx="1">
                  <c:v>7580481.6524092536</c:v>
                </c:pt>
                <c:pt idx="2">
                  <c:v>9084355.6243331432</c:v>
                </c:pt>
                <c:pt idx="3">
                  <c:v>9844775.7533901464</c:v>
                </c:pt>
                <c:pt idx="4">
                  <c:v>10145529.463960664</c:v>
                </c:pt>
                <c:pt idx="5">
                  <c:v>10195820.909980277</c:v>
                </c:pt>
                <c:pt idx="6">
                  <c:v>10118333.21277835</c:v>
                </c:pt>
                <c:pt idx="7">
                  <c:v>9978503.2839428596</c:v>
                </c:pt>
                <c:pt idx="8">
                  <c:v>9809721.0081130583</c:v>
                </c:pt>
                <c:pt idx="9">
                  <c:v>4814324.1043416495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1E-4393-A02D-57B75AB1D0EE}"/>
            </c:ext>
          </c:extLst>
        </c:ser>
        <c:ser>
          <c:idx val="1"/>
          <c:order val="1"/>
          <c:tx>
            <c:strRef>
              <c:f>Graphs!$A$19</c:f>
              <c:strCache>
                <c:ptCount val="1"/>
                <c:pt idx="0">
                  <c:v>COGS</c:v>
                </c:pt>
              </c:strCache>
            </c:strRef>
          </c:tx>
          <c:spPr>
            <a:solidFill>
              <a:srgbClr val="7030A0"/>
            </a:solidFill>
          </c:spPr>
          <c:invertIfNegative val="0"/>
          <c:cat>
            <c:numRef>
              <c:f>Graphs!$B$17:$K$17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Graphs!$B$19:$K$19</c:f>
              <c:numCache>
                <c:formatCode>_("$"\ #.##0.0.._);_("$"\ \(#.##0.0..\);_("$"\ "-"??_);_(@_)</c:formatCode>
                <c:ptCount val="10"/>
                <c:pt idx="0">
                  <c:v>-2299035.6517461836</c:v>
                </c:pt>
                <c:pt idx="1">
                  <c:v>-3437860.1598227904</c:v>
                </c:pt>
                <c:pt idx="2">
                  <c:v>-4203968.5428909911</c:v>
                </c:pt>
                <c:pt idx="3">
                  <c:v>-4648845.1775999162</c:v>
                </c:pt>
                <c:pt idx="4">
                  <c:v>-4888638.1834827634</c:v>
                </c:pt>
                <c:pt idx="5">
                  <c:v>-5013133.8675172227</c:v>
                </c:pt>
                <c:pt idx="6">
                  <c:v>-5076565.6290579503</c:v>
                </c:pt>
                <c:pt idx="7">
                  <c:v>-5108581.8566272482</c:v>
                </c:pt>
                <c:pt idx="8">
                  <c:v>-5124665.609437298</c:v>
                </c:pt>
                <c:pt idx="9">
                  <c:v>-2566363.2325235675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1E-4393-A02D-57B75AB1D0EE}"/>
            </c:ext>
          </c:extLst>
        </c:ser>
        <c:ser>
          <c:idx val="2"/>
          <c:order val="2"/>
          <c:tx>
            <c:strRef>
              <c:f>Graphs!$A$20</c:f>
              <c:strCache>
                <c:ptCount val="1"/>
                <c:pt idx="0">
                  <c:v>Reseach &amp; Development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Graphs!$B$17:$K$17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Graphs!$B$20:$K$20</c:f>
              <c:numCache>
                <c:formatCode>_("$"\ #.##0.0.._);_("$"\ \(#.##0.0..\);_("$"\ "-"??_);_(@_)</c:formatCode>
                <c:ptCount val="10"/>
                <c:pt idx="0">
                  <c:v>-51728.302164289133</c:v>
                </c:pt>
                <c:pt idx="1">
                  <c:v>-75804.816524092545</c:v>
                </c:pt>
                <c:pt idx="2">
                  <c:v>-90843.556243331434</c:v>
                </c:pt>
                <c:pt idx="3">
                  <c:v>-98447.757533901473</c:v>
                </c:pt>
                <c:pt idx="4">
                  <c:v>-101455.29463960664</c:v>
                </c:pt>
                <c:pt idx="5">
                  <c:v>-101958.20909980277</c:v>
                </c:pt>
                <c:pt idx="6">
                  <c:v>-101183.33212778351</c:v>
                </c:pt>
                <c:pt idx="7">
                  <c:v>-99785.032839428604</c:v>
                </c:pt>
                <c:pt idx="8">
                  <c:v>-98097.210081130586</c:v>
                </c:pt>
                <c:pt idx="9">
                  <c:v>-48143.241043416492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1E-4393-A02D-57B75AB1D0EE}"/>
            </c:ext>
          </c:extLst>
        </c:ser>
        <c:ser>
          <c:idx val="3"/>
          <c:order val="3"/>
          <c:tx>
            <c:strRef>
              <c:f>Graphs!$A$21</c:f>
              <c:strCache>
                <c:ptCount val="1"/>
                <c:pt idx="0">
                  <c:v>S&amp;M, Royalty &amp; Other</c:v>
                </c:pt>
              </c:strCache>
            </c:strRef>
          </c:tx>
          <c:invertIfNegative val="0"/>
          <c:cat>
            <c:numRef>
              <c:f>Graphs!$B$17:$K$17</c:f>
              <c:numCache>
                <c:formatCode>0</c:formatCode>
                <c:ptCount val="10"/>
                <c:pt idx="0">
                  <c:v>2021.325</c:v>
                </c:pt>
                <c:pt idx="1">
                  <c:v>2022.325</c:v>
                </c:pt>
                <c:pt idx="2">
                  <c:v>2023.325</c:v>
                </c:pt>
                <c:pt idx="3">
                  <c:v>2024.325</c:v>
                </c:pt>
                <c:pt idx="4">
                  <c:v>2025.325</c:v>
                </c:pt>
                <c:pt idx="5">
                  <c:v>2026.325</c:v>
                </c:pt>
                <c:pt idx="6">
                  <c:v>2027.325</c:v>
                </c:pt>
                <c:pt idx="7">
                  <c:v>2028.325</c:v>
                </c:pt>
                <c:pt idx="8">
                  <c:v>2029.325</c:v>
                </c:pt>
                <c:pt idx="9">
                  <c:v>2030.325</c:v>
                </c:pt>
              </c:numCache>
            </c:numRef>
          </c:cat>
          <c:val>
            <c:numRef>
              <c:f>Graphs!$B$21:$K$21</c:f>
              <c:numCache>
                <c:formatCode>_("$"\ #.##0.0.._);_("$"\ \(#.##0.0..\);_("$"\ "-"??_);_(@_)</c:formatCode>
                <c:ptCount val="10"/>
                <c:pt idx="0">
                  <c:v>-258641.51082144567</c:v>
                </c:pt>
                <c:pt idx="1">
                  <c:v>-379024.08262046269</c:v>
                </c:pt>
                <c:pt idx="2">
                  <c:v>-454217.7812166572</c:v>
                </c:pt>
                <c:pt idx="3">
                  <c:v>-492238.78766950732</c:v>
                </c:pt>
                <c:pt idx="4">
                  <c:v>-507276.47319803323</c:v>
                </c:pt>
                <c:pt idx="5">
                  <c:v>-509791.04549901385</c:v>
                </c:pt>
                <c:pt idx="6">
                  <c:v>-505916.66063891753</c:v>
                </c:pt>
                <c:pt idx="7">
                  <c:v>-498925.16419714299</c:v>
                </c:pt>
                <c:pt idx="8">
                  <c:v>-490486.05040565296</c:v>
                </c:pt>
                <c:pt idx="9">
                  <c:v>-240716.20521708249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1E-4393-A02D-57B75AB1D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2613120"/>
        <c:axId val="202614656"/>
      </c:barChart>
      <c:lineChart>
        <c:grouping val="standard"/>
        <c:varyColors val="0"/>
        <c:ser>
          <c:idx val="4"/>
          <c:order val="4"/>
          <c:tx>
            <c:strRef>
              <c:f>Graphs!$A$22</c:f>
              <c:strCache>
                <c:ptCount val="1"/>
                <c:pt idx="0">
                  <c:v>Operating Margin</c:v>
                </c:pt>
              </c:strCache>
            </c:strRef>
          </c:tx>
          <c:marker>
            <c:symbol val="none"/>
          </c:marker>
          <c:cat>
            <c:numRef>
              <c:f>Graphs!$B$22:$K$22</c:f>
              <c:numCache>
                <c:formatCode>_("$"\ #.##0.0.._);_("$"\ \(#.##0.0..\);_("$"\ "-"??_);_(@_)</c:formatCode>
                <c:ptCount val="10"/>
                <c:pt idx="0">
                  <c:v>1538054.8510181967</c:v>
                </c:pt>
                <c:pt idx="1">
                  <c:v>2212675.5560651449</c:v>
                </c:pt>
                <c:pt idx="2">
                  <c:v>2601195.446389298</c:v>
                </c:pt>
                <c:pt idx="3">
                  <c:v>2763146.4183520926</c:v>
                </c:pt>
                <c:pt idx="4">
                  <c:v>2788895.7075841567</c:v>
                </c:pt>
                <c:pt idx="5">
                  <c:v>2742562.6727185422</c:v>
                </c:pt>
                <c:pt idx="6">
                  <c:v>2660800.5545722195</c:v>
                </c:pt>
                <c:pt idx="7">
                  <c:v>2562726.7381674238</c:v>
                </c:pt>
                <c:pt idx="8">
                  <c:v>2457883.2829133859</c:v>
                </c:pt>
                <c:pt idx="9">
                  <c:v>1175460.8553345497</c:v>
                </c:pt>
              </c:numCache>
            </c:numRef>
          </c:cat>
          <c:val>
            <c:numRef>
              <c:f>Graphs!$B$22:$K$22</c:f>
              <c:numCache>
                <c:formatCode>_("$"\ #.##0.0.._);_("$"\ \(#.##0.0..\);_("$"\ "-"??_);_(@_)</c:formatCode>
                <c:ptCount val="10"/>
                <c:pt idx="0">
                  <c:v>1538054.8510181967</c:v>
                </c:pt>
                <c:pt idx="1">
                  <c:v>2212675.5560651449</c:v>
                </c:pt>
                <c:pt idx="2">
                  <c:v>2601195.446389298</c:v>
                </c:pt>
                <c:pt idx="3">
                  <c:v>2763146.4183520926</c:v>
                </c:pt>
                <c:pt idx="4">
                  <c:v>2788895.7075841567</c:v>
                </c:pt>
                <c:pt idx="5">
                  <c:v>2742562.6727185422</c:v>
                </c:pt>
                <c:pt idx="6">
                  <c:v>2660800.5545722195</c:v>
                </c:pt>
                <c:pt idx="7">
                  <c:v>2562726.7381674238</c:v>
                </c:pt>
                <c:pt idx="8">
                  <c:v>2457883.2829133859</c:v>
                </c:pt>
                <c:pt idx="9">
                  <c:v>1175460.8553345497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1E-4393-A02D-57B75AB1D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2613120"/>
        <c:axId val="202614656"/>
      </c:lineChart>
      <c:catAx>
        <c:axId val="2026131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202614656"/>
        <c:crosses val="autoZero"/>
        <c:auto val="1"/>
        <c:lblAlgn val="ctr"/>
        <c:lblOffset val="100"/>
        <c:noMultiLvlLbl val="0"/>
      </c:catAx>
      <c:valAx>
        <c:axId val="2026146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Million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202613120"/>
        <c:crosses val="autoZero"/>
        <c:crossBetween val="between"/>
      </c:valAx>
      <c:spPr>
        <a:noFill/>
        <a:ln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Discounted Cash Flow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9777551999548443"/>
          <c:y val="0.16322340895506873"/>
          <c:w val="0.77355064487906755"/>
          <c:h val="0.54834160581412472"/>
        </c:manualLayout>
      </c:layout>
      <c:lineChart>
        <c:grouping val="standard"/>
        <c:varyColors val="0"/>
        <c:ser>
          <c:idx val="0"/>
          <c:order val="0"/>
          <c:tx>
            <c:strRef>
              <c:f>Graphs!$A$78</c:f>
              <c:strCache>
                <c:ptCount val="1"/>
                <c:pt idx="0">
                  <c:v>Scenario 1</c:v>
                </c:pt>
              </c:strCache>
            </c:strRef>
          </c:tx>
          <c:marker>
            <c:symbol val="none"/>
          </c:marker>
          <c:cat>
            <c:numRef>
              <c:f>Graphs!$B$77:$K$77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Graphs!$B$78:$K$78</c:f>
              <c:numCache>
                <c:formatCode>_("$"\ #.##0.0.._);_("$"\ \(#.##0.0..\);_("$"\ "-"??_);_(@_)</c:formatCode>
                <c:ptCount val="10"/>
                <c:pt idx="0">
                  <c:v>330713.49721277523</c:v>
                </c:pt>
                <c:pt idx="1">
                  <c:v>448840.42914573377</c:v>
                </c:pt>
                <c:pt idx="2">
                  <c:v>497784.47842230863</c:v>
                </c:pt>
                <c:pt idx="3">
                  <c:v>498845.89061465545</c:v>
                </c:pt>
                <c:pt idx="4">
                  <c:v>474994.85869163211</c:v>
                </c:pt>
                <c:pt idx="5">
                  <c:v>440663.75469049328</c:v>
                </c:pt>
                <c:pt idx="6">
                  <c:v>403326.93576274364</c:v>
                </c:pt>
                <c:pt idx="7">
                  <c:v>366472.45652915706</c:v>
                </c:pt>
                <c:pt idx="8">
                  <c:v>331584.65924688638</c:v>
                </c:pt>
                <c:pt idx="9">
                  <c:v>149601.33866639048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6D-4A21-9373-08CAA8116A3C}"/>
            </c:ext>
          </c:extLst>
        </c:ser>
        <c:ser>
          <c:idx val="1"/>
          <c:order val="1"/>
          <c:tx>
            <c:strRef>
              <c:f>Graphs!$A$79</c:f>
              <c:strCache>
                <c:ptCount val="1"/>
                <c:pt idx="0">
                  <c:v>Scenario 2</c:v>
                </c:pt>
              </c:strCache>
            </c:strRef>
          </c:tx>
          <c:marker>
            <c:symbol val="none"/>
          </c:marker>
          <c:cat>
            <c:numRef>
              <c:f>Graphs!$B$77:$K$77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Graphs!$B$79:$K$79</c:f>
              <c:numCache>
                <c:formatCode>_("$"\ #.##0.0.._);_("$"\ \(#.##0.0..\);_("$"\ "-"??_);_(@_)</c:formatCode>
                <c:ptCount val="10"/>
                <c:pt idx="0">
                  <c:v>330713.49721277523</c:v>
                </c:pt>
                <c:pt idx="1">
                  <c:v>448840.42914573377</c:v>
                </c:pt>
                <c:pt idx="2">
                  <c:v>497784.47842230863</c:v>
                </c:pt>
                <c:pt idx="3">
                  <c:v>498845.89061465545</c:v>
                </c:pt>
                <c:pt idx="4">
                  <c:v>474994.85869163211</c:v>
                </c:pt>
                <c:pt idx="5">
                  <c:v>440663.75469049328</c:v>
                </c:pt>
                <c:pt idx="6">
                  <c:v>403326.93576274364</c:v>
                </c:pt>
                <c:pt idx="7">
                  <c:v>366472.45652915706</c:v>
                </c:pt>
                <c:pt idx="8">
                  <c:v>331584.65924688638</c:v>
                </c:pt>
                <c:pt idx="9">
                  <c:v>149601.33866639048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6D-4A21-9373-08CAA8116A3C}"/>
            </c:ext>
          </c:extLst>
        </c:ser>
        <c:ser>
          <c:idx val="2"/>
          <c:order val="2"/>
          <c:tx>
            <c:strRef>
              <c:f>Graphs!$A$80</c:f>
              <c:strCache>
                <c:ptCount val="1"/>
                <c:pt idx="0">
                  <c:v>Scenario 3</c:v>
                </c:pt>
              </c:strCache>
            </c:strRef>
          </c:tx>
          <c:marker>
            <c:symbol val="none"/>
          </c:marker>
          <c:cat>
            <c:numRef>
              <c:f>Graphs!$B$77:$K$77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Graphs!$B$80:$K$80</c:f>
              <c:numCache>
                <c:formatCode>_("$"\ #.##0.0.._);_("$"\ \(#.##0.0..\);_("$"\ "-"??_);_(@_)</c:formatCode>
                <c:ptCount val="10"/>
                <c:pt idx="0">
                  <c:v>330713.49721277523</c:v>
                </c:pt>
                <c:pt idx="1">
                  <c:v>448840.42914573377</c:v>
                </c:pt>
                <c:pt idx="2">
                  <c:v>497784.47842230863</c:v>
                </c:pt>
                <c:pt idx="3">
                  <c:v>498845.89061465545</c:v>
                </c:pt>
                <c:pt idx="4">
                  <c:v>474994.85869163211</c:v>
                </c:pt>
                <c:pt idx="5">
                  <c:v>440663.75469049328</c:v>
                </c:pt>
                <c:pt idx="6">
                  <c:v>403326.93576274364</c:v>
                </c:pt>
                <c:pt idx="7">
                  <c:v>366472.45652915706</c:v>
                </c:pt>
                <c:pt idx="8">
                  <c:v>331584.65924688638</c:v>
                </c:pt>
                <c:pt idx="9">
                  <c:v>149601.33866639048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6D-4A21-9373-08CAA8116A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667136"/>
        <c:axId val="202669056"/>
      </c:lineChart>
      <c:catAx>
        <c:axId val="202667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 Post Launch</a:t>
                </a:r>
              </a:p>
            </c:rich>
          </c:tx>
          <c:layout>
            <c:manualLayout>
              <c:xMode val="edge"/>
              <c:yMode val="edge"/>
              <c:x val="0.40803629385036549"/>
              <c:y val="0.818752457922957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202669056"/>
        <c:crosses val="autoZero"/>
        <c:auto val="1"/>
        <c:lblAlgn val="ctr"/>
        <c:lblOffset val="100"/>
        <c:noMultiLvlLbl val="0"/>
      </c:catAx>
      <c:valAx>
        <c:axId val="2026690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Million</a:t>
                </a:r>
              </a:p>
            </c:rich>
          </c:tx>
          <c:overlay val="0"/>
        </c:title>
        <c:numFmt formatCode="_(&quot;$&quot;\ #.##0.0.._);_(&quot;$&quot;\ \(#.##0.0..\);_(&quot;$&quot;\ &quot;-&quot;??_);_(@_)" sourceLinked="1"/>
        <c:majorTickMark val="none"/>
        <c:minorTickMark val="none"/>
        <c:tickLblPos val="nextTo"/>
        <c:spPr>
          <a:ln w="9525">
            <a:noFill/>
          </a:ln>
        </c:spPr>
        <c:crossAx val="202667136"/>
        <c:crosses val="autoZero"/>
        <c:crossBetween val="between"/>
      </c:valAx>
      <c:spPr>
        <a:noFill/>
        <a:ln>
          <a:noFill/>
        </a:ln>
      </c:spPr>
    </c:plotArea>
    <c:legend>
      <c:legendPos val="b"/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EPV (Million)</a:t>
            </a:r>
          </a:p>
        </c:rich>
      </c:tx>
      <c:layout>
        <c:manualLayout>
          <c:xMode val="edge"/>
          <c:yMode val="edge"/>
          <c:x val="0.21686287960338732"/>
          <c:y val="3.9344275838139785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Graphs!$A$74</c:f>
              <c:strCache>
                <c:ptCount val="1"/>
                <c:pt idx="0">
                  <c:v>EPV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1-E8C1-45C6-8ABA-28F9A8C052F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</c:spPr>
            <c:extLst>
              <c:ext xmlns:c16="http://schemas.microsoft.com/office/drawing/2014/chart" uri="{C3380CC4-5D6E-409C-BE32-E72D297353CC}">
                <c16:uniqueId val="{00000003-E8C1-45C6-8ABA-28F9A8C052F2}"/>
              </c:ext>
            </c:extLst>
          </c:dPt>
          <c:dPt>
            <c:idx val="2"/>
            <c:invertIfNegative val="0"/>
            <c:bubble3D val="0"/>
            <c:spPr>
              <a:solidFill>
                <a:srgbClr val="FFC000"/>
              </a:solidFill>
            </c:spPr>
            <c:extLst>
              <c:ext xmlns:c16="http://schemas.microsoft.com/office/drawing/2014/chart" uri="{C3380CC4-5D6E-409C-BE32-E72D297353CC}">
                <c16:uniqueId val="{00000005-E8C1-45C6-8ABA-28F9A8C052F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Graphs!$B$73:$D$73</c:f>
              <c:strCache>
                <c:ptCount val="3"/>
                <c:pt idx="0">
                  <c:v>Scenario 1</c:v>
                </c:pt>
                <c:pt idx="1">
                  <c:v>Scenario 2</c:v>
                </c:pt>
                <c:pt idx="2">
                  <c:v>Scenario 3</c:v>
                </c:pt>
              </c:strCache>
            </c:strRef>
          </c:cat>
          <c:val>
            <c:numRef>
              <c:f>Graphs!$B$74:$D$74</c:f>
              <c:numCache>
                <c:formatCode>_("$"\ #.##0.0.._);_("$"\ \(#.##0.0..\);_("$"\ "-"??_);_(@_)</c:formatCode>
                <c:ptCount val="3"/>
                <c:pt idx="0">
                  <c:v>-63487171.701017223</c:v>
                </c:pt>
                <c:pt idx="1">
                  <c:v>-63487171.701017223</c:v>
                </c:pt>
                <c:pt idx="2">
                  <c:v>-63487171.701017223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8C1-45C6-8ABA-28F9A8C052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02697344"/>
        <c:axId val="202248576"/>
      </c:barChart>
      <c:catAx>
        <c:axId val="20269734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02248576"/>
        <c:crosses val="autoZero"/>
        <c:auto val="1"/>
        <c:lblAlgn val="ctr"/>
        <c:lblOffset val="100"/>
        <c:noMultiLvlLbl val="0"/>
      </c:catAx>
      <c:valAx>
        <c:axId val="202248576"/>
        <c:scaling>
          <c:orientation val="minMax"/>
        </c:scaling>
        <c:delete val="1"/>
        <c:axPos val="l"/>
        <c:majorGridlines>
          <c:spPr>
            <a:ln>
              <a:noFill/>
            </a:ln>
          </c:spPr>
        </c:majorGridlines>
        <c:numFmt formatCode="_(&quot;$&quot;\ #.##0.0.._);_(&quot;$&quot;\ \(#.##0.0..\);_(&quot;$&quot;\ &quot;-&quot;??_);_(@_)" sourceLinked="1"/>
        <c:majorTickMark val="out"/>
        <c:minorTickMark val="none"/>
        <c:tickLblPos val="nextTo"/>
        <c:crossAx val="20269734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  <a:cs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Fin!$E$17:$N$17</c:f>
              <c:numCache>
                <c:formatCode>_(* #.##0_);_(* \(#.##0\);_(* "-"??_);_(@_)</c:formatCode>
                <c:ptCount val="10"/>
                <c:pt idx="0">
                  <c:v>31304.951684997053</c:v>
                </c:pt>
                <c:pt idx="1">
                  <c:v>46811.821348349542</c:v>
                </c:pt>
                <c:pt idx="2">
                  <c:v>57243.58037705598</c:v>
                </c:pt>
                <c:pt idx="3">
                  <c:v>63301.268758168801</c:v>
                </c:pt>
                <c:pt idx="4">
                  <c:v>66566.424067031097</c:v>
                </c:pt>
                <c:pt idx="5">
                  <c:v>68261.626736345628</c:v>
                </c:pt>
                <c:pt idx="6">
                  <c:v>69125.348979547256</c:v>
                </c:pt>
                <c:pt idx="7">
                  <c:v>69561.299790676043</c:v>
                </c:pt>
                <c:pt idx="8">
                  <c:v>69780.305139396762</c:v>
                </c:pt>
                <c:pt idx="9">
                  <c:v>34945.033122597597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66-4EA1-AF0D-CE085E4C28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321280"/>
        <c:axId val="203203712"/>
      </c:lineChart>
      <c:catAx>
        <c:axId val="202321280"/>
        <c:scaling>
          <c:orientation val="minMax"/>
        </c:scaling>
        <c:delete val="0"/>
        <c:axPos val="b"/>
        <c:majorTickMark val="out"/>
        <c:minorTickMark val="none"/>
        <c:tickLblPos val="nextTo"/>
        <c:crossAx val="203203712"/>
        <c:crosses val="autoZero"/>
        <c:auto val="1"/>
        <c:lblAlgn val="ctr"/>
        <c:lblOffset val="100"/>
        <c:noMultiLvlLbl val="0"/>
      </c:catAx>
      <c:valAx>
        <c:axId val="203203712"/>
        <c:scaling>
          <c:orientation val="minMax"/>
        </c:scaling>
        <c:delete val="0"/>
        <c:axPos val="l"/>
        <c:majorGridlines/>
        <c:numFmt formatCode="_(* #.##0_);_(* \(#.##0\);_(* &quot;-&quot;??_);_(@_)" sourceLinked="1"/>
        <c:majorTickMark val="out"/>
        <c:minorTickMark val="none"/>
        <c:tickLblPos val="nextTo"/>
        <c:crossAx val="2023212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Fin!$E$17:$N$17</c:f>
              <c:numCache>
                <c:formatCode>_(* #.##0_);_(* \(#.##0\);_(* "-"??_);_(@_)</c:formatCode>
                <c:ptCount val="10"/>
                <c:pt idx="0">
                  <c:v>31304.951684997053</c:v>
                </c:pt>
                <c:pt idx="1">
                  <c:v>46811.821348349542</c:v>
                </c:pt>
                <c:pt idx="2">
                  <c:v>57243.58037705598</c:v>
                </c:pt>
                <c:pt idx="3">
                  <c:v>63301.268758168801</c:v>
                </c:pt>
                <c:pt idx="4">
                  <c:v>66566.424067031097</c:v>
                </c:pt>
                <c:pt idx="5">
                  <c:v>68261.626736345628</c:v>
                </c:pt>
                <c:pt idx="6">
                  <c:v>69125.348979547256</c:v>
                </c:pt>
                <c:pt idx="7">
                  <c:v>69561.299790676043</c:v>
                </c:pt>
                <c:pt idx="8">
                  <c:v>69780.305139396762</c:v>
                </c:pt>
                <c:pt idx="9">
                  <c:v>34945.033122597597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4-4EEF-B7FA-0BA5D57EB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498624"/>
        <c:axId val="203500160"/>
      </c:lineChart>
      <c:catAx>
        <c:axId val="20349862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500160"/>
        <c:crosses val="autoZero"/>
        <c:auto val="1"/>
        <c:lblAlgn val="ctr"/>
        <c:lblOffset val="100"/>
        <c:noMultiLvlLbl val="0"/>
      </c:catAx>
      <c:valAx>
        <c:axId val="203500160"/>
        <c:scaling>
          <c:orientation val="minMax"/>
        </c:scaling>
        <c:delete val="0"/>
        <c:axPos val="l"/>
        <c:majorGridlines/>
        <c:numFmt formatCode="_(* #.##0_);_(* \(#.##0\);_(* &quot;-&quot;??_);_(@_)" sourceLinked="1"/>
        <c:majorTickMark val="out"/>
        <c:minorTickMark val="none"/>
        <c:tickLblPos val="nextTo"/>
        <c:crossAx val="20349862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Fin!$E$17:$N$17</c:f>
              <c:numCache>
                <c:formatCode>_(* #.##0_);_(* \(#.##0\);_(* "-"??_);_(@_)</c:formatCode>
                <c:ptCount val="10"/>
                <c:pt idx="0">
                  <c:v>31304.951684997053</c:v>
                </c:pt>
                <c:pt idx="1">
                  <c:v>46811.821348349542</c:v>
                </c:pt>
                <c:pt idx="2">
                  <c:v>57243.58037705598</c:v>
                </c:pt>
                <c:pt idx="3">
                  <c:v>63301.268758168801</c:v>
                </c:pt>
                <c:pt idx="4">
                  <c:v>66566.424067031097</c:v>
                </c:pt>
                <c:pt idx="5">
                  <c:v>68261.626736345628</c:v>
                </c:pt>
                <c:pt idx="6">
                  <c:v>69125.348979547256</c:v>
                </c:pt>
                <c:pt idx="7">
                  <c:v>69561.299790676043</c:v>
                </c:pt>
                <c:pt idx="8">
                  <c:v>69780.305139396762</c:v>
                </c:pt>
                <c:pt idx="9">
                  <c:v>34945.033122597597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B1-4BFB-BB70-EB644945D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3516544"/>
        <c:axId val="203526528"/>
      </c:lineChart>
      <c:catAx>
        <c:axId val="2035165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526528"/>
        <c:crosses val="autoZero"/>
        <c:auto val="1"/>
        <c:lblAlgn val="ctr"/>
        <c:lblOffset val="100"/>
        <c:noMultiLvlLbl val="0"/>
      </c:catAx>
      <c:valAx>
        <c:axId val="203526528"/>
        <c:scaling>
          <c:orientation val="minMax"/>
        </c:scaling>
        <c:delete val="0"/>
        <c:axPos val="l"/>
        <c:majorGridlines/>
        <c:numFmt formatCode="_(* #.##0_);_(* \(#.##0\);_(* &quot;-&quot;??_);_(@_)" sourceLinked="1"/>
        <c:majorTickMark val="out"/>
        <c:minorTickMark val="none"/>
        <c:tickLblPos val="nextTo"/>
        <c:crossAx val="2035165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pin" dx="22" max="30000" page="10" val="0"/>
</file>

<file path=xl/ctrlProps/ctrlProp2.xml><?xml version="1.0" encoding="utf-8"?>
<formControlPr xmlns="http://schemas.microsoft.com/office/spreadsheetml/2009/9/main" objectType="Spin" dx="22" max="30000" page="10" val="0"/>
</file>

<file path=xl/ctrlProps/ctrlProp3.xml><?xml version="1.0" encoding="utf-8"?>
<formControlPr xmlns="http://schemas.microsoft.com/office/spreadsheetml/2009/9/main" objectType="Spin" dx="22" max="30000" page="10" val="0"/>
</file>

<file path=xl/ctrlProps/ctrlProp4.xml><?xml version="1.0" encoding="utf-8"?>
<formControlPr xmlns="http://schemas.microsoft.com/office/spreadsheetml/2009/9/main" objectType="Spin" dx="22" max="30000" page="10" val="0"/>
</file>

<file path=xl/ctrlProps/ctrlProp5.xml><?xml version="1.0" encoding="utf-8"?>
<formControlPr xmlns="http://schemas.microsoft.com/office/spreadsheetml/2009/9/main" objectType="Spin" dx="22" max="30000" page="10" val="0"/>
</file>

<file path=xl/ctrlProps/ctrlProp6.xml><?xml version="1.0" encoding="utf-8"?>
<formControlPr xmlns="http://schemas.microsoft.com/office/spreadsheetml/2009/9/main" objectType="Spin" dx="22" max="30000" page="10" val="0"/>
</file>

<file path=xl/ctrlProps/ctrlProp7.xml><?xml version="1.0" encoding="utf-8"?>
<formControlPr xmlns="http://schemas.microsoft.com/office/spreadsheetml/2009/9/main" objectType="Spin" dx="22" max="30000" page="10" val="0"/>
</file>

<file path=xl/ctrlProps/ctrlProp8.xml><?xml version="1.0" encoding="utf-8"?>
<formControlPr xmlns="http://schemas.microsoft.com/office/spreadsheetml/2009/9/main" objectType="Spin" dx="22" max="30000" page="10" val="0"/>
</file>

<file path=xl/ctrlProps/ctrlProp9.xml><?xml version="1.0" encoding="utf-8"?>
<formControlPr xmlns="http://schemas.microsoft.com/office/spreadsheetml/2009/9/main" objectType="Spin" dx="22" max="30000" page="10" val="0"/>
</file>

<file path=xl/ctrlProps/ctrlProp10.xml><?xml version="1.0" encoding="utf-8"?>
<formControlPr xmlns="http://schemas.microsoft.com/office/spreadsheetml/2009/9/main" objectType="Spin" dx="22" max="30000" page="10" val="0"/>
</file>

<file path=xl/ctrlProps/ctrlProp11.xml><?xml version="1.0" encoding="utf-8"?>
<formControlPr xmlns="http://schemas.microsoft.com/office/spreadsheetml/2009/9/main" objectType="Spin" dx="22" max="30000" page="10" val="24"/>
</file>

<file path=xl/ctrlProps/ctrlProp12.xml><?xml version="1.0" encoding="utf-8"?>
<formControlPr xmlns="http://schemas.microsoft.com/office/spreadsheetml/2009/9/main" objectType="Spin" dx="22" max="30000" page="10" val="0"/>
</file>

<file path=xl/ctrlProps/ctrlProp13.xml><?xml version="1.0" encoding="utf-8"?>
<formControlPr xmlns="http://schemas.microsoft.com/office/spreadsheetml/2009/9/main" objectType="Spin" dx="22" max="30000" page="10" val="4"/>
</file>

<file path=xl/ctrlProps/ctrlProp14.xml><?xml version="1.0" encoding="utf-8"?>
<formControlPr xmlns="http://schemas.microsoft.com/office/spreadsheetml/2009/9/main" objectType="Spin" dx="22" max="30000" page="10" val="0"/>
</file>

<file path=xl/ctrlProps/ctrlProp15.xml><?xml version="1.0" encoding="utf-8"?>
<formControlPr xmlns="http://schemas.microsoft.com/office/spreadsheetml/2009/9/main" objectType="Spin" dx="22" max="30000" page="10" val="0"/>
</file>

<file path=xl/ctrlProps/ctrlProp16.xml><?xml version="1.0" encoding="utf-8"?>
<formControlPr xmlns="http://schemas.microsoft.com/office/spreadsheetml/2009/9/main" objectType="Spin" dx="22" max="30000" page="10" val="0"/>
</file>

<file path=xl/ctrlProps/ctrlProp17.xml><?xml version="1.0" encoding="utf-8"?>
<formControlPr xmlns="http://schemas.microsoft.com/office/spreadsheetml/2009/9/main" objectType="Spin" dx="22" max="30000" page="10" val="0"/>
</file>

<file path=xl/ctrlProps/ctrlProp18.xml><?xml version="1.0" encoding="utf-8"?>
<formControlPr xmlns="http://schemas.microsoft.com/office/spreadsheetml/2009/9/main" objectType="CheckBox" checked="Checked" fmlaLink="$E$45" lockText="1" noThreeD="1"/>
</file>

<file path=xl/ctrlProps/ctrlProp19.xml><?xml version="1.0" encoding="utf-8"?>
<formControlPr xmlns="http://schemas.microsoft.com/office/spreadsheetml/2009/9/main" objectType="CheckBox" fmlaLink="$G$45" lockText="1" noThreeD="1"/>
</file>

<file path=xl/ctrlProps/ctrlProp20.xml><?xml version="1.0" encoding="utf-8"?>
<formControlPr xmlns="http://schemas.microsoft.com/office/spreadsheetml/2009/9/main" objectType="CheckBox" fmlaLink="$I$45" lockText="1" noThreeD="1"/>
</file>

<file path=xl/ctrlProps/ctrlProp21.xml><?xml version="1.0" encoding="utf-8"?>
<formControlPr xmlns="http://schemas.microsoft.com/office/spreadsheetml/2009/9/main" objectType="CheckBox" fmlaLink="$K$45" lockText="1" noThreeD="1"/>
</file>

<file path=xl/ctrlProps/ctrlProp22.xml><?xml version="1.0" encoding="utf-8"?>
<formControlPr xmlns="http://schemas.microsoft.com/office/spreadsheetml/2009/9/main" objectType="Spin" dx="22" max="30000" page="10" val="0"/>
</file>

<file path=xl/ctrlProps/ctrlProp23.xml><?xml version="1.0" encoding="utf-8"?>
<formControlPr xmlns="http://schemas.microsoft.com/office/spreadsheetml/2009/9/main" objectType="Spin" dx="22" max="30000" page="10" val="0"/>
</file>

<file path=xl/ctrlProps/ctrlProp24.xml><?xml version="1.0" encoding="utf-8"?>
<formControlPr xmlns="http://schemas.microsoft.com/office/spreadsheetml/2009/9/main" objectType="Spin" dx="22" max="30000" page="10" val="0"/>
</file>

<file path=xl/ctrlProps/ctrlProp25.xml><?xml version="1.0" encoding="utf-8"?>
<formControlPr xmlns="http://schemas.microsoft.com/office/spreadsheetml/2009/9/main" objectType="Spin" dx="22" max="30000" page="10" val="0"/>
</file>

<file path=xl/ctrlProps/ctrlProp26.xml><?xml version="1.0" encoding="utf-8"?>
<formControlPr xmlns="http://schemas.microsoft.com/office/spreadsheetml/2009/9/main" objectType="Spin" dx="22" max="30000" page="10" val="0"/>
</file>

<file path=xl/ctrlProps/ctrlProp27.xml><?xml version="1.0" encoding="utf-8"?>
<formControlPr xmlns="http://schemas.microsoft.com/office/spreadsheetml/2009/9/main" objectType="Spin" dx="22" fmlaLink="$E$59" max="1" page="10" val="0"/>
</file>

<file path=xl/ctrlProps/ctrlProp28.xml><?xml version="1.0" encoding="utf-8"?>
<formControlPr xmlns="http://schemas.microsoft.com/office/spreadsheetml/2009/9/main" objectType="Spin" dx="22" fmlaLink="$E$57" inc="0" max="1" page="10" val="0"/>
</file>

<file path=xl/ctrlProps/ctrlProp29.xml><?xml version="1.0" encoding="utf-8"?>
<formControlPr xmlns="http://schemas.microsoft.com/office/spreadsheetml/2009/9/main" objectType="Spin" dx="22" fmlaLink="$E$61" max="1" page="10" val="0"/>
</file>

<file path=xl/ctrlProps/ctrlProp30.xml><?xml version="1.0" encoding="utf-8"?>
<formControlPr xmlns="http://schemas.microsoft.com/office/spreadsheetml/2009/9/main" objectType="Spin" dx="22" fmlaLink="$E$63" max="1" page="10"/>
</file>

<file path=xl/ctrlProps/ctrlProp31.xml><?xml version="1.0" encoding="utf-8"?>
<formControlPr xmlns="http://schemas.microsoft.com/office/spreadsheetml/2009/9/main" objectType="Spin" dx="22" max="30000" page="10" val="0"/>
</file>

<file path=xl/ctrlProps/ctrlProp32.xml><?xml version="1.0" encoding="utf-8"?>
<formControlPr xmlns="http://schemas.microsoft.com/office/spreadsheetml/2009/9/main" objectType="Spin" dx="22" max="30000" page="10" val="0"/>
</file>

<file path=xl/ctrlProps/ctrlProp33.xml><?xml version="1.0" encoding="utf-8"?>
<formControlPr xmlns="http://schemas.microsoft.com/office/spreadsheetml/2009/9/main" objectType="Spin" dx="22" max="30000" page="10" val="0"/>
</file>

<file path=xl/ctrlProps/ctrlProp34.xml><?xml version="1.0" encoding="utf-8"?>
<formControlPr xmlns="http://schemas.microsoft.com/office/spreadsheetml/2009/9/main" objectType="Spin" dx="22" max="30000" page="10" val="0"/>
</file>

<file path=xl/ctrlProps/ctrlProp35.xml><?xml version="1.0" encoding="utf-8"?>
<formControlPr xmlns="http://schemas.microsoft.com/office/spreadsheetml/2009/9/main" objectType="Spin" dx="22" max="30000" page="10" val="0"/>
</file>

<file path=xl/ctrlProps/ctrlProp36.xml><?xml version="1.0" encoding="utf-8"?>
<formControlPr xmlns="http://schemas.microsoft.com/office/spreadsheetml/2009/9/main" objectType="Spin" dx="22" max="30000" page="10" val="0"/>
</file>

<file path=xl/ctrlProps/ctrlProp37.xml><?xml version="1.0" encoding="utf-8"?>
<formControlPr xmlns="http://schemas.microsoft.com/office/spreadsheetml/2009/9/main" objectType="Spin" dx="22" max="30000" page="10" val="4"/>
</file>

<file path=xl/ctrlProps/ctrlProp38.xml><?xml version="1.0" encoding="utf-8"?>
<formControlPr xmlns="http://schemas.microsoft.com/office/spreadsheetml/2009/9/main" objectType="Spin" dx="22" max="30000" page="10" val="0"/>
</file>

<file path=xl/ctrlProps/ctrlProp39.xml><?xml version="1.0" encoding="utf-8"?>
<formControlPr xmlns="http://schemas.microsoft.com/office/spreadsheetml/2009/9/main" objectType="Spin" dx="22" max="30000" page="10" val="0"/>
</file>

<file path=xl/ctrlProps/ctrlProp40.xml><?xml version="1.0" encoding="utf-8"?>
<formControlPr xmlns="http://schemas.microsoft.com/office/spreadsheetml/2009/9/main" objectType="Spin" dx="22" max="30000" page="10" val="0"/>
</file>

<file path=xl/ctrlProps/ctrlProp41.xml><?xml version="1.0" encoding="utf-8"?>
<formControlPr xmlns="http://schemas.microsoft.com/office/spreadsheetml/2009/9/main" objectType="Spin" dx="22" max="30000" page="10" val="0"/>
</file>

<file path=xl/ctrlProps/ctrlProp42.xml><?xml version="1.0" encoding="utf-8"?>
<formControlPr xmlns="http://schemas.microsoft.com/office/spreadsheetml/2009/9/main" objectType="Spin" dx="22" max="30000" page="10" val="0"/>
</file>

<file path=xl/ctrlProps/ctrlProp43.xml><?xml version="1.0" encoding="utf-8"?>
<formControlPr xmlns="http://schemas.microsoft.com/office/spreadsheetml/2009/9/main" objectType="Spin" dx="22" max="30000" page="10" val="0"/>
</file>

<file path=xl/ctrlProps/ctrlProp44.xml><?xml version="1.0" encoding="utf-8"?>
<formControlPr xmlns="http://schemas.microsoft.com/office/spreadsheetml/2009/9/main" objectType="Spin" dx="22" max="30000" page="10" val="4"/>
</file>

<file path=xl/ctrlProps/ctrlProp45.xml><?xml version="1.0" encoding="utf-8"?>
<formControlPr xmlns="http://schemas.microsoft.com/office/spreadsheetml/2009/9/main" objectType="Spin" dx="22" max="30000" page="10" val="0"/>
</file>

<file path=xl/ctrlProps/ctrlProp46.xml><?xml version="1.0" encoding="utf-8"?>
<formControlPr xmlns="http://schemas.microsoft.com/office/spreadsheetml/2009/9/main" objectType="Spin" dx="22" max="30000" page="10" val="0"/>
</file>

<file path=xl/ctrlProps/ctrlProp47.xml><?xml version="1.0" encoding="utf-8"?>
<formControlPr xmlns="http://schemas.microsoft.com/office/spreadsheetml/2009/9/main" objectType="Spin" dx="22" max="30000" page="10" val="0"/>
</file>

<file path=xl/ctrlProps/ctrlProp48.xml><?xml version="1.0" encoding="utf-8"?>
<formControlPr xmlns="http://schemas.microsoft.com/office/spreadsheetml/2009/9/main" objectType="Spin" dx="22" max="30000" page="10" val="0"/>
</file>

<file path=xl/ctrlProps/ctrlProp49.xml><?xml version="1.0" encoding="utf-8"?>
<formControlPr xmlns="http://schemas.microsoft.com/office/spreadsheetml/2009/9/main" objectType="Spin" dx="22" max="30000" page="10" val="0"/>
</file>

<file path=xl/ctrlProps/ctrlProp50.xml><?xml version="1.0" encoding="utf-8"?>
<formControlPr xmlns="http://schemas.microsoft.com/office/spreadsheetml/2009/9/main" objectType="Spin" dx="22" max="30000" page="10" val="0"/>
</file>

<file path=xl/ctrlProps/ctrlProp51.xml><?xml version="1.0" encoding="utf-8"?>
<formControlPr xmlns="http://schemas.microsoft.com/office/spreadsheetml/2009/9/main" objectType="Spin" dx="22" max="30000" page="10" val="4"/>
</file>

<file path=xl/ctrlProps/ctrlProp52.xml><?xml version="1.0" encoding="utf-8"?>
<formControlPr xmlns="http://schemas.microsoft.com/office/spreadsheetml/2009/9/main" objectType="Spin" dx="22" max="30000" page="10" val="0"/>
</file>

<file path=xl/ctrlProps/ctrlProp53.xml><?xml version="1.0" encoding="utf-8"?>
<formControlPr xmlns="http://schemas.microsoft.com/office/spreadsheetml/2009/9/main" objectType="Spin" dx="22" max="30000" page="10" val="0"/>
</file>

<file path=xl/ctrlProps/ctrlProp54.xml><?xml version="1.0" encoding="utf-8"?>
<formControlPr xmlns="http://schemas.microsoft.com/office/spreadsheetml/2009/9/main" objectType="Spin" dx="22" max="30000" page="10" val="0"/>
</file>

<file path=xl/ctrlProps/ctrlProp55.xml><?xml version="1.0" encoding="utf-8"?>
<formControlPr xmlns="http://schemas.microsoft.com/office/spreadsheetml/2009/9/main" objectType="Spin" dx="22" max="30000" page="10" val="0"/>
</file>

<file path=xl/ctrlProps/ctrlProp56.xml><?xml version="1.0" encoding="utf-8"?>
<formControlPr xmlns="http://schemas.microsoft.com/office/spreadsheetml/2009/9/main" objectType="Spin" dx="22" max="30000" page="10" val="0"/>
</file>

<file path=xl/ctrlProps/ctrlProp57.xml><?xml version="1.0" encoding="utf-8"?>
<formControlPr xmlns="http://schemas.microsoft.com/office/spreadsheetml/2009/9/main" objectType="Spin" dx="22" max="30000" page="10" val="0"/>
</file>

<file path=xl/ctrlProps/ctrlProp58.xml><?xml version="1.0" encoding="utf-8"?>
<formControlPr xmlns="http://schemas.microsoft.com/office/spreadsheetml/2009/9/main" objectType="Spin" dx="22" fmlaLink="$E$57" inc="0" max="1" page="10" val="0"/>
</file>

<file path=xl/ctrlProps/ctrlProp59.xml><?xml version="1.0" encoding="utf-8"?>
<formControlPr xmlns="http://schemas.microsoft.com/office/spreadsheetml/2009/9/main" objectType="Spin" dx="22" fmlaLink="$E$57" inc="0" max="1" page="10" val="0"/>
</file>

<file path=xl/ctrlProps/ctrlProp60.xml><?xml version="1.0" encoding="utf-8"?>
<formControlPr xmlns="http://schemas.microsoft.com/office/spreadsheetml/2009/9/main" objectType="Spin" dx="22" fmlaLink="$E$61" max="1" page="10" val="0"/>
</file>

<file path=xl/ctrlProps/ctrlProp61.xml><?xml version="1.0" encoding="utf-8"?>
<formControlPr xmlns="http://schemas.microsoft.com/office/spreadsheetml/2009/9/main" objectType="Spin" dx="22" fmlaLink="$E$57" inc="0" max="1" page="10" val="0"/>
</file>

<file path=xl/ctrlProps/ctrlProp62.xml><?xml version="1.0" encoding="utf-8"?>
<formControlPr xmlns="http://schemas.microsoft.com/office/spreadsheetml/2009/9/main" objectType="Spin" dx="22" max="30000" page="10" val="0"/>
</file>

<file path=xl/ctrlProps/ctrlProp63.xml><?xml version="1.0" encoding="utf-8"?>
<formControlPr xmlns="http://schemas.microsoft.com/office/spreadsheetml/2009/9/main" objectType="Spin" dx="22" max="30000" page="10" val="0"/>
</file>

<file path=xl/ctrlProps/ctrlProp64.xml><?xml version="1.0" encoding="utf-8"?>
<formControlPr xmlns="http://schemas.microsoft.com/office/spreadsheetml/2009/9/main" objectType="Spin" dx="22" max="30000" page="10" val="0"/>
</file>

<file path=xl/ctrlProps/ctrlProp65.xml><?xml version="1.0" encoding="utf-8"?>
<formControlPr xmlns="http://schemas.microsoft.com/office/spreadsheetml/2009/9/main" objectType="Spin" dx="22" max="30000" page="10" val="0"/>
</file>

<file path=xl/ctrlProps/ctrlProp66.xml><?xml version="1.0" encoding="utf-8"?>
<formControlPr xmlns="http://schemas.microsoft.com/office/spreadsheetml/2009/9/main" objectType="Spin" dx="22" max="30000" page="10" val="0"/>
</file>

<file path=xl/ctrlProps/ctrlProp67.xml><?xml version="1.0" encoding="utf-8"?>
<formControlPr xmlns="http://schemas.microsoft.com/office/spreadsheetml/2009/9/main" objectType="Spin" dx="22" max="30000" page="10" val="0"/>
</file>

<file path=xl/ctrlProps/ctrlProp68.xml><?xml version="1.0" encoding="utf-8"?>
<formControlPr xmlns="http://schemas.microsoft.com/office/spreadsheetml/2009/9/main" objectType="Spin" dx="22" max="30000" page="10" val="0"/>
</file>

<file path=xl/ctrlProps/ctrlProp69.xml><?xml version="1.0" encoding="utf-8"?>
<formControlPr xmlns="http://schemas.microsoft.com/office/spreadsheetml/2009/9/main" objectType="Spin" dx="22" max="30000" page="10" val="0"/>
</file>

<file path=xl/ctrlProps/ctrlProp70.xml><?xml version="1.0" encoding="utf-8"?>
<formControlPr xmlns="http://schemas.microsoft.com/office/spreadsheetml/2009/9/main" objectType="Spin" dx="22" max="30000" page="10" val="0"/>
</file>

<file path=xl/ctrlProps/ctrlProp71.xml><?xml version="1.0" encoding="utf-8"?>
<formControlPr xmlns="http://schemas.microsoft.com/office/spreadsheetml/2009/9/main" objectType="Spin" dx="22" max="30000" page="10" val="0"/>
</file>

<file path=xl/ctrlProps/ctrlProp72.xml><?xml version="1.0" encoding="utf-8"?>
<formControlPr xmlns="http://schemas.microsoft.com/office/spreadsheetml/2009/9/main" objectType="Spin" dx="22" max="30000" page="10" val="24"/>
</file>

<file path=xl/ctrlProps/ctrlProp73.xml><?xml version="1.0" encoding="utf-8"?>
<formControlPr xmlns="http://schemas.microsoft.com/office/spreadsheetml/2009/9/main" objectType="Spin" dx="22" max="30000" page="10" val="0"/>
</file>

<file path=xl/ctrlProps/ctrlProp74.xml><?xml version="1.0" encoding="utf-8"?>
<formControlPr xmlns="http://schemas.microsoft.com/office/spreadsheetml/2009/9/main" objectType="Spin" dx="22" max="30000" page="10" val="4"/>
</file>

<file path=xl/ctrlProps/ctrlProp75.xml><?xml version="1.0" encoding="utf-8"?>
<formControlPr xmlns="http://schemas.microsoft.com/office/spreadsheetml/2009/9/main" objectType="Spin" dx="22" max="30000" page="10" val="0"/>
</file>

<file path=xl/ctrlProps/ctrlProp76.xml><?xml version="1.0" encoding="utf-8"?>
<formControlPr xmlns="http://schemas.microsoft.com/office/spreadsheetml/2009/9/main" objectType="Spin" dx="22" max="30000" page="10" val="0"/>
</file>

<file path=xl/ctrlProps/ctrlProp77.xml><?xml version="1.0" encoding="utf-8"?>
<formControlPr xmlns="http://schemas.microsoft.com/office/spreadsheetml/2009/9/main" objectType="Spin" dx="22" max="30000" page="10" val="0"/>
</file>

<file path=xl/ctrlProps/ctrlProp78.xml><?xml version="1.0" encoding="utf-8"?>
<formControlPr xmlns="http://schemas.microsoft.com/office/spreadsheetml/2009/9/main" objectType="Spin" dx="22" max="30000" page="10" val="0"/>
</file>

<file path=xl/ctrlProps/ctrlProp79.xml><?xml version="1.0" encoding="utf-8"?>
<formControlPr xmlns="http://schemas.microsoft.com/office/spreadsheetml/2009/9/main" objectType="Spin" dx="22" max="30000" page="10" val="0"/>
</file>

<file path=xl/ctrlProps/ctrlProp80.xml><?xml version="1.0" encoding="utf-8"?>
<formControlPr xmlns="http://schemas.microsoft.com/office/spreadsheetml/2009/9/main" objectType="Spin" dx="22" fmlaLink="$E$59" max="1" page="10" val="0"/>
</file>

<file path=xl/ctrlProps/ctrlProp81.xml><?xml version="1.0" encoding="utf-8"?>
<formControlPr xmlns="http://schemas.microsoft.com/office/spreadsheetml/2009/9/main" objectType="CheckBox" checked="Checked" fmlaLink="$E$45" lockText="1" noThreeD="1"/>
</file>

<file path=xl/ctrlProps/ctrlProp82.xml><?xml version="1.0" encoding="utf-8"?>
<formControlPr xmlns="http://schemas.microsoft.com/office/spreadsheetml/2009/9/main" objectType="CheckBox" fmlaLink="$G$45" lockText="1" noThreeD="1"/>
</file>

<file path=xl/ctrlProps/ctrlProp83.xml><?xml version="1.0" encoding="utf-8"?>
<formControlPr xmlns="http://schemas.microsoft.com/office/spreadsheetml/2009/9/main" objectType="CheckBox" fmlaLink="$I$45" lockText="1" noThreeD="1"/>
</file>

<file path=xl/ctrlProps/ctrlProp84.xml><?xml version="1.0" encoding="utf-8"?>
<formControlPr xmlns="http://schemas.microsoft.com/office/spreadsheetml/2009/9/main" objectType="CheckBox" fmlaLink="$K$45" lockText="1" noThreeD="1"/>
</file>

<file path=xl/ctrlProps/ctrlProp85.xml><?xml version="1.0" encoding="utf-8"?>
<formControlPr xmlns="http://schemas.microsoft.com/office/spreadsheetml/2009/9/main" objectType="Spin" dx="22" max="30000" page="10" val="0"/>
</file>

<file path=xl/ctrlProps/ctrlProp86.xml><?xml version="1.0" encoding="utf-8"?>
<formControlPr xmlns="http://schemas.microsoft.com/office/spreadsheetml/2009/9/main" objectType="Spin" dx="22" max="30000" page="10" val="0"/>
</file>

<file path=xl/ctrlProps/ctrlProp87.xml><?xml version="1.0" encoding="utf-8"?>
<formControlPr xmlns="http://schemas.microsoft.com/office/spreadsheetml/2009/9/main" objectType="Spin" dx="22" max="30000" page="10" val="0"/>
</file>

<file path=xl/ctrlProps/ctrlProp88.xml><?xml version="1.0" encoding="utf-8"?>
<formControlPr xmlns="http://schemas.microsoft.com/office/spreadsheetml/2009/9/main" objectType="Spin" dx="22" max="30000" page="10" val="0"/>
</file>

<file path=xl/ctrlProps/ctrlProp89.xml><?xml version="1.0" encoding="utf-8"?>
<formControlPr xmlns="http://schemas.microsoft.com/office/spreadsheetml/2009/9/main" objectType="Spin" dx="22" fmlaLink="$E$57" inc="0" max="1" page="10" val="0"/>
</file>

<file path=xl/ctrlProps/ctrlProp90.xml><?xml version="1.0" encoding="utf-8"?>
<formControlPr xmlns="http://schemas.microsoft.com/office/spreadsheetml/2009/9/main" objectType="Spin" dx="22" fmlaLink="$E$61" max="1" page="10" val="0"/>
</file>

<file path=xl/ctrlProps/ctrlProp91.xml><?xml version="1.0" encoding="utf-8"?>
<formControlPr xmlns="http://schemas.microsoft.com/office/spreadsheetml/2009/9/main" objectType="Spin" dx="22" fmlaLink="$E$63" max="1" page="10"/>
</file>

<file path=xl/ctrlProps/ctrlProp92.xml><?xml version="1.0" encoding="utf-8"?>
<formControlPr xmlns="http://schemas.microsoft.com/office/spreadsheetml/2009/9/main" objectType="Spin" dx="22" max="30000" page="10" val="0"/>
</file>

<file path=xl/ctrlProps/ctrlProp93.xml><?xml version="1.0" encoding="utf-8"?>
<formControlPr xmlns="http://schemas.microsoft.com/office/spreadsheetml/2009/9/main" objectType="Spin" dx="22" max="30000" page="10" val="0"/>
</file>

<file path=xl/ctrlProps/ctrlProp94.xml><?xml version="1.0" encoding="utf-8"?>
<formControlPr xmlns="http://schemas.microsoft.com/office/spreadsheetml/2009/9/main" objectType="Spin" dx="22" max="30000" page="10" val="0"/>
</file>

<file path=xl/ctrlProps/ctrlProp95.xml><?xml version="1.0" encoding="utf-8"?>
<formControlPr xmlns="http://schemas.microsoft.com/office/spreadsheetml/2009/9/main" objectType="Spin" dx="22" max="30000" page="10" val="0"/>
</file>

<file path=xl/ctrlProps/ctrlProp96.xml><?xml version="1.0" encoding="utf-8"?>
<formControlPr xmlns="http://schemas.microsoft.com/office/spreadsheetml/2009/9/main" objectType="Spin" dx="22" max="30000" page="10" val="0"/>
</file>

<file path=xl/ctrlProps/ctrlProp97.xml><?xml version="1.0" encoding="utf-8"?>
<formControlPr xmlns="http://schemas.microsoft.com/office/spreadsheetml/2009/9/main" objectType="Spin" dx="22" max="30000" page="10" val="0"/>
</file>

<file path=xl/ctrlProps/ctrlProp98.xml><?xml version="1.0" encoding="utf-8"?>
<formControlPr xmlns="http://schemas.microsoft.com/office/spreadsheetml/2009/9/main" objectType="Spin" dx="22" max="30000" page="10" val="4"/>
</file>

<file path=xl/ctrlProps/ctrlProp99.xml><?xml version="1.0" encoding="utf-8"?>
<formControlPr xmlns="http://schemas.microsoft.com/office/spreadsheetml/2009/9/main" objectType="Spin" dx="22" max="30000" page="10" val="0"/>
</file>

<file path=xl/ctrlProps/ctrlProp100.xml><?xml version="1.0" encoding="utf-8"?>
<formControlPr xmlns="http://schemas.microsoft.com/office/spreadsheetml/2009/9/main" objectType="Spin" dx="22" max="30000" page="10" val="0"/>
</file>

<file path=xl/ctrlProps/ctrlProp101.xml><?xml version="1.0" encoding="utf-8"?>
<formControlPr xmlns="http://schemas.microsoft.com/office/spreadsheetml/2009/9/main" objectType="Spin" dx="22" max="30000" page="10" val="0"/>
</file>

<file path=xl/ctrlProps/ctrlProp102.xml><?xml version="1.0" encoding="utf-8"?>
<formControlPr xmlns="http://schemas.microsoft.com/office/spreadsheetml/2009/9/main" objectType="Spin" dx="22" max="30000" page="10" val="0"/>
</file>

<file path=xl/ctrlProps/ctrlProp103.xml><?xml version="1.0" encoding="utf-8"?>
<formControlPr xmlns="http://schemas.microsoft.com/office/spreadsheetml/2009/9/main" objectType="Spin" dx="22" max="30000" page="10" val="0"/>
</file>

<file path=xl/ctrlProps/ctrlProp104.xml><?xml version="1.0" encoding="utf-8"?>
<formControlPr xmlns="http://schemas.microsoft.com/office/spreadsheetml/2009/9/main" objectType="Spin" dx="22" max="30000" page="10" val="0"/>
</file>

<file path=xl/ctrlProps/ctrlProp105.xml><?xml version="1.0" encoding="utf-8"?>
<formControlPr xmlns="http://schemas.microsoft.com/office/spreadsheetml/2009/9/main" objectType="Spin" dx="22" max="30000" page="10" val="4"/>
</file>

<file path=xl/ctrlProps/ctrlProp106.xml><?xml version="1.0" encoding="utf-8"?>
<formControlPr xmlns="http://schemas.microsoft.com/office/spreadsheetml/2009/9/main" objectType="Spin" dx="22" max="30000" page="10" val="0"/>
</file>

<file path=xl/ctrlProps/ctrlProp107.xml><?xml version="1.0" encoding="utf-8"?>
<formControlPr xmlns="http://schemas.microsoft.com/office/spreadsheetml/2009/9/main" objectType="Spin" dx="22" max="30000" page="10" val="0"/>
</file>

<file path=xl/ctrlProps/ctrlProp108.xml><?xml version="1.0" encoding="utf-8"?>
<formControlPr xmlns="http://schemas.microsoft.com/office/spreadsheetml/2009/9/main" objectType="Spin" dx="22" max="30000" page="10" val="0"/>
</file>

<file path=xl/ctrlProps/ctrlProp109.xml><?xml version="1.0" encoding="utf-8"?>
<formControlPr xmlns="http://schemas.microsoft.com/office/spreadsheetml/2009/9/main" objectType="Spin" dx="22" max="30000" page="10" val="0"/>
</file>

<file path=xl/ctrlProps/ctrlProp110.xml><?xml version="1.0" encoding="utf-8"?>
<formControlPr xmlns="http://schemas.microsoft.com/office/spreadsheetml/2009/9/main" objectType="Spin" dx="22" max="30000" page="10" val="0"/>
</file>

<file path=xl/ctrlProps/ctrlProp111.xml><?xml version="1.0" encoding="utf-8"?>
<formControlPr xmlns="http://schemas.microsoft.com/office/spreadsheetml/2009/9/main" objectType="Spin" dx="22" max="30000" page="10" val="0"/>
</file>

<file path=xl/ctrlProps/ctrlProp112.xml><?xml version="1.0" encoding="utf-8"?>
<formControlPr xmlns="http://schemas.microsoft.com/office/spreadsheetml/2009/9/main" objectType="Spin" dx="22" max="30000" page="10" val="4"/>
</file>

<file path=xl/ctrlProps/ctrlProp113.xml><?xml version="1.0" encoding="utf-8"?>
<formControlPr xmlns="http://schemas.microsoft.com/office/spreadsheetml/2009/9/main" objectType="Spin" dx="22" max="30000" page="10" val="0"/>
</file>

<file path=xl/ctrlProps/ctrlProp114.xml><?xml version="1.0" encoding="utf-8"?>
<formControlPr xmlns="http://schemas.microsoft.com/office/spreadsheetml/2009/9/main" objectType="Spin" dx="22" max="30000" page="10" val="0"/>
</file>

<file path=xl/ctrlProps/ctrlProp115.xml><?xml version="1.0" encoding="utf-8"?>
<formControlPr xmlns="http://schemas.microsoft.com/office/spreadsheetml/2009/9/main" objectType="Spin" dx="22" max="30000" page="10" val="0"/>
</file>

<file path=xl/ctrlProps/ctrlProp116.xml><?xml version="1.0" encoding="utf-8"?>
<formControlPr xmlns="http://schemas.microsoft.com/office/spreadsheetml/2009/9/main" objectType="Spin" dx="22" max="30000" page="10" val="0"/>
</file>

<file path=xl/ctrlProps/ctrlProp117.xml><?xml version="1.0" encoding="utf-8"?>
<formControlPr xmlns="http://schemas.microsoft.com/office/spreadsheetml/2009/9/main" objectType="Spin" dx="22" max="30000" page="10" val="0"/>
</file>

<file path=xl/ctrlProps/ctrlProp118.xml><?xml version="1.0" encoding="utf-8"?>
<formControlPr xmlns="http://schemas.microsoft.com/office/spreadsheetml/2009/9/main" objectType="Spin" dx="22" max="30000" page="10" val="0"/>
</file>

<file path=xl/ctrlProps/ctrlProp119.xml><?xml version="1.0" encoding="utf-8"?>
<formControlPr xmlns="http://schemas.microsoft.com/office/spreadsheetml/2009/9/main" objectType="Spin" dx="22" fmlaLink="$E$57" inc="0" max="1" page="10" val="0"/>
</file>

<file path=xl/ctrlProps/ctrlProp120.xml><?xml version="1.0" encoding="utf-8"?>
<formControlPr xmlns="http://schemas.microsoft.com/office/spreadsheetml/2009/9/main" objectType="Spin" dx="22" max="30000" page="10" val="0"/>
</file>

<file path=xl/ctrlProps/ctrlProp121.xml><?xml version="1.0" encoding="utf-8"?>
<formControlPr xmlns="http://schemas.microsoft.com/office/spreadsheetml/2009/9/main" objectType="Spin" dx="22" max="30000" page="10" val="0"/>
</file>

<file path=xl/ctrlProps/ctrlProp122.xml><?xml version="1.0" encoding="utf-8"?>
<formControlPr xmlns="http://schemas.microsoft.com/office/spreadsheetml/2009/9/main" objectType="Spin" dx="22" max="30000" page="10" val="0"/>
</file>

<file path=xl/ctrlProps/ctrlProp123.xml><?xml version="1.0" encoding="utf-8"?>
<formControlPr xmlns="http://schemas.microsoft.com/office/spreadsheetml/2009/9/main" objectType="Spin" dx="22" max="30000" page="10" val="0"/>
</file>

<file path=xl/ctrlProps/ctrlProp124.xml><?xml version="1.0" encoding="utf-8"?>
<formControlPr xmlns="http://schemas.microsoft.com/office/spreadsheetml/2009/9/main" objectType="Spin" dx="22" max="30000" page="10" val="0"/>
</file>

<file path=xl/ctrlProps/ctrlProp125.xml><?xml version="1.0" encoding="utf-8"?>
<formControlPr xmlns="http://schemas.microsoft.com/office/spreadsheetml/2009/9/main" objectType="Spin" dx="22" max="30000" page="10" val="0"/>
</file>

<file path=xl/ctrlProps/ctrlProp126.xml><?xml version="1.0" encoding="utf-8"?>
<formControlPr xmlns="http://schemas.microsoft.com/office/spreadsheetml/2009/9/main" objectType="Spin" dx="22" max="30000" page="10" val="0"/>
</file>

<file path=xl/ctrlProps/ctrlProp127.xml><?xml version="1.0" encoding="utf-8"?>
<formControlPr xmlns="http://schemas.microsoft.com/office/spreadsheetml/2009/9/main" objectType="Spin" dx="22" max="30000" page="10" val="0"/>
</file>

<file path=xl/ctrlProps/ctrlProp128.xml><?xml version="1.0" encoding="utf-8"?>
<formControlPr xmlns="http://schemas.microsoft.com/office/spreadsheetml/2009/9/main" objectType="Spin" dx="22" max="30000" page="10" val="0"/>
</file>

<file path=xl/ctrlProps/ctrlProp129.xml><?xml version="1.0" encoding="utf-8"?>
<formControlPr xmlns="http://schemas.microsoft.com/office/spreadsheetml/2009/9/main" objectType="Spin" dx="22" max="30000" page="10" val="0"/>
</file>

<file path=xl/ctrlProps/ctrlProp130.xml><?xml version="1.0" encoding="utf-8"?>
<formControlPr xmlns="http://schemas.microsoft.com/office/spreadsheetml/2009/9/main" objectType="Spin" dx="22" max="30000" page="10" val="24"/>
</file>

<file path=xl/ctrlProps/ctrlProp131.xml><?xml version="1.0" encoding="utf-8"?>
<formControlPr xmlns="http://schemas.microsoft.com/office/spreadsheetml/2009/9/main" objectType="Spin" dx="22" max="30000" page="10" val="0"/>
</file>

<file path=xl/ctrlProps/ctrlProp132.xml><?xml version="1.0" encoding="utf-8"?>
<formControlPr xmlns="http://schemas.microsoft.com/office/spreadsheetml/2009/9/main" objectType="Spin" dx="22" max="30000" page="10" val="4"/>
</file>

<file path=xl/ctrlProps/ctrlProp133.xml><?xml version="1.0" encoding="utf-8"?>
<formControlPr xmlns="http://schemas.microsoft.com/office/spreadsheetml/2009/9/main" objectType="Spin" dx="22" max="30000" page="10" val="0"/>
</file>

<file path=xl/ctrlProps/ctrlProp134.xml><?xml version="1.0" encoding="utf-8"?>
<formControlPr xmlns="http://schemas.microsoft.com/office/spreadsheetml/2009/9/main" objectType="Spin" dx="22" max="30000" page="10" val="0"/>
</file>

<file path=xl/ctrlProps/ctrlProp135.xml><?xml version="1.0" encoding="utf-8"?>
<formControlPr xmlns="http://schemas.microsoft.com/office/spreadsheetml/2009/9/main" objectType="Spin" dx="22" max="30000" page="10" val="0"/>
</file>

<file path=xl/ctrlProps/ctrlProp136.xml><?xml version="1.0" encoding="utf-8"?>
<formControlPr xmlns="http://schemas.microsoft.com/office/spreadsheetml/2009/9/main" objectType="Spin" dx="22" max="30000" page="10" val="0"/>
</file>

<file path=xl/ctrlProps/ctrlProp137.xml><?xml version="1.0" encoding="utf-8"?>
<formControlPr xmlns="http://schemas.microsoft.com/office/spreadsheetml/2009/9/main" objectType="Spin" dx="22" max="30000" page="10" val="0"/>
</file>

<file path=xl/ctrlProps/ctrlProp138.xml><?xml version="1.0" encoding="utf-8"?>
<formControlPr xmlns="http://schemas.microsoft.com/office/spreadsheetml/2009/9/main" objectType="Spin" dx="22" fmlaLink="$E$59" max="1" page="10" val="0"/>
</file>

<file path=xl/ctrlProps/ctrlProp139.xml><?xml version="1.0" encoding="utf-8"?>
<formControlPr xmlns="http://schemas.microsoft.com/office/spreadsheetml/2009/9/main" objectType="CheckBox" checked="Checked" fmlaLink="$E$45" lockText="1" noThreeD="1"/>
</file>

<file path=xl/ctrlProps/ctrlProp140.xml><?xml version="1.0" encoding="utf-8"?>
<formControlPr xmlns="http://schemas.microsoft.com/office/spreadsheetml/2009/9/main" objectType="CheckBox" fmlaLink="$G$45" lockText="1" noThreeD="1"/>
</file>

<file path=xl/ctrlProps/ctrlProp141.xml><?xml version="1.0" encoding="utf-8"?>
<formControlPr xmlns="http://schemas.microsoft.com/office/spreadsheetml/2009/9/main" objectType="CheckBox" fmlaLink="$I$45" lockText="1" noThreeD="1"/>
</file>

<file path=xl/ctrlProps/ctrlProp142.xml><?xml version="1.0" encoding="utf-8"?>
<formControlPr xmlns="http://schemas.microsoft.com/office/spreadsheetml/2009/9/main" objectType="CheckBox" fmlaLink="$K$45" lockText="1" noThreeD="1"/>
</file>

<file path=xl/ctrlProps/ctrlProp143.xml><?xml version="1.0" encoding="utf-8"?>
<formControlPr xmlns="http://schemas.microsoft.com/office/spreadsheetml/2009/9/main" objectType="Spin" dx="22" max="30000" page="10" val="0"/>
</file>

<file path=xl/ctrlProps/ctrlProp144.xml><?xml version="1.0" encoding="utf-8"?>
<formControlPr xmlns="http://schemas.microsoft.com/office/spreadsheetml/2009/9/main" objectType="Spin" dx="22" max="30000" page="10" val="0"/>
</file>

<file path=xl/ctrlProps/ctrlProp145.xml><?xml version="1.0" encoding="utf-8"?>
<formControlPr xmlns="http://schemas.microsoft.com/office/spreadsheetml/2009/9/main" objectType="Spin" dx="22" max="30000" page="10" val="0"/>
</file>

<file path=xl/ctrlProps/ctrlProp146.xml><?xml version="1.0" encoding="utf-8"?>
<formControlPr xmlns="http://schemas.microsoft.com/office/spreadsheetml/2009/9/main" objectType="Spin" dx="22" max="30000" page="10" val="0"/>
</file>

<file path=xl/ctrlProps/ctrlProp147.xml><?xml version="1.0" encoding="utf-8"?>
<formControlPr xmlns="http://schemas.microsoft.com/office/spreadsheetml/2009/9/main" objectType="Spin" dx="22" fmlaLink="$E$57" inc="0" max="1" page="10" val="0"/>
</file>

<file path=xl/ctrlProps/ctrlProp148.xml><?xml version="1.0" encoding="utf-8"?>
<formControlPr xmlns="http://schemas.microsoft.com/office/spreadsheetml/2009/9/main" objectType="Spin" dx="22" fmlaLink="$E$61" max="1" page="10" val="0"/>
</file>

<file path=xl/ctrlProps/ctrlProp149.xml><?xml version="1.0" encoding="utf-8"?>
<formControlPr xmlns="http://schemas.microsoft.com/office/spreadsheetml/2009/9/main" objectType="Spin" dx="22" fmlaLink="$E$63" max="1" page="10"/>
</file>

<file path=xl/ctrlProps/ctrlProp150.xml><?xml version="1.0" encoding="utf-8"?>
<formControlPr xmlns="http://schemas.microsoft.com/office/spreadsheetml/2009/9/main" objectType="Spin" dx="22" max="30000" page="10" val="0"/>
</file>

<file path=xl/ctrlProps/ctrlProp151.xml><?xml version="1.0" encoding="utf-8"?>
<formControlPr xmlns="http://schemas.microsoft.com/office/spreadsheetml/2009/9/main" objectType="Spin" dx="22" max="30000" page="10" val="0"/>
</file>

<file path=xl/ctrlProps/ctrlProp152.xml><?xml version="1.0" encoding="utf-8"?>
<formControlPr xmlns="http://schemas.microsoft.com/office/spreadsheetml/2009/9/main" objectType="Spin" dx="22" max="30000" page="10" val="0"/>
</file>

<file path=xl/ctrlProps/ctrlProp153.xml><?xml version="1.0" encoding="utf-8"?>
<formControlPr xmlns="http://schemas.microsoft.com/office/spreadsheetml/2009/9/main" objectType="Spin" dx="22" max="30000" page="10" val="0"/>
</file>

<file path=xl/ctrlProps/ctrlProp154.xml><?xml version="1.0" encoding="utf-8"?>
<formControlPr xmlns="http://schemas.microsoft.com/office/spreadsheetml/2009/9/main" objectType="Spin" dx="22" max="30000" page="10" val="0"/>
</file>

<file path=xl/ctrlProps/ctrlProp155.xml><?xml version="1.0" encoding="utf-8"?>
<formControlPr xmlns="http://schemas.microsoft.com/office/spreadsheetml/2009/9/main" objectType="Spin" dx="22" max="30000" page="10" val="0"/>
</file>

<file path=xl/ctrlProps/ctrlProp156.xml><?xml version="1.0" encoding="utf-8"?>
<formControlPr xmlns="http://schemas.microsoft.com/office/spreadsheetml/2009/9/main" objectType="Spin" dx="22" max="30000" page="10" val="4"/>
</file>

<file path=xl/ctrlProps/ctrlProp157.xml><?xml version="1.0" encoding="utf-8"?>
<formControlPr xmlns="http://schemas.microsoft.com/office/spreadsheetml/2009/9/main" objectType="Spin" dx="22" max="30000" page="10" val="0"/>
</file>

<file path=xl/ctrlProps/ctrlProp158.xml><?xml version="1.0" encoding="utf-8"?>
<formControlPr xmlns="http://schemas.microsoft.com/office/spreadsheetml/2009/9/main" objectType="Spin" dx="22" max="30000" page="10" val="0"/>
</file>

<file path=xl/ctrlProps/ctrlProp159.xml><?xml version="1.0" encoding="utf-8"?>
<formControlPr xmlns="http://schemas.microsoft.com/office/spreadsheetml/2009/9/main" objectType="Spin" dx="22" max="30000" page="10" val="0"/>
</file>

<file path=xl/ctrlProps/ctrlProp160.xml><?xml version="1.0" encoding="utf-8"?>
<formControlPr xmlns="http://schemas.microsoft.com/office/spreadsheetml/2009/9/main" objectType="Spin" dx="22" max="30000" page="10" val="0"/>
</file>

<file path=xl/ctrlProps/ctrlProp161.xml><?xml version="1.0" encoding="utf-8"?>
<formControlPr xmlns="http://schemas.microsoft.com/office/spreadsheetml/2009/9/main" objectType="Spin" dx="22" max="30000" page="10" val="0"/>
</file>

<file path=xl/ctrlProps/ctrlProp162.xml><?xml version="1.0" encoding="utf-8"?>
<formControlPr xmlns="http://schemas.microsoft.com/office/spreadsheetml/2009/9/main" objectType="Spin" dx="22" max="30000" page="10" val="0"/>
</file>

<file path=xl/ctrlProps/ctrlProp163.xml><?xml version="1.0" encoding="utf-8"?>
<formControlPr xmlns="http://schemas.microsoft.com/office/spreadsheetml/2009/9/main" objectType="Spin" dx="22" max="30000" page="10" val="4"/>
</file>

<file path=xl/ctrlProps/ctrlProp164.xml><?xml version="1.0" encoding="utf-8"?>
<formControlPr xmlns="http://schemas.microsoft.com/office/spreadsheetml/2009/9/main" objectType="Spin" dx="22" max="30000" page="10" val="0"/>
</file>

<file path=xl/ctrlProps/ctrlProp165.xml><?xml version="1.0" encoding="utf-8"?>
<formControlPr xmlns="http://schemas.microsoft.com/office/spreadsheetml/2009/9/main" objectType="Spin" dx="22" max="30000" page="10" val="0"/>
</file>

<file path=xl/ctrlProps/ctrlProp166.xml><?xml version="1.0" encoding="utf-8"?>
<formControlPr xmlns="http://schemas.microsoft.com/office/spreadsheetml/2009/9/main" objectType="Spin" dx="22" max="30000" page="10" val="0"/>
</file>

<file path=xl/ctrlProps/ctrlProp167.xml><?xml version="1.0" encoding="utf-8"?>
<formControlPr xmlns="http://schemas.microsoft.com/office/spreadsheetml/2009/9/main" objectType="Spin" dx="22" max="30000" page="10" val="0"/>
</file>

<file path=xl/ctrlProps/ctrlProp168.xml><?xml version="1.0" encoding="utf-8"?>
<formControlPr xmlns="http://schemas.microsoft.com/office/spreadsheetml/2009/9/main" objectType="Spin" dx="22" max="30000" page="10" val="0"/>
</file>

<file path=xl/ctrlProps/ctrlProp169.xml><?xml version="1.0" encoding="utf-8"?>
<formControlPr xmlns="http://schemas.microsoft.com/office/spreadsheetml/2009/9/main" objectType="Spin" dx="22" max="30000" page="10" val="0"/>
</file>

<file path=xl/ctrlProps/ctrlProp170.xml><?xml version="1.0" encoding="utf-8"?>
<formControlPr xmlns="http://schemas.microsoft.com/office/spreadsheetml/2009/9/main" objectType="Spin" dx="22" max="30000" page="10" val="4"/>
</file>

<file path=xl/ctrlProps/ctrlProp171.xml><?xml version="1.0" encoding="utf-8"?>
<formControlPr xmlns="http://schemas.microsoft.com/office/spreadsheetml/2009/9/main" objectType="Spin" dx="22" max="30000" page="10" val="0"/>
</file>

<file path=xl/ctrlProps/ctrlProp172.xml><?xml version="1.0" encoding="utf-8"?>
<formControlPr xmlns="http://schemas.microsoft.com/office/spreadsheetml/2009/9/main" objectType="Spin" dx="22" max="30000" page="10" val="0"/>
</file>

<file path=xl/ctrlProps/ctrlProp173.xml><?xml version="1.0" encoding="utf-8"?>
<formControlPr xmlns="http://schemas.microsoft.com/office/spreadsheetml/2009/9/main" objectType="Spin" dx="22" max="30000" page="10" val="0"/>
</file>

<file path=xl/ctrlProps/ctrlProp174.xml><?xml version="1.0" encoding="utf-8"?>
<formControlPr xmlns="http://schemas.microsoft.com/office/spreadsheetml/2009/9/main" objectType="Spin" dx="22" max="30000" page="10" val="0"/>
</file>

<file path=xl/ctrlProps/ctrlProp175.xml><?xml version="1.0" encoding="utf-8"?>
<formControlPr xmlns="http://schemas.microsoft.com/office/spreadsheetml/2009/9/main" objectType="Spin" dx="22" max="30000" page="10" val="0"/>
</file>

<file path=xl/ctrlProps/ctrlProp176.xml><?xml version="1.0" encoding="utf-8"?>
<formControlPr xmlns="http://schemas.microsoft.com/office/spreadsheetml/2009/9/main" objectType="Spin" dx="22" max="30000" page="10" val="0"/>
</file>

<file path=xl/ctrlProps/ctrlProp177.xml><?xml version="1.0" encoding="utf-8"?>
<formControlPr xmlns="http://schemas.microsoft.com/office/spreadsheetml/2009/9/main" objectType="Spin" dx="22" fmlaLink="$E$57" inc="0" max="1" page="10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5" Type="http://schemas.openxmlformats.org/officeDocument/2006/relationships/image" Target="../media/image9.png"/><Relationship Id="rId4" Type="http://schemas.openxmlformats.org/officeDocument/2006/relationships/image" Target="../media/image8.png"/><Relationship Id="rId9" Type="http://schemas.microsoft.com/office/2007/relationships/hdphoto" Target="../media/hdphoto1.wdp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5.png"/><Relationship Id="rId7" Type="http://schemas.microsoft.com/office/2007/relationships/hdphoto" Target="../media/hdphoto2.wdp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6.png"/><Relationship Id="rId11" Type="http://schemas.openxmlformats.org/officeDocument/2006/relationships/chart" Target="../charts/chart2.xml"/><Relationship Id="rId5" Type="http://schemas.openxmlformats.org/officeDocument/2006/relationships/image" Target="../media/image15.png"/><Relationship Id="rId10" Type="http://schemas.openxmlformats.org/officeDocument/2006/relationships/chart" Target="../charts/chart1.xml"/><Relationship Id="rId4" Type="http://schemas.openxmlformats.org/officeDocument/2006/relationships/image" Target="../media/image9.png"/><Relationship Id="rId9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5.png"/><Relationship Id="rId7" Type="http://schemas.microsoft.com/office/2007/relationships/hdphoto" Target="../media/hdphoto2.wdp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6.png"/><Relationship Id="rId11" Type="http://schemas.openxmlformats.org/officeDocument/2006/relationships/chart" Target="../charts/chart4.xml"/><Relationship Id="rId5" Type="http://schemas.openxmlformats.org/officeDocument/2006/relationships/image" Target="../media/image15.png"/><Relationship Id="rId10" Type="http://schemas.openxmlformats.org/officeDocument/2006/relationships/chart" Target="../charts/chart3.xml"/><Relationship Id="rId4" Type="http://schemas.openxmlformats.org/officeDocument/2006/relationships/image" Target="../media/image9.png"/><Relationship Id="rId9" Type="http://schemas.microsoft.com/office/2007/relationships/hdphoto" Target="../media/hdphoto3.wdp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png"/><Relationship Id="rId3" Type="http://schemas.openxmlformats.org/officeDocument/2006/relationships/image" Target="../media/image5.png"/><Relationship Id="rId7" Type="http://schemas.microsoft.com/office/2007/relationships/hdphoto" Target="../media/hdphoto2.wdp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6" Type="http://schemas.openxmlformats.org/officeDocument/2006/relationships/image" Target="../media/image16.png"/><Relationship Id="rId11" Type="http://schemas.openxmlformats.org/officeDocument/2006/relationships/chart" Target="../charts/chart6.xml"/><Relationship Id="rId5" Type="http://schemas.openxmlformats.org/officeDocument/2006/relationships/image" Target="../media/image15.png"/><Relationship Id="rId10" Type="http://schemas.openxmlformats.org/officeDocument/2006/relationships/chart" Target="../charts/chart5.xml"/><Relationship Id="rId4" Type="http://schemas.openxmlformats.org/officeDocument/2006/relationships/image" Target="../media/image9.png"/><Relationship Id="rId9" Type="http://schemas.microsoft.com/office/2007/relationships/hdphoto" Target="../media/hdphoto3.wdp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0.xml"/><Relationship Id="rId3" Type="http://schemas.openxmlformats.org/officeDocument/2006/relationships/image" Target="../media/image19.png"/><Relationship Id="rId7" Type="http://schemas.openxmlformats.org/officeDocument/2006/relationships/chart" Target="../charts/chart9.xml"/><Relationship Id="rId2" Type="http://schemas.openxmlformats.org/officeDocument/2006/relationships/image" Target="../media/image18.png"/><Relationship Id="rId1" Type="http://schemas.openxmlformats.org/officeDocument/2006/relationships/image" Target="../media/image5.png"/><Relationship Id="rId6" Type="http://schemas.openxmlformats.org/officeDocument/2006/relationships/chart" Target="../charts/chart8.xml"/><Relationship Id="rId5" Type="http://schemas.openxmlformats.org/officeDocument/2006/relationships/chart" Target="../charts/chart7.xml"/><Relationship Id="rId4" Type="http://schemas.openxmlformats.org/officeDocument/2006/relationships/image" Target="../media/image20.png"/><Relationship Id="rId9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161925</xdr:colOff>
      <xdr:row>9</xdr:row>
      <xdr:rowOff>9525</xdr:rowOff>
    </xdr:from>
    <xdr:to>
      <xdr:col>12</xdr:col>
      <xdr:colOff>171450</xdr:colOff>
      <xdr:row>28</xdr:row>
      <xdr:rowOff>0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CxnSpPr/>
      </xdr:nvCxnSpPr>
      <xdr:spPr>
        <a:xfrm>
          <a:off x="14077950" y="1771650"/>
          <a:ext cx="9525" cy="3000375"/>
        </a:xfrm>
        <a:prstGeom prst="straightConnector1">
          <a:avLst/>
        </a:prstGeom>
        <a:ln w="38100">
          <a:solidFill>
            <a:srgbClr val="92D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30</xdr:row>
      <xdr:rowOff>76200</xdr:rowOff>
    </xdr:from>
    <xdr:to>
      <xdr:col>4</xdr:col>
      <xdr:colOff>2038350</xdr:colOff>
      <xdr:row>30</xdr:row>
      <xdr:rowOff>76200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/>
      </xdr:nvCxnSpPr>
      <xdr:spPr>
        <a:xfrm>
          <a:off x="2200275" y="5248275"/>
          <a:ext cx="990600" cy="0"/>
        </a:xfrm>
        <a:prstGeom prst="straightConnector1">
          <a:avLst/>
        </a:prstGeom>
        <a:ln w="38100">
          <a:solidFill>
            <a:srgbClr val="92D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19050</xdr:colOff>
      <xdr:row>59</xdr:row>
      <xdr:rowOff>123825</xdr:rowOff>
    </xdr:from>
    <xdr:to>
      <xdr:col>4</xdr:col>
      <xdr:colOff>1009650</xdr:colOff>
      <xdr:row>59</xdr:row>
      <xdr:rowOff>123825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>
          <a:off x="2390775" y="12030075"/>
          <a:ext cx="990600" cy="0"/>
        </a:xfrm>
        <a:prstGeom prst="straightConnector1">
          <a:avLst/>
        </a:prstGeom>
        <a:ln w="38100">
          <a:solidFill>
            <a:srgbClr val="92D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</xdr:row>
      <xdr:rowOff>123825</xdr:rowOff>
    </xdr:from>
    <xdr:to>
      <xdr:col>4</xdr:col>
      <xdr:colOff>990600</xdr:colOff>
      <xdr:row>4</xdr:row>
      <xdr:rowOff>123825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2371725" y="1009650"/>
          <a:ext cx="990600" cy="0"/>
        </a:xfrm>
        <a:prstGeom prst="straightConnector1">
          <a:avLst/>
        </a:prstGeom>
        <a:ln w="38100">
          <a:solidFill>
            <a:srgbClr val="92D05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142875</xdr:colOff>
      <xdr:row>1</xdr:row>
      <xdr:rowOff>19051</xdr:rowOff>
    </xdr:from>
    <xdr:to>
      <xdr:col>17</xdr:col>
      <xdr:colOff>1761459</xdr:colOff>
      <xdr:row>1</xdr:row>
      <xdr:rowOff>553523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21984" b="13021"/>
        <a:stretch/>
      </xdr:blipFill>
      <xdr:spPr>
        <a:xfrm>
          <a:off x="10229850" y="95251"/>
          <a:ext cx="1618584" cy="534472"/>
        </a:xfrm>
        <a:prstGeom prst="rect">
          <a:avLst/>
        </a:prstGeom>
      </xdr:spPr>
    </xdr:pic>
    <xdr:clientData/>
  </xdr:twoCellAnchor>
  <xdr:twoCellAnchor editAs="oneCell">
    <xdr:from>
      <xdr:col>2</xdr:col>
      <xdr:colOff>57150</xdr:colOff>
      <xdr:row>18</xdr:row>
      <xdr:rowOff>255922</xdr:rowOff>
    </xdr:from>
    <xdr:to>
      <xdr:col>2</xdr:col>
      <xdr:colOff>2028825</xdr:colOff>
      <xdr:row>20</xdr:row>
      <xdr:rowOff>241940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5342272"/>
          <a:ext cx="1971675" cy="538468"/>
        </a:xfrm>
        <a:prstGeom prst="rect">
          <a:avLst/>
        </a:prstGeom>
      </xdr:spPr>
    </xdr:pic>
    <xdr:clientData/>
  </xdr:twoCellAnchor>
  <xdr:twoCellAnchor editAs="oneCell">
    <xdr:from>
      <xdr:col>7</xdr:col>
      <xdr:colOff>123824</xdr:colOff>
      <xdr:row>2</xdr:row>
      <xdr:rowOff>12699</xdr:rowOff>
    </xdr:from>
    <xdr:to>
      <xdr:col>17</xdr:col>
      <xdr:colOff>1828800</xdr:colOff>
      <xdr:row>18</xdr:row>
      <xdr:rowOff>19049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43549" y="727074"/>
          <a:ext cx="6753226" cy="4016375"/>
        </a:xfrm>
        <a:prstGeom prst="rect">
          <a:avLst/>
        </a:prstGeom>
      </xdr:spPr>
    </xdr:pic>
    <xdr:clientData/>
  </xdr:twoCellAnchor>
  <xdr:twoCellAnchor editAs="oneCell">
    <xdr:from>
      <xdr:col>6</xdr:col>
      <xdr:colOff>85377</xdr:colOff>
      <xdr:row>3</xdr:row>
      <xdr:rowOff>123825</xdr:rowOff>
    </xdr:from>
    <xdr:to>
      <xdr:col>6</xdr:col>
      <xdr:colOff>861488</xdr:colOff>
      <xdr:row>6</xdr:row>
      <xdr:rowOff>66675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85927" y="962025"/>
          <a:ext cx="776111" cy="914400"/>
        </a:xfrm>
        <a:prstGeom prst="rect">
          <a:avLst/>
        </a:prstGeom>
      </xdr:spPr>
    </xdr:pic>
    <xdr:clientData/>
  </xdr:twoCellAnchor>
  <xdr:twoCellAnchor>
    <xdr:from>
      <xdr:col>3</xdr:col>
      <xdr:colOff>33338</xdr:colOff>
      <xdr:row>10</xdr:row>
      <xdr:rowOff>223837</xdr:rowOff>
    </xdr:from>
    <xdr:to>
      <xdr:col>3</xdr:col>
      <xdr:colOff>300038</xdr:colOff>
      <xdr:row>12</xdr:row>
      <xdr:rowOff>42862</xdr:rowOff>
    </xdr:to>
    <xdr:sp macro="" textlink="">
      <xdr:nvSpPr>
        <xdr:cNvPr id="5" name="Isosceles Tri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 rot="5400000">
          <a:off x="2657475" y="2638425"/>
          <a:ext cx="371475" cy="266700"/>
        </a:xfrm>
        <a:prstGeom prst="triangl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42863</xdr:colOff>
      <xdr:row>12</xdr:row>
      <xdr:rowOff>223838</xdr:rowOff>
    </xdr:from>
    <xdr:to>
      <xdr:col>3</xdr:col>
      <xdr:colOff>309563</xdr:colOff>
      <xdr:row>14</xdr:row>
      <xdr:rowOff>42863</xdr:rowOff>
    </xdr:to>
    <xdr:sp macro="" textlink="">
      <xdr:nvSpPr>
        <xdr:cNvPr id="7" name="Isosceles Tri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 rot="5400000">
          <a:off x="2667000" y="3190876"/>
          <a:ext cx="371475" cy="266700"/>
        </a:xfrm>
        <a:prstGeom prst="triangl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52388</xdr:colOff>
      <xdr:row>14</xdr:row>
      <xdr:rowOff>242889</xdr:rowOff>
    </xdr:from>
    <xdr:to>
      <xdr:col>3</xdr:col>
      <xdr:colOff>319088</xdr:colOff>
      <xdr:row>16</xdr:row>
      <xdr:rowOff>52389</xdr:rowOff>
    </xdr:to>
    <xdr:sp macro="" textlink="">
      <xdr:nvSpPr>
        <xdr:cNvPr id="9" name="Isosceles Tri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 rot="5400000">
          <a:off x="2676525" y="3762377"/>
          <a:ext cx="371475" cy="266700"/>
        </a:xfrm>
        <a:prstGeom prst="triangle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306917</xdr:colOff>
      <xdr:row>41</xdr:row>
      <xdr:rowOff>0</xdr:rowOff>
    </xdr:from>
    <xdr:to>
      <xdr:col>43</xdr:col>
      <xdr:colOff>677406</xdr:colOff>
      <xdr:row>69</xdr:row>
      <xdr:rowOff>66000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433742" y="10745259"/>
          <a:ext cx="7914289" cy="5417992"/>
        </a:xfrm>
        <a:prstGeom prst="rect">
          <a:avLst/>
        </a:prstGeom>
      </xdr:spPr>
    </xdr:pic>
    <xdr:clientData/>
  </xdr:twoCellAnchor>
  <xdr:twoCellAnchor>
    <xdr:from>
      <xdr:col>4</xdr:col>
      <xdr:colOff>285750</xdr:colOff>
      <xdr:row>19</xdr:row>
      <xdr:rowOff>66456</xdr:rowOff>
    </xdr:from>
    <xdr:to>
      <xdr:col>4</xdr:col>
      <xdr:colOff>751417</xdr:colOff>
      <xdr:row>20</xdr:row>
      <xdr:rowOff>267539</xdr:rowOff>
    </xdr:to>
    <xdr:sp macro="" textlink="">
      <xdr:nvSpPr>
        <xdr:cNvPr id="8" name="Down Arrow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2013541" y="6678578"/>
          <a:ext cx="465667" cy="422595"/>
        </a:xfrm>
        <a:prstGeom prst="downArrow">
          <a:avLst/>
        </a:prstGeom>
        <a:solidFill>
          <a:schemeClr val="accent1"/>
        </a:soli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296333</xdr:colOff>
      <xdr:row>23</xdr:row>
      <xdr:rowOff>72116</xdr:rowOff>
    </xdr:from>
    <xdr:to>
      <xdr:col>4</xdr:col>
      <xdr:colOff>762000</xdr:colOff>
      <xdr:row>24</xdr:row>
      <xdr:rowOff>269014</xdr:rowOff>
    </xdr:to>
    <xdr:sp macro="" textlink="">
      <xdr:nvSpPr>
        <xdr:cNvPr id="14" name="Down Arrow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>
        <a:xfrm>
          <a:off x="2024124" y="8079761"/>
          <a:ext cx="465667" cy="418410"/>
        </a:xfrm>
        <a:prstGeom prst="downArrow">
          <a:avLst/>
        </a:prstGeom>
        <a:solidFill>
          <a:schemeClr val="accent1"/>
        </a:soli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264583</xdr:colOff>
      <xdr:row>27</xdr:row>
      <xdr:rowOff>88604</xdr:rowOff>
    </xdr:from>
    <xdr:to>
      <xdr:col>4</xdr:col>
      <xdr:colOff>730250</xdr:colOff>
      <xdr:row>29</xdr:row>
      <xdr:rowOff>12305</xdr:rowOff>
    </xdr:to>
    <xdr:sp macro="" textlink="">
      <xdr:nvSpPr>
        <xdr:cNvPr id="15" name="Down Arrow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>
        <a:xfrm>
          <a:off x="1992374" y="9491773"/>
          <a:ext cx="465667" cy="422102"/>
        </a:xfrm>
        <a:prstGeom prst="downArrow">
          <a:avLst/>
        </a:prstGeom>
        <a:solidFill>
          <a:schemeClr val="accent1"/>
        </a:soli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264583</xdr:colOff>
      <xdr:row>32</xdr:row>
      <xdr:rowOff>76054</xdr:rowOff>
    </xdr:from>
    <xdr:to>
      <xdr:col>4</xdr:col>
      <xdr:colOff>730250</xdr:colOff>
      <xdr:row>34</xdr:row>
      <xdr:rowOff>247</xdr:rowOff>
    </xdr:to>
    <xdr:sp macro="" textlink="">
      <xdr:nvSpPr>
        <xdr:cNvPr id="16" name="Down Arrow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>
        <a:xfrm>
          <a:off x="1992374" y="11151635"/>
          <a:ext cx="465667" cy="422595"/>
        </a:xfrm>
        <a:prstGeom prst="downArrow">
          <a:avLst/>
        </a:prstGeom>
        <a:solidFill>
          <a:schemeClr val="accent1"/>
        </a:soli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264583</xdr:colOff>
      <xdr:row>36</xdr:row>
      <xdr:rowOff>83190</xdr:rowOff>
    </xdr:from>
    <xdr:to>
      <xdr:col>4</xdr:col>
      <xdr:colOff>730250</xdr:colOff>
      <xdr:row>38</xdr:row>
      <xdr:rowOff>3199</xdr:rowOff>
    </xdr:to>
    <xdr:sp macro="" textlink="">
      <xdr:nvSpPr>
        <xdr:cNvPr id="17" name="Down Arrow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>
        <a:xfrm>
          <a:off x="1992374" y="12554295"/>
          <a:ext cx="465667" cy="418410"/>
        </a:xfrm>
        <a:prstGeom prst="downArrow">
          <a:avLst/>
        </a:prstGeom>
        <a:solidFill>
          <a:schemeClr val="accent1"/>
        </a:solidFill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22</xdr:col>
      <xdr:colOff>434410</xdr:colOff>
      <xdr:row>1</xdr:row>
      <xdr:rowOff>728035</xdr:rowOff>
    </xdr:from>
    <xdr:to>
      <xdr:col>28</xdr:col>
      <xdr:colOff>550825</xdr:colOff>
      <xdr:row>13</xdr:row>
      <xdr:rowOff>349935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20311" y="805564"/>
          <a:ext cx="6052927" cy="4273644"/>
        </a:xfrm>
        <a:prstGeom prst="rect">
          <a:avLst/>
        </a:prstGeom>
      </xdr:spPr>
    </xdr:pic>
    <xdr:clientData/>
  </xdr:twoCellAnchor>
  <xdr:twoCellAnchor editAs="oneCell">
    <xdr:from>
      <xdr:col>22</xdr:col>
      <xdr:colOff>465666</xdr:colOff>
      <xdr:row>33</xdr:row>
      <xdr:rowOff>211667</xdr:rowOff>
    </xdr:from>
    <xdr:to>
      <xdr:col>28</xdr:col>
      <xdr:colOff>571499</xdr:colOff>
      <xdr:row>39</xdr:row>
      <xdr:rowOff>185440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65249" y="7461250"/>
          <a:ext cx="6021918" cy="1926167"/>
        </a:xfrm>
        <a:prstGeom prst="rect">
          <a:avLst/>
        </a:prstGeom>
      </xdr:spPr>
    </xdr:pic>
    <xdr:clientData/>
  </xdr:twoCellAnchor>
  <xdr:twoCellAnchor editAs="oneCell">
    <xdr:from>
      <xdr:col>22</xdr:col>
      <xdr:colOff>423333</xdr:colOff>
      <xdr:row>22</xdr:row>
      <xdr:rowOff>243417</xdr:rowOff>
    </xdr:from>
    <xdr:to>
      <xdr:col>28</xdr:col>
      <xdr:colOff>497415</xdr:colOff>
      <xdr:row>31</xdr:row>
      <xdr:rowOff>216595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022916" y="4402667"/>
          <a:ext cx="5990167" cy="2961905"/>
        </a:xfrm>
        <a:prstGeom prst="rect">
          <a:avLst/>
        </a:prstGeom>
      </xdr:spPr>
    </xdr:pic>
    <xdr:clientData/>
  </xdr:twoCellAnchor>
  <xdr:twoCellAnchor editAs="oneCell">
    <xdr:from>
      <xdr:col>19</xdr:col>
      <xdr:colOff>55217</xdr:colOff>
      <xdr:row>1</xdr:row>
      <xdr:rowOff>55220</xdr:rowOff>
    </xdr:from>
    <xdr:to>
      <xdr:col>20</xdr:col>
      <xdr:colOff>1118152</xdr:colOff>
      <xdr:row>1</xdr:row>
      <xdr:rowOff>633612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27281" y="132749"/>
          <a:ext cx="1373051" cy="578392"/>
        </a:xfrm>
        <a:prstGeom prst="rect">
          <a:avLst/>
        </a:prstGeom>
      </xdr:spPr>
    </xdr:pic>
    <xdr:clientData/>
  </xdr:twoCellAnchor>
  <xdr:twoCellAnchor editAs="oneCell">
    <xdr:from>
      <xdr:col>2</xdr:col>
      <xdr:colOff>41412</xdr:colOff>
      <xdr:row>2</xdr:row>
      <xdr:rowOff>37812</xdr:rowOff>
    </xdr:from>
    <xdr:to>
      <xdr:col>2</xdr:col>
      <xdr:colOff>234674</xdr:colOff>
      <xdr:row>2</xdr:row>
      <xdr:rowOff>289892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2716" y="714225"/>
          <a:ext cx="193262" cy="252080"/>
        </a:xfrm>
        <a:prstGeom prst="rect">
          <a:avLst/>
        </a:prstGeom>
      </xdr:spPr>
    </xdr:pic>
    <xdr:clientData/>
  </xdr:twoCellAnchor>
  <xdr:twoCellAnchor editAs="oneCell">
    <xdr:from>
      <xdr:col>2</xdr:col>
      <xdr:colOff>38503</xdr:colOff>
      <xdr:row>14</xdr:row>
      <xdr:rowOff>41358</xdr:rowOff>
    </xdr:from>
    <xdr:to>
      <xdr:col>2</xdr:col>
      <xdr:colOff>234673</xdr:colOff>
      <xdr:row>14</xdr:row>
      <xdr:rowOff>289892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9807" y="3409619"/>
          <a:ext cx="196170" cy="248534"/>
        </a:xfrm>
        <a:prstGeom prst="rect">
          <a:avLst/>
        </a:prstGeom>
      </xdr:spPr>
    </xdr:pic>
    <xdr:clientData/>
  </xdr:twoCellAnchor>
  <xdr:twoCellAnchor editAs="oneCell">
    <xdr:from>
      <xdr:col>19</xdr:col>
      <xdr:colOff>273838</xdr:colOff>
      <xdr:row>8</xdr:row>
      <xdr:rowOff>265494</xdr:rowOff>
    </xdr:from>
    <xdr:to>
      <xdr:col>20</xdr:col>
      <xdr:colOff>911621</xdr:colOff>
      <xdr:row>11</xdr:row>
      <xdr:rowOff>328095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53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45902" y="3211599"/>
          <a:ext cx="947899" cy="118123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1344083</xdr:colOff>
      <xdr:row>4</xdr:row>
      <xdr:rowOff>264584</xdr:rowOff>
    </xdr:from>
    <xdr:to>
      <xdr:col>23</xdr:col>
      <xdr:colOff>235558</xdr:colOff>
      <xdr:row>12</xdr:row>
      <xdr:rowOff>245275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7000" y="1407584"/>
          <a:ext cx="3590475" cy="2067724"/>
        </a:xfrm>
        <a:prstGeom prst="rect">
          <a:avLst/>
        </a:prstGeom>
      </xdr:spPr>
    </xdr:pic>
    <xdr:clientData/>
  </xdr:twoCellAnchor>
  <xdr:twoCellAnchor editAs="oneCell">
    <xdr:from>
      <xdr:col>25</xdr:col>
      <xdr:colOff>645583</xdr:colOff>
      <xdr:row>5</xdr:row>
      <xdr:rowOff>0</xdr:rowOff>
    </xdr:from>
    <xdr:to>
      <xdr:col>31</xdr:col>
      <xdr:colOff>781464</xdr:colOff>
      <xdr:row>18</xdr:row>
      <xdr:rowOff>137166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240750" y="1619249"/>
          <a:ext cx="5152381" cy="3342857"/>
        </a:xfrm>
        <a:prstGeom prst="rect">
          <a:avLst/>
        </a:prstGeom>
      </xdr:spPr>
    </xdr:pic>
    <xdr:clientData/>
  </xdr:twoCellAnchor>
  <xdr:twoCellAnchor editAs="oneCell">
    <xdr:from>
      <xdr:col>20</xdr:col>
      <xdr:colOff>304799</xdr:colOff>
      <xdr:row>39</xdr:row>
      <xdr:rowOff>504825</xdr:rowOff>
    </xdr:from>
    <xdr:to>
      <xdr:col>29</xdr:col>
      <xdr:colOff>675288</xdr:colOff>
      <xdr:row>58</xdr:row>
      <xdr:rowOff>188767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887824" y="8877300"/>
          <a:ext cx="7914289" cy="5417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19472" name="Spinner 16" hidden="1">
              <a:extLst>
                <a:ext uri="{63B3BB69-23CF-44E3-9099-C40C66FF867C}">
                  <a14:compatExt spid="_x0000_s19472"/>
                </a:ext>
                <a:ext uri="{FF2B5EF4-FFF2-40B4-BE49-F238E27FC236}">
                  <a16:creationId xmlns:a16="http://schemas.microsoft.com/office/drawing/2014/main" id="{00000000-0008-0000-0900-000010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34</xdr:row>
          <xdr:rowOff>0</xdr:rowOff>
        </xdr:from>
        <xdr:to>
          <xdr:col>10</xdr:col>
          <xdr:colOff>990600</xdr:colOff>
          <xdr:row>35</xdr:row>
          <xdr:rowOff>0</xdr:rowOff>
        </xdr:to>
        <xdr:sp macro="" textlink="">
          <xdr:nvSpPr>
            <xdr:cNvPr id="19474" name="Spinner 18" hidden="1">
              <a:extLst>
                <a:ext uri="{63B3BB69-23CF-44E3-9099-C40C66FF867C}">
                  <a14:compatExt spid="_x0000_s19474"/>
                </a:ext>
                <a:ext uri="{FF2B5EF4-FFF2-40B4-BE49-F238E27FC236}">
                  <a16:creationId xmlns:a16="http://schemas.microsoft.com/office/drawing/2014/main" id="{00000000-0008-0000-0900-00001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19475" name="Spinner 19" hidden="1">
              <a:extLst>
                <a:ext uri="{63B3BB69-23CF-44E3-9099-C40C66FF867C}">
                  <a14:compatExt spid="_x0000_s19475"/>
                </a:ext>
                <a:ext uri="{FF2B5EF4-FFF2-40B4-BE49-F238E27FC236}">
                  <a16:creationId xmlns:a16="http://schemas.microsoft.com/office/drawing/2014/main" id="{00000000-0008-0000-0900-00001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19476" name="Spinner 20" hidden="1">
              <a:extLst>
                <a:ext uri="{63B3BB69-23CF-44E3-9099-C40C66FF867C}">
                  <a14:compatExt spid="_x0000_s19476"/>
                </a:ext>
                <a:ext uri="{FF2B5EF4-FFF2-40B4-BE49-F238E27FC236}">
                  <a16:creationId xmlns:a16="http://schemas.microsoft.com/office/drawing/2014/main" id="{00000000-0008-0000-0900-00001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9526</xdr:colOff>
      <xdr:row>6</xdr:row>
      <xdr:rowOff>371475</xdr:rowOff>
    </xdr:from>
    <xdr:to>
      <xdr:col>12</xdr:col>
      <xdr:colOff>263526</xdr:colOff>
      <xdr:row>7</xdr:row>
      <xdr:rowOff>38100</xdr:rowOff>
    </xdr:to>
    <xdr:sp macro="" textlink="">
      <xdr:nvSpPr>
        <xdr:cNvPr id="7" name="Right Arrow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336948" y="2429024"/>
          <a:ext cx="7993062" cy="124271"/>
        </a:xfrm>
        <a:prstGeom prst="rightArrow">
          <a:avLst>
            <a:gd name="adj1" fmla="val 26047"/>
            <a:gd name="adj2" fmla="val 6796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36</xdr:row>
          <xdr:rowOff>19050</xdr:rowOff>
        </xdr:from>
        <xdr:to>
          <xdr:col>4</xdr:col>
          <xdr:colOff>981075</xdr:colOff>
          <xdr:row>37</xdr:row>
          <xdr:rowOff>19050</xdr:rowOff>
        </xdr:to>
        <xdr:sp macro="" textlink="">
          <xdr:nvSpPr>
            <xdr:cNvPr id="19477" name="Spinner 21" hidden="1">
              <a:extLst>
                <a:ext uri="{63B3BB69-23CF-44E3-9099-C40C66FF867C}">
                  <a14:compatExt spid="_x0000_s19477"/>
                </a:ext>
                <a:ext uri="{FF2B5EF4-FFF2-40B4-BE49-F238E27FC236}">
                  <a16:creationId xmlns:a16="http://schemas.microsoft.com/office/drawing/2014/main" id="{00000000-0008-0000-0900-00001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9525</xdr:rowOff>
        </xdr:from>
        <xdr:to>
          <xdr:col>8</xdr:col>
          <xdr:colOff>990600</xdr:colOff>
          <xdr:row>37</xdr:row>
          <xdr:rowOff>9525</xdr:rowOff>
        </xdr:to>
        <xdr:sp macro="" textlink="">
          <xdr:nvSpPr>
            <xdr:cNvPr id="19478" name="Spinner 22" hidden="1">
              <a:extLst>
                <a:ext uri="{63B3BB69-23CF-44E3-9099-C40C66FF867C}">
                  <a14:compatExt spid="_x0000_s19478"/>
                </a:ext>
                <a:ext uri="{FF2B5EF4-FFF2-40B4-BE49-F238E27FC236}">
                  <a16:creationId xmlns:a16="http://schemas.microsoft.com/office/drawing/2014/main" id="{00000000-0008-0000-0900-00001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36</xdr:row>
          <xdr:rowOff>9525</xdr:rowOff>
        </xdr:from>
        <xdr:to>
          <xdr:col>10</xdr:col>
          <xdr:colOff>1000125</xdr:colOff>
          <xdr:row>37</xdr:row>
          <xdr:rowOff>9525</xdr:rowOff>
        </xdr:to>
        <xdr:sp macro="" textlink="">
          <xdr:nvSpPr>
            <xdr:cNvPr id="19479" name="Spinner 23" hidden="1">
              <a:extLst>
                <a:ext uri="{63B3BB69-23CF-44E3-9099-C40C66FF867C}">
                  <a14:compatExt spid="_x0000_s19479"/>
                </a:ext>
                <a:ext uri="{FF2B5EF4-FFF2-40B4-BE49-F238E27FC236}">
                  <a16:creationId xmlns:a16="http://schemas.microsoft.com/office/drawing/2014/main" id="{00000000-0008-0000-0900-00001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981075</xdr:colOff>
          <xdr:row>38</xdr:row>
          <xdr:rowOff>238125</xdr:rowOff>
        </xdr:to>
        <xdr:sp macro="" textlink="">
          <xdr:nvSpPr>
            <xdr:cNvPr id="19480" name="Spinner 24" hidden="1">
              <a:extLst>
                <a:ext uri="{63B3BB69-23CF-44E3-9099-C40C66FF867C}">
                  <a14:compatExt spid="_x0000_s19480"/>
                </a:ext>
                <a:ext uri="{FF2B5EF4-FFF2-40B4-BE49-F238E27FC236}">
                  <a16:creationId xmlns:a16="http://schemas.microsoft.com/office/drawing/2014/main" id="{00000000-0008-0000-0900-00001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38</xdr:row>
          <xdr:rowOff>0</xdr:rowOff>
        </xdr:from>
        <xdr:to>
          <xdr:col>6</xdr:col>
          <xdr:colOff>1000125</xdr:colOff>
          <xdr:row>38</xdr:row>
          <xdr:rowOff>247650</xdr:rowOff>
        </xdr:to>
        <xdr:sp macro="" textlink="">
          <xdr:nvSpPr>
            <xdr:cNvPr id="19481" name="Spinner 25" hidden="1">
              <a:extLst>
                <a:ext uri="{63B3BB69-23CF-44E3-9099-C40C66FF867C}">
                  <a14:compatExt spid="_x0000_s19481"/>
                </a:ext>
                <a:ext uri="{FF2B5EF4-FFF2-40B4-BE49-F238E27FC236}">
                  <a16:creationId xmlns:a16="http://schemas.microsoft.com/office/drawing/2014/main" id="{00000000-0008-0000-0900-00001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38</xdr:row>
          <xdr:rowOff>0</xdr:rowOff>
        </xdr:from>
        <xdr:to>
          <xdr:col>4</xdr:col>
          <xdr:colOff>990600</xdr:colOff>
          <xdr:row>38</xdr:row>
          <xdr:rowOff>238125</xdr:rowOff>
        </xdr:to>
        <xdr:sp macro="" textlink="">
          <xdr:nvSpPr>
            <xdr:cNvPr id="19482" name="Spinner 26" hidden="1">
              <a:extLst>
                <a:ext uri="{63B3BB69-23CF-44E3-9099-C40C66FF867C}">
                  <a14:compatExt spid="_x0000_s19482"/>
                </a:ext>
                <a:ext uri="{FF2B5EF4-FFF2-40B4-BE49-F238E27FC236}">
                  <a16:creationId xmlns:a16="http://schemas.microsoft.com/office/drawing/2014/main" id="{00000000-0008-0000-0900-00001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36</xdr:row>
          <xdr:rowOff>9525</xdr:rowOff>
        </xdr:from>
        <xdr:to>
          <xdr:col>6</xdr:col>
          <xdr:colOff>990600</xdr:colOff>
          <xdr:row>37</xdr:row>
          <xdr:rowOff>9525</xdr:rowOff>
        </xdr:to>
        <xdr:sp macro="" textlink="">
          <xdr:nvSpPr>
            <xdr:cNvPr id="19483" name="Spinner 27" hidden="1">
              <a:extLst>
                <a:ext uri="{63B3BB69-23CF-44E3-9099-C40C66FF867C}">
                  <a14:compatExt spid="_x0000_s19483"/>
                </a:ext>
                <a:ext uri="{FF2B5EF4-FFF2-40B4-BE49-F238E27FC236}">
                  <a16:creationId xmlns:a16="http://schemas.microsoft.com/office/drawing/2014/main" id="{00000000-0008-0000-0900-00001B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38</xdr:row>
          <xdr:rowOff>0</xdr:rowOff>
        </xdr:from>
        <xdr:to>
          <xdr:col>10</xdr:col>
          <xdr:colOff>1000125</xdr:colOff>
          <xdr:row>38</xdr:row>
          <xdr:rowOff>228600</xdr:rowOff>
        </xdr:to>
        <xdr:sp macro="" textlink="">
          <xdr:nvSpPr>
            <xdr:cNvPr id="19485" name="Spinner 29" hidden="1">
              <a:extLst>
                <a:ext uri="{63B3BB69-23CF-44E3-9099-C40C66FF867C}">
                  <a14:compatExt spid="_x0000_s19485"/>
                </a:ext>
                <a:ext uri="{FF2B5EF4-FFF2-40B4-BE49-F238E27FC236}">
                  <a16:creationId xmlns:a16="http://schemas.microsoft.com/office/drawing/2014/main" id="{00000000-0008-0000-0900-00001D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32</xdr:row>
          <xdr:rowOff>0</xdr:rowOff>
        </xdr:from>
        <xdr:to>
          <xdr:col>4</xdr:col>
          <xdr:colOff>971550</xdr:colOff>
          <xdr:row>33</xdr:row>
          <xdr:rowOff>0</xdr:rowOff>
        </xdr:to>
        <xdr:sp macro="" textlink="">
          <xdr:nvSpPr>
            <xdr:cNvPr id="19487" name="Spinner 31" hidden="1">
              <a:extLst>
                <a:ext uri="{63B3BB69-23CF-44E3-9099-C40C66FF867C}">
                  <a14:compatExt spid="_x0000_s19487"/>
                </a:ext>
                <a:ext uri="{FF2B5EF4-FFF2-40B4-BE49-F238E27FC236}">
                  <a16:creationId xmlns:a16="http://schemas.microsoft.com/office/drawing/2014/main" id="{00000000-0008-0000-0900-00001F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32</xdr:row>
          <xdr:rowOff>0</xdr:rowOff>
        </xdr:from>
        <xdr:to>
          <xdr:col>6</xdr:col>
          <xdr:colOff>990600</xdr:colOff>
          <xdr:row>32</xdr:row>
          <xdr:rowOff>266700</xdr:rowOff>
        </xdr:to>
        <xdr:sp macro="" textlink="">
          <xdr:nvSpPr>
            <xdr:cNvPr id="19489" name="Spinner 33" hidden="1">
              <a:extLst>
                <a:ext uri="{63B3BB69-23CF-44E3-9099-C40C66FF867C}">
                  <a14:compatExt spid="_x0000_s19489"/>
                </a:ext>
                <a:ext uri="{FF2B5EF4-FFF2-40B4-BE49-F238E27FC236}">
                  <a16:creationId xmlns:a16="http://schemas.microsoft.com/office/drawing/2014/main" id="{00000000-0008-0000-0900-00002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19490" name="Spinner 34" hidden="1">
              <a:extLst>
                <a:ext uri="{63B3BB69-23CF-44E3-9099-C40C66FF867C}">
                  <a14:compatExt spid="_x0000_s19490"/>
                </a:ext>
                <a:ext uri="{FF2B5EF4-FFF2-40B4-BE49-F238E27FC236}">
                  <a16:creationId xmlns:a16="http://schemas.microsoft.com/office/drawing/2014/main" id="{00000000-0008-0000-0900-00002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1000125</xdr:colOff>
          <xdr:row>32</xdr:row>
          <xdr:rowOff>266700</xdr:rowOff>
        </xdr:to>
        <xdr:sp macro="" textlink="">
          <xdr:nvSpPr>
            <xdr:cNvPr id="19495" name="Spinner 39" hidden="1">
              <a:extLst>
                <a:ext uri="{63B3BB69-23CF-44E3-9099-C40C66FF867C}">
                  <a14:compatExt spid="_x0000_s19495"/>
                </a:ext>
                <a:ext uri="{FF2B5EF4-FFF2-40B4-BE49-F238E27FC236}">
                  <a16:creationId xmlns:a16="http://schemas.microsoft.com/office/drawing/2014/main" id="{00000000-0008-0000-0900-00002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19496" name="Spinner 40" hidden="1">
              <a:extLst>
                <a:ext uri="{63B3BB69-23CF-44E3-9099-C40C66FF867C}">
                  <a14:compatExt spid="_x0000_s19496"/>
                </a:ext>
                <a:ext uri="{FF2B5EF4-FFF2-40B4-BE49-F238E27FC236}">
                  <a16:creationId xmlns:a16="http://schemas.microsoft.com/office/drawing/2014/main" id="{00000000-0008-0000-0900-00002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66590" name="Spinner 13342" hidden="1">
              <a:extLst>
                <a:ext uri="{63B3BB69-23CF-44E3-9099-C40C66FF867C}">
                  <a14:compatExt spid="_x0000_s66590"/>
                </a:ext>
                <a:ext uri="{FF2B5EF4-FFF2-40B4-BE49-F238E27FC236}">
                  <a16:creationId xmlns:a16="http://schemas.microsoft.com/office/drawing/2014/main" id="{00000000-0008-0000-0900-00001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66591" name="Spinner 13343" hidden="1">
              <a:extLst>
                <a:ext uri="{63B3BB69-23CF-44E3-9099-C40C66FF867C}">
                  <a14:compatExt spid="_x0000_s66591"/>
                </a:ext>
                <a:ext uri="{FF2B5EF4-FFF2-40B4-BE49-F238E27FC236}">
                  <a16:creationId xmlns:a16="http://schemas.microsoft.com/office/drawing/2014/main" id="{00000000-0008-0000-0900-00001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43</xdr:row>
          <xdr:rowOff>28575</xdr:rowOff>
        </xdr:from>
        <xdr:to>
          <xdr:col>4</xdr:col>
          <xdr:colOff>504825</xdr:colOff>
          <xdr:row>44</xdr:row>
          <xdr:rowOff>66675</xdr:rowOff>
        </xdr:to>
        <xdr:sp macro="" textlink="">
          <xdr:nvSpPr>
            <xdr:cNvPr id="66598" name="Check Box 13350" hidden="1">
              <a:extLst>
                <a:ext uri="{63B3BB69-23CF-44E3-9099-C40C66FF867C}">
                  <a14:compatExt spid="_x0000_s66598"/>
                </a:ext>
                <a:ext uri="{FF2B5EF4-FFF2-40B4-BE49-F238E27FC236}">
                  <a16:creationId xmlns:a16="http://schemas.microsoft.com/office/drawing/2014/main" id="{00000000-0008-0000-0900-00002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43</xdr:row>
          <xdr:rowOff>28575</xdr:rowOff>
        </xdr:from>
        <xdr:to>
          <xdr:col>6</xdr:col>
          <xdr:colOff>400050</xdr:colOff>
          <xdr:row>44</xdr:row>
          <xdr:rowOff>66675</xdr:rowOff>
        </xdr:to>
        <xdr:sp macro="" textlink="">
          <xdr:nvSpPr>
            <xdr:cNvPr id="66599" name="Check Box 13351" hidden="1">
              <a:extLst>
                <a:ext uri="{63B3BB69-23CF-44E3-9099-C40C66FF867C}">
                  <a14:compatExt spid="_x0000_s66599"/>
                </a:ext>
                <a:ext uri="{FF2B5EF4-FFF2-40B4-BE49-F238E27FC236}">
                  <a16:creationId xmlns:a16="http://schemas.microsoft.com/office/drawing/2014/main" id="{00000000-0008-0000-0900-00002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43</xdr:row>
          <xdr:rowOff>19050</xdr:rowOff>
        </xdr:from>
        <xdr:to>
          <xdr:col>8</xdr:col>
          <xdr:colOff>466725</xdr:colOff>
          <xdr:row>44</xdr:row>
          <xdr:rowOff>57150</xdr:rowOff>
        </xdr:to>
        <xdr:sp macro="" textlink="">
          <xdr:nvSpPr>
            <xdr:cNvPr id="66600" name="Check Box 13352" hidden="1">
              <a:extLst>
                <a:ext uri="{63B3BB69-23CF-44E3-9099-C40C66FF867C}">
                  <a14:compatExt spid="_x0000_s66600"/>
                </a:ext>
                <a:ext uri="{FF2B5EF4-FFF2-40B4-BE49-F238E27FC236}">
                  <a16:creationId xmlns:a16="http://schemas.microsoft.com/office/drawing/2014/main" id="{00000000-0008-0000-0900-00002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28575</xdr:rowOff>
        </xdr:from>
        <xdr:to>
          <xdr:col>10</xdr:col>
          <xdr:colOff>400050</xdr:colOff>
          <xdr:row>44</xdr:row>
          <xdr:rowOff>76200</xdr:rowOff>
        </xdr:to>
        <xdr:sp macro="" textlink="">
          <xdr:nvSpPr>
            <xdr:cNvPr id="66601" name="Check Box 13353" hidden="1">
              <a:extLst>
                <a:ext uri="{63B3BB69-23CF-44E3-9099-C40C66FF867C}">
                  <a14:compatExt spid="_x0000_s66601"/>
                </a:ext>
                <a:ext uri="{FF2B5EF4-FFF2-40B4-BE49-F238E27FC236}">
                  <a16:creationId xmlns:a16="http://schemas.microsoft.com/office/drawing/2014/main" id="{00000000-0008-0000-0900-00002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52</xdr:row>
          <xdr:rowOff>0</xdr:rowOff>
        </xdr:from>
        <xdr:to>
          <xdr:col>4</xdr:col>
          <xdr:colOff>990600</xdr:colOff>
          <xdr:row>53</xdr:row>
          <xdr:rowOff>0</xdr:rowOff>
        </xdr:to>
        <xdr:sp macro="" textlink="">
          <xdr:nvSpPr>
            <xdr:cNvPr id="66611" name="Spinner 13363" hidden="1">
              <a:extLst>
                <a:ext uri="{63B3BB69-23CF-44E3-9099-C40C66FF867C}">
                  <a14:compatExt spid="_x0000_s66611"/>
                </a:ext>
                <a:ext uri="{FF2B5EF4-FFF2-40B4-BE49-F238E27FC236}">
                  <a16:creationId xmlns:a16="http://schemas.microsoft.com/office/drawing/2014/main" id="{00000000-0008-0000-0900-00003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52</xdr:row>
          <xdr:rowOff>0</xdr:rowOff>
        </xdr:from>
        <xdr:to>
          <xdr:col>6</xdr:col>
          <xdr:colOff>990600</xdr:colOff>
          <xdr:row>53</xdr:row>
          <xdr:rowOff>0</xdr:rowOff>
        </xdr:to>
        <xdr:sp macro="" textlink="">
          <xdr:nvSpPr>
            <xdr:cNvPr id="66612" name="Spinner 13364" hidden="1">
              <a:extLst>
                <a:ext uri="{63B3BB69-23CF-44E3-9099-C40C66FF867C}">
                  <a14:compatExt spid="_x0000_s66612"/>
                </a:ext>
                <a:ext uri="{FF2B5EF4-FFF2-40B4-BE49-F238E27FC236}">
                  <a16:creationId xmlns:a16="http://schemas.microsoft.com/office/drawing/2014/main" id="{00000000-0008-0000-0900-00003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52</xdr:row>
          <xdr:rowOff>0</xdr:rowOff>
        </xdr:from>
        <xdr:to>
          <xdr:col>8</xdr:col>
          <xdr:colOff>990600</xdr:colOff>
          <xdr:row>53</xdr:row>
          <xdr:rowOff>0</xdr:rowOff>
        </xdr:to>
        <xdr:sp macro="" textlink="">
          <xdr:nvSpPr>
            <xdr:cNvPr id="66613" name="Spinner 13365" hidden="1">
              <a:extLst>
                <a:ext uri="{63B3BB69-23CF-44E3-9099-C40C66FF867C}">
                  <a14:compatExt spid="_x0000_s66613"/>
                </a:ext>
                <a:ext uri="{FF2B5EF4-FFF2-40B4-BE49-F238E27FC236}">
                  <a16:creationId xmlns:a16="http://schemas.microsoft.com/office/drawing/2014/main" id="{00000000-0008-0000-0900-00003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52</xdr:row>
          <xdr:rowOff>0</xdr:rowOff>
        </xdr:from>
        <xdr:to>
          <xdr:col>10</xdr:col>
          <xdr:colOff>990600</xdr:colOff>
          <xdr:row>53</xdr:row>
          <xdr:rowOff>0</xdr:rowOff>
        </xdr:to>
        <xdr:sp macro="" textlink="">
          <xdr:nvSpPr>
            <xdr:cNvPr id="66614" name="Spinner 13366" hidden="1">
              <a:extLst>
                <a:ext uri="{63B3BB69-23CF-44E3-9099-C40C66FF867C}">
                  <a14:compatExt spid="_x0000_s66614"/>
                </a:ext>
                <a:ext uri="{FF2B5EF4-FFF2-40B4-BE49-F238E27FC236}">
                  <a16:creationId xmlns:a16="http://schemas.microsoft.com/office/drawing/2014/main" id="{00000000-0008-0000-0900-00003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56</xdr:row>
          <xdr:rowOff>9525</xdr:rowOff>
        </xdr:from>
        <xdr:to>
          <xdr:col>5</xdr:col>
          <xdr:colOff>38100</xdr:colOff>
          <xdr:row>57</xdr:row>
          <xdr:rowOff>9525</xdr:rowOff>
        </xdr:to>
        <xdr:sp macro="" textlink="">
          <xdr:nvSpPr>
            <xdr:cNvPr id="66616" name="Spinner 13368" hidden="1">
              <a:extLst>
                <a:ext uri="{63B3BB69-23CF-44E3-9099-C40C66FF867C}">
                  <a14:compatExt spid="_x0000_s66616"/>
                </a:ext>
                <a:ext uri="{FF2B5EF4-FFF2-40B4-BE49-F238E27FC236}">
                  <a16:creationId xmlns:a16="http://schemas.microsoft.com/office/drawing/2014/main" id="{00000000-0008-0000-0900-00003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60</xdr:row>
          <xdr:rowOff>9525</xdr:rowOff>
        </xdr:from>
        <xdr:to>
          <xdr:col>5</xdr:col>
          <xdr:colOff>38100</xdr:colOff>
          <xdr:row>61</xdr:row>
          <xdr:rowOff>9525</xdr:rowOff>
        </xdr:to>
        <xdr:sp macro="" textlink="">
          <xdr:nvSpPr>
            <xdr:cNvPr id="66617" name="Spinner 13369" hidden="1">
              <a:extLst>
                <a:ext uri="{63B3BB69-23CF-44E3-9099-C40C66FF867C}">
                  <a14:compatExt spid="_x0000_s66617"/>
                </a:ext>
                <a:ext uri="{FF2B5EF4-FFF2-40B4-BE49-F238E27FC236}">
                  <a16:creationId xmlns:a16="http://schemas.microsoft.com/office/drawing/2014/main" id="{00000000-0008-0000-0900-00003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242455</xdr:colOff>
      <xdr:row>39</xdr:row>
      <xdr:rowOff>57150</xdr:rowOff>
    </xdr:from>
    <xdr:to>
      <xdr:col>11</xdr:col>
      <xdr:colOff>105218</xdr:colOff>
      <xdr:row>39</xdr:row>
      <xdr:rowOff>219075</xdr:rowOff>
    </xdr:to>
    <xdr:sp macro="" textlink="">
      <xdr:nvSpPr>
        <xdr:cNvPr id="43" name="Right Arrow 42">
          <a:extLs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>
        <a:xfrm>
          <a:off x="3260551" y="10041787"/>
          <a:ext cx="4736019" cy="161925"/>
        </a:xfrm>
        <a:prstGeom prst="rightArrow">
          <a:avLst>
            <a:gd name="adj1" fmla="val 28610"/>
            <a:gd name="adj2" fmla="val 5267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</xdr:colOff>
      <xdr:row>3</xdr:row>
      <xdr:rowOff>419099</xdr:rowOff>
    </xdr:from>
    <xdr:to>
      <xdr:col>2</xdr:col>
      <xdr:colOff>2019300</xdr:colOff>
      <xdr:row>4</xdr:row>
      <xdr:rowOff>257174</xdr:rowOff>
    </xdr:to>
    <xdr:sp macro="" textlink="">
      <xdr:nvSpPr>
        <xdr:cNvPr id="4" name="Snip Same Side Corner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42900" y="1323974"/>
          <a:ext cx="2000250" cy="314325"/>
        </a:xfrm>
        <a:prstGeom prst="snip2SameRect">
          <a:avLst/>
        </a:prstGeom>
        <a:solidFill>
          <a:schemeClr val="accent1"/>
        </a:solidFill>
        <a:ln>
          <a:solidFill>
            <a:schemeClr val="accent1"/>
          </a:solidFill>
        </a:ln>
        <a:effectLst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1  - Base Case</a:t>
          </a:r>
          <a:endParaRPr lang="en-US" sz="11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2085975</xdr:colOff>
      <xdr:row>3</xdr:row>
      <xdr:rowOff>419099</xdr:rowOff>
    </xdr:from>
    <xdr:to>
      <xdr:col>6</xdr:col>
      <xdr:colOff>123825</xdr:colOff>
      <xdr:row>4</xdr:row>
      <xdr:rowOff>257174</xdr:rowOff>
    </xdr:to>
    <xdr:sp macro="" textlink="">
      <xdr:nvSpPr>
        <xdr:cNvPr id="44" name="Snip Same Side Corner Rectangle 43">
          <a:extLs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>
        <a:xfrm>
          <a:off x="2409825" y="1485899"/>
          <a:ext cx="22288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2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200025</xdr:colOff>
      <xdr:row>3</xdr:row>
      <xdr:rowOff>419099</xdr:rowOff>
    </xdr:from>
    <xdr:to>
      <xdr:col>9</xdr:col>
      <xdr:colOff>0</xdr:colOff>
      <xdr:row>4</xdr:row>
      <xdr:rowOff>257174</xdr:rowOff>
    </xdr:to>
    <xdr:sp macro="" textlink="">
      <xdr:nvSpPr>
        <xdr:cNvPr id="45" name="Snip Same Side Corner Rectangle 44">
          <a:extLs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>
        <a:xfrm>
          <a:off x="4714875" y="1485899"/>
          <a:ext cx="20002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3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15</xdr:col>
      <xdr:colOff>85725</xdr:colOff>
      <xdr:row>0</xdr:row>
      <xdr:rowOff>57150</xdr:rowOff>
    </xdr:from>
    <xdr:to>
      <xdr:col>16</xdr:col>
      <xdr:colOff>1296851</xdr:colOff>
      <xdr:row>1</xdr:row>
      <xdr:rowOff>559342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534650" y="57150"/>
          <a:ext cx="1373051" cy="57839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38100</xdr:rowOff>
    </xdr:from>
    <xdr:to>
      <xdr:col>2</xdr:col>
      <xdr:colOff>366405</xdr:colOff>
      <xdr:row>2</xdr:row>
      <xdr:rowOff>295275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752475"/>
          <a:ext cx="318780" cy="25717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6</xdr:row>
      <xdr:rowOff>50774</xdr:rowOff>
    </xdr:from>
    <xdr:to>
      <xdr:col>2</xdr:col>
      <xdr:colOff>342901</xdr:colOff>
      <xdr:row>6</xdr:row>
      <xdr:rowOff>321299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11200"/>
                  </a14:imgEffect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2108174"/>
          <a:ext cx="304800" cy="27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19051</xdr:colOff>
      <xdr:row>41</xdr:row>
      <xdr:rowOff>133704</xdr:rowOff>
    </xdr:from>
    <xdr:to>
      <xdr:col>2</xdr:col>
      <xdr:colOff>314325</xdr:colOff>
      <xdr:row>41</xdr:row>
      <xdr:rowOff>414534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11058879"/>
          <a:ext cx="295274" cy="2808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62</xdr:row>
          <xdr:rowOff>9525</xdr:rowOff>
        </xdr:from>
        <xdr:to>
          <xdr:col>5</xdr:col>
          <xdr:colOff>38100</xdr:colOff>
          <xdr:row>63</xdr:row>
          <xdr:rowOff>9525</xdr:rowOff>
        </xdr:to>
        <xdr:sp macro="" textlink="">
          <xdr:nvSpPr>
            <xdr:cNvPr id="66650" name="Spinner 13402" hidden="1">
              <a:extLst>
                <a:ext uri="{63B3BB69-23CF-44E3-9099-C40C66FF867C}">
                  <a14:compatExt spid="_x0000_s66650"/>
                </a:ext>
                <a:ext uri="{FF2B5EF4-FFF2-40B4-BE49-F238E27FC236}">
                  <a16:creationId xmlns:a16="http://schemas.microsoft.com/office/drawing/2014/main" id="{00000000-0008-0000-0900-00005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50</xdr:row>
          <xdr:rowOff>0</xdr:rowOff>
        </xdr:from>
        <xdr:to>
          <xdr:col>4</xdr:col>
          <xdr:colOff>990600</xdr:colOff>
          <xdr:row>51</xdr:row>
          <xdr:rowOff>0</xdr:rowOff>
        </xdr:to>
        <xdr:sp macro="" textlink="">
          <xdr:nvSpPr>
            <xdr:cNvPr id="66652" name="Spinner 13404" hidden="1">
              <a:extLst>
                <a:ext uri="{63B3BB69-23CF-44E3-9099-C40C66FF867C}">
                  <a14:compatExt spid="_x0000_s66652"/>
                </a:ext>
                <a:ext uri="{FF2B5EF4-FFF2-40B4-BE49-F238E27FC236}">
                  <a16:creationId xmlns:a16="http://schemas.microsoft.com/office/drawing/2014/main" id="{00000000-0008-0000-0900-00005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50</xdr:row>
          <xdr:rowOff>0</xdr:rowOff>
        </xdr:from>
        <xdr:to>
          <xdr:col>6</xdr:col>
          <xdr:colOff>990600</xdr:colOff>
          <xdr:row>51</xdr:row>
          <xdr:rowOff>0</xdr:rowOff>
        </xdr:to>
        <xdr:sp macro="" textlink="">
          <xdr:nvSpPr>
            <xdr:cNvPr id="66653" name="Spinner 13405" hidden="1">
              <a:extLst>
                <a:ext uri="{63B3BB69-23CF-44E3-9099-C40C66FF867C}">
                  <a14:compatExt spid="_x0000_s66653"/>
                </a:ext>
                <a:ext uri="{FF2B5EF4-FFF2-40B4-BE49-F238E27FC236}">
                  <a16:creationId xmlns:a16="http://schemas.microsoft.com/office/drawing/2014/main" id="{00000000-0008-0000-0900-00005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50</xdr:row>
          <xdr:rowOff>0</xdr:rowOff>
        </xdr:from>
        <xdr:to>
          <xdr:col>8</xdr:col>
          <xdr:colOff>990600</xdr:colOff>
          <xdr:row>51</xdr:row>
          <xdr:rowOff>0</xdr:rowOff>
        </xdr:to>
        <xdr:sp macro="" textlink="">
          <xdr:nvSpPr>
            <xdr:cNvPr id="66654" name="Spinner 13406" hidden="1">
              <a:extLst>
                <a:ext uri="{63B3BB69-23CF-44E3-9099-C40C66FF867C}">
                  <a14:compatExt spid="_x0000_s66654"/>
                </a:ext>
                <a:ext uri="{FF2B5EF4-FFF2-40B4-BE49-F238E27FC236}">
                  <a16:creationId xmlns:a16="http://schemas.microsoft.com/office/drawing/2014/main" id="{00000000-0008-0000-0900-00005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50</xdr:row>
          <xdr:rowOff>0</xdr:rowOff>
        </xdr:from>
        <xdr:to>
          <xdr:col>10</xdr:col>
          <xdr:colOff>990600</xdr:colOff>
          <xdr:row>51</xdr:row>
          <xdr:rowOff>0</xdr:rowOff>
        </xdr:to>
        <xdr:sp macro="" textlink="">
          <xdr:nvSpPr>
            <xdr:cNvPr id="66655" name="Spinner 13407" hidden="1">
              <a:extLst>
                <a:ext uri="{63B3BB69-23CF-44E3-9099-C40C66FF867C}">
                  <a14:compatExt spid="_x0000_s66655"/>
                </a:ext>
                <a:ext uri="{FF2B5EF4-FFF2-40B4-BE49-F238E27FC236}">
                  <a16:creationId xmlns:a16="http://schemas.microsoft.com/office/drawing/2014/main" id="{00000000-0008-0000-0900-00005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66656" name="Spinner 13408" hidden="1">
              <a:extLst>
                <a:ext uri="{63B3BB69-23CF-44E3-9099-C40C66FF867C}">
                  <a14:compatExt spid="_x0000_s66656"/>
                </a:ext>
                <a:ext uri="{FF2B5EF4-FFF2-40B4-BE49-F238E27FC236}">
                  <a16:creationId xmlns:a16="http://schemas.microsoft.com/office/drawing/2014/main" id="{00000000-0008-0000-0900-00006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66657" name="Spinner 13409" hidden="1">
              <a:extLst>
                <a:ext uri="{63B3BB69-23CF-44E3-9099-C40C66FF867C}">
                  <a14:compatExt spid="_x0000_s66657"/>
                </a:ext>
                <a:ext uri="{FF2B5EF4-FFF2-40B4-BE49-F238E27FC236}">
                  <a16:creationId xmlns:a16="http://schemas.microsoft.com/office/drawing/2014/main" id="{00000000-0008-0000-0900-00006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66658" name="Spinner 13410" hidden="1">
              <a:extLst>
                <a:ext uri="{63B3BB69-23CF-44E3-9099-C40C66FF867C}">
                  <a14:compatExt spid="_x0000_s66658"/>
                </a:ext>
                <a:ext uri="{FF2B5EF4-FFF2-40B4-BE49-F238E27FC236}">
                  <a16:creationId xmlns:a16="http://schemas.microsoft.com/office/drawing/2014/main" id="{00000000-0008-0000-0900-00006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66659" name="Spinner 13411" hidden="1">
              <a:extLst>
                <a:ext uri="{63B3BB69-23CF-44E3-9099-C40C66FF867C}">
                  <a14:compatExt spid="_x0000_s66659"/>
                </a:ext>
                <a:ext uri="{FF2B5EF4-FFF2-40B4-BE49-F238E27FC236}">
                  <a16:creationId xmlns:a16="http://schemas.microsoft.com/office/drawing/2014/main" id="{00000000-0008-0000-0900-00006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66660" name="Spinner 13412" hidden="1">
              <a:extLst>
                <a:ext uri="{63B3BB69-23CF-44E3-9099-C40C66FF867C}">
                  <a14:compatExt spid="_x0000_s66660"/>
                </a:ext>
                <a:ext uri="{FF2B5EF4-FFF2-40B4-BE49-F238E27FC236}">
                  <a16:creationId xmlns:a16="http://schemas.microsoft.com/office/drawing/2014/main" id="{00000000-0008-0000-0900-00006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1000125</xdr:colOff>
          <xdr:row>34</xdr:row>
          <xdr:rowOff>266700</xdr:rowOff>
        </xdr:to>
        <xdr:sp macro="" textlink="">
          <xdr:nvSpPr>
            <xdr:cNvPr id="66661" name="Spinner 13413" hidden="1">
              <a:extLst>
                <a:ext uri="{63B3BB69-23CF-44E3-9099-C40C66FF867C}">
                  <a14:compatExt spid="_x0000_s66661"/>
                </a:ext>
                <a:ext uri="{FF2B5EF4-FFF2-40B4-BE49-F238E27FC236}">
                  <a16:creationId xmlns:a16="http://schemas.microsoft.com/office/drawing/2014/main" id="{00000000-0008-0000-0900-00006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66662" name="Spinner 13414" hidden="1">
              <a:extLst>
                <a:ext uri="{63B3BB69-23CF-44E3-9099-C40C66FF867C}">
                  <a14:compatExt spid="_x0000_s66662"/>
                </a:ext>
                <a:ext uri="{FF2B5EF4-FFF2-40B4-BE49-F238E27FC236}">
                  <a16:creationId xmlns:a16="http://schemas.microsoft.com/office/drawing/2014/main" id="{00000000-0008-0000-0900-00006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66663" name="Spinner 13415" hidden="1">
              <a:extLst>
                <a:ext uri="{63B3BB69-23CF-44E3-9099-C40C66FF867C}">
                  <a14:compatExt spid="_x0000_s66663"/>
                </a:ext>
                <a:ext uri="{FF2B5EF4-FFF2-40B4-BE49-F238E27FC236}">
                  <a16:creationId xmlns:a16="http://schemas.microsoft.com/office/drawing/2014/main" id="{00000000-0008-0000-0900-00006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66664" name="Spinner 13416" hidden="1">
              <a:extLst>
                <a:ext uri="{63B3BB69-23CF-44E3-9099-C40C66FF867C}">
                  <a14:compatExt spid="_x0000_s66664"/>
                </a:ext>
                <a:ext uri="{FF2B5EF4-FFF2-40B4-BE49-F238E27FC236}">
                  <a16:creationId xmlns:a16="http://schemas.microsoft.com/office/drawing/2014/main" id="{00000000-0008-0000-0900-00006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36</xdr:row>
          <xdr:rowOff>0</xdr:rowOff>
        </xdr:from>
        <xdr:to>
          <xdr:col>4</xdr:col>
          <xdr:colOff>971550</xdr:colOff>
          <xdr:row>37</xdr:row>
          <xdr:rowOff>0</xdr:rowOff>
        </xdr:to>
        <xdr:sp macro="" textlink="">
          <xdr:nvSpPr>
            <xdr:cNvPr id="66665" name="Spinner 13417" hidden="1">
              <a:extLst>
                <a:ext uri="{63B3BB69-23CF-44E3-9099-C40C66FF867C}">
                  <a14:compatExt spid="_x0000_s66665"/>
                </a:ext>
                <a:ext uri="{FF2B5EF4-FFF2-40B4-BE49-F238E27FC236}">
                  <a16:creationId xmlns:a16="http://schemas.microsoft.com/office/drawing/2014/main" id="{00000000-0008-0000-0900-00006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36</xdr:row>
          <xdr:rowOff>0</xdr:rowOff>
        </xdr:from>
        <xdr:to>
          <xdr:col>6</xdr:col>
          <xdr:colOff>990600</xdr:colOff>
          <xdr:row>36</xdr:row>
          <xdr:rowOff>266700</xdr:rowOff>
        </xdr:to>
        <xdr:sp macro="" textlink="">
          <xdr:nvSpPr>
            <xdr:cNvPr id="66666" name="Spinner 13418" hidden="1">
              <a:extLst>
                <a:ext uri="{63B3BB69-23CF-44E3-9099-C40C66FF867C}">
                  <a14:compatExt spid="_x0000_s66666"/>
                </a:ext>
                <a:ext uri="{FF2B5EF4-FFF2-40B4-BE49-F238E27FC236}">
                  <a16:creationId xmlns:a16="http://schemas.microsoft.com/office/drawing/2014/main" id="{00000000-0008-0000-0900-00006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66667" name="Spinner 13419" hidden="1">
              <a:extLst>
                <a:ext uri="{63B3BB69-23CF-44E3-9099-C40C66FF867C}">
                  <a14:compatExt spid="_x0000_s66667"/>
                </a:ext>
                <a:ext uri="{FF2B5EF4-FFF2-40B4-BE49-F238E27FC236}">
                  <a16:creationId xmlns:a16="http://schemas.microsoft.com/office/drawing/2014/main" id="{00000000-0008-0000-0900-00006B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1000125</xdr:colOff>
          <xdr:row>36</xdr:row>
          <xdr:rowOff>266700</xdr:rowOff>
        </xdr:to>
        <xdr:sp macro="" textlink="">
          <xdr:nvSpPr>
            <xdr:cNvPr id="66668" name="Spinner 13420" hidden="1">
              <a:extLst>
                <a:ext uri="{63B3BB69-23CF-44E3-9099-C40C66FF867C}">
                  <a14:compatExt spid="_x0000_s66668"/>
                </a:ext>
                <a:ext uri="{FF2B5EF4-FFF2-40B4-BE49-F238E27FC236}">
                  <a16:creationId xmlns:a16="http://schemas.microsoft.com/office/drawing/2014/main" id="{00000000-0008-0000-0900-00006C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66669" name="Spinner 13421" hidden="1">
              <a:extLst>
                <a:ext uri="{63B3BB69-23CF-44E3-9099-C40C66FF867C}">
                  <a14:compatExt spid="_x0000_s66669"/>
                </a:ext>
                <a:ext uri="{FF2B5EF4-FFF2-40B4-BE49-F238E27FC236}">
                  <a16:creationId xmlns:a16="http://schemas.microsoft.com/office/drawing/2014/main" id="{00000000-0008-0000-0900-00006D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66670" name="Spinner 13422" hidden="1">
              <a:extLst>
                <a:ext uri="{63B3BB69-23CF-44E3-9099-C40C66FF867C}">
                  <a14:compatExt spid="_x0000_s66670"/>
                </a:ext>
                <a:ext uri="{FF2B5EF4-FFF2-40B4-BE49-F238E27FC236}">
                  <a16:creationId xmlns:a16="http://schemas.microsoft.com/office/drawing/2014/main" id="{00000000-0008-0000-0900-00006E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66671" name="Spinner 13423" hidden="1">
              <a:extLst>
                <a:ext uri="{63B3BB69-23CF-44E3-9099-C40C66FF867C}">
                  <a14:compatExt spid="_x0000_s66671"/>
                </a:ext>
                <a:ext uri="{FF2B5EF4-FFF2-40B4-BE49-F238E27FC236}">
                  <a16:creationId xmlns:a16="http://schemas.microsoft.com/office/drawing/2014/main" id="{00000000-0008-0000-0900-00006F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38</xdr:row>
          <xdr:rowOff>0</xdr:rowOff>
        </xdr:from>
        <xdr:to>
          <xdr:col>4</xdr:col>
          <xdr:colOff>971550</xdr:colOff>
          <xdr:row>39</xdr:row>
          <xdr:rowOff>0</xdr:rowOff>
        </xdr:to>
        <xdr:sp macro="" textlink="">
          <xdr:nvSpPr>
            <xdr:cNvPr id="66672" name="Spinner 13424" hidden="1">
              <a:extLst>
                <a:ext uri="{63B3BB69-23CF-44E3-9099-C40C66FF867C}">
                  <a14:compatExt spid="_x0000_s66672"/>
                </a:ext>
                <a:ext uri="{FF2B5EF4-FFF2-40B4-BE49-F238E27FC236}">
                  <a16:creationId xmlns:a16="http://schemas.microsoft.com/office/drawing/2014/main" id="{00000000-0008-0000-0900-000070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38</xdr:row>
          <xdr:rowOff>0</xdr:rowOff>
        </xdr:from>
        <xdr:to>
          <xdr:col>6</xdr:col>
          <xdr:colOff>990600</xdr:colOff>
          <xdr:row>38</xdr:row>
          <xdr:rowOff>266700</xdr:rowOff>
        </xdr:to>
        <xdr:sp macro="" textlink="">
          <xdr:nvSpPr>
            <xdr:cNvPr id="66673" name="Spinner 13425" hidden="1">
              <a:extLst>
                <a:ext uri="{63B3BB69-23CF-44E3-9099-C40C66FF867C}">
                  <a14:compatExt spid="_x0000_s66673"/>
                </a:ext>
                <a:ext uri="{FF2B5EF4-FFF2-40B4-BE49-F238E27FC236}">
                  <a16:creationId xmlns:a16="http://schemas.microsoft.com/office/drawing/2014/main" id="{00000000-0008-0000-0900-00007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66674" name="Spinner 13426" hidden="1">
              <a:extLst>
                <a:ext uri="{63B3BB69-23CF-44E3-9099-C40C66FF867C}">
                  <a14:compatExt spid="_x0000_s66674"/>
                </a:ext>
                <a:ext uri="{FF2B5EF4-FFF2-40B4-BE49-F238E27FC236}">
                  <a16:creationId xmlns:a16="http://schemas.microsoft.com/office/drawing/2014/main" id="{00000000-0008-0000-0900-00007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1000125</xdr:colOff>
          <xdr:row>38</xdr:row>
          <xdr:rowOff>266700</xdr:rowOff>
        </xdr:to>
        <xdr:sp macro="" textlink="">
          <xdr:nvSpPr>
            <xdr:cNvPr id="66675" name="Spinner 13427" hidden="1">
              <a:extLst>
                <a:ext uri="{63B3BB69-23CF-44E3-9099-C40C66FF867C}">
                  <a14:compatExt spid="_x0000_s66675"/>
                </a:ext>
                <a:ext uri="{FF2B5EF4-FFF2-40B4-BE49-F238E27FC236}">
                  <a16:creationId xmlns:a16="http://schemas.microsoft.com/office/drawing/2014/main" id="{00000000-0008-0000-0900-00007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66676" name="Spinner 13428" hidden="1">
              <a:extLst>
                <a:ext uri="{63B3BB69-23CF-44E3-9099-C40C66FF867C}">
                  <a14:compatExt spid="_x0000_s66676"/>
                </a:ext>
                <a:ext uri="{FF2B5EF4-FFF2-40B4-BE49-F238E27FC236}">
                  <a16:creationId xmlns:a16="http://schemas.microsoft.com/office/drawing/2014/main" id="{00000000-0008-0000-0900-00007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66677" name="Spinner 13429" hidden="1">
              <a:extLst>
                <a:ext uri="{63B3BB69-23CF-44E3-9099-C40C66FF867C}">
                  <a14:compatExt spid="_x0000_s66677"/>
                </a:ext>
                <a:ext uri="{FF2B5EF4-FFF2-40B4-BE49-F238E27FC236}">
                  <a16:creationId xmlns:a16="http://schemas.microsoft.com/office/drawing/2014/main" id="{00000000-0008-0000-0900-00007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66678" name="Spinner 13430" hidden="1">
              <a:extLst>
                <a:ext uri="{63B3BB69-23CF-44E3-9099-C40C66FF867C}">
                  <a14:compatExt spid="_x0000_s66678"/>
                </a:ext>
                <a:ext uri="{FF2B5EF4-FFF2-40B4-BE49-F238E27FC236}">
                  <a16:creationId xmlns:a16="http://schemas.microsoft.com/office/drawing/2014/main" id="{00000000-0008-0000-0900-00007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66679" name="Spinner 13431" hidden="1">
              <a:extLst>
                <a:ext uri="{63B3BB69-23CF-44E3-9099-C40C66FF867C}">
                  <a14:compatExt spid="_x0000_s66679"/>
                </a:ext>
                <a:ext uri="{FF2B5EF4-FFF2-40B4-BE49-F238E27FC236}">
                  <a16:creationId xmlns:a16="http://schemas.microsoft.com/office/drawing/2014/main" id="{00000000-0008-0000-0900-00007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60</xdr:row>
          <xdr:rowOff>9525</xdr:rowOff>
        </xdr:from>
        <xdr:to>
          <xdr:col>5</xdr:col>
          <xdr:colOff>38100</xdr:colOff>
          <xdr:row>61</xdr:row>
          <xdr:rowOff>9525</xdr:rowOff>
        </xdr:to>
        <xdr:sp macro="" textlink="">
          <xdr:nvSpPr>
            <xdr:cNvPr id="66680" name="Spinner 13432" hidden="1">
              <a:extLst>
                <a:ext uri="{63B3BB69-23CF-44E3-9099-C40C66FF867C}">
                  <a14:compatExt spid="_x0000_s66680"/>
                </a:ext>
                <a:ext uri="{FF2B5EF4-FFF2-40B4-BE49-F238E27FC236}">
                  <a16:creationId xmlns:a16="http://schemas.microsoft.com/office/drawing/2014/main" id="{00000000-0008-0000-0900-00007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62</xdr:row>
          <xdr:rowOff>9525</xdr:rowOff>
        </xdr:from>
        <xdr:to>
          <xdr:col>5</xdr:col>
          <xdr:colOff>38100</xdr:colOff>
          <xdr:row>63</xdr:row>
          <xdr:rowOff>9525</xdr:rowOff>
        </xdr:to>
        <xdr:sp macro="" textlink="">
          <xdr:nvSpPr>
            <xdr:cNvPr id="66681" name="Spinner 13433" hidden="1">
              <a:extLst>
                <a:ext uri="{63B3BB69-23CF-44E3-9099-C40C66FF867C}">
                  <a14:compatExt spid="_x0000_s66681"/>
                </a:ext>
                <a:ext uri="{FF2B5EF4-FFF2-40B4-BE49-F238E27FC236}">
                  <a16:creationId xmlns:a16="http://schemas.microsoft.com/office/drawing/2014/main" id="{00000000-0008-0000-0900-000079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62</xdr:row>
          <xdr:rowOff>9525</xdr:rowOff>
        </xdr:from>
        <xdr:to>
          <xdr:col>5</xdr:col>
          <xdr:colOff>38100</xdr:colOff>
          <xdr:row>63</xdr:row>
          <xdr:rowOff>9525</xdr:rowOff>
        </xdr:to>
        <xdr:sp macro="" textlink="">
          <xdr:nvSpPr>
            <xdr:cNvPr id="66682" name="Spinner 13434" hidden="1">
              <a:extLst>
                <a:ext uri="{63B3BB69-23CF-44E3-9099-C40C66FF867C}">
                  <a14:compatExt spid="_x0000_s66682"/>
                </a:ext>
                <a:ext uri="{FF2B5EF4-FFF2-40B4-BE49-F238E27FC236}">
                  <a16:creationId xmlns:a16="http://schemas.microsoft.com/office/drawing/2014/main" id="{00000000-0008-0000-0900-00007A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95250</xdr:colOff>
      <xdr:row>64</xdr:row>
      <xdr:rowOff>57150</xdr:rowOff>
    </xdr:from>
    <xdr:to>
      <xdr:col>15</xdr:col>
      <xdr:colOff>85725</xdr:colOff>
      <xdr:row>79</xdr:row>
      <xdr:rowOff>114300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152400</xdr:colOff>
      <xdr:row>42</xdr:row>
      <xdr:rowOff>76200</xdr:rowOff>
    </xdr:from>
    <xdr:to>
      <xdr:col>15</xdr:col>
      <xdr:colOff>76200</xdr:colOff>
      <xdr:row>53</xdr:row>
      <xdr:rowOff>142875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1344083</xdr:colOff>
      <xdr:row>4</xdr:row>
      <xdr:rowOff>264584</xdr:rowOff>
    </xdr:from>
    <xdr:to>
      <xdr:col>23</xdr:col>
      <xdr:colOff>235558</xdr:colOff>
      <xdr:row>12</xdr:row>
      <xdr:rowOff>245275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1108" y="1807634"/>
          <a:ext cx="3596825" cy="2076191"/>
        </a:xfrm>
        <a:prstGeom prst="rect">
          <a:avLst/>
        </a:prstGeom>
      </xdr:spPr>
    </xdr:pic>
    <xdr:clientData/>
  </xdr:twoCellAnchor>
  <xdr:twoCellAnchor editAs="oneCell">
    <xdr:from>
      <xdr:col>25</xdr:col>
      <xdr:colOff>645583</xdr:colOff>
      <xdr:row>5</xdr:row>
      <xdr:rowOff>0</xdr:rowOff>
    </xdr:from>
    <xdr:to>
      <xdr:col>31</xdr:col>
      <xdr:colOff>781464</xdr:colOff>
      <xdr:row>18</xdr:row>
      <xdr:rowOff>137166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24358" y="1819275"/>
          <a:ext cx="5165081" cy="3356616"/>
        </a:xfrm>
        <a:prstGeom prst="rect">
          <a:avLst/>
        </a:prstGeom>
      </xdr:spPr>
    </xdr:pic>
    <xdr:clientData/>
  </xdr:twoCellAnchor>
  <xdr:twoCellAnchor editAs="oneCell">
    <xdr:from>
      <xdr:col>20</xdr:col>
      <xdr:colOff>304799</xdr:colOff>
      <xdr:row>39</xdr:row>
      <xdr:rowOff>504825</xdr:rowOff>
    </xdr:from>
    <xdr:to>
      <xdr:col>29</xdr:col>
      <xdr:colOff>675288</xdr:colOff>
      <xdr:row>58</xdr:row>
      <xdr:rowOff>188767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792574" y="10982325"/>
          <a:ext cx="7914289" cy="5417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94209" name="Spinner 1" hidden="1">
              <a:extLst>
                <a:ext uri="{63B3BB69-23CF-44E3-9099-C40C66FF867C}">
                  <a14:compatExt spid="_x0000_s94209"/>
                </a:ext>
                <a:ext uri="{FF2B5EF4-FFF2-40B4-BE49-F238E27FC236}">
                  <a16:creationId xmlns:a16="http://schemas.microsoft.com/office/drawing/2014/main" id="{00000000-0008-0000-0A00-00000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34</xdr:row>
          <xdr:rowOff>0</xdr:rowOff>
        </xdr:from>
        <xdr:to>
          <xdr:col>10</xdr:col>
          <xdr:colOff>990600</xdr:colOff>
          <xdr:row>35</xdr:row>
          <xdr:rowOff>0</xdr:rowOff>
        </xdr:to>
        <xdr:sp macro="" textlink="">
          <xdr:nvSpPr>
            <xdr:cNvPr id="94210" name="Spinner 2" hidden="1">
              <a:extLst>
                <a:ext uri="{63B3BB69-23CF-44E3-9099-C40C66FF867C}">
                  <a14:compatExt spid="_x0000_s94210"/>
                </a:ext>
                <a:ext uri="{FF2B5EF4-FFF2-40B4-BE49-F238E27FC236}">
                  <a16:creationId xmlns:a16="http://schemas.microsoft.com/office/drawing/2014/main" id="{00000000-0008-0000-0A00-00000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94211" name="Spinner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0A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4212" name="Spinner 4" hidden="1">
              <a:extLst>
                <a:ext uri="{63B3BB69-23CF-44E3-9099-C40C66FF867C}">
                  <a14:compatExt spid="_x0000_s94212"/>
                </a:ext>
                <a:ext uri="{FF2B5EF4-FFF2-40B4-BE49-F238E27FC236}">
                  <a16:creationId xmlns:a16="http://schemas.microsoft.com/office/drawing/2014/main" id="{00000000-0008-0000-0A00-00000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9526</xdr:colOff>
      <xdr:row>6</xdr:row>
      <xdr:rowOff>371475</xdr:rowOff>
    </xdr:from>
    <xdr:to>
      <xdr:col>12</xdr:col>
      <xdr:colOff>263526</xdr:colOff>
      <xdr:row>7</xdr:row>
      <xdr:rowOff>38100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/>
      </xdr:nvSpPr>
      <xdr:spPr>
        <a:xfrm>
          <a:off x="333376" y="2428875"/>
          <a:ext cx="7988300" cy="123825"/>
        </a:xfrm>
        <a:prstGeom prst="rightArrow">
          <a:avLst>
            <a:gd name="adj1" fmla="val 26047"/>
            <a:gd name="adj2" fmla="val 6796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36</xdr:row>
          <xdr:rowOff>19050</xdr:rowOff>
        </xdr:from>
        <xdr:to>
          <xdr:col>4</xdr:col>
          <xdr:colOff>981075</xdr:colOff>
          <xdr:row>37</xdr:row>
          <xdr:rowOff>19050</xdr:rowOff>
        </xdr:to>
        <xdr:sp macro="" textlink="">
          <xdr:nvSpPr>
            <xdr:cNvPr id="94213" name="Spinner 5" hidden="1">
              <a:extLst>
                <a:ext uri="{63B3BB69-23CF-44E3-9099-C40C66FF867C}">
                  <a14:compatExt spid="_x0000_s94213"/>
                </a:ext>
                <a:ext uri="{FF2B5EF4-FFF2-40B4-BE49-F238E27FC236}">
                  <a16:creationId xmlns:a16="http://schemas.microsoft.com/office/drawing/2014/main" id="{00000000-0008-0000-0A00-00000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9525</xdr:rowOff>
        </xdr:from>
        <xdr:to>
          <xdr:col>8</xdr:col>
          <xdr:colOff>990600</xdr:colOff>
          <xdr:row>37</xdr:row>
          <xdr:rowOff>9525</xdr:rowOff>
        </xdr:to>
        <xdr:sp macro="" textlink="">
          <xdr:nvSpPr>
            <xdr:cNvPr id="94214" name="Spinner 6" hidden="1">
              <a:extLst>
                <a:ext uri="{63B3BB69-23CF-44E3-9099-C40C66FF867C}">
                  <a14:compatExt spid="_x0000_s94214"/>
                </a:ext>
                <a:ext uri="{FF2B5EF4-FFF2-40B4-BE49-F238E27FC236}">
                  <a16:creationId xmlns:a16="http://schemas.microsoft.com/office/drawing/2014/main" id="{00000000-0008-0000-0A00-00000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36</xdr:row>
          <xdr:rowOff>9525</xdr:rowOff>
        </xdr:from>
        <xdr:to>
          <xdr:col>10</xdr:col>
          <xdr:colOff>1000125</xdr:colOff>
          <xdr:row>37</xdr:row>
          <xdr:rowOff>9525</xdr:rowOff>
        </xdr:to>
        <xdr:sp macro="" textlink="">
          <xdr:nvSpPr>
            <xdr:cNvPr id="94215" name="Spinner 7" hidden="1">
              <a:extLst>
                <a:ext uri="{63B3BB69-23CF-44E3-9099-C40C66FF867C}">
                  <a14:compatExt spid="_x0000_s94215"/>
                </a:ext>
                <a:ext uri="{FF2B5EF4-FFF2-40B4-BE49-F238E27FC236}">
                  <a16:creationId xmlns:a16="http://schemas.microsoft.com/office/drawing/2014/main" id="{00000000-0008-0000-0A00-00000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981075</xdr:colOff>
          <xdr:row>38</xdr:row>
          <xdr:rowOff>238125</xdr:rowOff>
        </xdr:to>
        <xdr:sp macro="" textlink="">
          <xdr:nvSpPr>
            <xdr:cNvPr id="94216" name="Spinner 8" hidden="1">
              <a:extLst>
                <a:ext uri="{63B3BB69-23CF-44E3-9099-C40C66FF867C}">
                  <a14:compatExt spid="_x0000_s94216"/>
                </a:ext>
                <a:ext uri="{FF2B5EF4-FFF2-40B4-BE49-F238E27FC236}">
                  <a16:creationId xmlns:a16="http://schemas.microsoft.com/office/drawing/2014/main" id="{00000000-0008-0000-0A00-00000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38</xdr:row>
          <xdr:rowOff>0</xdr:rowOff>
        </xdr:from>
        <xdr:to>
          <xdr:col>6</xdr:col>
          <xdr:colOff>1000125</xdr:colOff>
          <xdr:row>38</xdr:row>
          <xdr:rowOff>247650</xdr:rowOff>
        </xdr:to>
        <xdr:sp macro="" textlink="">
          <xdr:nvSpPr>
            <xdr:cNvPr id="94217" name="Spinner 9" hidden="1">
              <a:extLst>
                <a:ext uri="{63B3BB69-23CF-44E3-9099-C40C66FF867C}">
                  <a14:compatExt spid="_x0000_s94217"/>
                </a:ext>
                <a:ext uri="{FF2B5EF4-FFF2-40B4-BE49-F238E27FC236}">
                  <a16:creationId xmlns:a16="http://schemas.microsoft.com/office/drawing/2014/main" id="{00000000-0008-0000-0A00-00000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38</xdr:row>
          <xdr:rowOff>0</xdr:rowOff>
        </xdr:from>
        <xdr:to>
          <xdr:col>4</xdr:col>
          <xdr:colOff>990600</xdr:colOff>
          <xdr:row>38</xdr:row>
          <xdr:rowOff>238125</xdr:rowOff>
        </xdr:to>
        <xdr:sp macro="" textlink="">
          <xdr:nvSpPr>
            <xdr:cNvPr id="94218" name="Spinner 10" hidden="1">
              <a:extLst>
                <a:ext uri="{63B3BB69-23CF-44E3-9099-C40C66FF867C}">
                  <a14:compatExt spid="_x0000_s94218"/>
                </a:ext>
                <a:ext uri="{FF2B5EF4-FFF2-40B4-BE49-F238E27FC236}">
                  <a16:creationId xmlns:a16="http://schemas.microsoft.com/office/drawing/2014/main" id="{00000000-0008-0000-0A00-00000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36</xdr:row>
          <xdr:rowOff>9525</xdr:rowOff>
        </xdr:from>
        <xdr:to>
          <xdr:col>6</xdr:col>
          <xdr:colOff>990600</xdr:colOff>
          <xdr:row>37</xdr:row>
          <xdr:rowOff>9525</xdr:rowOff>
        </xdr:to>
        <xdr:sp macro="" textlink="">
          <xdr:nvSpPr>
            <xdr:cNvPr id="94219" name="Spinner 11" hidden="1">
              <a:extLst>
                <a:ext uri="{63B3BB69-23CF-44E3-9099-C40C66FF867C}">
                  <a14:compatExt spid="_x0000_s94219"/>
                </a:ext>
                <a:ext uri="{FF2B5EF4-FFF2-40B4-BE49-F238E27FC236}">
                  <a16:creationId xmlns:a16="http://schemas.microsoft.com/office/drawing/2014/main" id="{00000000-0008-0000-0A00-00000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38</xdr:row>
          <xdr:rowOff>0</xdr:rowOff>
        </xdr:from>
        <xdr:to>
          <xdr:col>10</xdr:col>
          <xdr:colOff>1000125</xdr:colOff>
          <xdr:row>38</xdr:row>
          <xdr:rowOff>228600</xdr:rowOff>
        </xdr:to>
        <xdr:sp macro="" textlink="">
          <xdr:nvSpPr>
            <xdr:cNvPr id="94220" name="Spinner 12" hidden="1">
              <a:extLst>
                <a:ext uri="{63B3BB69-23CF-44E3-9099-C40C66FF867C}">
                  <a14:compatExt spid="_x0000_s94220"/>
                </a:ext>
                <a:ext uri="{FF2B5EF4-FFF2-40B4-BE49-F238E27FC236}">
                  <a16:creationId xmlns:a16="http://schemas.microsoft.com/office/drawing/2014/main" id="{00000000-0008-0000-0A00-00000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32</xdr:row>
          <xdr:rowOff>0</xdr:rowOff>
        </xdr:from>
        <xdr:to>
          <xdr:col>4</xdr:col>
          <xdr:colOff>971550</xdr:colOff>
          <xdr:row>33</xdr:row>
          <xdr:rowOff>0</xdr:rowOff>
        </xdr:to>
        <xdr:sp macro="" textlink="">
          <xdr:nvSpPr>
            <xdr:cNvPr id="94221" name="Spinner 13" hidden="1">
              <a:extLst>
                <a:ext uri="{63B3BB69-23CF-44E3-9099-C40C66FF867C}">
                  <a14:compatExt spid="_x0000_s94221"/>
                </a:ext>
                <a:ext uri="{FF2B5EF4-FFF2-40B4-BE49-F238E27FC236}">
                  <a16:creationId xmlns:a16="http://schemas.microsoft.com/office/drawing/2014/main" id="{00000000-0008-0000-0A00-00000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32</xdr:row>
          <xdr:rowOff>0</xdr:rowOff>
        </xdr:from>
        <xdr:to>
          <xdr:col>6</xdr:col>
          <xdr:colOff>990600</xdr:colOff>
          <xdr:row>32</xdr:row>
          <xdr:rowOff>266700</xdr:rowOff>
        </xdr:to>
        <xdr:sp macro="" textlink="">
          <xdr:nvSpPr>
            <xdr:cNvPr id="94222" name="Spinner 14" hidden="1">
              <a:extLst>
                <a:ext uri="{63B3BB69-23CF-44E3-9099-C40C66FF867C}">
                  <a14:compatExt spid="_x0000_s94222"/>
                </a:ext>
                <a:ext uri="{FF2B5EF4-FFF2-40B4-BE49-F238E27FC236}">
                  <a16:creationId xmlns:a16="http://schemas.microsoft.com/office/drawing/2014/main" id="{00000000-0008-0000-0A00-00000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94223" name="Spinner 15" hidden="1">
              <a:extLst>
                <a:ext uri="{63B3BB69-23CF-44E3-9099-C40C66FF867C}">
                  <a14:compatExt spid="_x0000_s94223"/>
                </a:ext>
                <a:ext uri="{FF2B5EF4-FFF2-40B4-BE49-F238E27FC236}">
                  <a16:creationId xmlns:a16="http://schemas.microsoft.com/office/drawing/2014/main" id="{00000000-0008-0000-0A00-00000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1000125</xdr:colOff>
          <xdr:row>32</xdr:row>
          <xdr:rowOff>266700</xdr:rowOff>
        </xdr:to>
        <xdr:sp macro="" textlink="">
          <xdr:nvSpPr>
            <xdr:cNvPr id="94224" name="Spinner 16" hidden="1">
              <a:extLst>
                <a:ext uri="{63B3BB69-23CF-44E3-9099-C40C66FF867C}">
                  <a14:compatExt spid="_x0000_s94224"/>
                </a:ext>
                <a:ext uri="{FF2B5EF4-FFF2-40B4-BE49-F238E27FC236}">
                  <a16:creationId xmlns:a16="http://schemas.microsoft.com/office/drawing/2014/main" id="{00000000-0008-0000-0A00-00001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94225" name="Spinner 17" hidden="1">
              <a:extLst>
                <a:ext uri="{63B3BB69-23CF-44E3-9099-C40C66FF867C}">
                  <a14:compatExt spid="_x0000_s94225"/>
                </a:ext>
                <a:ext uri="{FF2B5EF4-FFF2-40B4-BE49-F238E27FC236}">
                  <a16:creationId xmlns:a16="http://schemas.microsoft.com/office/drawing/2014/main" id="{00000000-0008-0000-0A00-00001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94226" name="Spinner 18" hidden="1">
              <a:extLst>
                <a:ext uri="{63B3BB69-23CF-44E3-9099-C40C66FF867C}">
                  <a14:compatExt spid="_x0000_s94226"/>
                </a:ext>
                <a:ext uri="{FF2B5EF4-FFF2-40B4-BE49-F238E27FC236}">
                  <a16:creationId xmlns:a16="http://schemas.microsoft.com/office/drawing/2014/main" id="{00000000-0008-0000-0A00-00001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94227" name="Spinner 19" hidden="1">
              <a:extLst>
                <a:ext uri="{63B3BB69-23CF-44E3-9099-C40C66FF867C}">
                  <a14:compatExt spid="_x0000_s94227"/>
                </a:ext>
                <a:ext uri="{FF2B5EF4-FFF2-40B4-BE49-F238E27FC236}">
                  <a16:creationId xmlns:a16="http://schemas.microsoft.com/office/drawing/2014/main" id="{00000000-0008-0000-0A00-00001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43</xdr:row>
          <xdr:rowOff>28575</xdr:rowOff>
        </xdr:from>
        <xdr:to>
          <xdr:col>4</xdr:col>
          <xdr:colOff>504825</xdr:colOff>
          <xdr:row>44</xdr:row>
          <xdr:rowOff>66675</xdr:rowOff>
        </xdr:to>
        <xdr:sp macro="" textlink="">
          <xdr:nvSpPr>
            <xdr:cNvPr id="94228" name="Check Box 20" hidden="1">
              <a:extLst>
                <a:ext uri="{63B3BB69-23CF-44E3-9099-C40C66FF867C}">
                  <a14:compatExt spid="_x0000_s94228"/>
                </a:ext>
                <a:ext uri="{FF2B5EF4-FFF2-40B4-BE49-F238E27FC236}">
                  <a16:creationId xmlns:a16="http://schemas.microsoft.com/office/drawing/2014/main" id="{00000000-0008-0000-0A00-00001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43</xdr:row>
          <xdr:rowOff>28575</xdr:rowOff>
        </xdr:from>
        <xdr:to>
          <xdr:col>6</xdr:col>
          <xdr:colOff>400050</xdr:colOff>
          <xdr:row>44</xdr:row>
          <xdr:rowOff>66675</xdr:rowOff>
        </xdr:to>
        <xdr:sp macro="" textlink="">
          <xdr:nvSpPr>
            <xdr:cNvPr id="94229" name="Check Box 21" hidden="1">
              <a:extLst>
                <a:ext uri="{63B3BB69-23CF-44E3-9099-C40C66FF867C}">
                  <a14:compatExt spid="_x0000_s94229"/>
                </a:ext>
                <a:ext uri="{FF2B5EF4-FFF2-40B4-BE49-F238E27FC236}">
                  <a16:creationId xmlns:a16="http://schemas.microsoft.com/office/drawing/2014/main" id="{00000000-0008-0000-0A00-00001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43</xdr:row>
          <xdr:rowOff>19050</xdr:rowOff>
        </xdr:from>
        <xdr:to>
          <xdr:col>8</xdr:col>
          <xdr:colOff>466725</xdr:colOff>
          <xdr:row>44</xdr:row>
          <xdr:rowOff>57150</xdr:rowOff>
        </xdr:to>
        <xdr:sp macro="" textlink="">
          <xdr:nvSpPr>
            <xdr:cNvPr id="94230" name="Check Box 22" hidden="1">
              <a:extLst>
                <a:ext uri="{63B3BB69-23CF-44E3-9099-C40C66FF867C}">
                  <a14:compatExt spid="_x0000_s94230"/>
                </a:ext>
                <a:ext uri="{FF2B5EF4-FFF2-40B4-BE49-F238E27FC236}">
                  <a16:creationId xmlns:a16="http://schemas.microsoft.com/office/drawing/2014/main" id="{00000000-0008-0000-0A00-00001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28575</xdr:rowOff>
        </xdr:from>
        <xdr:to>
          <xdr:col>10</xdr:col>
          <xdr:colOff>400050</xdr:colOff>
          <xdr:row>44</xdr:row>
          <xdr:rowOff>76200</xdr:rowOff>
        </xdr:to>
        <xdr:sp macro="" textlink="">
          <xdr:nvSpPr>
            <xdr:cNvPr id="94231" name="Check Box 23" hidden="1">
              <a:extLst>
                <a:ext uri="{63B3BB69-23CF-44E3-9099-C40C66FF867C}">
                  <a14:compatExt spid="_x0000_s94231"/>
                </a:ext>
                <a:ext uri="{FF2B5EF4-FFF2-40B4-BE49-F238E27FC236}">
                  <a16:creationId xmlns:a16="http://schemas.microsoft.com/office/drawing/2014/main" id="{00000000-0008-0000-0A00-00001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52</xdr:row>
          <xdr:rowOff>0</xdr:rowOff>
        </xdr:from>
        <xdr:to>
          <xdr:col>4</xdr:col>
          <xdr:colOff>990600</xdr:colOff>
          <xdr:row>53</xdr:row>
          <xdr:rowOff>0</xdr:rowOff>
        </xdr:to>
        <xdr:sp macro="" textlink="">
          <xdr:nvSpPr>
            <xdr:cNvPr id="94232" name="Spinner 24" hidden="1">
              <a:extLst>
                <a:ext uri="{63B3BB69-23CF-44E3-9099-C40C66FF867C}">
                  <a14:compatExt spid="_x0000_s94232"/>
                </a:ext>
                <a:ext uri="{FF2B5EF4-FFF2-40B4-BE49-F238E27FC236}">
                  <a16:creationId xmlns:a16="http://schemas.microsoft.com/office/drawing/2014/main" id="{00000000-0008-0000-0A00-00001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52</xdr:row>
          <xdr:rowOff>0</xdr:rowOff>
        </xdr:from>
        <xdr:to>
          <xdr:col>6</xdr:col>
          <xdr:colOff>990600</xdr:colOff>
          <xdr:row>53</xdr:row>
          <xdr:rowOff>0</xdr:rowOff>
        </xdr:to>
        <xdr:sp macro="" textlink="">
          <xdr:nvSpPr>
            <xdr:cNvPr id="94233" name="Spinner 25" hidden="1">
              <a:extLst>
                <a:ext uri="{63B3BB69-23CF-44E3-9099-C40C66FF867C}">
                  <a14:compatExt spid="_x0000_s94233"/>
                </a:ext>
                <a:ext uri="{FF2B5EF4-FFF2-40B4-BE49-F238E27FC236}">
                  <a16:creationId xmlns:a16="http://schemas.microsoft.com/office/drawing/2014/main" id="{00000000-0008-0000-0A00-00001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52</xdr:row>
          <xdr:rowOff>0</xdr:rowOff>
        </xdr:from>
        <xdr:to>
          <xdr:col>8</xdr:col>
          <xdr:colOff>990600</xdr:colOff>
          <xdr:row>53</xdr:row>
          <xdr:rowOff>0</xdr:rowOff>
        </xdr:to>
        <xdr:sp macro="" textlink="">
          <xdr:nvSpPr>
            <xdr:cNvPr id="94234" name="Spinner 26" hidden="1">
              <a:extLst>
                <a:ext uri="{63B3BB69-23CF-44E3-9099-C40C66FF867C}">
                  <a14:compatExt spid="_x0000_s94234"/>
                </a:ext>
                <a:ext uri="{FF2B5EF4-FFF2-40B4-BE49-F238E27FC236}">
                  <a16:creationId xmlns:a16="http://schemas.microsoft.com/office/drawing/2014/main" id="{00000000-0008-0000-0A00-00001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52</xdr:row>
          <xdr:rowOff>0</xdr:rowOff>
        </xdr:from>
        <xdr:to>
          <xdr:col>10</xdr:col>
          <xdr:colOff>990600</xdr:colOff>
          <xdr:row>53</xdr:row>
          <xdr:rowOff>0</xdr:rowOff>
        </xdr:to>
        <xdr:sp macro="" textlink="">
          <xdr:nvSpPr>
            <xdr:cNvPr id="94235" name="Spinner 27" hidden="1">
              <a:extLst>
                <a:ext uri="{63B3BB69-23CF-44E3-9099-C40C66FF867C}">
                  <a14:compatExt spid="_x0000_s94235"/>
                </a:ext>
                <a:ext uri="{FF2B5EF4-FFF2-40B4-BE49-F238E27FC236}">
                  <a16:creationId xmlns:a16="http://schemas.microsoft.com/office/drawing/2014/main" id="{00000000-0008-0000-0A00-00001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56</xdr:row>
          <xdr:rowOff>9525</xdr:rowOff>
        </xdr:from>
        <xdr:to>
          <xdr:col>5</xdr:col>
          <xdr:colOff>38100</xdr:colOff>
          <xdr:row>57</xdr:row>
          <xdr:rowOff>9525</xdr:rowOff>
        </xdr:to>
        <xdr:sp macro="" textlink="">
          <xdr:nvSpPr>
            <xdr:cNvPr id="94236" name="Spinner 28" hidden="1">
              <a:extLst>
                <a:ext uri="{63B3BB69-23CF-44E3-9099-C40C66FF867C}">
                  <a14:compatExt spid="_x0000_s94236"/>
                </a:ext>
                <a:ext uri="{FF2B5EF4-FFF2-40B4-BE49-F238E27FC236}">
                  <a16:creationId xmlns:a16="http://schemas.microsoft.com/office/drawing/2014/main" id="{00000000-0008-0000-0A00-00001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60</xdr:row>
          <xdr:rowOff>9525</xdr:rowOff>
        </xdr:from>
        <xdr:to>
          <xdr:col>5</xdr:col>
          <xdr:colOff>38100</xdr:colOff>
          <xdr:row>61</xdr:row>
          <xdr:rowOff>9525</xdr:rowOff>
        </xdr:to>
        <xdr:sp macro="" textlink="">
          <xdr:nvSpPr>
            <xdr:cNvPr id="94237" name="Spinner 29" hidden="1">
              <a:extLst>
                <a:ext uri="{63B3BB69-23CF-44E3-9099-C40C66FF867C}">
                  <a14:compatExt spid="_x0000_s94237"/>
                </a:ext>
                <a:ext uri="{FF2B5EF4-FFF2-40B4-BE49-F238E27FC236}">
                  <a16:creationId xmlns:a16="http://schemas.microsoft.com/office/drawing/2014/main" id="{00000000-0008-0000-0A00-00001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242455</xdr:colOff>
      <xdr:row>39</xdr:row>
      <xdr:rowOff>57150</xdr:rowOff>
    </xdr:from>
    <xdr:to>
      <xdr:col>11</xdr:col>
      <xdr:colOff>105218</xdr:colOff>
      <xdr:row>39</xdr:row>
      <xdr:rowOff>219075</xdr:rowOff>
    </xdr:to>
    <xdr:sp macro="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A00-000023000000}"/>
            </a:ext>
          </a:extLst>
        </xdr:cNvPr>
        <xdr:cNvSpPr/>
      </xdr:nvSpPr>
      <xdr:spPr>
        <a:xfrm>
          <a:off x="3261880" y="10534650"/>
          <a:ext cx="4739563" cy="161925"/>
        </a:xfrm>
        <a:prstGeom prst="rightArrow">
          <a:avLst>
            <a:gd name="adj1" fmla="val 28610"/>
            <a:gd name="adj2" fmla="val 5267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</xdr:colOff>
      <xdr:row>3</xdr:row>
      <xdr:rowOff>419099</xdr:rowOff>
    </xdr:from>
    <xdr:to>
      <xdr:col>2</xdr:col>
      <xdr:colOff>2019300</xdr:colOff>
      <xdr:row>4</xdr:row>
      <xdr:rowOff>257174</xdr:rowOff>
    </xdr:to>
    <xdr:sp macro="" textlink="">
      <xdr:nvSpPr>
        <xdr:cNvPr id="36" name="Snip Same Side Corner Rectangle 35">
          <a:extLst>
            <a:ext uri="{FF2B5EF4-FFF2-40B4-BE49-F238E27FC236}">
              <a16:creationId xmlns:a16="http://schemas.microsoft.com/office/drawing/2014/main" id="{00000000-0008-0000-0A00-000024000000}"/>
            </a:ext>
          </a:extLst>
        </xdr:cNvPr>
        <xdr:cNvSpPr/>
      </xdr:nvSpPr>
      <xdr:spPr>
        <a:xfrm>
          <a:off x="342900" y="1485899"/>
          <a:ext cx="20002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  <a:effectLst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1  - Base Case</a:t>
          </a:r>
          <a:endParaRPr lang="en-US" sz="11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2085975</xdr:colOff>
      <xdr:row>3</xdr:row>
      <xdr:rowOff>419099</xdr:rowOff>
    </xdr:from>
    <xdr:to>
      <xdr:col>6</xdr:col>
      <xdr:colOff>123825</xdr:colOff>
      <xdr:row>4</xdr:row>
      <xdr:rowOff>257174</xdr:rowOff>
    </xdr:to>
    <xdr:sp macro="" textlink="">
      <xdr:nvSpPr>
        <xdr:cNvPr id="37" name="Snip Same Side Corner Rectangle 36">
          <a:extLst>
            <a:ext uri="{FF2B5EF4-FFF2-40B4-BE49-F238E27FC236}">
              <a16:creationId xmlns:a16="http://schemas.microsoft.com/office/drawing/2014/main" id="{00000000-0008-0000-0A00-000025000000}"/>
            </a:ext>
          </a:extLst>
        </xdr:cNvPr>
        <xdr:cNvSpPr/>
      </xdr:nvSpPr>
      <xdr:spPr>
        <a:xfrm>
          <a:off x="2409825" y="1485899"/>
          <a:ext cx="2228850" cy="314325"/>
        </a:xfrm>
        <a:prstGeom prst="snip2Same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2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200025</xdr:colOff>
      <xdr:row>3</xdr:row>
      <xdr:rowOff>419099</xdr:rowOff>
    </xdr:from>
    <xdr:to>
      <xdr:col>9</xdr:col>
      <xdr:colOff>0</xdr:colOff>
      <xdr:row>4</xdr:row>
      <xdr:rowOff>257174</xdr:rowOff>
    </xdr:to>
    <xdr:sp macro="" textlink="">
      <xdr:nvSpPr>
        <xdr:cNvPr id="38" name="Snip Same Side Corner Rectangle 37">
          <a:extLst>
            <a:ext uri="{FF2B5EF4-FFF2-40B4-BE49-F238E27FC236}">
              <a16:creationId xmlns:a16="http://schemas.microsoft.com/office/drawing/2014/main" id="{00000000-0008-0000-0A00-000026000000}"/>
            </a:ext>
          </a:extLst>
        </xdr:cNvPr>
        <xdr:cNvSpPr/>
      </xdr:nvSpPr>
      <xdr:spPr>
        <a:xfrm>
          <a:off x="4714875" y="1485899"/>
          <a:ext cx="20002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3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15</xdr:col>
      <xdr:colOff>85725</xdr:colOff>
      <xdr:row>0</xdr:row>
      <xdr:rowOff>57150</xdr:rowOff>
    </xdr:from>
    <xdr:to>
      <xdr:col>16</xdr:col>
      <xdr:colOff>1296851</xdr:colOff>
      <xdr:row>1</xdr:row>
      <xdr:rowOff>559342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63250" y="57150"/>
          <a:ext cx="1373051" cy="57839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38100</xdr:rowOff>
    </xdr:from>
    <xdr:to>
      <xdr:col>2</xdr:col>
      <xdr:colOff>366405</xdr:colOff>
      <xdr:row>2</xdr:row>
      <xdr:rowOff>295275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752475"/>
          <a:ext cx="318780" cy="25717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6</xdr:row>
      <xdr:rowOff>50774</xdr:rowOff>
    </xdr:from>
    <xdr:to>
      <xdr:col>2</xdr:col>
      <xdr:colOff>342901</xdr:colOff>
      <xdr:row>6</xdr:row>
      <xdr:rowOff>321299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11200"/>
                  </a14:imgEffect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2108174"/>
          <a:ext cx="304800" cy="27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19051</xdr:colOff>
      <xdr:row>41</xdr:row>
      <xdr:rowOff>133704</xdr:rowOff>
    </xdr:from>
    <xdr:to>
      <xdr:col>2</xdr:col>
      <xdr:colOff>314325</xdr:colOff>
      <xdr:row>41</xdr:row>
      <xdr:rowOff>414534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A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11535129"/>
          <a:ext cx="295274" cy="2808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62</xdr:row>
          <xdr:rowOff>9525</xdr:rowOff>
        </xdr:from>
        <xdr:to>
          <xdr:col>5</xdr:col>
          <xdr:colOff>38100</xdr:colOff>
          <xdr:row>63</xdr:row>
          <xdr:rowOff>9525</xdr:rowOff>
        </xdr:to>
        <xdr:sp macro="" textlink="">
          <xdr:nvSpPr>
            <xdr:cNvPr id="94238" name="Spinner 30" hidden="1">
              <a:extLst>
                <a:ext uri="{63B3BB69-23CF-44E3-9099-C40C66FF867C}">
                  <a14:compatExt spid="_x0000_s94238"/>
                </a:ext>
                <a:ext uri="{FF2B5EF4-FFF2-40B4-BE49-F238E27FC236}">
                  <a16:creationId xmlns:a16="http://schemas.microsoft.com/office/drawing/2014/main" id="{00000000-0008-0000-0A00-00001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50</xdr:row>
          <xdr:rowOff>0</xdr:rowOff>
        </xdr:from>
        <xdr:to>
          <xdr:col>4</xdr:col>
          <xdr:colOff>990600</xdr:colOff>
          <xdr:row>51</xdr:row>
          <xdr:rowOff>0</xdr:rowOff>
        </xdr:to>
        <xdr:sp macro="" textlink="">
          <xdr:nvSpPr>
            <xdr:cNvPr id="94239" name="Spinner 31" hidden="1">
              <a:extLst>
                <a:ext uri="{63B3BB69-23CF-44E3-9099-C40C66FF867C}">
                  <a14:compatExt spid="_x0000_s94239"/>
                </a:ext>
                <a:ext uri="{FF2B5EF4-FFF2-40B4-BE49-F238E27FC236}">
                  <a16:creationId xmlns:a16="http://schemas.microsoft.com/office/drawing/2014/main" id="{00000000-0008-0000-0A00-00001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50</xdr:row>
          <xdr:rowOff>0</xdr:rowOff>
        </xdr:from>
        <xdr:to>
          <xdr:col>6</xdr:col>
          <xdr:colOff>990600</xdr:colOff>
          <xdr:row>51</xdr:row>
          <xdr:rowOff>0</xdr:rowOff>
        </xdr:to>
        <xdr:sp macro="" textlink="">
          <xdr:nvSpPr>
            <xdr:cNvPr id="94240" name="Spinner 32" hidden="1">
              <a:extLst>
                <a:ext uri="{63B3BB69-23CF-44E3-9099-C40C66FF867C}">
                  <a14:compatExt spid="_x0000_s94240"/>
                </a:ext>
                <a:ext uri="{FF2B5EF4-FFF2-40B4-BE49-F238E27FC236}">
                  <a16:creationId xmlns:a16="http://schemas.microsoft.com/office/drawing/2014/main" id="{00000000-0008-0000-0A00-00002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50</xdr:row>
          <xdr:rowOff>0</xdr:rowOff>
        </xdr:from>
        <xdr:to>
          <xdr:col>8</xdr:col>
          <xdr:colOff>990600</xdr:colOff>
          <xdr:row>51</xdr:row>
          <xdr:rowOff>0</xdr:rowOff>
        </xdr:to>
        <xdr:sp macro="" textlink="">
          <xdr:nvSpPr>
            <xdr:cNvPr id="94241" name="Spinner 33" hidden="1">
              <a:extLst>
                <a:ext uri="{63B3BB69-23CF-44E3-9099-C40C66FF867C}">
                  <a14:compatExt spid="_x0000_s94241"/>
                </a:ext>
                <a:ext uri="{FF2B5EF4-FFF2-40B4-BE49-F238E27FC236}">
                  <a16:creationId xmlns:a16="http://schemas.microsoft.com/office/drawing/2014/main" id="{00000000-0008-0000-0A00-00002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50</xdr:row>
          <xdr:rowOff>0</xdr:rowOff>
        </xdr:from>
        <xdr:to>
          <xdr:col>10</xdr:col>
          <xdr:colOff>990600</xdr:colOff>
          <xdr:row>51</xdr:row>
          <xdr:rowOff>0</xdr:rowOff>
        </xdr:to>
        <xdr:sp macro="" textlink="">
          <xdr:nvSpPr>
            <xdr:cNvPr id="94242" name="Spinner 34" hidden="1">
              <a:extLst>
                <a:ext uri="{63B3BB69-23CF-44E3-9099-C40C66FF867C}">
                  <a14:compatExt spid="_x0000_s94242"/>
                </a:ext>
                <a:ext uri="{FF2B5EF4-FFF2-40B4-BE49-F238E27FC236}">
                  <a16:creationId xmlns:a16="http://schemas.microsoft.com/office/drawing/2014/main" id="{00000000-0008-0000-0A00-00002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94243" name="Spinner 35" hidden="1">
              <a:extLst>
                <a:ext uri="{63B3BB69-23CF-44E3-9099-C40C66FF867C}">
                  <a14:compatExt spid="_x0000_s94243"/>
                </a:ext>
                <a:ext uri="{FF2B5EF4-FFF2-40B4-BE49-F238E27FC236}">
                  <a16:creationId xmlns:a16="http://schemas.microsoft.com/office/drawing/2014/main" id="{00000000-0008-0000-0A00-00002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94244" name="Spinner 36" hidden="1">
              <a:extLst>
                <a:ext uri="{63B3BB69-23CF-44E3-9099-C40C66FF867C}">
                  <a14:compatExt spid="_x0000_s94244"/>
                </a:ext>
                <a:ext uri="{FF2B5EF4-FFF2-40B4-BE49-F238E27FC236}">
                  <a16:creationId xmlns:a16="http://schemas.microsoft.com/office/drawing/2014/main" id="{00000000-0008-0000-0A00-00002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94245" name="Spinner 37" hidden="1">
              <a:extLst>
                <a:ext uri="{63B3BB69-23CF-44E3-9099-C40C66FF867C}">
                  <a14:compatExt spid="_x0000_s94245"/>
                </a:ext>
                <a:ext uri="{FF2B5EF4-FFF2-40B4-BE49-F238E27FC236}">
                  <a16:creationId xmlns:a16="http://schemas.microsoft.com/office/drawing/2014/main" id="{00000000-0008-0000-0A00-00002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94246" name="Spinner 38" hidden="1">
              <a:extLst>
                <a:ext uri="{63B3BB69-23CF-44E3-9099-C40C66FF867C}">
                  <a14:compatExt spid="_x0000_s94246"/>
                </a:ext>
                <a:ext uri="{FF2B5EF4-FFF2-40B4-BE49-F238E27FC236}">
                  <a16:creationId xmlns:a16="http://schemas.microsoft.com/office/drawing/2014/main" id="{00000000-0008-0000-0A00-00002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4247" name="Spinner 39" hidden="1">
              <a:extLst>
                <a:ext uri="{63B3BB69-23CF-44E3-9099-C40C66FF867C}">
                  <a14:compatExt spid="_x0000_s94247"/>
                </a:ext>
                <a:ext uri="{FF2B5EF4-FFF2-40B4-BE49-F238E27FC236}">
                  <a16:creationId xmlns:a16="http://schemas.microsoft.com/office/drawing/2014/main" id="{00000000-0008-0000-0A00-00002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1000125</xdr:colOff>
          <xdr:row>34</xdr:row>
          <xdr:rowOff>266700</xdr:rowOff>
        </xdr:to>
        <xdr:sp macro="" textlink="">
          <xdr:nvSpPr>
            <xdr:cNvPr id="94248" name="Spinner 40" hidden="1">
              <a:extLst>
                <a:ext uri="{63B3BB69-23CF-44E3-9099-C40C66FF867C}">
                  <a14:compatExt spid="_x0000_s94248"/>
                </a:ext>
                <a:ext uri="{FF2B5EF4-FFF2-40B4-BE49-F238E27FC236}">
                  <a16:creationId xmlns:a16="http://schemas.microsoft.com/office/drawing/2014/main" id="{00000000-0008-0000-0A00-00002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94249" name="Spinner 41" hidden="1">
              <a:extLst>
                <a:ext uri="{63B3BB69-23CF-44E3-9099-C40C66FF867C}">
                  <a14:compatExt spid="_x0000_s94249"/>
                </a:ext>
                <a:ext uri="{FF2B5EF4-FFF2-40B4-BE49-F238E27FC236}">
                  <a16:creationId xmlns:a16="http://schemas.microsoft.com/office/drawing/2014/main" id="{00000000-0008-0000-0A00-00002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4250" name="Spinner 42" hidden="1">
              <a:extLst>
                <a:ext uri="{63B3BB69-23CF-44E3-9099-C40C66FF867C}">
                  <a14:compatExt spid="_x0000_s94250"/>
                </a:ext>
                <a:ext uri="{FF2B5EF4-FFF2-40B4-BE49-F238E27FC236}">
                  <a16:creationId xmlns:a16="http://schemas.microsoft.com/office/drawing/2014/main" id="{00000000-0008-0000-0A00-00002A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94251" name="Spinner 43" hidden="1">
              <a:extLst>
                <a:ext uri="{63B3BB69-23CF-44E3-9099-C40C66FF867C}">
                  <a14:compatExt spid="_x0000_s94251"/>
                </a:ext>
                <a:ext uri="{FF2B5EF4-FFF2-40B4-BE49-F238E27FC236}">
                  <a16:creationId xmlns:a16="http://schemas.microsoft.com/office/drawing/2014/main" id="{00000000-0008-0000-0A00-00002B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36</xdr:row>
          <xdr:rowOff>0</xdr:rowOff>
        </xdr:from>
        <xdr:to>
          <xdr:col>4</xdr:col>
          <xdr:colOff>971550</xdr:colOff>
          <xdr:row>37</xdr:row>
          <xdr:rowOff>0</xdr:rowOff>
        </xdr:to>
        <xdr:sp macro="" textlink="">
          <xdr:nvSpPr>
            <xdr:cNvPr id="94252" name="Spinner 44" hidden="1">
              <a:extLst>
                <a:ext uri="{63B3BB69-23CF-44E3-9099-C40C66FF867C}">
                  <a14:compatExt spid="_x0000_s94252"/>
                </a:ext>
                <a:ext uri="{FF2B5EF4-FFF2-40B4-BE49-F238E27FC236}">
                  <a16:creationId xmlns:a16="http://schemas.microsoft.com/office/drawing/2014/main" id="{00000000-0008-0000-0A00-00002C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36</xdr:row>
          <xdr:rowOff>0</xdr:rowOff>
        </xdr:from>
        <xdr:to>
          <xdr:col>6</xdr:col>
          <xdr:colOff>990600</xdr:colOff>
          <xdr:row>36</xdr:row>
          <xdr:rowOff>266700</xdr:rowOff>
        </xdr:to>
        <xdr:sp macro="" textlink="">
          <xdr:nvSpPr>
            <xdr:cNvPr id="94253" name="Spinner 45" hidden="1">
              <a:extLst>
                <a:ext uri="{63B3BB69-23CF-44E3-9099-C40C66FF867C}">
                  <a14:compatExt spid="_x0000_s94253"/>
                </a:ext>
                <a:ext uri="{FF2B5EF4-FFF2-40B4-BE49-F238E27FC236}">
                  <a16:creationId xmlns:a16="http://schemas.microsoft.com/office/drawing/2014/main" id="{00000000-0008-0000-0A00-00002D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94254" name="Spinner 46" hidden="1">
              <a:extLst>
                <a:ext uri="{63B3BB69-23CF-44E3-9099-C40C66FF867C}">
                  <a14:compatExt spid="_x0000_s94254"/>
                </a:ext>
                <a:ext uri="{FF2B5EF4-FFF2-40B4-BE49-F238E27FC236}">
                  <a16:creationId xmlns:a16="http://schemas.microsoft.com/office/drawing/2014/main" id="{00000000-0008-0000-0A00-00002E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1000125</xdr:colOff>
          <xdr:row>36</xdr:row>
          <xdr:rowOff>266700</xdr:rowOff>
        </xdr:to>
        <xdr:sp macro="" textlink="">
          <xdr:nvSpPr>
            <xdr:cNvPr id="94255" name="Spinner 47" hidden="1">
              <a:extLst>
                <a:ext uri="{63B3BB69-23CF-44E3-9099-C40C66FF867C}">
                  <a14:compatExt spid="_x0000_s94255"/>
                </a:ext>
                <a:ext uri="{FF2B5EF4-FFF2-40B4-BE49-F238E27FC236}">
                  <a16:creationId xmlns:a16="http://schemas.microsoft.com/office/drawing/2014/main" id="{00000000-0008-0000-0A00-00002F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94256" name="Spinner 48" hidden="1">
              <a:extLst>
                <a:ext uri="{63B3BB69-23CF-44E3-9099-C40C66FF867C}">
                  <a14:compatExt spid="_x0000_s94256"/>
                </a:ext>
                <a:ext uri="{FF2B5EF4-FFF2-40B4-BE49-F238E27FC236}">
                  <a16:creationId xmlns:a16="http://schemas.microsoft.com/office/drawing/2014/main" id="{00000000-0008-0000-0A00-000030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94257" name="Spinner 49" hidden="1">
              <a:extLst>
                <a:ext uri="{63B3BB69-23CF-44E3-9099-C40C66FF867C}">
                  <a14:compatExt spid="_x0000_s94257"/>
                </a:ext>
                <a:ext uri="{FF2B5EF4-FFF2-40B4-BE49-F238E27FC236}">
                  <a16:creationId xmlns:a16="http://schemas.microsoft.com/office/drawing/2014/main" id="{00000000-0008-0000-0A00-00003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94258" name="Spinner 50" hidden="1">
              <a:extLst>
                <a:ext uri="{63B3BB69-23CF-44E3-9099-C40C66FF867C}">
                  <a14:compatExt spid="_x0000_s94258"/>
                </a:ext>
                <a:ext uri="{FF2B5EF4-FFF2-40B4-BE49-F238E27FC236}">
                  <a16:creationId xmlns:a16="http://schemas.microsoft.com/office/drawing/2014/main" id="{00000000-0008-0000-0A00-000032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38</xdr:row>
          <xdr:rowOff>0</xdr:rowOff>
        </xdr:from>
        <xdr:to>
          <xdr:col>4</xdr:col>
          <xdr:colOff>971550</xdr:colOff>
          <xdr:row>39</xdr:row>
          <xdr:rowOff>0</xdr:rowOff>
        </xdr:to>
        <xdr:sp macro="" textlink="">
          <xdr:nvSpPr>
            <xdr:cNvPr id="94259" name="Spinner 51" hidden="1">
              <a:extLst>
                <a:ext uri="{63B3BB69-23CF-44E3-9099-C40C66FF867C}">
                  <a14:compatExt spid="_x0000_s94259"/>
                </a:ext>
                <a:ext uri="{FF2B5EF4-FFF2-40B4-BE49-F238E27FC236}">
                  <a16:creationId xmlns:a16="http://schemas.microsoft.com/office/drawing/2014/main" id="{00000000-0008-0000-0A00-00003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38</xdr:row>
          <xdr:rowOff>0</xdr:rowOff>
        </xdr:from>
        <xdr:to>
          <xdr:col>6</xdr:col>
          <xdr:colOff>990600</xdr:colOff>
          <xdr:row>38</xdr:row>
          <xdr:rowOff>266700</xdr:rowOff>
        </xdr:to>
        <xdr:sp macro="" textlink="">
          <xdr:nvSpPr>
            <xdr:cNvPr id="94260" name="Spinner 52" hidden="1">
              <a:extLst>
                <a:ext uri="{63B3BB69-23CF-44E3-9099-C40C66FF867C}">
                  <a14:compatExt spid="_x0000_s94260"/>
                </a:ext>
                <a:ext uri="{FF2B5EF4-FFF2-40B4-BE49-F238E27FC236}">
                  <a16:creationId xmlns:a16="http://schemas.microsoft.com/office/drawing/2014/main" id="{00000000-0008-0000-0A00-000034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94261" name="Spinner 53" hidden="1">
              <a:extLst>
                <a:ext uri="{63B3BB69-23CF-44E3-9099-C40C66FF867C}">
                  <a14:compatExt spid="_x0000_s94261"/>
                </a:ext>
                <a:ext uri="{FF2B5EF4-FFF2-40B4-BE49-F238E27FC236}">
                  <a16:creationId xmlns:a16="http://schemas.microsoft.com/office/drawing/2014/main" id="{00000000-0008-0000-0A00-000035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1000125</xdr:colOff>
          <xdr:row>38</xdr:row>
          <xdr:rowOff>266700</xdr:rowOff>
        </xdr:to>
        <xdr:sp macro="" textlink="">
          <xdr:nvSpPr>
            <xdr:cNvPr id="94262" name="Spinner 54" hidden="1">
              <a:extLst>
                <a:ext uri="{63B3BB69-23CF-44E3-9099-C40C66FF867C}">
                  <a14:compatExt spid="_x0000_s94262"/>
                </a:ext>
                <a:ext uri="{FF2B5EF4-FFF2-40B4-BE49-F238E27FC236}">
                  <a16:creationId xmlns:a16="http://schemas.microsoft.com/office/drawing/2014/main" id="{00000000-0008-0000-0A00-000036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94263" name="Spinner 55" hidden="1">
              <a:extLst>
                <a:ext uri="{63B3BB69-23CF-44E3-9099-C40C66FF867C}">
                  <a14:compatExt spid="_x0000_s94263"/>
                </a:ext>
                <a:ext uri="{FF2B5EF4-FFF2-40B4-BE49-F238E27FC236}">
                  <a16:creationId xmlns:a16="http://schemas.microsoft.com/office/drawing/2014/main" id="{00000000-0008-0000-0A00-000037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94264" name="Spinner 56" hidden="1">
              <a:extLst>
                <a:ext uri="{63B3BB69-23CF-44E3-9099-C40C66FF867C}">
                  <a14:compatExt spid="_x0000_s94264"/>
                </a:ext>
                <a:ext uri="{FF2B5EF4-FFF2-40B4-BE49-F238E27FC236}">
                  <a16:creationId xmlns:a16="http://schemas.microsoft.com/office/drawing/2014/main" id="{00000000-0008-0000-0A00-000038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94265" name="Spinner 57" hidden="1">
              <a:extLst>
                <a:ext uri="{63B3BB69-23CF-44E3-9099-C40C66FF867C}">
                  <a14:compatExt spid="_x0000_s94265"/>
                </a:ext>
                <a:ext uri="{FF2B5EF4-FFF2-40B4-BE49-F238E27FC236}">
                  <a16:creationId xmlns:a16="http://schemas.microsoft.com/office/drawing/2014/main" id="{00000000-0008-0000-0A00-000039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76200</xdr:colOff>
      <xdr:row>64</xdr:row>
      <xdr:rowOff>66675</xdr:rowOff>
    </xdr:from>
    <xdr:to>
      <xdr:col>15</xdr:col>
      <xdr:colOff>66675</xdr:colOff>
      <xdr:row>79</xdr:row>
      <xdr:rowOff>123825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A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42</xdr:row>
      <xdr:rowOff>9525</xdr:rowOff>
    </xdr:from>
    <xdr:to>
      <xdr:col>15</xdr:col>
      <xdr:colOff>85725</xdr:colOff>
      <xdr:row>53</xdr:row>
      <xdr:rowOff>76200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A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56</xdr:row>
          <xdr:rowOff>9525</xdr:rowOff>
        </xdr:from>
        <xdr:to>
          <xdr:col>5</xdr:col>
          <xdr:colOff>38100</xdr:colOff>
          <xdr:row>57</xdr:row>
          <xdr:rowOff>9525</xdr:rowOff>
        </xdr:to>
        <xdr:sp macro="" textlink="">
          <xdr:nvSpPr>
            <xdr:cNvPr id="94289" name="Spinner 81" hidden="1">
              <a:extLst>
                <a:ext uri="{63B3BB69-23CF-44E3-9099-C40C66FF867C}">
                  <a14:compatExt spid="_x0000_s94289"/>
                </a:ext>
                <a:ext uri="{FF2B5EF4-FFF2-40B4-BE49-F238E27FC236}">
                  <a16:creationId xmlns:a16="http://schemas.microsoft.com/office/drawing/2014/main" id="{00000000-0008-0000-0A00-000051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1344083</xdr:colOff>
      <xdr:row>4</xdr:row>
      <xdr:rowOff>264584</xdr:rowOff>
    </xdr:from>
    <xdr:to>
      <xdr:col>23</xdr:col>
      <xdr:colOff>235558</xdr:colOff>
      <xdr:row>12</xdr:row>
      <xdr:rowOff>245275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641108" y="1807634"/>
          <a:ext cx="3596825" cy="2076191"/>
        </a:xfrm>
        <a:prstGeom prst="rect">
          <a:avLst/>
        </a:prstGeom>
      </xdr:spPr>
    </xdr:pic>
    <xdr:clientData/>
  </xdr:twoCellAnchor>
  <xdr:twoCellAnchor editAs="oneCell">
    <xdr:from>
      <xdr:col>25</xdr:col>
      <xdr:colOff>645583</xdr:colOff>
      <xdr:row>5</xdr:row>
      <xdr:rowOff>0</xdr:rowOff>
    </xdr:from>
    <xdr:to>
      <xdr:col>31</xdr:col>
      <xdr:colOff>781464</xdr:colOff>
      <xdr:row>18</xdr:row>
      <xdr:rowOff>137166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324358" y="1819275"/>
          <a:ext cx="5165081" cy="3356616"/>
        </a:xfrm>
        <a:prstGeom prst="rect">
          <a:avLst/>
        </a:prstGeom>
      </xdr:spPr>
    </xdr:pic>
    <xdr:clientData/>
  </xdr:twoCellAnchor>
  <xdr:twoCellAnchor editAs="oneCell">
    <xdr:from>
      <xdr:col>20</xdr:col>
      <xdr:colOff>304799</xdr:colOff>
      <xdr:row>39</xdr:row>
      <xdr:rowOff>504825</xdr:rowOff>
    </xdr:from>
    <xdr:to>
      <xdr:col>29</xdr:col>
      <xdr:colOff>675288</xdr:colOff>
      <xdr:row>58</xdr:row>
      <xdr:rowOff>188767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792574" y="10982325"/>
          <a:ext cx="7914289" cy="5417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99329" name="Spinner 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B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34</xdr:row>
          <xdr:rowOff>0</xdr:rowOff>
        </xdr:from>
        <xdr:to>
          <xdr:col>10</xdr:col>
          <xdr:colOff>990600</xdr:colOff>
          <xdr:row>35</xdr:row>
          <xdr:rowOff>0</xdr:rowOff>
        </xdr:to>
        <xdr:sp macro="" textlink="">
          <xdr:nvSpPr>
            <xdr:cNvPr id="99330" name="Spinner 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B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99331" name="Spinner 3" hidden="1">
              <a:extLst>
                <a:ext uri="{63B3BB69-23CF-44E3-9099-C40C66FF867C}">
                  <a14:compatExt spid="_x0000_s99331"/>
                </a:ext>
                <a:ext uri="{FF2B5EF4-FFF2-40B4-BE49-F238E27FC236}">
                  <a16:creationId xmlns:a16="http://schemas.microsoft.com/office/drawing/2014/main" id="{00000000-0008-0000-0B00-00000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9332" name="Spinner 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B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9526</xdr:colOff>
      <xdr:row>6</xdr:row>
      <xdr:rowOff>371475</xdr:rowOff>
    </xdr:from>
    <xdr:to>
      <xdr:col>12</xdr:col>
      <xdr:colOff>263526</xdr:colOff>
      <xdr:row>7</xdr:row>
      <xdr:rowOff>38100</xdr:rowOff>
    </xdr:to>
    <xdr:sp macro="" textlink="">
      <xdr:nvSpPr>
        <xdr:cNvPr id="9" name="Right Arrow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333376" y="2428875"/>
          <a:ext cx="7988300" cy="123825"/>
        </a:xfrm>
        <a:prstGeom prst="rightArrow">
          <a:avLst>
            <a:gd name="adj1" fmla="val 26047"/>
            <a:gd name="adj2" fmla="val 6796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36</xdr:row>
          <xdr:rowOff>19050</xdr:rowOff>
        </xdr:from>
        <xdr:to>
          <xdr:col>4</xdr:col>
          <xdr:colOff>981075</xdr:colOff>
          <xdr:row>37</xdr:row>
          <xdr:rowOff>19050</xdr:rowOff>
        </xdr:to>
        <xdr:sp macro="" textlink="">
          <xdr:nvSpPr>
            <xdr:cNvPr id="99333" name="Spinner 5" hidden="1">
              <a:extLst>
                <a:ext uri="{63B3BB69-23CF-44E3-9099-C40C66FF867C}">
                  <a14:compatExt spid="_x0000_s99333"/>
                </a:ext>
                <a:ext uri="{FF2B5EF4-FFF2-40B4-BE49-F238E27FC236}">
                  <a16:creationId xmlns:a16="http://schemas.microsoft.com/office/drawing/2014/main" id="{00000000-0008-0000-0B00-00000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9525</xdr:rowOff>
        </xdr:from>
        <xdr:to>
          <xdr:col>8</xdr:col>
          <xdr:colOff>990600</xdr:colOff>
          <xdr:row>37</xdr:row>
          <xdr:rowOff>9525</xdr:rowOff>
        </xdr:to>
        <xdr:sp macro="" textlink="">
          <xdr:nvSpPr>
            <xdr:cNvPr id="99334" name="Spinner 6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B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36</xdr:row>
          <xdr:rowOff>9525</xdr:rowOff>
        </xdr:from>
        <xdr:to>
          <xdr:col>10</xdr:col>
          <xdr:colOff>1000125</xdr:colOff>
          <xdr:row>37</xdr:row>
          <xdr:rowOff>9525</xdr:rowOff>
        </xdr:to>
        <xdr:sp macro="" textlink="">
          <xdr:nvSpPr>
            <xdr:cNvPr id="99335" name="Spinner 7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B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981075</xdr:colOff>
          <xdr:row>38</xdr:row>
          <xdr:rowOff>238125</xdr:rowOff>
        </xdr:to>
        <xdr:sp macro="" textlink="">
          <xdr:nvSpPr>
            <xdr:cNvPr id="99336" name="Spinner 8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B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38</xdr:row>
          <xdr:rowOff>0</xdr:rowOff>
        </xdr:from>
        <xdr:to>
          <xdr:col>6</xdr:col>
          <xdr:colOff>1000125</xdr:colOff>
          <xdr:row>38</xdr:row>
          <xdr:rowOff>247650</xdr:rowOff>
        </xdr:to>
        <xdr:sp macro="" textlink="">
          <xdr:nvSpPr>
            <xdr:cNvPr id="99337" name="Spinner 9" hidden="1">
              <a:extLst>
                <a:ext uri="{63B3BB69-23CF-44E3-9099-C40C66FF867C}">
                  <a14:compatExt spid="_x0000_s99337"/>
                </a:ext>
                <a:ext uri="{FF2B5EF4-FFF2-40B4-BE49-F238E27FC236}">
                  <a16:creationId xmlns:a16="http://schemas.microsoft.com/office/drawing/2014/main" id="{00000000-0008-0000-0B00-00000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38</xdr:row>
          <xdr:rowOff>0</xdr:rowOff>
        </xdr:from>
        <xdr:to>
          <xdr:col>4</xdr:col>
          <xdr:colOff>990600</xdr:colOff>
          <xdr:row>38</xdr:row>
          <xdr:rowOff>238125</xdr:rowOff>
        </xdr:to>
        <xdr:sp macro="" textlink="">
          <xdr:nvSpPr>
            <xdr:cNvPr id="99338" name="Spinner 10" hidden="1">
              <a:extLst>
                <a:ext uri="{63B3BB69-23CF-44E3-9099-C40C66FF867C}">
                  <a14:compatExt spid="_x0000_s99338"/>
                </a:ext>
                <a:ext uri="{FF2B5EF4-FFF2-40B4-BE49-F238E27FC236}">
                  <a16:creationId xmlns:a16="http://schemas.microsoft.com/office/drawing/2014/main" id="{00000000-0008-0000-0B00-00000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36</xdr:row>
          <xdr:rowOff>9525</xdr:rowOff>
        </xdr:from>
        <xdr:to>
          <xdr:col>6</xdr:col>
          <xdr:colOff>990600</xdr:colOff>
          <xdr:row>37</xdr:row>
          <xdr:rowOff>9525</xdr:rowOff>
        </xdr:to>
        <xdr:sp macro="" textlink="">
          <xdr:nvSpPr>
            <xdr:cNvPr id="99339" name="Spinner 11" hidden="1">
              <a:extLst>
                <a:ext uri="{63B3BB69-23CF-44E3-9099-C40C66FF867C}">
                  <a14:compatExt spid="_x0000_s99339"/>
                </a:ext>
                <a:ext uri="{FF2B5EF4-FFF2-40B4-BE49-F238E27FC236}">
                  <a16:creationId xmlns:a16="http://schemas.microsoft.com/office/drawing/2014/main" id="{00000000-0008-0000-0B00-00000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800100</xdr:colOff>
          <xdr:row>38</xdr:row>
          <xdr:rowOff>0</xdr:rowOff>
        </xdr:from>
        <xdr:to>
          <xdr:col>10</xdr:col>
          <xdr:colOff>1000125</xdr:colOff>
          <xdr:row>38</xdr:row>
          <xdr:rowOff>228600</xdr:rowOff>
        </xdr:to>
        <xdr:sp macro="" textlink="">
          <xdr:nvSpPr>
            <xdr:cNvPr id="99340" name="Spinner 12" hidden="1">
              <a:extLst>
                <a:ext uri="{63B3BB69-23CF-44E3-9099-C40C66FF867C}">
                  <a14:compatExt spid="_x0000_s99340"/>
                </a:ext>
                <a:ext uri="{FF2B5EF4-FFF2-40B4-BE49-F238E27FC236}">
                  <a16:creationId xmlns:a16="http://schemas.microsoft.com/office/drawing/2014/main" id="{00000000-0008-0000-0B00-00000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32</xdr:row>
          <xdr:rowOff>0</xdr:rowOff>
        </xdr:from>
        <xdr:to>
          <xdr:col>4</xdr:col>
          <xdr:colOff>971550</xdr:colOff>
          <xdr:row>33</xdr:row>
          <xdr:rowOff>0</xdr:rowOff>
        </xdr:to>
        <xdr:sp macro="" textlink="">
          <xdr:nvSpPr>
            <xdr:cNvPr id="99341" name="Spinner 13" hidden="1">
              <a:extLst>
                <a:ext uri="{63B3BB69-23CF-44E3-9099-C40C66FF867C}">
                  <a14:compatExt spid="_x0000_s99341"/>
                </a:ext>
                <a:ext uri="{FF2B5EF4-FFF2-40B4-BE49-F238E27FC236}">
                  <a16:creationId xmlns:a16="http://schemas.microsoft.com/office/drawing/2014/main" id="{00000000-0008-0000-0B00-00000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32</xdr:row>
          <xdr:rowOff>0</xdr:rowOff>
        </xdr:from>
        <xdr:to>
          <xdr:col>6</xdr:col>
          <xdr:colOff>990600</xdr:colOff>
          <xdr:row>32</xdr:row>
          <xdr:rowOff>266700</xdr:rowOff>
        </xdr:to>
        <xdr:sp macro="" textlink="">
          <xdr:nvSpPr>
            <xdr:cNvPr id="99342" name="Spinner 14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B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99343" name="Spinner 15" hidden="1">
              <a:extLst>
                <a:ext uri="{63B3BB69-23CF-44E3-9099-C40C66FF867C}">
                  <a14:compatExt spid="_x0000_s99343"/>
                </a:ext>
                <a:ext uri="{FF2B5EF4-FFF2-40B4-BE49-F238E27FC236}">
                  <a16:creationId xmlns:a16="http://schemas.microsoft.com/office/drawing/2014/main" id="{00000000-0008-0000-0B00-00000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32</xdr:row>
          <xdr:rowOff>0</xdr:rowOff>
        </xdr:from>
        <xdr:to>
          <xdr:col>8</xdr:col>
          <xdr:colOff>1000125</xdr:colOff>
          <xdr:row>32</xdr:row>
          <xdr:rowOff>266700</xdr:rowOff>
        </xdr:to>
        <xdr:sp macro="" textlink="">
          <xdr:nvSpPr>
            <xdr:cNvPr id="99344" name="Spinner 16" hidden="1">
              <a:extLst>
                <a:ext uri="{63B3BB69-23CF-44E3-9099-C40C66FF867C}">
                  <a14:compatExt spid="_x0000_s99344"/>
                </a:ext>
                <a:ext uri="{FF2B5EF4-FFF2-40B4-BE49-F238E27FC236}">
                  <a16:creationId xmlns:a16="http://schemas.microsoft.com/office/drawing/2014/main" id="{00000000-0008-0000-0B00-00001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99345" name="Spinner 17" hidden="1">
              <a:extLst>
                <a:ext uri="{63B3BB69-23CF-44E3-9099-C40C66FF867C}">
                  <a14:compatExt spid="_x0000_s99345"/>
                </a:ext>
                <a:ext uri="{FF2B5EF4-FFF2-40B4-BE49-F238E27FC236}">
                  <a16:creationId xmlns:a16="http://schemas.microsoft.com/office/drawing/2014/main" id="{00000000-0008-0000-0B00-00001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99346" name="Spinner 18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B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58</xdr:row>
          <xdr:rowOff>9525</xdr:rowOff>
        </xdr:from>
        <xdr:to>
          <xdr:col>5</xdr:col>
          <xdr:colOff>38100</xdr:colOff>
          <xdr:row>59</xdr:row>
          <xdr:rowOff>9525</xdr:rowOff>
        </xdr:to>
        <xdr:sp macro="" textlink="">
          <xdr:nvSpPr>
            <xdr:cNvPr id="99347" name="Spinner 19" hidden="1">
              <a:extLst>
                <a:ext uri="{63B3BB69-23CF-44E3-9099-C40C66FF867C}">
                  <a14:compatExt spid="_x0000_s99347"/>
                </a:ext>
                <a:ext uri="{FF2B5EF4-FFF2-40B4-BE49-F238E27FC236}">
                  <a16:creationId xmlns:a16="http://schemas.microsoft.com/office/drawing/2014/main" id="{00000000-0008-0000-0B00-00001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43</xdr:row>
          <xdr:rowOff>28575</xdr:rowOff>
        </xdr:from>
        <xdr:to>
          <xdr:col>4</xdr:col>
          <xdr:colOff>504825</xdr:colOff>
          <xdr:row>44</xdr:row>
          <xdr:rowOff>66675</xdr:rowOff>
        </xdr:to>
        <xdr:sp macro="" textlink="">
          <xdr:nvSpPr>
            <xdr:cNvPr id="99348" name="Check Box 20" hidden="1">
              <a:extLst>
                <a:ext uri="{63B3BB69-23CF-44E3-9099-C40C66FF867C}">
                  <a14:compatExt spid="_x0000_s99348"/>
                </a:ext>
                <a:ext uri="{FF2B5EF4-FFF2-40B4-BE49-F238E27FC236}">
                  <a16:creationId xmlns:a16="http://schemas.microsoft.com/office/drawing/2014/main" id="{00000000-0008-0000-0B00-00001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43</xdr:row>
          <xdr:rowOff>28575</xdr:rowOff>
        </xdr:from>
        <xdr:to>
          <xdr:col>6</xdr:col>
          <xdr:colOff>400050</xdr:colOff>
          <xdr:row>44</xdr:row>
          <xdr:rowOff>66675</xdr:rowOff>
        </xdr:to>
        <xdr:sp macro="" textlink="">
          <xdr:nvSpPr>
            <xdr:cNvPr id="99349" name="Check Box 21" hidden="1">
              <a:extLst>
                <a:ext uri="{63B3BB69-23CF-44E3-9099-C40C66FF867C}">
                  <a14:compatExt spid="_x0000_s99349"/>
                </a:ext>
                <a:ext uri="{FF2B5EF4-FFF2-40B4-BE49-F238E27FC236}">
                  <a16:creationId xmlns:a16="http://schemas.microsoft.com/office/drawing/2014/main" id="{00000000-0008-0000-0B00-00001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43</xdr:row>
          <xdr:rowOff>19050</xdr:rowOff>
        </xdr:from>
        <xdr:to>
          <xdr:col>8</xdr:col>
          <xdr:colOff>466725</xdr:colOff>
          <xdr:row>44</xdr:row>
          <xdr:rowOff>57150</xdr:rowOff>
        </xdr:to>
        <xdr:sp macro="" textlink="">
          <xdr:nvSpPr>
            <xdr:cNvPr id="99350" name="Check Box 22" hidden="1">
              <a:extLst>
                <a:ext uri="{63B3BB69-23CF-44E3-9099-C40C66FF867C}">
                  <a14:compatExt spid="_x0000_s99350"/>
                </a:ext>
                <a:ext uri="{FF2B5EF4-FFF2-40B4-BE49-F238E27FC236}">
                  <a16:creationId xmlns:a16="http://schemas.microsoft.com/office/drawing/2014/main" id="{00000000-0008-0000-0B00-00001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43</xdr:row>
          <xdr:rowOff>28575</xdr:rowOff>
        </xdr:from>
        <xdr:to>
          <xdr:col>10</xdr:col>
          <xdr:colOff>400050</xdr:colOff>
          <xdr:row>44</xdr:row>
          <xdr:rowOff>76200</xdr:rowOff>
        </xdr:to>
        <xdr:sp macro="" textlink="">
          <xdr:nvSpPr>
            <xdr:cNvPr id="99351" name="Check Box 23" hidden="1">
              <a:extLst>
                <a:ext uri="{63B3BB69-23CF-44E3-9099-C40C66FF867C}">
                  <a14:compatExt spid="_x0000_s99351"/>
                </a:ext>
                <a:ext uri="{FF2B5EF4-FFF2-40B4-BE49-F238E27FC236}">
                  <a16:creationId xmlns:a16="http://schemas.microsoft.com/office/drawing/2014/main" id="{00000000-0008-0000-0B00-00001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Box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52</xdr:row>
          <xdr:rowOff>0</xdr:rowOff>
        </xdr:from>
        <xdr:to>
          <xdr:col>4</xdr:col>
          <xdr:colOff>990600</xdr:colOff>
          <xdr:row>53</xdr:row>
          <xdr:rowOff>0</xdr:rowOff>
        </xdr:to>
        <xdr:sp macro="" textlink="">
          <xdr:nvSpPr>
            <xdr:cNvPr id="99352" name="Spinner 24" hidden="1">
              <a:extLst>
                <a:ext uri="{63B3BB69-23CF-44E3-9099-C40C66FF867C}">
                  <a14:compatExt spid="_x0000_s99352"/>
                </a:ext>
                <a:ext uri="{FF2B5EF4-FFF2-40B4-BE49-F238E27FC236}">
                  <a16:creationId xmlns:a16="http://schemas.microsoft.com/office/drawing/2014/main" id="{00000000-0008-0000-0B00-00001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52</xdr:row>
          <xdr:rowOff>0</xdr:rowOff>
        </xdr:from>
        <xdr:to>
          <xdr:col>6</xdr:col>
          <xdr:colOff>990600</xdr:colOff>
          <xdr:row>53</xdr:row>
          <xdr:rowOff>0</xdr:rowOff>
        </xdr:to>
        <xdr:sp macro="" textlink="">
          <xdr:nvSpPr>
            <xdr:cNvPr id="99353" name="Spinner 25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B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52</xdr:row>
          <xdr:rowOff>0</xdr:rowOff>
        </xdr:from>
        <xdr:to>
          <xdr:col>8</xdr:col>
          <xdr:colOff>990600</xdr:colOff>
          <xdr:row>53</xdr:row>
          <xdr:rowOff>0</xdr:rowOff>
        </xdr:to>
        <xdr:sp macro="" textlink="">
          <xdr:nvSpPr>
            <xdr:cNvPr id="99354" name="Spinner 26" hidden="1">
              <a:extLst>
                <a:ext uri="{63B3BB69-23CF-44E3-9099-C40C66FF867C}">
                  <a14:compatExt spid="_x0000_s99354"/>
                </a:ext>
                <a:ext uri="{FF2B5EF4-FFF2-40B4-BE49-F238E27FC236}">
                  <a16:creationId xmlns:a16="http://schemas.microsoft.com/office/drawing/2014/main" id="{00000000-0008-0000-0B00-00001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52</xdr:row>
          <xdr:rowOff>0</xdr:rowOff>
        </xdr:from>
        <xdr:to>
          <xdr:col>10</xdr:col>
          <xdr:colOff>990600</xdr:colOff>
          <xdr:row>53</xdr:row>
          <xdr:rowOff>0</xdr:rowOff>
        </xdr:to>
        <xdr:sp macro="" textlink="">
          <xdr:nvSpPr>
            <xdr:cNvPr id="99355" name="Spinner 27" hidden="1">
              <a:extLst>
                <a:ext uri="{63B3BB69-23CF-44E3-9099-C40C66FF867C}">
                  <a14:compatExt spid="_x0000_s99355"/>
                </a:ext>
                <a:ext uri="{FF2B5EF4-FFF2-40B4-BE49-F238E27FC236}">
                  <a16:creationId xmlns:a16="http://schemas.microsoft.com/office/drawing/2014/main" id="{00000000-0008-0000-0B00-00001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56</xdr:row>
          <xdr:rowOff>9525</xdr:rowOff>
        </xdr:from>
        <xdr:to>
          <xdr:col>5</xdr:col>
          <xdr:colOff>38100</xdr:colOff>
          <xdr:row>57</xdr:row>
          <xdr:rowOff>9525</xdr:rowOff>
        </xdr:to>
        <xdr:sp macro="" textlink="">
          <xdr:nvSpPr>
            <xdr:cNvPr id="99356" name="Spinner 28" hidden="1">
              <a:extLst>
                <a:ext uri="{63B3BB69-23CF-44E3-9099-C40C66FF867C}">
                  <a14:compatExt spid="_x0000_s99356"/>
                </a:ext>
                <a:ext uri="{FF2B5EF4-FFF2-40B4-BE49-F238E27FC236}">
                  <a16:creationId xmlns:a16="http://schemas.microsoft.com/office/drawing/2014/main" id="{00000000-0008-0000-0B00-00001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60</xdr:row>
          <xdr:rowOff>9525</xdr:rowOff>
        </xdr:from>
        <xdr:to>
          <xdr:col>5</xdr:col>
          <xdr:colOff>38100</xdr:colOff>
          <xdr:row>61</xdr:row>
          <xdr:rowOff>9525</xdr:rowOff>
        </xdr:to>
        <xdr:sp macro="" textlink="">
          <xdr:nvSpPr>
            <xdr:cNvPr id="99357" name="Spinner 29" hidden="1">
              <a:extLst>
                <a:ext uri="{63B3BB69-23CF-44E3-9099-C40C66FF867C}">
                  <a14:compatExt spid="_x0000_s99357"/>
                </a:ext>
                <a:ext uri="{FF2B5EF4-FFF2-40B4-BE49-F238E27FC236}">
                  <a16:creationId xmlns:a16="http://schemas.microsoft.com/office/drawing/2014/main" id="{00000000-0008-0000-0B00-00001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242455</xdr:colOff>
      <xdr:row>39</xdr:row>
      <xdr:rowOff>57150</xdr:rowOff>
    </xdr:from>
    <xdr:to>
      <xdr:col>11</xdr:col>
      <xdr:colOff>105218</xdr:colOff>
      <xdr:row>39</xdr:row>
      <xdr:rowOff>219075</xdr:rowOff>
    </xdr:to>
    <xdr:sp macro="" textlink="">
      <xdr:nvSpPr>
        <xdr:cNvPr id="35" name="Right Arrow 34">
          <a:extLst>
            <a:ext uri="{FF2B5EF4-FFF2-40B4-BE49-F238E27FC236}">
              <a16:creationId xmlns:a16="http://schemas.microsoft.com/office/drawing/2014/main" id="{00000000-0008-0000-0B00-000023000000}"/>
            </a:ext>
          </a:extLst>
        </xdr:cNvPr>
        <xdr:cNvSpPr/>
      </xdr:nvSpPr>
      <xdr:spPr>
        <a:xfrm>
          <a:off x="3261880" y="10534650"/>
          <a:ext cx="4739563" cy="161925"/>
        </a:xfrm>
        <a:prstGeom prst="rightArrow">
          <a:avLst>
            <a:gd name="adj1" fmla="val 28610"/>
            <a:gd name="adj2" fmla="val 52674"/>
          </a:avLst>
        </a:prstGeom>
        <a:solidFill>
          <a:schemeClr val="accent2">
            <a:alpha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19050</xdr:colOff>
      <xdr:row>3</xdr:row>
      <xdr:rowOff>419099</xdr:rowOff>
    </xdr:from>
    <xdr:to>
      <xdr:col>2</xdr:col>
      <xdr:colOff>2019300</xdr:colOff>
      <xdr:row>4</xdr:row>
      <xdr:rowOff>257174</xdr:rowOff>
    </xdr:to>
    <xdr:sp macro="" textlink="">
      <xdr:nvSpPr>
        <xdr:cNvPr id="36" name="Snip Same Side Corner Rectangle 35">
          <a:extLst>
            <a:ext uri="{FF2B5EF4-FFF2-40B4-BE49-F238E27FC236}">
              <a16:creationId xmlns:a16="http://schemas.microsoft.com/office/drawing/2014/main" id="{00000000-0008-0000-0B00-000024000000}"/>
            </a:ext>
          </a:extLst>
        </xdr:cNvPr>
        <xdr:cNvSpPr/>
      </xdr:nvSpPr>
      <xdr:spPr>
        <a:xfrm>
          <a:off x="342900" y="1485899"/>
          <a:ext cx="20002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noFill/>
        </a:ln>
        <a:effectLst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1 -Base Case</a:t>
          </a:r>
          <a:endParaRPr lang="en-US" sz="11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2</xdr:col>
      <xdr:colOff>2085975</xdr:colOff>
      <xdr:row>3</xdr:row>
      <xdr:rowOff>419099</xdr:rowOff>
    </xdr:from>
    <xdr:to>
      <xdr:col>6</xdr:col>
      <xdr:colOff>123825</xdr:colOff>
      <xdr:row>4</xdr:row>
      <xdr:rowOff>257174</xdr:rowOff>
    </xdr:to>
    <xdr:sp macro="" textlink="">
      <xdr:nvSpPr>
        <xdr:cNvPr id="37" name="Snip Same Side Corner Rectangle 36">
          <a:extLst>
            <a:ext uri="{FF2B5EF4-FFF2-40B4-BE49-F238E27FC236}">
              <a16:creationId xmlns:a16="http://schemas.microsoft.com/office/drawing/2014/main" id="{00000000-0008-0000-0B00-000025000000}"/>
            </a:ext>
          </a:extLst>
        </xdr:cNvPr>
        <xdr:cNvSpPr/>
      </xdr:nvSpPr>
      <xdr:spPr>
        <a:xfrm>
          <a:off x="2409825" y="1485899"/>
          <a:ext cx="2228850" cy="314325"/>
        </a:xfrm>
        <a:prstGeom prst="snip2Same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2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200025</xdr:colOff>
      <xdr:row>3</xdr:row>
      <xdr:rowOff>419099</xdr:rowOff>
    </xdr:from>
    <xdr:to>
      <xdr:col>9</xdr:col>
      <xdr:colOff>0</xdr:colOff>
      <xdr:row>4</xdr:row>
      <xdr:rowOff>257174</xdr:rowOff>
    </xdr:to>
    <xdr:sp macro="" textlink="">
      <xdr:nvSpPr>
        <xdr:cNvPr id="38" name="Snip Same Side Corner Rectangle 37">
          <a:extLst>
            <a:ext uri="{FF2B5EF4-FFF2-40B4-BE49-F238E27FC236}">
              <a16:creationId xmlns:a16="http://schemas.microsoft.com/office/drawing/2014/main" id="{00000000-0008-0000-0B00-000026000000}"/>
            </a:ext>
          </a:extLst>
        </xdr:cNvPr>
        <xdr:cNvSpPr/>
      </xdr:nvSpPr>
      <xdr:spPr>
        <a:xfrm>
          <a:off x="4714875" y="1485899"/>
          <a:ext cx="2000250" cy="314325"/>
        </a:xfrm>
        <a:prstGeom prst="snip2SameRect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Scenari</a:t>
          </a:r>
          <a:r>
            <a:rPr lang="en-US" sz="1100" baseline="0"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o 3</a:t>
          </a:r>
          <a:endParaRPr lang="en-US" sz="1100">
            <a:solidFill>
              <a:schemeClr val="bg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 editAs="oneCell">
    <xdr:from>
      <xdr:col>15</xdr:col>
      <xdr:colOff>85725</xdr:colOff>
      <xdr:row>0</xdr:row>
      <xdr:rowOff>57150</xdr:rowOff>
    </xdr:from>
    <xdr:to>
      <xdr:col>16</xdr:col>
      <xdr:colOff>1296851</xdr:colOff>
      <xdr:row>1</xdr:row>
      <xdr:rowOff>559342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63250" y="57150"/>
          <a:ext cx="1373051" cy="578392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38100</xdr:rowOff>
    </xdr:from>
    <xdr:to>
      <xdr:col>2</xdr:col>
      <xdr:colOff>366405</xdr:colOff>
      <xdr:row>2</xdr:row>
      <xdr:rowOff>295275</xdr:rowOff>
    </xdr:to>
    <xdr:pic>
      <xdr:nvPicPr>
        <xdr:cNvPr id="40" name="Picture 39">
          <a:extLst>
            <a:ext uri="{FF2B5EF4-FFF2-40B4-BE49-F238E27FC236}">
              <a16:creationId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1475" y="752475"/>
          <a:ext cx="318780" cy="257175"/>
        </a:xfrm>
        <a:prstGeom prst="rect">
          <a:avLst/>
        </a:prstGeom>
      </xdr:spPr>
    </xdr:pic>
    <xdr:clientData/>
  </xdr:twoCellAnchor>
  <xdr:twoCellAnchor editAs="oneCell">
    <xdr:from>
      <xdr:col>2</xdr:col>
      <xdr:colOff>38101</xdr:colOff>
      <xdr:row>6</xdr:row>
      <xdr:rowOff>50774</xdr:rowOff>
    </xdr:from>
    <xdr:to>
      <xdr:col>2</xdr:col>
      <xdr:colOff>342901</xdr:colOff>
      <xdr:row>6</xdr:row>
      <xdr:rowOff>321299</xdr:rowOff>
    </xdr:to>
    <xdr:pic>
      <xdr:nvPicPr>
        <xdr:cNvPr id="41" name="Picture 40">
          <a:extLst>
            <a:ext uri="{FF2B5EF4-FFF2-40B4-BE49-F238E27FC236}">
              <a16:creationId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7">
                  <a14:imgEffect>
                    <a14:colorTemperature colorTemp="11200"/>
                  </a14:imgEffect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1" y="2108174"/>
          <a:ext cx="304800" cy="27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19051</xdr:colOff>
      <xdr:row>41</xdr:row>
      <xdr:rowOff>133704</xdr:rowOff>
    </xdr:from>
    <xdr:to>
      <xdr:col>2</xdr:col>
      <xdr:colOff>314325</xdr:colOff>
      <xdr:row>41</xdr:row>
      <xdr:rowOff>414534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B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duotone>
            <a:prstClr val="black"/>
            <a:schemeClr val="accent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brightnessContrast brigh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1" y="11535129"/>
          <a:ext cx="295274" cy="28083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62</xdr:row>
          <xdr:rowOff>9525</xdr:rowOff>
        </xdr:from>
        <xdr:to>
          <xdr:col>5</xdr:col>
          <xdr:colOff>38100</xdr:colOff>
          <xdr:row>63</xdr:row>
          <xdr:rowOff>9525</xdr:rowOff>
        </xdr:to>
        <xdr:sp macro="" textlink="">
          <xdr:nvSpPr>
            <xdr:cNvPr id="99358" name="Spinner 30" hidden="1">
              <a:extLst>
                <a:ext uri="{63B3BB69-23CF-44E3-9099-C40C66FF867C}">
                  <a14:compatExt spid="_x0000_s99358"/>
                </a:ext>
                <a:ext uri="{FF2B5EF4-FFF2-40B4-BE49-F238E27FC236}">
                  <a16:creationId xmlns:a16="http://schemas.microsoft.com/office/drawing/2014/main" id="{00000000-0008-0000-0B00-00001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790575</xdr:colOff>
          <xdr:row>50</xdr:row>
          <xdr:rowOff>0</xdr:rowOff>
        </xdr:from>
        <xdr:to>
          <xdr:col>4</xdr:col>
          <xdr:colOff>990600</xdr:colOff>
          <xdr:row>51</xdr:row>
          <xdr:rowOff>0</xdr:rowOff>
        </xdr:to>
        <xdr:sp macro="" textlink="">
          <xdr:nvSpPr>
            <xdr:cNvPr id="99359" name="Spinner 31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B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790575</xdr:colOff>
          <xdr:row>50</xdr:row>
          <xdr:rowOff>0</xdr:rowOff>
        </xdr:from>
        <xdr:to>
          <xdr:col>6</xdr:col>
          <xdr:colOff>990600</xdr:colOff>
          <xdr:row>51</xdr:row>
          <xdr:rowOff>0</xdr:rowOff>
        </xdr:to>
        <xdr:sp macro="" textlink="">
          <xdr:nvSpPr>
            <xdr:cNvPr id="99360" name="Spinner 32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B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50</xdr:row>
          <xdr:rowOff>0</xdr:rowOff>
        </xdr:from>
        <xdr:to>
          <xdr:col>8</xdr:col>
          <xdr:colOff>990600</xdr:colOff>
          <xdr:row>51</xdr:row>
          <xdr:rowOff>0</xdr:rowOff>
        </xdr:to>
        <xdr:sp macro="" textlink="">
          <xdr:nvSpPr>
            <xdr:cNvPr id="99361" name="Spinner 33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B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790575</xdr:colOff>
          <xdr:row>50</xdr:row>
          <xdr:rowOff>0</xdr:rowOff>
        </xdr:from>
        <xdr:to>
          <xdr:col>10</xdr:col>
          <xdr:colOff>990600</xdr:colOff>
          <xdr:row>51</xdr:row>
          <xdr:rowOff>0</xdr:rowOff>
        </xdr:to>
        <xdr:sp macro="" textlink="">
          <xdr:nvSpPr>
            <xdr:cNvPr id="99362" name="Spinner 34" hidden="1">
              <a:extLst>
                <a:ext uri="{63B3BB69-23CF-44E3-9099-C40C66FF867C}">
                  <a14:compatExt spid="_x0000_s99362"/>
                </a:ext>
                <a:ext uri="{FF2B5EF4-FFF2-40B4-BE49-F238E27FC236}">
                  <a16:creationId xmlns:a16="http://schemas.microsoft.com/office/drawing/2014/main" id="{00000000-0008-0000-0B00-00002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32</xdr:row>
          <xdr:rowOff>0</xdr:rowOff>
        </xdr:from>
        <xdr:to>
          <xdr:col>8</xdr:col>
          <xdr:colOff>990600</xdr:colOff>
          <xdr:row>32</xdr:row>
          <xdr:rowOff>266700</xdr:rowOff>
        </xdr:to>
        <xdr:sp macro="" textlink="">
          <xdr:nvSpPr>
            <xdr:cNvPr id="99363" name="Spinner 35" hidden="1">
              <a:extLst>
                <a:ext uri="{63B3BB69-23CF-44E3-9099-C40C66FF867C}">
                  <a14:compatExt spid="_x0000_s99363"/>
                </a:ext>
                <a:ext uri="{FF2B5EF4-FFF2-40B4-BE49-F238E27FC236}">
                  <a16:creationId xmlns:a16="http://schemas.microsoft.com/office/drawing/2014/main" id="{00000000-0008-0000-0B00-00002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32</xdr:row>
          <xdr:rowOff>0</xdr:rowOff>
        </xdr:from>
        <xdr:to>
          <xdr:col>10</xdr:col>
          <xdr:colOff>990600</xdr:colOff>
          <xdr:row>32</xdr:row>
          <xdr:rowOff>266700</xdr:rowOff>
        </xdr:to>
        <xdr:sp macro="" textlink="">
          <xdr:nvSpPr>
            <xdr:cNvPr id="99364" name="Spinner 36" hidden="1">
              <a:extLst>
                <a:ext uri="{63B3BB69-23CF-44E3-9099-C40C66FF867C}">
                  <a14:compatExt spid="_x0000_s99364"/>
                </a:ext>
                <a:ext uri="{FF2B5EF4-FFF2-40B4-BE49-F238E27FC236}">
                  <a16:creationId xmlns:a16="http://schemas.microsoft.com/office/drawing/2014/main" id="{00000000-0008-0000-0B00-00002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34</xdr:row>
          <xdr:rowOff>0</xdr:rowOff>
        </xdr:from>
        <xdr:to>
          <xdr:col>4</xdr:col>
          <xdr:colOff>971550</xdr:colOff>
          <xdr:row>35</xdr:row>
          <xdr:rowOff>0</xdr:rowOff>
        </xdr:to>
        <xdr:sp macro="" textlink="">
          <xdr:nvSpPr>
            <xdr:cNvPr id="99365" name="Spinner 37" hidden="1">
              <a:extLst>
                <a:ext uri="{63B3BB69-23CF-44E3-9099-C40C66FF867C}">
                  <a14:compatExt spid="_x0000_s99365"/>
                </a:ext>
                <a:ext uri="{FF2B5EF4-FFF2-40B4-BE49-F238E27FC236}">
                  <a16:creationId xmlns:a16="http://schemas.microsoft.com/office/drawing/2014/main" id="{00000000-0008-0000-0B00-00002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34</xdr:row>
          <xdr:rowOff>0</xdr:rowOff>
        </xdr:from>
        <xdr:to>
          <xdr:col>6</xdr:col>
          <xdr:colOff>990600</xdr:colOff>
          <xdr:row>34</xdr:row>
          <xdr:rowOff>266700</xdr:rowOff>
        </xdr:to>
        <xdr:sp macro="" textlink="">
          <xdr:nvSpPr>
            <xdr:cNvPr id="99366" name="Spinner 38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B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9367" name="Spinner 39" hidden="1">
              <a:extLst>
                <a:ext uri="{63B3BB69-23CF-44E3-9099-C40C66FF867C}">
                  <a14:compatExt spid="_x0000_s99367"/>
                </a:ext>
                <a:ext uri="{FF2B5EF4-FFF2-40B4-BE49-F238E27FC236}">
                  <a16:creationId xmlns:a16="http://schemas.microsoft.com/office/drawing/2014/main" id="{00000000-0008-0000-0B00-00002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34</xdr:row>
          <xdr:rowOff>0</xdr:rowOff>
        </xdr:from>
        <xdr:to>
          <xdr:col>8</xdr:col>
          <xdr:colOff>1000125</xdr:colOff>
          <xdr:row>34</xdr:row>
          <xdr:rowOff>266700</xdr:rowOff>
        </xdr:to>
        <xdr:sp macro="" textlink="">
          <xdr:nvSpPr>
            <xdr:cNvPr id="99368" name="Spinner 40" hidden="1">
              <a:extLst>
                <a:ext uri="{63B3BB69-23CF-44E3-9099-C40C66FF867C}">
                  <a14:compatExt spid="_x0000_s99368"/>
                </a:ext>
                <a:ext uri="{FF2B5EF4-FFF2-40B4-BE49-F238E27FC236}">
                  <a16:creationId xmlns:a16="http://schemas.microsoft.com/office/drawing/2014/main" id="{00000000-0008-0000-0B00-00002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99369" name="Spinner 41" hidden="1">
              <a:extLst>
                <a:ext uri="{63B3BB69-23CF-44E3-9099-C40C66FF867C}">
                  <a14:compatExt spid="_x0000_s99369"/>
                </a:ext>
                <a:ext uri="{FF2B5EF4-FFF2-40B4-BE49-F238E27FC236}">
                  <a16:creationId xmlns:a16="http://schemas.microsoft.com/office/drawing/2014/main" id="{00000000-0008-0000-0B00-00002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34</xdr:row>
          <xdr:rowOff>0</xdr:rowOff>
        </xdr:from>
        <xdr:to>
          <xdr:col>8</xdr:col>
          <xdr:colOff>990600</xdr:colOff>
          <xdr:row>34</xdr:row>
          <xdr:rowOff>266700</xdr:rowOff>
        </xdr:to>
        <xdr:sp macro="" textlink="">
          <xdr:nvSpPr>
            <xdr:cNvPr id="99370" name="Spinner 42" hidden="1">
              <a:extLst>
                <a:ext uri="{63B3BB69-23CF-44E3-9099-C40C66FF867C}">
                  <a14:compatExt spid="_x0000_s99370"/>
                </a:ext>
                <a:ext uri="{FF2B5EF4-FFF2-40B4-BE49-F238E27FC236}">
                  <a16:creationId xmlns:a16="http://schemas.microsoft.com/office/drawing/2014/main" id="{00000000-0008-0000-0B00-00002A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34</xdr:row>
          <xdr:rowOff>0</xdr:rowOff>
        </xdr:from>
        <xdr:to>
          <xdr:col>10</xdr:col>
          <xdr:colOff>990600</xdr:colOff>
          <xdr:row>34</xdr:row>
          <xdr:rowOff>266700</xdr:rowOff>
        </xdr:to>
        <xdr:sp macro="" textlink="">
          <xdr:nvSpPr>
            <xdr:cNvPr id="99371" name="Spinner 43" hidden="1">
              <a:extLst>
                <a:ext uri="{63B3BB69-23CF-44E3-9099-C40C66FF867C}">
                  <a14:compatExt spid="_x0000_s99371"/>
                </a:ext>
                <a:ext uri="{FF2B5EF4-FFF2-40B4-BE49-F238E27FC236}">
                  <a16:creationId xmlns:a16="http://schemas.microsoft.com/office/drawing/2014/main" id="{00000000-0008-0000-0B00-00002B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36</xdr:row>
          <xdr:rowOff>0</xdr:rowOff>
        </xdr:from>
        <xdr:to>
          <xdr:col>4</xdr:col>
          <xdr:colOff>971550</xdr:colOff>
          <xdr:row>37</xdr:row>
          <xdr:rowOff>0</xdr:rowOff>
        </xdr:to>
        <xdr:sp macro="" textlink="">
          <xdr:nvSpPr>
            <xdr:cNvPr id="99372" name="Spinner 44" hidden="1">
              <a:extLst>
                <a:ext uri="{63B3BB69-23CF-44E3-9099-C40C66FF867C}">
                  <a14:compatExt spid="_x0000_s99372"/>
                </a:ext>
                <a:ext uri="{FF2B5EF4-FFF2-40B4-BE49-F238E27FC236}">
                  <a16:creationId xmlns:a16="http://schemas.microsoft.com/office/drawing/2014/main" id="{00000000-0008-0000-0B00-00002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36</xdr:row>
          <xdr:rowOff>0</xdr:rowOff>
        </xdr:from>
        <xdr:to>
          <xdr:col>6</xdr:col>
          <xdr:colOff>990600</xdr:colOff>
          <xdr:row>36</xdr:row>
          <xdr:rowOff>266700</xdr:rowOff>
        </xdr:to>
        <xdr:sp macro="" textlink="">
          <xdr:nvSpPr>
            <xdr:cNvPr id="99373" name="Spinner 45" hidden="1">
              <a:extLst>
                <a:ext uri="{63B3BB69-23CF-44E3-9099-C40C66FF867C}">
                  <a14:compatExt spid="_x0000_s99373"/>
                </a:ext>
                <a:ext uri="{FF2B5EF4-FFF2-40B4-BE49-F238E27FC236}">
                  <a16:creationId xmlns:a16="http://schemas.microsoft.com/office/drawing/2014/main" id="{00000000-0008-0000-0B00-00002D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99374" name="Spinner 46" hidden="1">
              <a:extLst>
                <a:ext uri="{63B3BB69-23CF-44E3-9099-C40C66FF867C}">
                  <a14:compatExt spid="_x0000_s99374"/>
                </a:ext>
                <a:ext uri="{FF2B5EF4-FFF2-40B4-BE49-F238E27FC236}">
                  <a16:creationId xmlns:a16="http://schemas.microsoft.com/office/drawing/2014/main" id="{00000000-0008-0000-0B00-00002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36</xdr:row>
          <xdr:rowOff>0</xdr:rowOff>
        </xdr:from>
        <xdr:to>
          <xdr:col>8</xdr:col>
          <xdr:colOff>1000125</xdr:colOff>
          <xdr:row>36</xdr:row>
          <xdr:rowOff>266700</xdr:rowOff>
        </xdr:to>
        <xdr:sp macro="" textlink="">
          <xdr:nvSpPr>
            <xdr:cNvPr id="99375" name="Spinner 47" hidden="1">
              <a:extLst>
                <a:ext uri="{63B3BB69-23CF-44E3-9099-C40C66FF867C}">
                  <a14:compatExt spid="_x0000_s99375"/>
                </a:ext>
                <a:ext uri="{FF2B5EF4-FFF2-40B4-BE49-F238E27FC236}">
                  <a16:creationId xmlns:a16="http://schemas.microsoft.com/office/drawing/2014/main" id="{00000000-0008-0000-0B00-00002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99376" name="Spinner 48" hidden="1">
              <a:extLst>
                <a:ext uri="{63B3BB69-23CF-44E3-9099-C40C66FF867C}">
                  <a14:compatExt spid="_x0000_s99376"/>
                </a:ext>
                <a:ext uri="{FF2B5EF4-FFF2-40B4-BE49-F238E27FC236}">
                  <a16:creationId xmlns:a16="http://schemas.microsoft.com/office/drawing/2014/main" id="{00000000-0008-0000-0B00-00003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36</xdr:row>
          <xdr:rowOff>0</xdr:rowOff>
        </xdr:from>
        <xdr:to>
          <xdr:col>8</xdr:col>
          <xdr:colOff>990600</xdr:colOff>
          <xdr:row>36</xdr:row>
          <xdr:rowOff>266700</xdr:rowOff>
        </xdr:to>
        <xdr:sp macro="" textlink="">
          <xdr:nvSpPr>
            <xdr:cNvPr id="99377" name="Spinner 49" hidden="1">
              <a:extLst>
                <a:ext uri="{63B3BB69-23CF-44E3-9099-C40C66FF867C}">
                  <a14:compatExt spid="_x0000_s99377"/>
                </a:ext>
                <a:ext uri="{FF2B5EF4-FFF2-40B4-BE49-F238E27FC236}">
                  <a16:creationId xmlns:a16="http://schemas.microsoft.com/office/drawing/2014/main" id="{00000000-0008-0000-0B00-00003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36</xdr:row>
          <xdr:rowOff>0</xdr:rowOff>
        </xdr:from>
        <xdr:to>
          <xdr:col>10</xdr:col>
          <xdr:colOff>990600</xdr:colOff>
          <xdr:row>36</xdr:row>
          <xdr:rowOff>266700</xdr:rowOff>
        </xdr:to>
        <xdr:sp macro="" textlink="">
          <xdr:nvSpPr>
            <xdr:cNvPr id="99378" name="Spinner 50" hidden="1">
              <a:extLst>
                <a:ext uri="{63B3BB69-23CF-44E3-9099-C40C66FF867C}">
                  <a14:compatExt spid="_x0000_s99378"/>
                </a:ext>
                <a:ext uri="{FF2B5EF4-FFF2-40B4-BE49-F238E27FC236}">
                  <a16:creationId xmlns:a16="http://schemas.microsoft.com/office/drawing/2014/main" id="{00000000-0008-0000-0B00-00003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38</xdr:row>
          <xdr:rowOff>0</xdr:rowOff>
        </xdr:from>
        <xdr:to>
          <xdr:col>4</xdr:col>
          <xdr:colOff>971550</xdr:colOff>
          <xdr:row>39</xdr:row>
          <xdr:rowOff>0</xdr:rowOff>
        </xdr:to>
        <xdr:sp macro="" textlink="">
          <xdr:nvSpPr>
            <xdr:cNvPr id="99379" name="Spinner 51" hidden="1">
              <a:extLst>
                <a:ext uri="{63B3BB69-23CF-44E3-9099-C40C66FF867C}">
                  <a14:compatExt spid="_x0000_s99379"/>
                </a:ext>
                <a:ext uri="{FF2B5EF4-FFF2-40B4-BE49-F238E27FC236}">
                  <a16:creationId xmlns:a16="http://schemas.microsoft.com/office/drawing/2014/main" id="{00000000-0008-0000-0B00-000033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781050</xdr:colOff>
          <xdr:row>38</xdr:row>
          <xdr:rowOff>0</xdr:rowOff>
        </xdr:from>
        <xdr:to>
          <xdr:col>6</xdr:col>
          <xdr:colOff>990600</xdr:colOff>
          <xdr:row>38</xdr:row>
          <xdr:rowOff>266700</xdr:rowOff>
        </xdr:to>
        <xdr:sp macro="" textlink="">
          <xdr:nvSpPr>
            <xdr:cNvPr id="99380" name="Spinner 52" hidden="1">
              <a:extLst>
                <a:ext uri="{63B3BB69-23CF-44E3-9099-C40C66FF867C}">
                  <a14:compatExt spid="_x0000_s99380"/>
                </a:ext>
                <a:ext uri="{FF2B5EF4-FFF2-40B4-BE49-F238E27FC236}">
                  <a16:creationId xmlns:a16="http://schemas.microsoft.com/office/drawing/2014/main" id="{00000000-0008-0000-0B00-00003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99381" name="Spinner 53" hidden="1">
              <a:extLst>
                <a:ext uri="{63B3BB69-23CF-44E3-9099-C40C66FF867C}">
                  <a14:compatExt spid="_x0000_s99381"/>
                </a:ext>
                <a:ext uri="{FF2B5EF4-FFF2-40B4-BE49-F238E27FC236}">
                  <a16:creationId xmlns:a16="http://schemas.microsoft.com/office/drawing/2014/main" id="{00000000-0008-0000-0B00-00003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790575</xdr:colOff>
          <xdr:row>38</xdr:row>
          <xdr:rowOff>0</xdr:rowOff>
        </xdr:from>
        <xdr:to>
          <xdr:col>8</xdr:col>
          <xdr:colOff>1000125</xdr:colOff>
          <xdr:row>38</xdr:row>
          <xdr:rowOff>266700</xdr:rowOff>
        </xdr:to>
        <xdr:sp macro="" textlink="">
          <xdr:nvSpPr>
            <xdr:cNvPr id="99382" name="Spinner 54" hidden="1">
              <a:extLst>
                <a:ext uri="{63B3BB69-23CF-44E3-9099-C40C66FF867C}">
                  <a14:compatExt spid="_x0000_s99382"/>
                </a:ext>
                <a:ext uri="{FF2B5EF4-FFF2-40B4-BE49-F238E27FC236}">
                  <a16:creationId xmlns:a16="http://schemas.microsoft.com/office/drawing/2014/main" id="{00000000-0008-0000-0B00-00003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99383" name="Spinner 55" hidden="1">
              <a:extLst>
                <a:ext uri="{63B3BB69-23CF-44E3-9099-C40C66FF867C}">
                  <a14:compatExt spid="_x0000_s99383"/>
                </a:ext>
                <a:ext uri="{FF2B5EF4-FFF2-40B4-BE49-F238E27FC236}">
                  <a16:creationId xmlns:a16="http://schemas.microsoft.com/office/drawing/2014/main" id="{00000000-0008-0000-0B00-00003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781050</xdr:colOff>
          <xdr:row>38</xdr:row>
          <xdr:rowOff>0</xdr:rowOff>
        </xdr:from>
        <xdr:to>
          <xdr:col>8</xdr:col>
          <xdr:colOff>990600</xdr:colOff>
          <xdr:row>38</xdr:row>
          <xdr:rowOff>266700</xdr:rowOff>
        </xdr:to>
        <xdr:sp macro="" textlink="">
          <xdr:nvSpPr>
            <xdr:cNvPr id="99384" name="Spinner 56" hidden="1">
              <a:extLst>
                <a:ext uri="{63B3BB69-23CF-44E3-9099-C40C66FF867C}">
                  <a14:compatExt spid="_x0000_s99384"/>
                </a:ext>
                <a:ext uri="{FF2B5EF4-FFF2-40B4-BE49-F238E27FC236}">
                  <a16:creationId xmlns:a16="http://schemas.microsoft.com/office/drawing/2014/main" id="{00000000-0008-0000-0B00-00003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781050</xdr:colOff>
          <xdr:row>38</xdr:row>
          <xdr:rowOff>0</xdr:rowOff>
        </xdr:from>
        <xdr:to>
          <xdr:col>10</xdr:col>
          <xdr:colOff>990600</xdr:colOff>
          <xdr:row>38</xdr:row>
          <xdr:rowOff>266700</xdr:rowOff>
        </xdr:to>
        <xdr:sp macro="" textlink="">
          <xdr:nvSpPr>
            <xdr:cNvPr id="99385" name="Spinner 57" hidden="1">
              <a:extLst>
                <a:ext uri="{63B3BB69-23CF-44E3-9099-C40C66FF867C}">
                  <a14:compatExt spid="_x0000_s99385"/>
                </a:ext>
                <a:ext uri="{FF2B5EF4-FFF2-40B4-BE49-F238E27FC236}">
                  <a16:creationId xmlns:a16="http://schemas.microsoft.com/office/drawing/2014/main" id="{00000000-0008-0000-0B00-00003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76200</xdr:colOff>
      <xdr:row>64</xdr:row>
      <xdr:rowOff>47625</xdr:rowOff>
    </xdr:from>
    <xdr:to>
      <xdr:col>15</xdr:col>
      <xdr:colOff>66675</xdr:colOff>
      <xdr:row>79</xdr:row>
      <xdr:rowOff>104775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0B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42</xdr:row>
      <xdr:rowOff>0</xdr:rowOff>
    </xdr:from>
    <xdr:to>
      <xdr:col>15</xdr:col>
      <xdr:colOff>85725</xdr:colOff>
      <xdr:row>53</xdr:row>
      <xdr:rowOff>66675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B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857250</xdr:colOff>
          <xdr:row>56</xdr:row>
          <xdr:rowOff>9525</xdr:rowOff>
        </xdr:from>
        <xdr:to>
          <xdr:col>5</xdr:col>
          <xdr:colOff>38100</xdr:colOff>
          <xdr:row>57</xdr:row>
          <xdr:rowOff>9525</xdr:rowOff>
        </xdr:to>
        <xdr:sp macro="" textlink="">
          <xdr:nvSpPr>
            <xdr:cNvPr id="99412" name="Spinner 84" hidden="1">
              <a:extLst>
                <a:ext uri="{63B3BB69-23CF-44E3-9099-C40C66FF867C}">
                  <a14:compatExt spid="_x0000_s99412"/>
                </a:ext>
                <a:ext uri="{FF2B5EF4-FFF2-40B4-BE49-F238E27FC236}">
                  <a16:creationId xmlns:a16="http://schemas.microsoft.com/office/drawing/2014/main" id="{00000000-0008-0000-0B00-00005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306917</xdr:colOff>
      <xdr:row>25</xdr:row>
      <xdr:rowOff>0</xdr:rowOff>
    </xdr:from>
    <xdr:to>
      <xdr:col>42</xdr:col>
      <xdr:colOff>677406</xdr:colOff>
      <xdr:row>50</xdr:row>
      <xdr:rowOff>73408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67167" y="10163175"/>
          <a:ext cx="7914289" cy="5400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468417</xdr:colOff>
      <xdr:row>109</xdr:row>
      <xdr:rowOff>0</xdr:rowOff>
    </xdr:from>
    <xdr:to>
      <xdr:col>35</xdr:col>
      <xdr:colOff>272522</xdr:colOff>
      <xdr:row>127</xdr:row>
      <xdr:rowOff>123563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61105" y="6701893"/>
          <a:ext cx="6471605" cy="3557325"/>
        </a:xfrm>
        <a:prstGeom prst="rect">
          <a:avLst/>
        </a:prstGeom>
      </xdr:spPr>
    </xdr:pic>
    <xdr:clientData/>
  </xdr:twoCellAnchor>
  <xdr:twoCellAnchor editAs="oneCell">
    <xdr:from>
      <xdr:col>26</xdr:col>
      <xdr:colOff>590020</xdr:colOff>
      <xdr:row>26</xdr:row>
      <xdr:rowOff>104509</xdr:rowOff>
    </xdr:from>
    <xdr:to>
      <xdr:col>34</xdr:col>
      <xdr:colOff>174624</xdr:colOff>
      <xdr:row>42</xdr:row>
      <xdr:rowOff>155311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449270" y="3033447"/>
          <a:ext cx="6252104" cy="3663158"/>
        </a:xfrm>
        <a:prstGeom prst="rect">
          <a:avLst/>
        </a:prstGeom>
      </xdr:spPr>
    </xdr:pic>
    <xdr:clientData/>
  </xdr:twoCellAnchor>
  <xdr:twoCellAnchor editAs="oneCell">
    <xdr:from>
      <xdr:col>20</xdr:col>
      <xdr:colOff>1258094</xdr:colOff>
      <xdr:row>28</xdr:row>
      <xdr:rowOff>91282</xdr:rowOff>
    </xdr:from>
    <xdr:to>
      <xdr:col>27</xdr:col>
      <xdr:colOff>638968</xdr:colOff>
      <xdr:row>44</xdr:row>
      <xdr:rowOff>185473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85938" y="3401220"/>
          <a:ext cx="6357937" cy="358272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715700</xdr:colOff>
      <xdr:row>109</xdr:row>
      <xdr:rowOff>0</xdr:rowOff>
    </xdr:from>
    <xdr:to>
      <xdr:col>40</xdr:col>
      <xdr:colOff>489480</xdr:colOff>
      <xdr:row>128</xdr:row>
      <xdr:rowOff>7143</xdr:rowOff>
    </xdr:to>
    <xdr:pic>
      <xdr:nvPicPr>
        <xdr:cNvPr id="10" name="table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575575" y="6819636"/>
          <a:ext cx="6441280" cy="3631405"/>
        </a:xfrm>
        <a:prstGeom prst="rect">
          <a:avLst/>
        </a:prstGeom>
      </xdr:spPr>
    </xdr:pic>
    <xdr:clientData/>
  </xdr:twoCellAnchor>
  <xdr:twoCellAnchor>
    <xdr:from>
      <xdr:col>2</xdr:col>
      <xdr:colOff>57150</xdr:colOff>
      <xdr:row>95</xdr:row>
      <xdr:rowOff>9525</xdr:rowOff>
    </xdr:from>
    <xdr:to>
      <xdr:col>18</xdr:col>
      <xdr:colOff>1019174</xdr:colOff>
      <xdr:row>108</xdr:row>
      <xdr:rowOff>133350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67</xdr:row>
      <xdr:rowOff>0</xdr:rowOff>
    </xdr:from>
    <xdr:to>
      <xdr:col>18</xdr:col>
      <xdr:colOff>962024</xdr:colOff>
      <xdr:row>80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39</xdr:row>
      <xdr:rowOff>0</xdr:rowOff>
    </xdr:from>
    <xdr:to>
      <xdr:col>18</xdr:col>
      <xdr:colOff>962024</xdr:colOff>
      <xdr:row>52</xdr:row>
      <xdr:rowOff>123825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200025</xdr:colOff>
      <xdr:row>12</xdr:row>
      <xdr:rowOff>85725</xdr:rowOff>
    </xdr:from>
    <xdr:to>
      <xdr:col>19</xdr:col>
      <xdr:colOff>228600</xdr:colOff>
      <xdr:row>24</xdr:row>
      <xdr:rowOff>133350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47624</xdr:colOff>
      <xdr:row>12</xdr:row>
      <xdr:rowOff>66676</xdr:rowOff>
    </xdr:from>
    <xdr:to>
      <xdr:col>13</xdr:col>
      <xdr:colOff>295275</xdr:colOff>
      <xdr:row>24</xdr:row>
      <xdr:rowOff>133350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306917</xdr:colOff>
      <xdr:row>36</xdr:row>
      <xdr:rowOff>0</xdr:rowOff>
    </xdr:from>
    <xdr:to>
      <xdr:col>41</xdr:col>
      <xdr:colOff>677406</xdr:colOff>
      <xdr:row>64</xdr:row>
      <xdr:rowOff>23666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167167" y="8963025"/>
          <a:ext cx="7914289" cy="54000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819150</xdr:colOff>
      <xdr:row>7</xdr:row>
      <xdr:rowOff>133352</xdr:rowOff>
    </xdr:from>
    <xdr:to>
      <xdr:col>20</xdr:col>
      <xdr:colOff>361950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819150</xdr:colOff>
      <xdr:row>147</xdr:row>
      <xdr:rowOff>133352</xdr:rowOff>
    </xdr:from>
    <xdr:to>
      <xdr:col>20</xdr:col>
      <xdr:colOff>361950</xdr:colOff>
      <xdr:row>159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819150</xdr:colOff>
      <xdr:row>278</xdr:row>
      <xdr:rowOff>133352</xdr:rowOff>
    </xdr:from>
    <xdr:to>
      <xdr:col>20</xdr:col>
      <xdr:colOff>361950</xdr:colOff>
      <xdr:row>290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314325</xdr:colOff>
      <xdr:row>47</xdr:row>
      <xdr:rowOff>76200</xdr:rowOff>
    </xdr:from>
    <xdr:to>
      <xdr:col>26</xdr:col>
      <xdr:colOff>729614</xdr:colOff>
      <xdr:row>67</xdr:row>
      <xdr:rowOff>37041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9125" y="8582025"/>
          <a:ext cx="6381749" cy="35803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anten">
      <a:dk1>
        <a:sysClr val="windowText" lastClr="000000"/>
      </a:dk1>
      <a:lt1>
        <a:sysClr val="window" lastClr="FFFFFF"/>
      </a:lt1>
      <a:dk2>
        <a:srgbClr val="003399"/>
      </a:dk2>
      <a:lt2>
        <a:srgbClr val="EEECE1"/>
      </a:lt2>
      <a:accent1>
        <a:srgbClr val="0099CC"/>
      </a:accent1>
      <a:accent2>
        <a:srgbClr val="878787"/>
      </a:accent2>
      <a:accent3>
        <a:srgbClr val="36318F"/>
      </a:accent3>
      <a:accent4>
        <a:srgbClr val="00A1A8"/>
      </a:accent4>
      <a:accent5>
        <a:srgbClr val="00A33E"/>
      </a:accent5>
      <a:accent6>
        <a:srgbClr val="7FBE2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dam.Aranyos@bts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oduleFactory@bts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63" Type="http://schemas.openxmlformats.org/officeDocument/2006/relationships/ctrlProp" Target="../ctrlProps/ctrlProp60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61" Type="http://schemas.openxmlformats.org/officeDocument/2006/relationships/ctrlProp" Target="../ctrlProps/ctrlProp58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omments" Target="../comments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1.xml"/><Relationship Id="rId18" Type="http://schemas.openxmlformats.org/officeDocument/2006/relationships/ctrlProp" Target="../ctrlProps/ctrlProp76.xml"/><Relationship Id="rId26" Type="http://schemas.openxmlformats.org/officeDocument/2006/relationships/ctrlProp" Target="../ctrlProps/ctrlProp84.xml"/><Relationship Id="rId39" Type="http://schemas.openxmlformats.org/officeDocument/2006/relationships/ctrlProp" Target="../ctrlProps/ctrlProp97.xml"/><Relationship Id="rId21" Type="http://schemas.openxmlformats.org/officeDocument/2006/relationships/ctrlProp" Target="../ctrlProps/ctrlProp79.xml"/><Relationship Id="rId34" Type="http://schemas.openxmlformats.org/officeDocument/2006/relationships/ctrlProp" Target="../ctrlProps/ctrlProp92.xml"/><Relationship Id="rId42" Type="http://schemas.openxmlformats.org/officeDocument/2006/relationships/ctrlProp" Target="../ctrlProps/ctrlProp100.xml"/><Relationship Id="rId47" Type="http://schemas.openxmlformats.org/officeDocument/2006/relationships/ctrlProp" Target="../ctrlProps/ctrlProp105.xml"/><Relationship Id="rId50" Type="http://schemas.openxmlformats.org/officeDocument/2006/relationships/ctrlProp" Target="../ctrlProps/ctrlProp108.xml"/><Relationship Id="rId55" Type="http://schemas.openxmlformats.org/officeDocument/2006/relationships/ctrlProp" Target="../ctrlProps/ctrlProp113.xml"/><Relationship Id="rId7" Type="http://schemas.openxmlformats.org/officeDocument/2006/relationships/ctrlProp" Target="../ctrlProps/ctrlProp65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74.xml"/><Relationship Id="rId20" Type="http://schemas.openxmlformats.org/officeDocument/2006/relationships/ctrlProp" Target="../ctrlProps/ctrlProp78.xml"/><Relationship Id="rId29" Type="http://schemas.openxmlformats.org/officeDocument/2006/relationships/ctrlProp" Target="../ctrlProps/ctrlProp87.xml"/><Relationship Id="rId41" Type="http://schemas.openxmlformats.org/officeDocument/2006/relationships/ctrlProp" Target="../ctrlProps/ctrlProp99.xml"/><Relationship Id="rId54" Type="http://schemas.openxmlformats.org/officeDocument/2006/relationships/ctrlProp" Target="../ctrlProps/ctrlProp112.xml"/><Relationship Id="rId62" Type="http://schemas.openxmlformats.org/officeDocument/2006/relationships/comments" Target="../comments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4.xml"/><Relationship Id="rId11" Type="http://schemas.openxmlformats.org/officeDocument/2006/relationships/ctrlProp" Target="../ctrlProps/ctrlProp69.xml"/><Relationship Id="rId24" Type="http://schemas.openxmlformats.org/officeDocument/2006/relationships/ctrlProp" Target="../ctrlProps/ctrlProp82.xml"/><Relationship Id="rId32" Type="http://schemas.openxmlformats.org/officeDocument/2006/relationships/ctrlProp" Target="../ctrlProps/ctrlProp90.xml"/><Relationship Id="rId37" Type="http://schemas.openxmlformats.org/officeDocument/2006/relationships/ctrlProp" Target="../ctrlProps/ctrlProp95.xml"/><Relationship Id="rId40" Type="http://schemas.openxmlformats.org/officeDocument/2006/relationships/ctrlProp" Target="../ctrlProps/ctrlProp98.xml"/><Relationship Id="rId45" Type="http://schemas.openxmlformats.org/officeDocument/2006/relationships/ctrlProp" Target="../ctrlProps/ctrlProp103.xml"/><Relationship Id="rId53" Type="http://schemas.openxmlformats.org/officeDocument/2006/relationships/ctrlProp" Target="../ctrlProps/ctrlProp111.xml"/><Relationship Id="rId58" Type="http://schemas.openxmlformats.org/officeDocument/2006/relationships/ctrlProp" Target="../ctrlProps/ctrlProp116.xml"/><Relationship Id="rId5" Type="http://schemas.openxmlformats.org/officeDocument/2006/relationships/ctrlProp" Target="../ctrlProps/ctrlProp63.xml"/><Relationship Id="rId15" Type="http://schemas.openxmlformats.org/officeDocument/2006/relationships/ctrlProp" Target="../ctrlProps/ctrlProp73.xml"/><Relationship Id="rId23" Type="http://schemas.openxmlformats.org/officeDocument/2006/relationships/ctrlProp" Target="../ctrlProps/ctrlProp81.xml"/><Relationship Id="rId28" Type="http://schemas.openxmlformats.org/officeDocument/2006/relationships/ctrlProp" Target="../ctrlProps/ctrlProp86.xml"/><Relationship Id="rId36" Type="http://schemas.openxmlformats.org/officeDocument/2006/relationships/ctrlProp" Target="../ctrlProps/ctrlProp94.xml"/><Relationship Id="rId49" Type="http://schemas.openxmlformats.org/officeDocument/2006/relationships/ctrlProp" Target="../ctrlProps/ctrlProp107.xml"/><Relationship Id="rId57" Type="http://schemas.openxmlformats.org/officeDocument/2006/relationships/ctrlProp" Target="../ctrlProps/ctrlProp115.xml"/><Relationship Id="rId61" Type="http://schemas.openxmlformats.org/officeDocument/2006/relationships/ctrlProp" Target="../ctrlProps/ctrlProp119.xml"/><Relationship Id="rId10" Type="http://schemas.openxmlformats.org/officeDocument/2006/relationships/ctrlProp" Target="../ctrlProps/ctrlProp68.xml"/><Relationship Id="rId19" Type="http://schemas.openxmlformats.org/officeDocument/2006/relationships/ctrlProp" Target="../ctrlProps/ctrlProp77.xml"/><Relationship Id="rId31" Type="http://schemas.openxmlformats.org/officeDocument/2006/relationships/ctrlProp" Target="../ctrlProps/ctrlProp89.xml"/><Relationship Id="rId44" Type="http://schemas.openxmlformats.org/officeDocument/2006/relationships/ctrlProp" Target="../ctrlProps/ctrlProp102.xml"/><Relationship Id="rId52" Type="http://schemas.openxmlformats.org/officeDocument/2006/relationships/ctrlProp" Target="../ctrlProps/ctrlProp110.xml"/><Relationship Id="rId60" Type="http://schemas.openxmlformats.org/officeDocument/2006/relationships/ctrlProp" Target="../ctrlProps/ctrlProp118.xml"/><Relationship Id="rId4" Type="http://schemas.openxmlformats.org/officeDocument/2006/relationships/ctrlProp" Target="../ctrlProps/ctrlProp62.xml"/><Relationship Id="rId9" Type="http://schemas.openxmlformats.org/officeDocument/2006/relationships/ctrlProp" Target="../ctrlProps/ctrlProp67.xml"/><Relationship Id="rId14" Type="http://schemas.openxmlformats.org/officeDocument/2006/relationships/ctrlProp" Target="../ctrlProps/ctrlProp72.xml"/><Relationship Id="rId22" Type="http://schemas.openxmlformats.org/officeDocument/2006/relationships/ctrlProp" Target="../ctrlProps/ctrlProp80.xml"/><Relationship Id="rId27" Type="http://schemas.openxmlformats.org/officeDocument/2006/relationships/ctrlProp" Target="../ctrlProps/ctrlProp85.xml"/><Relationship Id="rId30" Type="http://schemas.openxmlformats.org/officeDocument/2006/relationships/ctrlProp" Target="../ctrlProps/ctrlProp88.xml"/><Relationship Id="rId35" Type="http://schemas.openxmlformats.org/officeDocument/2006/relationships/ctrlProp" Target="../ctrlProps/ctrlProp93.xml"/><Relationship Id="rId43" Type="http://schemas.openxmlformats.org/officeDocument/2006/relationships/ctrlProp" Target="../ctrlProps/ctrlProp101.xml"/><Relationship Id="rId48" Type="http://schemas.openxmlformats.org/officeDocument/2006/relationships/ctrlProp" Target="../ctrlProps/ctrlProp106.xml"/><Relationship Id="rId56" Type="http://schemas.openxmlformats.org/officeDocument/2006/relationships/ctrlProp" Target="../ctrlProps/ctrlProp114.xml"/><Relationship Id="rId8" Type="http://schemas.openxmlformats.org/officeDocument/2006/relationships/ctrlProp" Target="../ctrlProps/ctrlProp66.xml"/><Relationship Id="rId51" Type="http://schemas.openxmlformats.org/officeDocument/2006/relationships/ctrlProp" Target="../ctrlProps/ctrlProp109.xml"/><Relationship Id="rId3" Type="http://schemas.openxmlformats.org/officeDocument/2006/relationships/vmlDrawing" Target="../drawings/vmlDrawing3.vml"/><Relationship Id="rId12" Type="http://schemas.openxmlformats.org/officeDocument/2006/relationships/ctrlProp" Target="../ctrlProps/ctrlProp70.xml"/><Relationship Id="rId17" Type="http://schemas.openxmlformats.org/officeDocument/2006/relationships/ctrlProp" Target="../ctrlProps/ctrlProp75.xml"/><Relationship Id="rId25" Type="http://schemas.openxmlformats.org/officeDocument/2006/relationships/ctrlProp" Target="../ctrlProps/ctrlProp83.xml"/><Relationship Id="rId33" Type="http://schemas.openxmlformats.org/officeDocument/2006/relationships/ctrlProp" Target="../ctrlProps/ctrlProp91.xml"/><Relationship Id="rId38" Type="http://schemas.openxmlformats.org/officeDocument/2006/relationships/ctrlProp" Target="../ctrlProps/ctrlProp96.xml"/><Relationship Id="rId46" Type="http://schemas.openxmlformats.org/officeDocument/2006/relationships/ctrlProp" Target="../ctrlProps/ctrlProp104.xml"/><Relationship Id="rId59" Type="http://schemas.openxmlformats.org/officeDocument/2006/relationships/ctrlProp" Target="../ctrlProps/ctrlProp117.xml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29.xml"/><Relationship Id="rId18" Type="http://schemas.openxmlformats.org/officeDocument/2006/relationships/ctrlProp" Target="../ctrlProps/ctrlProp134.xml"/><Relationship Id="rId26" Type="http://schemas.openxmlformats.org/officeDocument/2006/relationships/ctrlProp" Target="../ctrlProps/ctrlProp142.xml"/><Relationship Id="rId39" Type="http://schemas.openxmlformats.org/officeDocument/2006/relationships/ctrlProp" Target="../ctrlProps/ctrlProp155.xml"/><Relationship Id="rId21" Type="http://schemas.openxmlformats.org/officeDocument/2006/relationships/ctrlProp" Target="../ctrlProps/ctrlProp137.xml"/><Relationship Id="rId34" Type="http://schemas.openxmlformats.org/officeDocument/2006/relationships/ctrlProp" Target="../ctrlProps/ctrlProp150.xml"/><Relationship Id="rId42" Type="http://schemas.openxmlformats.org/officeDocument/2006/relationships/ctrlProp" Target="../ctrlProps/ctrlProp158.xml"/><Relationship Id="rId47" Type="http://schemas.openxmlformats.org/officeDocument/2006/relationships/ctrlProp" Target="../ctrlProps/ctrlProp163.xml"/><Relationship Id="rId50" Type="http://schemas.openxmlformats.org/officeDocument/2006/relationships/ctrlProp" Target="../ctrlProps/ctrlProp166.xml"/><Relationship Id="rId55" Type="http://schemas.openxmlformats.org/officeDocument/2006/relationships/ctrlProp" Target="../ctrlProps/ctrlProp171.xml"/><Relationship Id="rId7" Type="http://schemas.openxmlformats.org/officeDocument/2006/relationships/ctrlProp" Target="../ctrlProps/ctrlProp12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32.xml"/><Relationship Id="rId20" Type="http://schemas.openxmlformats.org/officeDocument/2006/relationships/ctrlProp" Target="../ctrlProps/ctrlProp136.xml"/><Relationship Id="rId29" Type="http://schemas.openxmlformats.org/officeDocument/2006/relationships/ctrlProp" Target="../ctrlProps/ctrlProp145.xml"/><Relationship Id="rId41" Type="http://schemas.openxmlformats.org/officeDocument/2006/relationships/ctrlProp" Target="../ctrlProps/ctrlProp157.xml"/><Relationship Id="rId54" Type="http://schemas.openxmlformats.org/officeDocument/2006/relationships/ctrlProp" Target="../ctrlProps/ctrlProp170.xml"/><Relationship Id="rId62" Type="http://schemas.openxmlformats.org/officeDocument/2006/relationships/comments" Target="../comments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22.xml"/><Relationship Id="rId11" Type="http://schemas.openxmlformats.org/officeDocument/2006/relationships/ctrlProp" Target="../ctrlProps/ctrlProp127.xml"/><Relationship Id="rId24" Type="http://schemas.openxmlformats.org/officeDocument/2006/relationships/ctrlProp" Target="../ctrlProps/ctrlProp140.xml"/><Relationship Id="rId32" Type="http://schemas.openxmlformats.org/officeDocument/2006/relationships/ctrlProp" Target="../ctrlProps/ctrlProp148.xml"/><Relationship Id="rId37" Type="http://schemas.openxmlformats.org/officeDocument/2006/relationships/ctrlProp" Target="../ctrlProps/ctrlProp153.xml"/><Relationship Id="rId40" Type="http://schemas.openxmlformats.org/officeDocument/2006/relationships/ctrlProp" Target="../ctrlProps/ctrlProp156.xml"/><Relationship Id="rId45" Type="http://schemas.openxmlformats.org/officeDocument/2006/relationships/ctrlProp" Target="../ctrlProps/ctrlProp161.xml"/><Relationship Id="rId53" Type="http://schemas.openxmlformats.org/officeDocument/2006/relationships/ctrlProp" Target="../ctrlProps/ctrlProp169.xml"/><Relationship Id="rId58" Type="http://schemas.openxmlformats.org/officeDocument/2006/relationships/ctrlProp" Target="../ctrlProps/ctrlProp174.xml"/><Relationship Id="rId5" Type="http://schemas.openxmlformats.org/officeDocument/2006/relationships/ctrlProp" Target="../ctrlProps/ctrlProp121.xml"/><Relationship Id="rId15" Type="http://schemas.openxmlformats.org/officeDocument/2006/relationships/ctrlProp" Target="../ctrlProps/ctrlProp131.xml"/><Relationship Id="rId23" Type="http://schemas.openxmlformats.org/officeDocument/2006/relationships/ctrlProp" Target="../ctrlProps/ctrlProp139.xml"/><Relationship Id="rId28" Type="http://schemas.openxmlformats.org/officeDocument/2006/relationships/ctrlProp" Target="../ctrlProps/ctrlProp144.xml"/><Relationship Id="rId36" Type="http://schemas.openxmlformats.org/officeDocument/2006/relationships/ctrlProp" Target="../ctrlProps/ctrlProp152.xml"/><Relationship Id="rId49" Type="http://schemas.openxmlformats.org/officeDocument/2006/relationships/ctrlProp" Target="../ctrlProps/ctrlProp165.xml"/><Relationship Id="rId57" Type="http://schemas.openxmlformats.org/officeDocument/2006/relationships/ctrlProp" Target="../ctrlProps/ctrlProp173.xml"/><Relationship Id="rId61" Type="http://schemas.openxmlformats.org/officeDocument/2006/relationships/ctrlProp" Target="../ctrlProps/ctrlProp177.xml"/><Relationship Id="rId10" Type="http://schemas.openxmlformats.org/officeDocument/2006/relationships/ctrlProp" Target="../ctrlProps/ctrlProp126.xml"/><Relationship Id="rId19" Type="http://schemas.openxmlformats.org/officeDocument/2006/relationships/ctrlProp" Target="../ctrlProps/ctrlProp135.xml"/><Relationship Id="rId31" Type="http://schemas.openxmlformats.org/officeDocument/2006/relationships/ctrlProp" Target="../ctrlProps/ctrlProp147.xml"/><Relationship Id="rId44" Type="http://schemas.openxmlformats.org/officeDocument/2006/relationships/ctrlProp" Target="../ctrlProps/ctrlProp160.xml"/><Relationship Id="rId52" Type="http://schemas.openxmlformats.org/officeDocument/2006/relationships/ctrlProp" Target="../ctrlProps/ctrlProp168.xml"/><Relationship Id="rId60" Type="http://schemas.openxmlformats.org/officeDocument/2006/relationships/ctrlProp" Target="../ctrlProps/ctrlProp176.xml"/><Relationship Id="rId4" Type="http://schemas.openxmlformats.org/officeDocument/2006/relationships/ctrlProp" Target="../ctrlProps/ctrlProp120.xml"/><Relationship Id="rId9" Type="http://schemas.openxmlformats.org/officeDocument/2006/relationships/ctrlProp" Target="../ctrlProps/ctrlProp125.xml"/><Relationship Id="rId14" Type="http://schemas.openxmlformats.org/officeDocument/2006/relationships/ctrlProp" Target="../ctrlProps/ctrlProp130.xml"/><Relationship Id="rId22" Type="http://schemas.openxmlformats.org/officeDocument/2006/relationships/ctrlProp" Target="../ctrlProps/ctrlProp138.xml"/><Relationship Id="rId27" Type="http://schemas.openxmlformats.org/officeDocument/2006/relationships/ctrlProp" Target="../ctrlProps/ctrlProp143.xml"/><Relationship Id="rId30" Type="http://schemas.openxmlformats.org/officeDocument/2006/relationships/ctrlProp" Target="../ctrlProps/ctrlProp146.xml"/><Relationship Id="rId35" Type="http://schemas.openxmlformats.org/officeDocument/2006/relationships/ctrlProp" Target="../ctrlProps/ctrlProp151.xml"/><Relationship Id="rId43" Type="http://schemas.openxmlformats.org/officeDocument/2006/relationships/ctrlProp" Target="../ctrlProps/ctrlProp159.xml"/><Relationship Id="rId48" Type="http://schemas.openxmlformats.org/officeDocument/2006/relationships/ctrlProp" Target="../ctrlProps/ctrlProp164.xml"/><Relationship Id="rId56" Type="http://schemas.openxmlformats.org/officeDocument/2006/relationships/ctrlProp" Target="../ctrlProps/ctrlProp172.xml"/><Relationship Id="rId8" Type="http://schemas.openxmlformats.org/officeDocument/2006/relationships/ctrlProp" Target="../ctrlProps/ctrlProp124.xml"/><Relationship Id="rId51" Type="http://schemas.openxmlformats.org/officeDocument/2006/relationships/ctrlProp" Target="../ctrlProps/ctrlProp167.xml"/><Relationship Id="rId3" Type="http://schemas.openxmlformats.org/officeDocument/2006/relationships/vmlDrawing" Target="../drawings/vmlDrawing4.vml"/><Relationship Id="rId12" Type="http://schemas.openxmlformats.org/officeDocument/2006/relationships/ctrlProp" Target="../ctrlProps/ctrlProp128.xml"/><Relationship Id="rId17" Type="http://schemas.openxmlformats.org/officeDocument/2006/relationships/ctrlProp" Target="../ctrlProps/ctrlProp133.xml"/><Relationship Id="rId25" Type="http://schemas.openxmlformats.org/officeDocument/2006/relationships/ctrlProp" Target="../ctrlProps/ctrlProp141.xml"/><Relationship Id="rId33" Type="http://schemas.openxmlformats.org/officeDocument/2006/relationships/ctrlProp" Target="../ctrlProps/ctrlProp149.xml"/><Relationship Id="rId38" Type="http://schemas.openxmlformats.org/officeDocument/2006/relationships/ctrlProp" Target="../ctrlProps/ctrlProp154.xml"/><Relationship Id="rId46" Type="http://schemas.openxmlformats.org/officeDocument/2006/relationships/ctrlProp" Target="../ctrlProps/ctrlProp162.xml"/><Relationship Id="rId59" Type="http://schemas.openxmlformats.org/officeDocument/2006/relationships/ctrlProp" Target="../ctrlProps/ctrlProp17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FFFF00"/>
  </sheetPr>
  <dimension ref="A1"/>
  <sheetViews>
    <sheetView workbookViewId="0">
      <selection activeCell="E8" sqref="E8"/>
    </sheetView>
  </sheetViews>
  <sheetFormatPr defaultRowHeight="14.25"/>
  <cols>
    <col min="4" max="4" width="8.796875" customWidth="1"/>
  </cols>
  <sheetData>
    <row r="1" spans="1:1" s="18" customFormat="1">
      <c r="A1" s="18" t="s">
        <v>450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H50"/>
  <sheetViews>
    <sheetView workbookViewId="0">
      <selection activeCell="H20" sqref="H20"/>
    </sheetView>
  </sheetViews>
  <sheetFormatPr defaultRowHeight="14.25"/>
  <cols>
    <col min="1" max="3" width="4.69921875" customWidth="1"/>
    <col min="4" max="4" width="18.69921875" customWidth="1"/>
  </cols>
  <sheetData>
    <row r="1" spans="1:8" s="18" customFormat="1">
      <c r="A1" s="18" t="s">
        <v>276</v>
      </c>
    </row>
    <row r="3" spans="1:8" s="40" customFormat="1">
      <c r="A3" s="40" t="s">
        <v>360</v>
      </c>
    </row>
    <row r="5" spans="1:8">
      <c r="D5" s="1" t="s">
        <v>317</v>
      </c>
      <c r="E5" t="s">
        <v>0</v>
      </c>
      <c r="H5" t="s">
        <v>1</v>
      </c>
    </row>
    <row r="7" spans="1:8">
      <c r="D7" s="1" t="s">
        <v>451</v>
      </c>
      <c r="E7" t="s">
        <v>448</v>
      </c>
      <c r="H7" t="s">
        <v>449</v>
      </c>
    </row>
    <row r="9" spans="1:8">
      <c r="D9" s="1" t="s">
        <v>313</v>
      </c>
      <c r="E9" t="s">
        <v>244</v>
      </c>
      <c r="H9" t="s">
        <v>291</v>
      </c>
    </row>
    <row r="11" spans="1:8" s="40" customFormat="1">
      <c r="A11" s="40" t="s">
        <v>361</v>
      </c>
    </row>
    <row r="13" spans="1:8">
      <c r="D13" s="17">
        <v>1</v>
      </c>
      <c r="E13" t="s">
        <v>172</v>
      </c>
    </row>
    <row r="15" spans="1:8">
      <c r="D15" s="17">
        <v>5</v>
      </c>
      <c r="E15" t="s">
        <v>315</v>
      </c>
      <c r="H15" t="s">
        <v>314</v>
      </c>
    </row>
    <row r="17" spans="1:8" s="40" customFormat="1">
      <c r="A17" s="40" t="s">
        <v>359</v>
      </c>
    </row>
    <row r="19" spans="1:8">
      <c r="D19" s="35">
        <v>0</v>
      </c>
      <c r="E19" t="s">
        <v>48</v>
      </c>
    </row>
    <row r="21" spans="1:8">
      <c r="D21" s="35">
        <v>0</v>
      </c>
      <c r="E21" t="s">
        <v>132</v>
      </c>
    </row>
    <row r="23" spans="1:8">
      <c r="D23" s="35">
        <v>1</v>
      </c>
      <c r="E23" t="s">
        <v>133</v>
      </c>
    </row>
    <row r="25" spans="1:8" s="40" customFormat="1">
      <c r="A25" s="40" t="s">
        <v>358</v>
      </c>
    </row>
    <row r="27" spans="1:8">
      <c r="D27" s="1" t="s">
        <v>245</v>
      </c>
      <c r="E27" t="s">
        <v>246</v>
      </c>
      <c r="H27" t="s">
        <v>247</v>
      </c>
    </row>
    <row r="28" spans="1:8">
      <c r="H28" t="s">
        <v>248</v>
      </c>
    </row>
    <row r="29" spans="1:8">
      <c r="D29" s="1" t="s">
        <v>2</v>
      </c>
      <c r="E29" t="s">
        <v>357</v>
      </c>
    </row>
    <row r="31" spans="1:8">
      <c r="D31" s="1" t="s">
        <v>129</v>
      </c>
      <c r="E31" t="s">
        <v>127</v>
      </c>
      <c r="H31" t="s">
        <v>278</v>
      </c>
    </row>
    <row r="33" spans="1:8">
      <c r="D33" s="1" t="s">
        <v>240</v>
      </c>
      <c r="E33" t="s">
        <v>241</v>
      </c>
    </row>
    <row r="35" spans="1:8">
      <c r="D35" s="1" t="s">
        <v>242</v>
      </c>
      <c r="E35" t="s">
        <v>243</v>
      </c>
    </row>
    <row r="37" spans="1:8" s="40" customFormat="1">
      <c r="A37" s="40" t="s">
        <v>362</v>
      </c>
    </row>
    <row r="39" spans="1:8">
      <c r="D39" s="19" t="str">
        <f>tlTeamName</f>
        <v>Enter Name</v>
      </c>
      <c r="E39" t="s">
        <v>49</v>
      </c>
      <c r="H39" t="s">
        <v>95</v>
      </c>
    </row>
    <row r="41" spans="1:8">
      <c r="D41" s="19">
        <f>tlTeamNumber</f>
        <v>0</v>
      </c>
      <c r="E41" t="s">
        <v>94</v>
      </c>
      <c r="H41" t="s">
        <v>96</v>
      </c>
    </row>
    <row r="43" spans="1:8">
      <c r="D43" s="19">
        <f>xxRound</f>
        <v>0</v>
      </c>
      <c r="E43" t="s">
        <v>97</v>
      </c>
      <c r="H43" t="s">
        <v>98</v>
      </c>
    </row>
    <row r="45" spans="1:8">
      <c r="D45" s="19" t="str">
        <f>xxToolPrefix</f>
        <v>tl</v>
      </c>
      <c r="E45" t="s">
        <v>310</v>
      </c>
      <c r="H45" t="s">
        <v>3</v>
      </c>
    </row>
    <row r="46" spans="1:8">
      <c r="H46" t="s">
        <v>4</v>
      </c>
    </row>
    <row r="47" spans="1:8">
      <c r="H47" t="s">
        <v>363</v>
      </c>
    </row>
    <row r="49" spans="4:8">
      <c r="D49" s="19" t="str">
        <f>xxToolPrefix</f>
        <v>tl</v>
      </c>
      <c r="E49" t="s">
        <v>128</v>
      </c>
      <c r="H49" t="s">
        <v>277</v>
      </c>
    </row>
    <row r="50" spans="4:8">
      <c r="H50" t="s">
        <v>363</v>
      </c>
    </row>
  </sheetData>
  <dataValidations count="1">
    <dataValidation type="list" allowBlank="1" showInputMessage="1" showErrorMessage="1" sqref="D7">
      <formula1>"BA1,Hybrid,BA2,Streamline,Board,MTM"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L59"/>
  <sheetViews>
    <sheetView topLeftCell="A11" zoomScaleNormal="100" workbookViewId="0">
      <selection activeCell="E33" sqref="E33"/>
    </sheetView>
  </sheetViews>
  <sheetFormatPr defaultColWidth="8.796875" defaultRowHeight="15.75"/>
  <cols>
    <col min="1" max="1" width="8.796875" style="101"/>
    <col min="2" max="2" width="2.5" style="101" customWidth="1"/>
    <col min="3" max="3" width="2.59765625" style="101" customWidth="1"/>
    <col min="4" max="5" width="11" style="101" customWidth="1"/>
    <col min="6" max="6" width="22.59765625" style="101" bestFit="1" customWidth="1"/>
    <col min="7" max="7" width="21.5" style="101" customWidth="1"/>
    <col min="8" max="10" width="11" style="101" customWidth="1"/>
    <col min="11" max="11" width="16.8984375" style="101" customWidth="1"/>
    <col min="12" max="12" width="18.59765625" style="101" bestFit="1" customWidth="1"/>
    <col min="13" max="13" width="8.796875" style="101"/>
    <col min="14" max="14" width="7.296875" style="101" bestFit="1" customWidth="1"/>
    <col min="15" max="15" width="13.09765625" style="101" customWidth="1"/>
    <col min="16" max="16" width="19.59765625" style="101" bestFit="1" customWidth="1"/>
    <col min="17" max="17" width="19" style="101" bestFit="1" customWidth="1"/>
    <col min="18" max="16384" width="8.796875" style="101"/>
  </cols>
  <sheetData>
    <row r="1" spans="1:12" s="99" customFormat="1" ht="21">
      <c r="A1" s="98" t="s">
        <v>364</v>
      </c>
      <c r="L1" s="100" t="s">
        <v>365</v>
      </c>
    </row>
    <row r="2" spans="1:12" ht="16.5" thickBot="1"/>
    <row r="3" spans="1:12">
      <c r="B3" s="101" t="s">
        <v>366</v>
      </c>
      <c r="E3" s="102" t="s">
        <v>367</v>
      </c>
      <c r="F3" s="118" t="s">
        <v>368</v>
      </c>
    </row>
    <row r="4" spans="1:12" ht="16.5" thickBot="1">
      <c r="B4" s="101" t="s">
        <v>50</v>
      </c>
      <c r="E4" s="103" t="b">
        <v>1</v>
      </c>
      <c r="F4" s="118" t="s">
        <v>369</v>
      </c>
    </row>
    <row r="7" spans="1:12" s="99" customFormat="1" ht="21">
      <c r="A7" s="98" t="s">
        <v>370</v>
      </c>
    </row>
    <row r="8" spans="1:12" ht="16.5" thickBot="1"/>
    <row r="9" spans="1:12">
      <c r="B9" s="101" t="s">
        <v>57</v>
      </c>
      <c r="E9" s="104" t="s">
        <v>58</v>
      </c>
      <c r="F9" s="105" t="s">
        <v>59</v>
      </c>
      <c r="G9" s="105" t="s">
        <v>89</v>
      </c>
      <c r="H9" s="105" t="s">
        <v>90</v>
      </c>
      <c r="I9" s="105" t="s">
        <v>91</v>
      </c>
      <c r="J9" s="105" t="s">
        <v>371</v>
      </c>
      <c r="K9" s="105" t="s">
        <v>60</v>
      </c>
      <c r="L9" s="106" t="s">
        <v>61</v>
      </c>
    </row>
    <row r="10" spans="1:12">
      <c r="E10" s="107">
        <v>1</v>
      </c>
      <c r="F10" s="108" t="s">
        <v>298</v>
      </c>
      <c r="G10" s="109"/>
      <c r="H10" s="108"/>
      <c r="I10" s="108"/>
      <c r="J10" s="108"/>
      <c r="K10" s="110" t="str">
        <f t="shared" ref="K10:K28" si="0">IF(E10=1,IF(G10="","",cnstSingleQuote&amp;G10&amp;cnstSingleQuote),cnstSingleQuote&amp;G10&amp;IF(ISBLANK(H10),"",cnstDoubleQuote&amp;H10&amp;cnstDoubleQuote)&amp;IF(ISBLANK(I10),"",cnstComma&amp;cnstDoubleQuote&amp;I10&amp;cnstDoubleQuote)&amp;IF(ISBLANK(J10),"",cnstComma&amp;cnstDoubleQuote&amp;J10&amp;cnstDoubleQuote)&amp;cnstSingleQuote)</f>
        <v/>
      </c>
      <c r="L10" s="111"/>
    </row>
    <row r="11" spans="1:12">
      <c r="E11" s="107">
        <v>2</v>
      </c>
      <c r="F11" s="108" t="s">
        <v>307</v>
      </c>
      <c r="G11" s="109" t="s">
        <v>62</v>
      </c>
      <c r="H11" s="108"/>
      <c r="I11" s="108"/>
      <c r="J11" s="108"/>
      <c r="K11" s="110" t="str">
        <f t="shared" si="0"/>
        <v>'SimReset'</v>
      </c>
      <c r="L11" s="111"/>
    </row>
    <row r="12" spans="1:12">
      <c r="E12" s="107">
        <v>2</v>
      </c>
      <c r="F12" s="108" t="s">
        <v>306</v>
      </c>
      <c r="G12" s="109" t="s">
        <v>249</v>
      </c>
      <c r="H12" s="108"/>
      <c r="I12" s="108"/>
      <c r="J12" s="108"/>
      <c r="K12" s="110" t="str">
        <f t="shared" si="0"/>
        <v>'SimNewRound'</v>
      </c>
      <c r="L12" s="111"/>
    </row>
    <row r="13" spans="1:12">
      <c r="E13" s="107">
        <v>2</v>
      </c>
      <c r="F13" s="108" t="s">
        <v>308</v>
      </c>
      <c r="G13" s="109" t="s">
        <v>297</v>
      </c>
      <c r="H13" s="108">
        <f>xxNumOfTeams</f>
        <v>5</v>
      </c>
      <c r="I13" s="108"/>
      <c r="J13" s="108"/>
      <c r="K13" s="110" t="str">
        <f t="shared" si="0"/>
        <v>'SimCreateTools"5"'</v>
      </c>
      <c r="L13" s="111"/>
    </row>
    <row r="14" spans="1:12">
      <c r="E14" s="107">
        <v>2</v>
      </c>
      <c r="F14" s="108" t="s">
        <v>302</v>
      </c>
      <c r="G14" s="109" t="s">
        <v>316</v>
      </c>
      <c r="H14" s="108">
        <f>tlTeamNumber</f>
        <v>0</v>
      </c>
      <c r="I14" s="108">
        <f>xxRound</f>
        <v>0</v>
      </c>
      <c r="J14" s="108"/>
      <c r="K14" s="110" t="str">
        <f t="shared" si="0"/>
        <v>'DecExportDecisions"0","0"'</v>
      </c>
      <c r="L14" s="111"/>
    </row>
    <row r="15" spans="1:12">
      <c r="E15" s="107">
        <v>2</v>
      </c>
      <c r="F15" s="108" t="s">
        <v>304</v>
      </c>
      <c r="G15" s="109" t="s">
        <v>299</v>
      </c>
      <c r="H15" s="108"/>
      <c r="I15" s="108"/>
      <c r="J15" s="108"/>
      <c r="K15" s="110" t="str">
        <f t="shared" si="0"/>
        <v>'DecImportDecisions'</v>
      </c>
      <c r="L15" s="111"/>
    </row>
    <row r="16" spans="1:12">
      <c r="E16" s="107">
        <v>2</v>
      </c>
      <c r="F16" s="108" t="s">
        <v>309</v>
      </c>
      <c r="G16" s="109"/>
      <c r="H16" s="108">
        <f>xxRound</f>
        <v>0</v>
      </c>
      <c r="I16" s="108"/>
      <c r="J16" s="108"/>
      <c r="K16" s="110" t="str">
        <f t="shared" si="0"/>
        <v>'"0"'</v>
      </c>
      <c r="L16" s="111"/>
    </row>
    <row r="17" spans="2:12">
      <c r="E17" s="107">
        <v>2</v>
      </c>
      <c r="F17" s="108" t="s">
        <v>305</v>
      </c>
      <c r="G17" s="109" t="s">
        <v>120</v>
      </c>
      <c r="H17" s="108">
        <f>xxRound+1</f>
        <v>1</v>
      </c>
      <c r="I17" s="108"/>
      <c r="J17" s="108"/>
      <c r="K17" s="110" t="str">
        <f t="shared" si="0"/>
        <v>'BalancesExport"1"'</v>
      </c>
      <c r="L17" s="111"/>
    </row>
    <row r="18" spans="2:12">
      <c r="E18" s="107">
        <v>2</v>
      </c>
      <c r="F18" s="108" t="s">
        <v>303</v>
      </c>
      <c r="G18" s="109" t="s">
        <v>300</v>
      </c>
      <c r="H18" s="108">
        <f>xxRound+1</f>
        <v>1</v>
      </c>
      <c r="I18" s="108">
        <f>tlTeamNumber</f>
        <v>0</v>
      </c>
      <c r="J18" s="108"/>
      <c r="K18" s="110" t="str">
        <f t="shared" si="0"/>
        <v>'SimImportToolBalances"1","0"'</v>
      </c>
      <c r="L18" s="111"/>
    </row>
    <row r="19" spans="2:12">
      <c r="E19" s="107">
        <v>1</v>
      </c>
      <c r="F19" s="108" t="s">
        <v>301</v>
      </c>
      <c r="G19" s="109"/>
      <c r="H19" s="108"/>
      <c r="I19" s="108"/>
      <c r="J19" s="108"/>
      <c r="K19" s="110" t="str">
        <f t="shared" si="0"/>
        <v/>
      </c>
      <c r="L19" s="111"/>
    </row>
    <row r="20" spans="2:12">
      <c r="E20" s="107">
        <v>2</v>
      </c>
      <c r="F20" s="108" t="s">
        <v>99</v>
      </c>
      <c r="G20" s="109" t="s">
        <v>100</v>
      </c>
      <c r="H20" s="108"/>
      <c r="I20" s="108"/>
      <c r="J20" s="108"/>
      <c r="K20" s="110" t="str">
        <f t="shared" si="0"/>
        <v>'DecResetFormulae'</v>
      </c>
      <c r="L20" s="111"/>
    </row>
    <row r="21" spans="2:12">
      <c r="E21" s="107">
        <v>2</v>
      </c>
      <c r="F21" s="108" t="s">
        <v>101</v>
      </c>
      <c r="G21" s="109" t="s">
        <v>102</v>
      </c>
      <c r="H21" s="108">
        <f>xxRound</f>
        <v>0</v>
      </c>
      <c r="I21" s="108"/>
      <c r="J21" s="108"/>
      <c r="K21" s="110" t="str">
        <f t="shared" si="0"/>
        <v>'DecResetToolDecs"0"'</v>
      </c>
      <c r="L21" s="111"/>
    </row>
    <row r="22" spans="2:12">
      <c r="E22" s="107">
        <v>2</v>
      </c>
      <c r="F22" s="108" t="s">
        <v>121</v>
      </c>
      <c r="G22" s="109" t="s">
        <v>383</v>
      </c>
      <c r="H22" s="108"/>
      <c r="I22" s="108"/>
      <c r="J22" s="108"/>
      <c r="K22" s="110" t="str">
        <f t="shared" si="0"/>
        <v>'BalancesResetT0Obals'</v>
      </c>
      <c r="L22" s="111"/>
    </row>
    <row r="23" spans="2:12">
      <c r="E23" s="107">
        <v>2</v>
      </c>
      <c r="F23" s="108" t="s">
        <v>109</v>
      </c>
      <c r="G23" s="109" t="s">
        <v>110</v>
      </c>
      <c r="H23" s="108"/>
      <c r="I23" s="108"/>
      <c r="J23" s="108"/>
      <c r="K23" s="110" t="str">
        <f t="shared" si="0"/>
        <v>'DecShowErrorMessage'</v>
      </c>
      <c r="L23" s="111"/>
    </row>
    <row r="24" spans="2:12">
      <c r="E24" s="107">
        <v>1</v>
      </c>
      <c r="F24" s="108" t="s">
        <v>280</v>
      </c>
      <c r="G24" s="109"/>
      <c r="H24" s="108"/>
      <c r="I24" s="108"/>
      <c r="J24" s="108"/>
      <c r="K24" s="110" t="str">
        <f t="shared" si="0"/>
        <v/>
      </c>
      <c r="L24" s="111"/>
    </row>
    <row r="25" spans="2:12">
      <c r="E25" s="107">
        <v>2</v>
      </c>
      <c r="F25" s="108" t="s">
        <v>281</v>
      </c>
      <c r="G25" s="109" t="s">
        <v>282</v>
      </c>
      <c r="H25" s="108" t="s">
        <v>129</v>
      </c>
      <c r="I25" s="108"/>
      <c r="J25" s="108"/>
      <c r="K25" s="110" t="str">
        <f t="shared" si="0"/>
        <v>'HoodGoToScreen"tlIntro"'</v>
      </c>
      <c r="L25" s="111"/>
    </row>
    <row r="26" spans="2:12">
      <c r="E26" s="107">
        <v>2</v>
      </c>
      <c r="F26" s="108" t="s">
        <v>251</v>
      </c>
      <c r="G26" s="109" t="s">
        <v>282</v>
      </c>
      <c r="H26" s="108" t="s">
        <v>283</v>
      </c>
      <c r="I26" s="108"/>
      <c r="J26" s="108"/>
      <c r="K26" s="110" t="str">
        <f t="shared" si="0"/>
        <v>'HoodGoToScreen"tlProd1"'</v>
      </c>
      <c r="L26" s="111"/>
    </row>
    <row r="27" spans="2:12">
      <c r="E27" s="107">
        <v>2</v>
      </c>
      <c r="F27" s="108" t="s">
        <v>163</v>
      </c>
      <c r="G27" s="109" t="s">
        <v>282</v>
      </c>
      <c r="H27" s="108" t="s">
        <v>284</v>
      </c>
      <c r="I27" s="108"/>
      <c r="J27" s="108"/>
      <c r="K27" s="110" t="str">
        <f t="shared" si="0"/>
        <v>'HoodGoToScreen"tlSIs"'</v>
      </c>
      <c r="L27" s="111"/>
    </row>
    <row r="28" spans="2:12" ht="16.5" thickBot="1">
      <c r="E28" s="112">
        <v>1</v>
      </c>
      <c r="F28" s="113" t="s">
        <v>311</v>
      </c>
      <c r="G28" s="114" t="s">
        <v>312</v>
      </c>
      <c r="H28" s="113"/>
      <c r="I28" s="115"/>
      <c r="J28" s="113"/>
      <c r="K28" s="116" t="str">
        <f t="shared" si="0"/>
        <v>'MasterReset'</v>
      </c>
      <c r="L28" s="117"/>
    </row>
    <row r="29" spans="2:12">
      <c r="E29" s="118" t="s">
        <v>63</v>
      </c>
      <c r="F29" s="118" t="s">
        <v>64</v>
      </c>
      <c r="J29" s="119"/>
      <c r="K29" s="118" t="s">
        <v>65</v>
      </c>
      <c r="L29" s="118" t="s">
        <v>66</v>
      </c>
    </row>
    <row r="30" spans="2:12">
      <c r="J30" s="119"/>
      <c r="K30" s="119"/>
    </row>
    <row r="31" spans="2:12" ht="16.5" thickBot="1">
      <c r="B31" s="101" t="s">
        <v>372</v>
      </c>
    </row>
    <row r="32" spans="2:12">
      <c r="C32" s="101" t="s">
        <v>51</v>
      </c>
      <c r="E32" s="120">
        <f>COUNTIF(vbaPopupMenu1ListLevel,1)</f>
        <v>4</v>
      </c>
      <c r="F32" s="118" t="s">
        <v>52</v>
      </c>
    </row>
    <row r="33" spans="1:6">
      <c r="C33" s="101" t="s">
        <v>53</v>
      </c>
      <c r="E33" s="121">
        <f>COUNTIF(vbaPopupMenu1ListLevel,2)</f>
        <v>15</v>
      </c>
      <c r="F33" s="118" t="s">
        <v>54</v>
      </c>
    </row>
    <row r="34" spans="1:6" ht="16.5" thickBot="1">
      <c r="C34" s="101" t="s">
        <v>55</v>
      </c>
      <c r="E34" s="122">
        <f>SUM(E32:E33)</f>
        <v>19</v>
      </c>
      <c r="F34" s="118" t="s">
        <v>56</v>
      </c>
    </row>
    <row r="36" spans="1:6" s="99" customFormat="1" ht="21">
      <c r="A36" s="98" t="s">
        <v>373</v>
      </c>
    </row>
    <row r="37" spans="1:6" ht="16.5" thickBot="1"/>
    <row r="38" spans="1:6" ht="16.5" customHeight="1">
      <c r="B38" s="101" t="s">
        <v>374</v>
      </c>
      <c r="E38" s="123" t="s">
        <v>67</v>
      </c>
      <c r="F38" s="124" t="s">
        <v>68</v>
      </c>
    </row>
    <row r="39" spans="1:6">
      <c r="E39" s="125">
        <v>1</v>
      </c>
      <c r="F39" s="126" t="s">
        <v>69</v>
      </c>
    </row>
    <row r="40" spans="1:6">
      <c r="E40" s="127">
        <v>3</v>
      </c>
      <c r="F40" s="128" t="s">
        <v>70</v>
      </c>
    </row>
    <row r="41" spans="1:6">
      <c r="E41" s="125">
        <v>4</v>
      </c>
      <c r="F41" s="126" t="s">
        <v>71</v>
      </c>
    </row>
    <row r="42" spans="1:6">
      <c r="E42" s="127">
        <v>21</v>
      </c>
      <c r="F42" s="128" t="s">
        <v>72</v>
      </c>
    </row>
    <row r="43" spans="1:6">
      <c r="E43" s="125">
        <v>22</v>
      </c>
      <c r="F43" s="126" t="s">
        <v>73</v>
      </c>
    </row>
    <row r="44" spans="1:6">
      <c r="E44" s="127">
        <v>23</v>
      </c>
      <c r="F44" s="128" t="s">
        <v>74</v>
      </c>
    </row>
    <row r="45" spans="1:6">
      <c r="E45" s="125">
        <v>37</v>
      </c>
      <c r="F45" s="126" t="s">
        <v>75</v>
      </c>
    </row>
    <row r="46" spans="1:6">
      <c r="E46" s="127">
        <v>67</v>
      </c>
      <c r="F46" s="128" t="s">
        <v>76</v>
      </c>
    </row>
    <row r="47" spans="1:6">
      <c r="E47" s="125">
        <v>141</v>
      </c>
      <c r="F47" s="126" t="s">
        <v>77</v>
      </c>
    </row>
    <row r="48" spans="1:6">
      <c r="E48" s="127">
        <v>330</v>
      </c>
      <c r="F48" s="128" t="s">
        <v>78</v>
      </c>
    </row>
    <row r="49" spans="2:6">
      <c r="E49" s="125">
        <v>358</v>
      </c>
      <c r="F49" s="126" t="s">
        <v>79</v>
      </c>
    </row>
    <row r="50" spans="2:6">
      <c r="E50" s="127">
        <v>373</v>
      </c>
      <c r="F50" s="128" t="s">
        <v>80</v>
      </c>
    </row>
    <row r="51" spans="2:6">
      <c r="E51" s="125">
        <v>374</v>
      </c>
      <c r="F51" s="126" t="s">
        <v>81</v>
      </c>
    </row>
    <row r="52" spans="2:6">
      <c r="E52" s="127">
        <v>375</v>
      </c>
      <c r="F52" s="128" t="s">
        <v>82</v>
      </c>
    </row>
    <row r="53" spans="2:6">
      <c r="E53" s="125" t="s">
        <v>83</v>
      </c>
      <c r="F53" s="126" t="s">
        <v>84</v>
      </c>
    </row>
    <row r="54" spans="2:6" ht="16.5" thickBot="1">
      <c r="E54" s="129" t="s">
        <v>85</v>
      </c>
      <c r="F54" s="130" t="s">
        <v>86</v>
      </c>
    </row>
    <row r="56" spans="2:6" ht="16.5" thickBot="1">
      <c r="B56" s="101" t="s">
        <v>375</v>
      </c>
    </row>
    <row r="57" spans="2:6">
      <c r="C57" s="101" t="s">
        <v>376</v>
      </c>
      <c r="E57" s="131" t="s">
        <v>377</v>
      </c>
      <c r="F57" s="134" t="s">
        <v>87</v>
      </c>
    </row>
    <row r="58" spans="2:6">
      <c r="C58" s="101" t="s">
        <v>378</v>
      </c>
      <c r="E58" s="132" t="s">
        <v>379</v>
      </c>
      <c r="F58" s="134" t="s">
        <v>88</v>
      </c>
    </row>
    <row r="59" spans="2:6" ht="16.5" thickBot="1">
      <c r="C59" s="101" t="s">
        <v>380</v>
      </c>
      <c r="E59" s="133" t="s">
        <v>381</v>
      </c>
      <c r="F59" s="134" t="s">
        <v>382</v>
      </c>
    </row>
  </sheetData>
  <conditionalFormatting sqref="I10:J28">
    <cfRule type="expression" dxfId="223" priority="2">
      <formula>H10=""</formula>
    </cfRule>
  </conditionalFormatting>
  <conditionalFormatting sqref="I10:K28">
    <cfRule type="expression" dxfId="222" priority="1">
      <formula>$E10=1</formula>
    </cfRule>
  </conditionalFormatting>
  <dataValidations count="1">
    <dataValidation type="list" allowBlank="1" showInputMessage="1" showErrorMessage="1" sqref="E4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rgb="FFFFFF00"/>
  </sheetPr>
  <dimension ref="A1:Z69"/>
  <sheetViews>
    <sheetView workbookViewId="0">
      <selection activeCell="H31" sqref="H31"/>
    </sheetView>
  </sheetViews>
  <sheetFormatPr defaultColWidth="8.796875" defaultRowHeight="12.75"/>
  <cols>
    <col min="1" max="1" width="3.19921875" style="135" customWidth="1"/>
    <col min="2" max="2" width="18.59765625" style="135" customWidth="1"/>
    <col min="3" max="3" width="41.5" style="135" customWidth="1"/>
    <col min="4" max="4" width="8.296875" style="135" customWidth="1"/>
    <col min="5" max="10" width="10.3984375" style="135" customWidth="1"/>
    <col min="11" max="11" width="8.796875" style="135" customWidth="1"/>
    <col min="12" max="12" width="7.59765625" style="135" customWidth="1"/>
    <col min="13" max="13" width="8.69921875" style="135" customWidth="1"/>
    <col min="14" max="16384" width="8.796875" style="135"/>
  </cols>
  <sheetData>
    <row r="1" spans="1:26" s="160" customFormat="1" ht="18.75" customHeight="1">
      <c r="A1" s="161"/>
      <c r="B1" s="161" t="s">
        <v>445</v>
      </c>
      <c r="C1" s="162"/>
      <c r="D1" s="161"/>
      <c r="E1" s="161"/>
      <c r="F1" s="161"/>
      <c r="G1" s="161"/>
      <c r="H1" s="161"/>
      <c r="I1" s="161"/>
      <c r="J1" s="161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</row>
    <row r="2" spans="1:26" s="148" customFormat="1">
      <c r="D2" s="149"/>
      <c r="F2" s="149"/>
      <c r="H2" s="149"/>
      <c r="J2" s="149"/>
    </row>
    <row r="3" spans="1:26" s="148" customFormat="1" ht="15">
      <c r="B3" s="148" t="s">
        <v>444</v>
      </c>
      <c r="C3" s="159" t="s">
        <v>443</v>
      </c>
      <c r="F3" s="158"/>
      <c r="H3" s="158"/>
      <c r="J3" s="158"/>
    </row>
    <row r="4" spans="1:26" s="148" customFormat="1">
      <c r="C4" s="149"/>
      <c r="E4" s="149"/>
    </row>
    <row r="5" spans="1:26" s="145" customFormat="1" ht="14.25">
      <c r="B5" s="157" t="s">
        <v>442</v>
      </c>
      <c r="E5" s="146"/>
      <c r="F5" s="146"/>
      <c r="G5" s="146"/>
      <c r="H5" s="146"/>
      <c r="I5" s="146"/>
    </row>
    <row r="6" spans="1:26" s="148" customFormat="1">
      <c r="C6" s="149"/>
      <c r="E6" s="149"/>
    </row>
    <row r="7" spans="1:26" s="148" customFormat="1">
      <c r="B7" s="156"/>
      <c r="C7" s="138" t="s">
        <v>441</v>
      </c>
      <c r="E7" s="138"/>
    </row>
    <row r="8" spans="1:26" s="148" customFormat="1" ht="15">
      <c r="B8" s="155"/>
      <c r="C8" s="154" t="s">
        <v>440</v>
      </c>
      <c r="G8" s="139"/>
    </row>
    <row r="9" spans="1:26" s="139" customFormat="1" ht="15">
      <c r="B9" s="151"/>
      <c r="C9" s="154" t="s">
        <v>439</v>
      </c>
    </row>
    <row r="10" spans="1:26">
      <c r="D10" s="141"/>
      <c r="F10" s="141"/>
    </row>
    <row r="11" spans="1:26" s="145" customFormat="1" ht="21" customHeight="1">
      <c r="B11" s="147" t="s">
        <v>446</v>
      </c>
      <c r="E11" s="146"/>
      <c r="F11" s="146"/>
      <c r="G11" s="146"/>
      <c r="H11" s="146"/>
      <c r="I11" s="146"/>
    </row>
    <row r="12" spans="1:26">
      <c r="D12" s="141"/>
      <c r="F12" s="141"/>
    </row>
    <row r="13" spans="1:26" s="148" customFormat="1">
      <c r="B13" s="153" t="s">
        <v>89</v>
      </c>
      <c r="C13" s="152" t="s">
        <v>438</v>
      </c>
      <c r="E13" s="149"/>
    </row>
    <row r="14" spans="1:26" s="139" customFormat="1" ht="3" customHeight="1">
      <c r="C14" s="140"/>
      <c r="D14" s="140"/>
      <c r="E14" s="140"/>
      <c r="F14" s="140"/>
      <c r="H14" s="140"/>
      <c r="I14" s="140"/>
      <c r="J14" s="140"/>
    </row>
    <row r="15" spans="1:26" s="148" customFormat="1">
      <c r="B15" s="151" t="s">
        <v>437</v>
      </c>
      <c r="C15" s="150" t="s">
        <v>436</v>
      </c>
      <c r="E15" s="149"/>
    </row>
    <row r="16" spans="1:26">
      <c r="D16" s="141"/>
      <c r="F16" s="141"/>
    </row>
    <row r="17" spans="2:10" s="145" customFormat="1" ht="21" customHeight="1">
      <c r="B17" s="147" t="s">
        <v>435</v>
      </c>
      <c r="E17" s="146"/>
      <c r="F17" s="146"/>
      <c r="G17" s="146"/>
      <c r="H17" s="146"/>
      <c r="I17" s="146"/>
    </row>
    <row r="18" spans="2:10">
      <c r="B18" s="144"/>
      <c r="D18" s="141"/>
      <c r="F18" s="141"/>
    </row>
    <row r="19" spans="2:10">
      <c r="B19" s="144"/>
      <c r="C19" s="143" t="s">
        <v>447</v>
      </c>
      <c r="D19" s="142" t="s">
        <v>434</v>
      </c>
      <c r="F19" s="141"/>
    </row>
    <row r="20" spans="2:10" s="139" customFormat="1" ht="3" customHeight="1"/>
    <row r="21" spans="2:10" s="139" customFormat="1" ht="15">
      <c r="B21" s="138" t="s">
        <v>433</v>
      </c>
      <c r="C21" s="137"/>
      <c r="D21" s="136" t="s">
        <v>432</v>
      </c>
      <c r="E21" s="135"/>
      <c r="F21" s="140"/>
      <c r="G21" s="135"/>
      <c r="H21" s="140"/>
      <c r="I21" s="135"/>
      <c r="J21" s="140"/>
    </row>
    <row r="22" spans="2:10" s="139" customFormat="1" ht="3" customHeight="1"/>
    <row r="23" spans="2:10" s="139" customFormat="1" ht="15">
      <c r="B23" s="138" t="s">
        <v>431</v>
      </c>
      <c r="C23" s="137"/>
      <c r="D23" s="136" t="s">
        <v>430</v>
      </c>
      <c r="E23" s="135"/>
      <c r="F23" s="140"/>
      <c r="G23" s="135"/>
      <c r="H23" s="140"/>
      <c r="I23" s="135"/>
      <c r="J23" s="140"/>
    </row>
    <row r="24" spans="2:10" s="139" customFormat="1" ht="3" customHeight="1">
      <c r="B24" s="138"/>
    </row>
    <row r="25" spans="2:10" s="139" customFormat="1" ht="15">
      <c r="B25" s="139" t="s">
        <v>429</v>
      </c>
      <c r="C25" s="137"/>
      <c r="D25" s="136" t="s">
        <v>428</v>
      </c>
      <c r="E25" s="135"/>
      <c r="F25" s="140"/>
      <c r="G25" s="135"/>
      <c r="H25" s="140"/>
      <c r="I25" s="135"/>
      <c r="J25" s="140"/>
    </row>
    <row r="26" spans="2:10" s="139" customFormat="1" ht="3" customHeight="1">
      <c r="B26" s="138"/>
    </row>
    <row r="27" spans="2:10" s="139" customFormat="1" ht="15">
      <c r="B27" s="138" t="s">
        <v>427</v>
      </c>
      <c r="C27" s="137"/>
      <c r="D27" s="136" t="s">
        <v>426</v>
      </c>
      <c r="E27" s="135"/>
      <c r="F27" s="140"/>
      <c r="G27" s="135"/>
      <c r="H27" s="140"/>
      <c r="I27" s="135"/>
      <c r="J27" s="140"/>
    </row>
    <row r="28" spans="2:10" s="139" customFormat="1" ht="3" customHeight="1"/>
    <row r="29" spans="2:10" s="139" customFormat="1" ht="15">
      <c r="B29" s="138" t="s">
        <v>425</v>
      </c>
      <c r="C29" s="137"/>
      <c r="D29" s="136" t="s">
        <v>424</v>
      </c>
      <c r="E29" s="135"/>
      <c r="F29" s="140"/>
      <c r="G29" s="135"/>
      <c r="H29" s="140"/>
      <c r="I29" s="135"/>
      <c r="J29" s="140"/>
    </row>
    <row r="30" spans="2:10" s="139" customFormat="1" ht="3" customHeight="1">
      <c r="B30" s="138"/>
    </row>
    <row r="31" spans="2:10" s="139" customFormat="1" ht="15">
      <c r="B31" s="138" t="s">
        <v>423</v>
      </c>
      <c r="C31" s="137"/>
      <c r="D31" s="136" t="s">
        <v>422</v>
      </c>
      <c r="E31" s="135"/>
      <c r="F31" s="140"/>
      <c r="G31" s="135"/>
      <c r="H31" s="140"/>
      <c r="I31" s="135"/>
      <c r="J31" s="140"/>
    </row>
    <row r="32" spans="2:10" s="139" customFormat="1" ht="3" customHeight="1"/>
    <row r="33" spans="2:4" ht="15">
      <c r="B33" s="138" t="s">
        <v>421</v>
      </c>
      <c r="C33" s="137"/>
      <c r="D33" s="136" t="s">
        <v>420</v>
      </c>
    </row>
    <row r="34" spans="2:4" s="139" customFormat="1" ht="3" customHeight="1"/>
    <row r="35" spans="2:4" ht="15">
      <c r="B35" s="138" t="s">
        <v>419</v>
      </c>
      <c r="C35" s="137"/>
      <c r="D35" s="136" t="s">
        <v>418</v>
      </c>
    </row>
    <row r="36" spans="2:4" s="139" customFormat="1" ht="3" customHeight="1"/>
    <row r="37" spans="2:4" ht="15">
      <c r="B37" s="138" t="s">
        <v>417</v>
      </c>
      <c r="C37" s="137"/>
      <c r="D37" s="136" t="s">
        <v>416</v>
      </c>
    </row>
    <row r="38" spans="2:4" s="139" customFormat="1" ht="3" customHeight="1"/>
    <row r="39" spans="2:4" ht="15">
      <c r="B39" s="138" t="s">
        <v>415</v>
      </c>
      <c r="C39" s="137"/>
      <c r="D39" s="136" t="s">
        <v>414</v>
      </c>
    </row>
    <row r="40" spans="2:4" s="139" customFormat="1" ht="3" customHeight="1"/>
    <row r="41" spans="2:4" ht="15">
      <c r="B41" s="138" t="s">
        <v>413</v>
      </c>
      <c r="C41" s="137"/>
      <c r="D41" s="136" t="s">
        <v>412</v>
      </c>
    </row>
    <row r="42" spans="2:4" s="139" customFormat="1" ht="3" customHeight="1"/>
    <row r="43" spans="2:4" ht="15">
      <c r="B43" s="138" t="s">
        <v>411</v>
      </c>
      <c r="C43" s="137"/>
      <c r="D43" s="136" t="s">
        <v>410</v>
      </c>
    </row>
    <row r="44" spans="2:4" s="139" customFormat="1" ht="3" customHeight="1"/>
    <row r="45" spans="2:4" ht="15">
      <c r="B45" s="138" t="s">
        <v>409</v>
      </c>
      <c r="C45" s="137"/>
      <c r="D45" s="136" t="s">
        <v>408</v>
      </c>
    </row>
    <row r="46" spans="2:4" s="139" customFormat="1" ht="3" customHeight="1"/>
    <row r="47" spans="2:4" ht="15">
      <c r="B47" s="138" t="s">
        <v>407</v>
      </c>
      <c r="C47" s="137"/>
      <c r="D47" s="136" t="s">
        <v>406</v>
      </c>
    </row>
    <row r="48" spans="2:4" s="139" customFormat="1" ht="3" customHeight="1"/>
    <row r="49" spans="2:4" ht="15">
      <c r="B49" s="138" t="s">
        <v>405</v>
      </c>
      <c r="C49" s="137"/>
      <c r="D49" s="136" t="s">
        <v>404</v>
      </c>
    </row>
    <row r="50" spans="2:4" s="139" customFormat="1" ht="3" customHeight="1"/>
    <row r="51" spans="2:4" ht="15">
      <c r="B51" s="138" t="s">
        <v>403</v>
      </c>
      <c r="C51" s="137"/>
      <c r="D51" s="136" t="s">
        <v>402</v>
      </c>
    </row>
    <row r="52" spans="2:4" s="139" customFormat="1" ht="3" customHeight="1"/>
    <row r="53" spans="2:4" ht="15">
      <c r="B53" s="138" t="s">
        <v>401</v>
      </c>
      <c r="C53" s="137"/>
      <c r="D53" s="136" t="s">
        <v>400</v>
      </c>
    </row>
    <row r="54" spans="2:4" s="139" customFormat="1" ht="3" customHeight="1"/>
    <row r="55" spans="2:4" ht="15">
      <c r="B55" s="138" t="s">
        <v>399</v>
      </c>
      <c r="C55" s="137"/>
      <c r="D55" s="136" t="s">
        <v>398</v>
      </c>
    </row>
    <row r="56" spans="2:4" s="139" customFormat="1" ht="3" customHeight="1"/>
    <row r="57" spans="2:4" ht="15">
      <c r="B57" s="138" t="s">
        <v>397</v>
      </c>
      <c r="C57" s="137"/>
      <c r="D57" s="136" t="s">
        <v>396</v>
      </c>
    </row>
    <row r="58" spans="2:4" s="139" customFormat="1" ht="3" customHeight="1"/>
    <row r="59" spans="2:4" ht="15">
      <c r="B59" s="138" t="s">
        <v>395</v>
      </c>
      <c r="C59" s="137"/>
      <c r="D59" s="136" t="s">
        <v>394</v>
      </c>
    </row>
    <row r="60" spans="2:4" s="139" customFormat="1" ht="3" customHeight="1"/>
    <row r="61" spans="2:4" ht="15">
      <c r="B61" s="138" t="s">
        <v>393</v>
      </c>
      <c r="C61" s="137"/>
      <c r="D61" s="136" t="s">
        <v>392</v>
      </c>
    </row>
    <row r="62" spans="2:4" s="139" customFormat="1" ht="3" customHeight="1"/>
    <row r="63" spans="2:4" ht="15">
      <c r="B63" s="138" t="s">
        <v>391</v>
      </c>
      <c r="C63" s="137"/>
      <c r="D63" s="136" t="s">
        <v>390</v>
      </c>
    </row>
    <row r="64" spans="2:4" s="139" customFormat="1" ht="3" customHeight="1"/>
    <row r="65" spans="2:4" ht="15">
      <c r="B65" s="138" t="s">
        <v>389</v>
      </c>
      <c r="C65" s="137"/>
      <c r="D65" s="136" t="s">
        <v>388</v>
      </c>
    </row>
    <row r="66" spans="2:4" s="139" customFormat="1" ht="3" customHeight="1"/>
    <row r="67" spans="2:4" ht="15">
      <c r="B67" s="138" t="s">
        <v>387</v>
      </c>
      <c r="C67" s="137"/>
      <c r="D67" s="136" t="s">
        <v>386</v>
      </c>
    </row>
    <row r="68" spans="2:4" s="139" customFormat="1" ht="3" customHeight="1"/>
    <row r="69" spans="2:4" ht="15">
      <c r="B69" s="138" t="s">
        <v>385</v>
      </c>
      <c r="C69" s="137"/>
      <c r="D69" s="136" t="s">
        <v>384</v>
      </c>
    </row>
  </sheetData>
  <hyperlinks>
    <hyperlink ref="C3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P179"/>
  <sheetViews>
    <sheetView topLeftCell="A33" zoomScale="85" zoomScaleNormal="85" workbookViewId="0">
      <selection activeCell="F130" sqref="F130"/>
    </sheetView>
  </sheetViews>
  <sheetFormatPr defaultColWidth="8.796875" defaultRowHeight="15"/>
  <cols>
    <col min="1" max="2" width="2.5" style="344" customWidth="1"/>
    <col min="3" max="3" width="22.296875" style="344" customWidth="1"/>
    <col min="4" max="4" width="2.5" style="344" customWidth="1"/>
    <col min="5" max="12" width="22.296875" style="369" customWidth="1"/>
    <col min="13" max="16384" width="8.796875" style="369"/>
  </cols>
  <sheetData>
    <row r="1" spans="1:16" s="326" customFormat="1" ht="14.25">
      <c r="A1" s="325" t="s">
        <v>617</v>
      </c>
    </row>
    <row r="2" spans="1:16" s="327" customFormat="1" ht="14.25">
      <c r="C2" s="328"/>
      <c r="D2" s="328"/>
      <c r="E2" s="328"/>
      <c r="F2" s="328"/>
      <c r="G2" s="328"/>
      <c r="I2" s="328"/>
      <c r="J2" s="328"/>
      <c r="K2" s="328"/>
      <c r="L2" s="328"/>
      <c r="M2" s="328"/>
      <c r="N2" s="328"/>
      <c r="O2" s="328"/>
    </row>
    <row r="3" spans="1:16" s="327" customFormat="1" ht="14.25">
      <c r="C3" s="327" t="s">
        <v>444</v>
      </c>
      <c r="D3" s="329" t="s">
        <v>618</v>
      </c>
      <c r="F3" s="329"/>
      <c r="G3" s="330"/>
      <c r="I3" s="330"/>
      <c r="J3" s="330"/>
      <c r="K3" s="330"/>
      <c r="L3" s="330"/>
      <c r="M3" s="330"/>
      <c r="N3" s="330"/>
      <c r="O3" s="330"/>
    </row>
    <row r="4" spans="1:16" s="331" customFormat="1" ht="14.25"/>
    <row r="5" spans="1:16" s="333" customFormat="1" ht="14.25">
      <c r="A5" s="332"/>
      <c r="C5" s="333" t="s">
        <v>442</v>
      </c>
      <c r="G5" s="334"/>
      <c r="H5" s="334"/>
      <c r="I5" s="334"/>
      <c r="J5" s="334"/>
      <c r="K5" s="334"/>
      <c r="L5" s="334"/>
      <c r="M5" s="334"/>
      <c r="N5" s="334"/>
      <c r="O5" s="334"/>
      <c r="P5" s="334"/>
    </row>
    <row r="6" spans="1:16" s="331" customFormat="1" ht="14.25"/>
    <row r="7" spans="1:16" s="331" customFormat="1" ht="14.25">
      <c r="C7" s="335" t="s">
        <v>619</v>
      </c>
      <c r="D7" s="335"/>
      <c r="E7" s="335"/>
      <c r="F7" s="335"/>
      <c r="G7" s="336" t="s">
        <v>620</v>
      </c>
    </row>
    <row r="8" spans="1:16" s="331" customFormat="1" ht="14.25">
      <c r="C8" s="337"/>
      <c r="D8" s="338" t="s">
        <v>621</v>
      </c>
      <c r="G8" s="339"/>
      <c r="H8" s="338" t="s">
        <v>622</v>
      </c>
    </row>
    <row r="9" spans="1:16" s="331" customFormat="1" ht="14.25">
      <c r="C9" s="340"/>
      <c r="D9" s="338" t="s">
        <v>440</v>
      </c>
    </row>
    <row r="10" spans="1:16" s="331" customFormat="1" ht="14.25">
      <c r="C10" s="341"/>
      <c r="D10" s="338" t="s">
        <v>623</v>
      </c>
    </row>
    <row r="11" spans="1:16" s="331" customFormat="1" ht="14.25"/>
    <row r="12" spans="1:16" s="343" customFormat="1">
      <c r="A12" s="342" t="s">
        <v>122</v>
      </c>
    </row>
    <row r="13" spans="1:16" s="344" customFormat="1"/>
    <row r="14" spans="1:16" s="344" customFormat="1">
      <c r="C14" s="344" t="s">
        <v>624</v>
      </c>
      <c r="E14" s="345" t="str">
        <f>F114&amp;F115&amp;F116&amp;F117&amp;F118&amp;F119&amp;F120&amp;F121&amp;F122&amp;F123</f>
        <v xml:space="preserve">EPV  -$6348717.2,,M  </v>
      </c>
      <c r="F14" s="346"/>
      <c r="G14" s="346"/>
      <c r="H14" s="346"/>
      <c r="J14" s="346"/>
      <c r="K14" s="346"/>
    </row>
    <row r="15" spans="1:16" s="344" customFormat="1">
      <c r="E15" s="347" t="s">
        <v>625</v>
      </c>
    </row>
    <row r="16" spans="1:16" s="344" customFormat="1">
      <c r="E16" s="348"/>
    </row>
    <row r="17" spans="1:8" s="344" customFormat="1">
      <c r="C17" s="344" t="s">
        <v>626</v>
      </c>
      <c r="E17" s="345" t="str">
        <f>F128&amp;F129&amp;F130&amp;F131&amp;F132&amp;F133&amp;F134&amp;F135&amp;F136&amp;F137</f>
        <v xml:space="preserve">EPV  -$6348717.2,,M  </v>
      </c>
      <c r="F17" s="346"/>
      <c r="G17" s="346"/>
      <c r="H17" s="346"/>
    </row>
    <row r="18" spans="1:8" s="344" customFormat="1">
      <c r="E18" s="347" t="s">
        <v>627</v>
      </c>
    </row>
    <row r="19" spans="1:8" s="344" customFormat="1">
      <c r="E19" s="348"/>
    </row>
    <row r="20" spans="1:8" s="344" customFormat="1">
      <c r="C20" s="344" t="s">
        <v>628</v>
      </c>
      <c r="E20" s="345" t="str">
        <f>F142&amp;F143&amp;F144&amp;F145&amp;F146&amp;F147&amp;F148&amp;F149&amp;F150&amp;F151</f>
        <v xml:space="preserve">EPV  -$6348717.2,,M  </v>
      </c>
      <c r="F20" s="346"/>
      <c r="G20" s="346"/>
      <c r="H20" s="346"/>
    </row>
    <row r="21" spans="1:8" s="344" customFormat="1">
      <c r="E21" s="347" t="s">
        <v>629</v>
      </c>
    </row>
    <row r="22" spans="1:8" s="344" customFormat="1"/>
    <row r="23" spans="1:8" s="344" customFormat="1">
      <c r="C23" s="344" t="s">
        <v>630</v>
      </c>
      <c r="E23" s="345" t="str">
        <f>F156&amp;F157&amp;F158&amp;F159&amp;F160&amp;F161&amp;F162&amp;F163&amp;F164&amp;F165</f>
        <v/>
      </c>
    </row>
    <row r="24" spans="1:8" s="344" customFormat="1">
      <c r="E24" s="347" t="s">
        <v>631</v>
      </c>
    </row>
    <row r="25" spans="1:8" s="344" customFormat="1"/>
    <row r="26" spans="1:8" s="344" customFormat="1">
      <c r="C26" s="344" t="s">
        <v>632</v>
      </c>
      <c r="E26" s="345" t="str">
        <f>F159&amp;F160&amp;F161&amp;F162&amp;F163&amp;F164&amp;F165&amp;F166&amp;F167&amp;F168</f>
        <v/>
      </c>
    </row>
    <row r="27" spans="1:8" s="344" customFormat="1">
      <c r="E27" s="347" t="s">
        <v>633</v>
      </c>
    </row>
    <row r="28" spans="1:8" s="344" customFormat="1"/>
    <row r="29" spans="1:8" s="343" customFormat="1">
      <c r="A29" s="342" t="s">
        <v>123</v>
      </c>
    </row>
    <row r="30" spans="1:8" s="344" customFormat="1"/>
    <row r="31" spans="1:8" s="344" customFormat="1">
      <c r="C31" s="349" t="s">
        <v>634</v>
      </c>
      <c r="E31" s="350">
        <v>2</v>
      </c>
      <c r="F31" s="344" t="s">
        <v>635</v>
      </c>
    </row>
    <row r="32" spans="1:8" s="344" customFormat="1">
      <c r="C32" s="349" t="s">
        <v>636</v>
      </c>
      <c r="E32" s="350">
        <v>4</v>
      </c>
      <c r="F32" s="344" t="s">
        <v>637</v>
      </c>
    </row>
    <row r="33" spans="2:9" s="344" customFormat="1">
      <c r="C33" s="344" t="s">
        <v>638</v>
      </c>
      <c r="E33" s="350">
        <v>2</v>
      </c>
      <c r="F33" s="344" t="s">
        <v>639</v>
      </c>
    </row>
    <row r="34" spans="2:9" s="344" customFormat="1">
      <c r="F34" s="348"/>
    </row>
    <row r="35" spans="2:9" s="344" customFormat="1">
      <c r="B35" s="351" t="s">
        <v>624</v>
      </c>
    </row>
    <row r="36" spans="2:9" s="344" customFormat="1">
      <c r="C36" s="344" t="s">
        <v>640</v>
      </c>
      <c r="E36" s="344" t="s">
        <v>536</v>
      </c>
      <c r="F36" s="349" t="s">
        <v>641</v>
      </c>
      <c r="G36" s="349" t="s">
        <v>642</v>
      </c>
      <c r="H36" s="344" t="s">
        <v>643</v>
      </c>
      <c r="I36" s="344" t="s">
        <v>644</v>
      </c>
    </row>
    <row r="37" spans="2:9" s="344" customFormat="1">
      <c r="B37" s="344">
        <v>1</v>
      </c>
      <c r="C37" s="352" t="s">
        <v>615</v>
      </c>
      <c r="D37" s="344" t="s">
        <v>1467</v>
      </c>
      <c r="E37" s="352" t="b">
        <f>calcDBTriggerMetric1=1</f>
        <v>0</v>
      </c>
      <c r="F37" s="353">
        <f>finScenario1ROI</f>
        <v>7.9444444373089534E-2</v>
      </c>
      <c r="G37" s="354" t="str">
        <f>TEXT(F37,"0.0%;-0.0%;-")</f>
        <v>0.8%</v>
      </c>
      <c r="H37" s="353">
        <v>2.3099999999999999E-2</v>
      </c>
      <c r="I37" s="354"/>
    </row>
    <row r="38" spans="2:9" s="344" customFormat="1">
      <c r="B38" s="344">
        <v>2</v>
      </c>
      <c r="C38" s="355" t="s">
        <v>490</v>
      </c>
      <c r="D38" s="344" t="s">
        <v>1468</v>
      </c>
      <c r="E38" s="355" t="b">
        <f>calcDBTriggerMetric2=1</f>
        <v>1</v>
      </c>
      <c r="F38" s="356">
        <f>finScenario1EPV</f>
        <v>-63487171.701017223</v>
      </c>
      <c r="G38" s="357" t="str">
        <f>TEXT(F38,"$0.0,,;-$0.0,,;-") &amp; "M"</f>
        <v>-$6348717.2,,M</v>
      </c>
      <c r="H38" s="356">
        <v>0.05</v>
      </c>
      <c r="I38" s="357"/>
    </row>
    <row r="39" spans="2:9" s="344" customFormat="1">
      <c r="B39" s="344">
        <v>3</v>
      </c>
      <c r="C39" s="355" t="s">
        <v>476</v>
      </c>
      <c r="D39" s="344" t="s">
        <v>1469</v>
      </c>
      <c r="E39" s="355" t="b">
        <f>calcDBTriggerMetric3=1</f>
        <v>0</v>
      </c>
      <c r="F39" s="356">
        <f>finScenario1NPV</f>
        <v>-54209876.689616203</v>
      </c>
      <c r="G39" s="357" t="str">
        <f>TEXT(F39,"$0.0,,;-$0.0,,;-") &amp; "M"</f>
        <v>-$5420987.7,,M</v>
      </c>
      <c r="H39" s="356">
        <v>0.05</v>
      </c>
      <c r="I39" s="357"/>
    </row>
    <row r="40" spans="2:9" s="344" customFormat="1">
      <c r="B40" s="344">
        <v>4</v>
      </c>
      <c r="C40" s="355" t="s">
        <v>462</v>
      </c>
      <c r="D40" s="344" t="s">
        <v>1470</v>
      </c>
      <c r="E40" s="355" t="b">
        <f>calcDBTriggerMetric4=1</f>
        <v>0</v>
      </c>
      <c r="F40" s="356">
        <f>finScenario1PeakSales</f>
        <v>10195820.909980277</v>
      </c>
      <c r="G40" s="357" t="str">
        <f>TEXT(F40,"$0.0,,;-$0.0,,;-") &amp; "M"</f>
        <v>$1019582.1,,M</v>
      </c>
      <c r="H40" s="356">
        <v>0.05</v>
      </c>
      <c r="I40" s="357"/>
    </row>
    <row r="41" spans="2:9" s="344" customFormat="1">
      <c r="B41" s="344">
        <v>5</v>
      </c>
      <c r="C41" s="355" t="s">
        <v>491</v>
      </c>
      <c r="D41" s="344" t="s">
        <v>1471</v>
      </c>
      <c r="E41" s="355" t="b">
        <f>calcDBTriggerMetric5=1</f>
        <v>0</v>
      </c>
      <c r="F41" s="356">
        <f>finScenario1LaunchDate</f>
        <v>2021.325</v>
      </c>
      <c r="G41" s="357" t="str">
        <f>TEXT(F41,"0;-0;-")</f>
        <v>2021</v>
      </c>
      <c r="H41" s="356">
        <v>0.05</v>
      </c>
      <c r="I41" s="357"/>
    </row>
    <row r="42" spans="2:9" s="344" customFormat="1">
      <c r="B42" s="344">
        <v>6</v>
      </c>
      <c r="C42" s="355" t="s">
        <v>460</v>
      </c>
      <c r="D42" s="344" t="s">
        <v>1472</v>
      </c>
      <c r="E42" s="355" t="b">
        <f>calcDBTriggerMetric6=1</f>
        <v>0</v>
      </c>
      <c r="F42" s="356">
        <f>finScenario1RnDCost</f>
        <v>61300000</v>
      </c>
      <c r="G42" s="357" t="str">
        <f>TEXT(F42,"$0.0,,;-$0.0,,;-") &amp; "M"</f>
        <v>$6130000.0,,M</v>
      </c>
      <c r="H42" s="356">
        <v>0.05</v>
      </c>
      <c r="I42" s="357"/>
    </row>
    <row r="43" spans="2:9" s="344" customFormat="1">
      <c r="B43" s="344">
        <v>7</v>
      </c>
      <c r="C43" s="355" t="s">
        <v>616</v>
      </c>
      <c r="D43" s="344" t="s">
        <v>1473</v>
      </c>
      <c r="E43" s="355" t="b">
        <f>calcDBTriggerMetric7=1</f>
        <v>0</v>
      </c>
      <c r="F43" s="356">
        <f>finScenario1POS</f>
        <v>0.22792184999999998</v>
      </c>
      <c r="G43" s="357" t="str">
        <f t="shared" ref="G43" si="0">TEXT(F43,"0.0%;-0.0%;-")</f>
        <v>2.3%</v>
      </c>
      <c r="H43" s="356">
        <v>0.05</v>
      </c>
      <c r="I43" s="357"/>
    </row>
    <row r="44" spans="2:9" s="344" customFormat="1">
      <c r="B44" s="344">
        <v>8</v>
      </c>
      <c r="C44" s="355"/>
      <c r="E44" s="355" t="b">
        <v>1</v>
      </c>
      <c r="F44" s="356"/>
      <c r="G44" s="357"/>
      <c r="H44" s="356"/>
      <c r="I44" s="357"/>
    </row>
    <row r="45" spans="2:9" s="344" customFormat="1">
      <c r="B45" s="344">
        <v>9</v>
      </c>
      <c r="C45" s="355"/>
      <c r="E45" s="355" t="b">
        <v>1</v>
      </c>
      <c r="F45" s="356"/>
      <c r="G45" s="357"/>
      <c r="H45" s="356"/>
      <c r="I45" s="357"/>
    </row>
    <row r="46" spans="2:9" s="344" customFormat="1">
      <c r="B46" s="344">
        <v>10</v>
      </c>
      <c r="C46" s="358"/>
      <c r="E46" s="358" t="b">
        <v>1</v>
      </c>
      <c r="F46" s="359"/>
      <c r="G46" s="360"/>
      <c r="H46" s="359"/>
      <c r="I46" s="360"/>
    </row>
    <row r="47" spans="2:9" s="344" customFormat="1">
      <c r="C47" s="347" t="s">
        <v>645</v>
      </c>
      <c r="E47" s="348"/>
      <c r="G47" s="347" t="s">
        <v>646</v>
      </c>
    </row>
    <row r="48" spans="2:9" s="344" customFormat="1"/>
    <row r="49" spans="2:9" s="344" customFormat="1">
      <c r="B49" s="351" t="s">
        <v>626</v>
      </c>
    </row>
    <row r="50" spans="2:9" s="344" customFormat="1">
      <c r="C50" s="344" t="s">
        <v>640</v>
      </c>
      <c r="E50" s="344" t="s">
        <v>536</v>
      </c>
      <c r="F50" s="349" t="s">
        <v>641</v>
      </c>
      <c r="G50" s="349" t="s">
        <v>642</v>
      </c>
      <c r="H50" s="344" t="s">
        <v>643</v>
      </c>
      <c r="I50" s="344" t="s">
        <v>644</v>
      </c>
    </row>
    <row r="51" spans="2:9" s="344" customFormat="1">
      <c r="B51" s="344">
        <v>1</v>
      </c>
      <c r="C51" s="352" t="s">
        <v>615</v>
      </c>
      <c r="D51" s="344" t="s">
        <v>1481</v>
      </c>
      <c r="E51" s="352" t="b">
        <f>calcDBTriggerMetric1=1</f>
        <v>0</v>
      </c>
      <c r="F51" s="353">
        <f>finScenario2ROI</f>
        <v>7.9444444373089534E-2</v>
      </c>
      <c r="G51" s="354" t="str">
        <f>TEXT(F51,"0.0%;-0.0%;-")</f>
        <v>0.8%</v>
      </c>
      <c r="H51" s="353">
        <v>2.3099999999999999E-2</v>
      </c>
      <c r="I51" s="354"/>
    </row>
    <row r="52" spans="2:9" s="344" customFormat="1">
      <c r="B52" s="344">
        <v>2</v>
      </c>
      <c r="C52" s="355" t="s">
        <v>490</v>
      </c>
      <c r="D52" s="344" t="s">
        <v>1482</v>
      </c>
      <c r="E52" s="355" t="b">
        <f>calcDBTriggerMetric2=1</f>
        <v>1</v>
      </c>
      <c r="F52" s="356">
        <f>finScenario2EPV</f>
        <v>-63487171.701017223</v>
      </c>
      <c r="G52" s="357" t="str">
        <f>TEXT(F52,"$0.0,,;-$0.0,,;-") &amp; "M"</f>
        <v>-$6348717.2,,M</v>
      </c>
      <c r="H52" s="356">
        <v>0.05</v>
      </c>
      <c r="I52" s="357"/>
    </row>
    <row r="53" spans="2:9" s="344" customFormat="1">
      <c r="B53" s="344">
        <v>3</v>
      </c>
      <c r="C53" s="355" t="s">
        <v>476</v>
      </c>
      <c r="D53" s="344" t="s">
        <v>1483</v>
      </c>
      <c r="E53" s="355" t="b">
        <f>calcDBTriggerMetric3=1</f>
        <v>0</v>
      </c>
      <c r="F53" s="356">
        <f>finScenario2NPV</f>
        <v>-54209876.689616203</v>
      </c>
      <c r="G53" s="357" t="str">
        <f>TEXT(F53,"$0.0,,;-$0.0,,;-") &amp; "M"</f>
        <v>-$5420987.7,,M</v>
      </c>
      <c r="H53" s="356">
        <v>0.05</v>
      </c>
      <c r="I53" s="357"/>
    </row>
    <row r="54" spans="2:9" s="344" customFormat="1">
      <c r="B54" s="344">
        <v>4</v>
      </c>
      <c r="C54" s="355" t="s">
        <v>462</v>
      </c>
      <c r="D54" s="344" t="s">
        <v>1484</v>
      </c>
      <c r="E54" s="355" t="b">
        <f>calcDBTriggerMetric4=1</f>
        <v>0</v>
      </c>
      <c r="F54" s="356">
        <f>finScenario2PeakSales</f>
        <v>10195820.909980277</v>
      </c>
      <c r="G54" s="357" t="str">
        <f>TEXT(F54,"$0.0,,;-$0.0,,;-") &amp; "M"</f>
        <v>$1019582.1,,M</v>
      </c>
      <c r="H54" s="356">
        <v>0.05</v>
      </c>
      <c r="I54" s="357"/>
    </row>
    <row r="55" spans="2:9" s="344" customFormat="1">
      <c r="B55" s="344">
        <v>5</v>
      </c>
      <c r="C55" s="355" t="s">
        <v>491</v>
      </c>
      <c r="D55" s="344" t="s">
        <v>1485</v>
      </c>
      <c r="E55" s="355" t="b">
        <f>calcDBTriggerMetric5=1</f>
        <v>0</v>
      </c>
      <c r="F55" s="356">
        <f>finScenario2LaunchDate</f>
        <v>2021.325</v>
      </c>
      <c r="G55" s="357" t="str">
        <f>TEXT(F55,"0;-0;-")</f>
        <v>2021</v>
      </c>
      <c r="H55" s="356">
        <v>0.05</v>
      </c>
      <c r="I55" s="357"/>
    </row>
    <row r="56" spans="2:9" s="344" customFormat="1">
      <c r="B56" s="344">
        <v>6</v>
      </c>
      <c r="C56" s="355" t="s">
        <v>460</v>
      </c>
      <c r="D56" s="344" t="s">
        <v>1486</v>
      </c>
      <c r="E56" s="355" t="b">
        <f>calcDBTriggerMetric6=1</f>
        <v>0</v>
      </c>
      <c r="F56" s="356">
        <f>finScenario2RnDCost</f>
        <v>61300000</v>
      </c>
      <c r="G56" s="357" t="str">
        <f>TEXT(F56,"$0.0,,;-$0.0,,;-") &amp; "M"</f>
        <v>$6130000.0,,M</v>
      </c>
      <c r="H56" s="356">
        <v>0.05</v>
      </c>
      <c r="I56" s="357"/>
    </row>
    <row r="57" spans="2:9" s="344" customFormat="1">
      <c r="B57" s="344">
        <v>7</v>
      </c>
      <c r="C57" s="355" t="s">
        <v>616</v>
      </c>
      <c r="D57" s="344" t="s">
        <v>1487</v>
      </c>
      <c r="E57" s="355" t="b">
        <f>calcDBTriggerMetric7=1</f>
        <v>0</v>
      </c>
      <c r="F57" s="356">
        <f>finScenario2POS</f>
        <v>0.22792184999999998</v>
      </c>
      <c r="G57" s="357" t="str">
        <f t="shared" ref="G57" si="1">TEXT(F57,"0.0%;-0.0%;-")</f>
        <v>2.3%</v>
      </c>
      <c r="H57" s="356">
        <v>0.05</v>
      </c>
      <c r="I57" s="357"/>
    </row>
    <row r="58" spans="2:9" s="344" customFormat="1">
      <c r="B58" s="344">
        <v>8</v>
      </c>
      <c r="C58" s="355"/>
      <c r="D58" s="361"/>
      <c r="E58" s="355" t="b">
        <v>1</v>
      </c>
      <c r="F58" s="356"/>
      <c r="G58" s="357"/>
      <c r="H58" s="356"/>
      <c r="I58" s="357"/>
    </row>
    <row r="59" spans="2:9" s="344" customFormat="1">
      <c r="B59" s="344">
        <v>9</v>
      </c>
      <c r="C59" s="355"/>
      <c r="D59" s="361"/>
      <c r="E59" s="355" t="b">
        <v>1</v>
      </c>
      <c r="F59" s="356"/>
      <c r="G59" s="357"/>
      <c r="H59" s="356"/>
      <c r="I59" s="357"/>
    </row>
    <row r="60" spans="2:9" s="344" customFormat="1">
      <c r="B60" s="344">
        <v>10</v>
      </c>
      <c r="C60" s="358"/>
      <c r="D60" s="361"/>
      <c r="E60" s="358" t="b">
        <v>1</v>
      </c>
      <c r="F60" s="359"/>
      <c r="G60" s="360"/>
      <c r="H60" s="359"/>
      <c r="I60" s="360"/>
    </row>
    <row r="61" spans="2:9" s="344" customFormat="1">
      <c r="C61" s="347" t="s">
        <v>647</v>
      </c>
      <c r="E61" s="348"/>
      <c r="G61" s="347" t="s">
        <v>648</v>
      </c>
    </row>
    <row r="62" spans="2:9" s="344" customFormat="1"/>
    <row r="63" spans="2:9" s="344" customFormat="1">
      <c r="B63" s="351" t="s">
        <v>628</v>
      </c>
    </row>
    <row r="64" spans="2:9" s="344" customFormat="1">
      <c r="C64" s="344" t="s">
        <v>640</v>
      </c>
      <c r="E64" s="344" t="s">
        <v>536</v>
      </c>
      <c r="F64" s="349" t="s">
        <v>641</v>
      </c>
      <c r="G64" s="349" t="s">
        <v>642</v>
      </c>
      <c r="H64" s="344" t="s">
        <v>643</v>
      </c>
      <c r="I64" s="344" t="s">
        <v>644</v>
      </c>
    </row>
    <row r="65" spans="2:9" s="344" customFormat="1">
      <c r="B65" s="344">
        <v>1</v>
      </c>
      <c r="C65" s="352" t="s">
        <v>615</v>
      </c>
      <c r="D65" s="344" t="s">
        <v>1474</v>
      </c>
      <c r="E65" s="352" t="b">
        <f>calcDBTriggerMetric1=1</f>
        <v>0</v>
      </c>
      <c r="F65" s="353">
        <f>finScenario3ROI</f>
        <v>7.9444444373089534E-2</v>
      </c>
      <c r="G65" s="354" t="str">
        <f>TEXT(F65,"0.0%;-0.0%;-")</f>
        <v>0.8%</v>
      </c>
      <c r="H65" s="353">
        <v>2.3099999999999999E-2</v>
      </c>
      <c r="I65" s="354"/>
    </row>
    <row r="66" spans="2:9" s="344" customFormat="1">
      <c r="B66" s="344">
        <v>2</v>
      </c>
      <c r="C66" s="355" t="s">
        <v>490</v>
      </c>
      <c r="D66" s="344" t="s">
        <v>1475</v>
      </c>
      <c r="E66" s="355" t="b">
        <f>calcDBTriggerMetric2=1</f>
        <v>1</v>
      </c>
      <c r="F66" s="356">
        <f>finScenario3EPV</f>
        <v>-63487171.701017223</v>
      </c>
      <c r="G66" s="357" t="str">
        <f>TEXT(F66,"$0.0,,;-$0.0,,;-") &amp; "M"</f>
        <v>-$6348717.2,,M</v>
      </c>
      <c r="H66" s="356">
        <v>0.05</v>
      </c>
      <c r="I66" s="357"/>
    </row>
    <row r="67" spans="2:9" s="344" customFormat="1">
      <c r="B67" s="344">
        <v>3</v>
      </c>
      <c r="C67" s="355" t="s">
        <v>476</v>
      </c>
      <c r="D67" s="344" t="s">
        <v>1476</v>
      </c>
      <c r="E67" s="355" t="b">
        <f>calcDBTriggerMetric3=1</f>
        <v>0</v>
      </c>
      <c r="F67" s="356">
        <f>finScenario3NPV</f>
        <v>-54209876.689616203</v>
      </c>
      <c r="G67" s="357" t="str">
        <f>TEXT(F67,"$0.0,,;-$0.0,,;-") &amp; "M"</f>
        <v>-$5420987.7,,M</v>
      </c>
      <c r="H67" s="356">
        <v>0.05</v>
      </c>
      <c r="I67" s="357"/>
    </row>
    <row r="68" spans="2:9" s="344" customFormat="1">
      <c r="B68" s="344">
        <v>4</v>
      </c>
      <c r="C68" s="355" t="s">
        <v>462</v>
      </c>
      <c r="D68" s="344" t="s">
        <v>1477</v>
      </c>
      <c r="E68" s="355" t="b">
        <f>calcDBTriggerMetric4=1</f>
        <v>0</v>
      </c>
      <c r="F68" s="356">
        <f>finScenario3PeakSales</f>
        <v>10195820.909980277</v>
      </c>
      <c r="G68" s="357" t="str">
        <f>TEXT(F68,"$0.0,,;-$0.0,,;-") &amp; "M"</f>
        <v>$1019582.1,,M</v>
      </c>
      <c r="H68" s="356">
        <v>0.05</v>
      </c>
      <c r="I68" s="357"/>
    </row>
    <row r="69" spans="2:9" s="344" customFormat="1">
      <c r="B69" s="344">
        <v>5</v>
      </c>
      <c r="C69" s="355" t="s">
        <v>491</v>
      </c>
      <c r="D69" s="344" t="s">
        <v>1478</v>
      </c>
      <c r="E69" s="355" t="b">
        <f>calcDBTriggerMetric5=1</f>
        <v>0</v>
      </c>
      <c r="F69" s="356">
        <f>finScenario3LaunchDate</f>
        <v>2021.325</v>
      </c>
      <c r="G69" s="357" t="str">
        <f>TEXT(F69,"0;-0;-")</f>
        <v>2021</v>
      </c>
      <c r="H69" s="356">
        <v>0.05</v>
      </c>
      <c r="I69" s="357"/>
    </row>
    <row r="70" spans="2:9" s="344" customFormat="1">
      <c r="B70" s="344">
        <v>6</v>
      </c>
      <c r="C70" s="355" t="s">
        <v>460</v>
      </c>
      <c r="D70" s="344" t="s">
        <v>1479</v>
      </c>
      <c r="E70" s="355" t="b">
        <f>calcDBTriggerMetric6=1</f>
        <v>0</v>
      </c>
      <c r="F70" s="356">
        <f>finScenario3RnDCost</f>
        <v>61300000</v>
      </c>
      <c r="G70" s="357" t="str">
        <f>TEXT(F70,"$0.0,,;-$0.0,,;-") &amp; "M"</f>
        <v>$6130000.0,,M</v>
      </c>
      <c r="H70" s="356">
        <v>0.05</v>
      </c>
      <c r="I70" s="357"/>
    </row>
    <row r="71" spans="2:9" s="344" customFormat="1">
      <c r="B71" s="344">
        <v>7</v>
      </c>
      <c r="C71" s="355" t="s">
        <v>616</v>
      </c>
      <c r="D71" s="344" t="s">
        <v>1480</v>
      </c>
      <c r="E71" s="355" t="b">
        <f>calcDBTriggerMetric7=1</f>
        <v>0</v>
      </c>
      <c r="F71" s="356">
        <f>finScenario3POS</f>
        <v>0.22792184999999998</v>
      </c>
      <c r="G71" s="357" t="str">
        <f t="shared" ref="G71" si="2">TEXT(F71,"0.0%;-0.0%;-")</f>
        <v>2.3%</v>
      </c>
      <c r="H71" s="356">
        <v>0.05</v>
      </c>
      <c r="I71" s="357"/>
    </row>
    <row r="72" spans="2:9" s="344" customFormat="1">
      <c r="B72" s="344">
        <v>8</v>
      </c>
      <c r="C72" s="355"/>
      <c r="D72" s="361"/>
      <c r="E72" s="355" t="b">
        <v>1</v>
      </c>
      <c r="F72" s="356"/>
      <c r="G72" s="357"/>
      <c r="H72" s="356"/>
      <c r="I72" s="357"/>
    </row>
    <row r="73" spans="2:9" s="344" customFormat="1">
      <c r="B73" s="344">
        <v>9</v>
      </c>
      <c r="C73" s="355"/>
      <c r="D73" s="361"/>
      <c r="E73" s="355" t="b">
        <v>1</v>
      </c>
      <c r="F73" s="356"/>
      <c r="G73" s="357"/>
      <c r="H73" s="356"/>
      <c r="I73" s="357"/>
    </row>
    <row r="74" spans="2:9" s="344" customFormat="1">
      <c r="B74" s="344">
        <v>10</v>
      </c>
      <c r="C74" s="358"/>
      <c r="D74" s="361"/>
      <c r="E74" s="358" t="b">
        <v>1</v>
      </c>
      <c r="F74" s="359"/>
      <c r="G74" s="360"/>
      <c r="H74" s="359"/>
      <c r="I74" s="360"/>
    </row>
    <row r="75" spans="2:9" s="344" customFormat="1">
      <c r="C75" s="347" t="s">
        <v>649</v>
      </c>
      <c r="E75" s="348"/>
      <c r="G75" s="347" t="s">
        <v>650</v>
      </c>
    </row>
    <row r="76" spans="2:9" s="344" customFormat="1"/>
    <row r="77" spans="2:9" s="344" customFormat="1">
      <c r="B77" s="351" t="s">
        <v>630</v>
      </c>
    </row>
    <row r="78" spans="2:9" s="344" customFormat="1">
      <c r="C78" s="344" t="s">
        <v>640</v>
      </c>
      <c r="E78" s="344" t="s">
        <v>536</v>
      </c>
      <c r="F78" s="349" t="s">
        <v>641</v>
      </c>
      <c r="G78" s="349" t="s">
        <v>642</v>
      </c>
      <c r="H78" s="344" t="s">
        <v>643</v>
      </c>
      <c r="I78" s="344" t="s">
        <v>644</v>
      </c>
    </row>
    <row r="79" spans="2:9" s="344" customFormat="1">
      <c r="B79" s="344">
        <v>1</v>
      </c>
      <c r="C79" s="352"/>
      <c r="D79" s="361"/>
      <c r="E79" s="352" t="b">
        <v>1</v>
      </c>
      <c r="F79" s="353"/>
      <c r="G79" s="354"/>
      <c r="H79" s="353"/>
      <c r="I79" s="354"/>
    </row>
    <row r="80" spans="2:9" s="344" customFormat="1">
      <c r="B80" s="344">
        <v>2</v>
      </c>
      <c r="C80" s="355"/>
      <c r="D80" s="361"/>
      <c r="E80" s="355" t="b">
        <v>1</v>
      </c>
      <c r="F80" s="356"/>
      <c r="G80" s="357"/>
      <c r="H80" s="356"/>
      <c r="I80" s="357"/>
    </row>
    <row r="81" spans="2:9" s="344" customFormat="1">
      <c r="B81" s="344">
        <v>3</v>
      </c>
      <c r="C81" s="355"/>
      <c r="D81" s="361"/>
      <c r="E81" s="355" t="b">
        <v>1</v>
      </c>
      <c r="F81" s="356"/>
      <c r="G81" s="357"/>
      <c r="H81" s="356"/>
      <c r="I81" s="357"/>
    </row>
    <row r="82" spans="2:9" s="344" customFormat="1">
      <c r="B82" s="344">
        <v>4</v>
      </c>
      <c r="C82" s="355"/>
      <c r="D82" s="361"/>
      <c r="E82" s="355" t="b">
        <v>1</v>
      </c>
      <c r="F82" s="356"/>
      <c r="G82" s="357"/>
      <c r="H82" s="356"/>
      <c r="I82" s="357"/>
    </row>
    <row r="83" spans="2:9" s="344" customFormat="1">
      <c r="B83" s="344">
        <v>5</v>
      </c>
      <c r="C83" s="355"/>
      <c r="D83" s="361"/>
      <c r="E83" s="355" t="b">
        <v>1</v>
      </c>
      <c r="F83" s="356"/>
      <c r="G83" s="357"/>
      <c r="H83" s="356"/>
      <c r="I83" s="357"/>
    </row>
    <row r="84" spans="2:9" s="344" customFormat="1">
      <c r="B84" s="344">
        <v>6</v>
      </c>
      <c r="C84" s="355"/>
      <c r="D84" s="361"/>
      <c r="E84" s="355" t="b">
        <v>1</v>
      </c>
      <c r="F84" s="356"/>
      <c r="G84" s="357"/>
      <c r="H84" s="356"/>
      <c r="I84" s="357"/>
    </row>
    <row r="85" spans="2:9" s="344" customFormat="1">
      <c r="B85" s="344">
        <v>7</v>
      </c>
      <c r="C85" s="355"/>
      <c r="D85" s="361"/>
      <c r="E85" s="355" t="b">
        <v>1</v>
      </c>
      <c r="F85" s="356"/>
      <c r="G85" s="357"/>
      <c r="H85" s="356"/>
      <c r="I85" s="357"/>
    </row>
    <row r="86" spans="2:9" s="344" customFormat="1">
      <c r="B86" s="344">
        <v>8</v>
      </c>
      <c r="C86" s="355"/>
      <c r="D86" s="361"/>
      <c r="E86" s="355" t="b">
        <v>1</v>
      </c>
      <c r="F86" s="356"/>
      <c r="G86" s="357"/>
      <c r="H86" s="356"/>
      <c r="I86" s="357"/>
    </row>
    <row r="87" spans="2:9" s="344" customFormat="1">
      <c r="B87" s="344">
        <v>9</v>
      </c>
      <c r="C87" s="355"/>
      <c r="D87" s="361"/>
      <c r="E87" s="355" t="b">
        <v>1</v>
      </c>
      <c r="F87" s="356"/>
      <c r="G87" s="357"/>
      <c r="H87" s="356"/>
      <c r="I87" s="357"/>
    </row>
    <row r="88" spans="2:9" s="344" customFormat="1">
      <c r="B88" s="344">
        <v>10</v>
      </c>
      <c r="C88" s="358"/>
      <c r="D88" s="361"/>
      <c r="E88" s="358" t="b">
        <v>1</v>
      </c>
      <c r="F88" s="359"/>
      <c r="G88" s="360"/>
      <c r="H88" s="359"/>
      <c r="I88" s="360"/>
    </row>
    <row r="89" spans="2:9" s="344" customFormat="1">
      <c r="C89" s="347" t="s">
        <v>651</v>
      </c>
      <c r="E89" s="348"/>
      <c r="G89" s="347" t="s">
        <v>652</v>
      </c>
    </row>
    <row r="90" spans="2:9" s="344" customFormat="1"/>
    <row r="91" spans="2:9" s="344" customFormat="1">
      <c r="B91" s="351" t="s">
        <v>632</v>
      </c>
    </row>
    <row r="92" spans="2:9" s="344" customFormat="1">
      <c r="C92" s="344" t="s">
        <v>640</v>
      </c>
      <c r="E92" s="344" t="s">
        <v>536</v>
      </c>
      <c r="F92" s="349" t="s">
        <v>641</v>
      </c>
      <c r="G92" s="349" t="s">
        <v>642</v>
      </c>
      <c r="H92" s="344" t="s">
        <v>643</v>
      </c>
      <c r="I92" s="344" t="s">
        <v>644</v>
      </c>
    </row>
    <row r="93" spans="2:9" s="344" customFormat="1">
      <c r="B93" s="344">
        <v>1</v>
      </c>
      <c r="C93" s="352"/>
      <c r="D93" s="361"/>
      <c r="E93" s="352" t="b">
        <v>1</v>
      </c>
      <c r="F93" s="353"/>
      <c r="G93" s="354"/>
      <c r="H93" s="353"/>
      <c r="I93" s="354"/>
    </row>
    <row r="94" spans="2:9" s="344" customFormat="1">
      <c r="B94" s="344">
        <v>2</v>
      </c>
      <c r="C94" s="355"/>
      <c r="D94" s="361"/>
      <c r="E94" s="355" t="b">
        <v>1</v>
      </c>
      <c r="F94" s="356"/>
      <c r="G94" s="357"/>
      <c r="H94" s="356"/>
      <c r="I94" s="357"/>
    </row>
    <row r="95" spans="2:9" s="344" customFormat="1">
      <c r="B95" s="344">
        <v>3</v>
      </c>
      <c r="C95" s="355"/>
      <c r="D95" s="361"/>
      <c r="E95" s="355" t="b">
        <v>1</v>
      </c>
      <c r="F95" s="356"/>
      <c r="G95" s="357"/>
      <c r="H95" s="356"/>
      <c r="I95" s="357"/>
    </row>
    <row r="96" spans="2:9" s="344" customFormat="1">
      <c r="B96" s="344">
        <v>4</v>
      </c>
      <c r="C96" s="355"/>
      <c r="D96" s="361"/>
      <c r="E96" s="355" t="b">
        <v>1</v>
      </c>
      <c r="F96" s="356"/>
      <c r="G96" s="357"/>
      <c r="H96" s="356"/>
      <c r="I96" s="357"/>
    </row>
    <row r="97" spans="1:9" s="344" customFormat="1">
      <c r="B97" s="344">
        <v>5</v>
      </c>
      <c r="C97" s="355"/>
      <c r="D97" s="361"/>
      <c r="E97" s="355" t="b">
        <v>1</v>
      </c>
      <c r="F97" s="356"/>
      <c r="G97" s="357"/>
      <c r="H97" s="356"/>
      <c r="I97" s="357"/>
    </row>
    <row r="98" spans="1:9" s="344" customFormat="1">
      <c r="B98" s="344">
        <v>6</v>
      </c>
      <c r="C98" s="355"/>
      <c r="D98" s="361"/>
      <c r="E98" s="355" t="b">
        <v>1</v>
      </c>
      <c r="F98" s="356"/>
      <c r="G98" s="357"/>
      <c r="H98" s="356"/>
      <c r="I98" s="357"/>
    </row>
    <row r="99" spans="1:9" s="344" customFormat="1">
      <c r="B99" s="344">
        <v>7</v>
      </c>
      <c r="C99" s="355"/>
      <c r="D99" s="361"/>
      <c r="E99" s="355" t="b">
        <v>1</v>
      </c>
      <c r="F99" s="356"/>
      <c r="G99" s="357"/>
      <c r="H99" s="356"/>
      <c r="I99" s="357"/>
    </row>
    <row r="100" spans="1:9" s="344" customFormat="1">
      <c r="B100" s="344">
        <v>8</v>
      </c>
      <c r="C100" s="355"/>
      <c r="D100" s="361"/>
      <c r="E100" s="355" t="b">
        <v>1</v>
      </c>
      <c r="F100" s="356"/>
      <c r="G100" s="357"/>
      <c r="H100" s="356"/>
      <c r="I100" s="357"/>
    </row>
    <row r="101" spans="1:9" s="344" customFormat="1">
      <c r="B101" s="344">
        <v>9</v>
      </c>
      <c r="C101" s="355"/>
      <c r="D101" s="361"/>
      <c r="E101" s="355" t="b">
        <v>1</v>
      </c>
      <c r="F101" s="356"/>
      <c r="G101" s="357"/>
      <c r="H101" s="356"/>
      <c r="I101" s="357"/>
    </row>
    <row r="102" spans="1:9" s="344" customFormat="1">
      <c r="B102" s="344">
        <v>10</v>
      </c>
      <c r="C102" s="358"/>
      <c r="D102" s="361"/>
      <c r="E102" s="358" t="b">
        <v>1</v>
      </c>
      <c r="F102" s="359"/>
      <c r="G102" s="360"/>
      <c r="H102" s="359"/>
      <c r="I102" s="360"/>
    </row>
    <row r="103" spans="1:9" s="344" customFormat="1">
      <c r="C103" s="347" t="s">
        <v>653</v>
      </c>
      <c r="E103" s="348"/>
      <c r="G103" s="347" t="s">
        <v>654</v>
      </c>
    </row>
    <row r="104" spans="1:9" s="344" customFormat="1"/>
    <row r="105" spans="1:9" s="344" customFormat="1"/>
    <row r="106" spans="1:9" s="343" customFormat="1">
      <c r="A106" s="342" t="s">
        <v>126</v>
      </c>
    </row>
    <row r="107" spans="1:9" s="344" customFormat="1"/>
    <row r="108" spans="1:9" s="344" customFormat="1">
      <c r="C108" s="344" t="s">
        <v>655</v>
      </c>
      <c r="E108" s="362" t="str">
        <f>REPT(CHAR(32),DB_WhiteSpaceLength)</f>
        <v xml:space="preserve">  </v>
      </c>
      <c r="F108" s="344" t="s">
        <v>656</v>
      </c>
    </row>
    <row r="109" spans="1:9" s="344" customFormat="1">
      <c r="C109" s="344" t="s">
        <v>657</v>
      </c>
      <c r="E109" s="362" t="str">
        <f>REPT(CHAR(32),DB_LargeWhiteSpaceLength)</f>
        <v xml:space="preserve">    </v>
      </c>
      <c r="F109" s="344" t="s">
        <v>658</v>
      </c>
    </row>
    <row r="110" spans="1:9" s="344" customFormat="1">
      <c r="C110" s="344" t="s">
        <v>659</v>
      </c>
      <c r="E110" s="362" t="str">
        <f>REPT(CHAR(32),DB_SubWhiteSpaceLength)</f>
        <v xml:space="preserve">  </v>
      </c>
      <c r="F110" s="344" t="s">
        <v>660</v>
      </c>
    </row>
    <row r="111" spans="1:9" s="344" customFormat="1"/>
    <row r="112" spans="1:9" s="344" customFormat="1"/>
    <row r="113" spans="3:6" s="344" customFormat="1">
      <c r="C113" s="344" t="s">
        <v>624</v>
      </c>
      <c r="E113" s="349" t="s">
        <v>661</v>
      </c>
      <c r="F113" s="349" t="s">
        <v>662</v>
      </c>
    </row>
    <row r="114" spans="3:6" s="344" customFormat="1">
      <c r="E114" s="363" t="str">
        <f t="shared" ref="E114:E120" si="3">INDEX(DB_ArrayDash1Names,$B37)&amp;DB_WhiteSpace&amp;INDEX(DB_ArrayDash1Values,$B37)&amp;IF(H37="","",DB_SubWhiteSpace&amp;I37)</f>
        <v xml:space="preserve">ROI  0.8%  </v>
      </c>
      <c r="F114" s="364" t="str">
        <f t="shared" ref="F114:F117" si="4">IF(E37,E114,"")</f>
        <v/>
      </c>
    </row>
    <row r="115" spans="3:6" s="344" customFormat="1">
      <c r="E115" s="365" t="str">
        <f t="shared" si="3"/>
        <v xml:space="preserve">EPV  -$6348717.2,,M  </v>
      </c>
      <c r="F115" s="366" t="str">
        <f t="shared" si="4"/>
        <v xml:space="preserve">EPV  -$6348717.2,,M  </v>
      </c>
    </row>
    <row r="116" spans="3:6" s="344" customFormat="1">
      <c r="E116" s="365" t="str">
        <f t="shared" si="3"/>
        <v xml:space="preserve">NPV  -$5420987.7,,M  </v>
      </c>
      <c r="F116" s="366" t="str">
        <f t="shared" si="4"/>
        <v/>
      </c>
    </row>
    <row r="117" spans="3:6" s="344" customFormat="1">
      <c r="E117" s="365" t="str">
        <f t="shared" si="3"/>
        <v xml:space="preserve">Peak Sales  $1019582.1,,M  </v>
      </c>
      <c r="F117" s="366" t="str">
        <f t="shared" si="4"/>
        <v/>
      </c>
    </row>
    <row r="118" spans="3:6" s="344" customFormat="1">
      <c r="E118" s="365" t="str">
        <f t="shared" si="3"/>
        <v xml:space="preserve">Launch Date  2021  </v>
      </c>
      <c r="F118" s="366" t="str">
        <f t="shared" ref="F118:F120" si="5">IF(E41,E118,"")</f>
        <v/>
      </c>
    </row>
    <row r="119" spans="3:6" s="344" customFormat="1">
      <c r="E119" s="365" t="str">
        <f t="shared" si="3"/>
        <v xml:space="preserve">R&amp;D Cost  $6130000.0,,M  </v>
      </c>
      <c r="F119" s="366" t="str">
        <f t="shared" si="5"/>
        <v/>
      </c>
    </row>
    <row r="120" spans="3:6" s="344" customFormat="1">
      <c r="E120" s="365" t="str">
        <f t="shared" si="3"/>
        <v xml:space="preserve">POS  2.3%  </v>
      </c>
      <c r="F120" s="366" t="str">
        <f t="shared" si="5"/>
        <v/>
      </c>
    </row>
    <row r="121" spans="3:6" s="344" customFormat="1">
      <c r="E121" s="365"/>
      <c r="F121" s="366"/>
    </row>
    <row r="122" spans="3:6" s="344" customFormat="1">
      <c r="E122" s="365"/>
      <c r="F122" s="366"/>
    </row>
    <row r="123" spans="3:6" s="344" customFormat="1">
      <c r="E123" s="367"/>
      <c r="F123" s="368"/>
    </row>
    <row r="124" spans="3:6" s="344" customFormat="1"/>
    <row r="125" spans="3:6" s="344" customFormat="1"/>
    <row r="126" spans="3:6" s="344" customFormat="1"/>
    <row r="127" spans="3:6" s="344" customFormat="1">
      <c r="C127" s="344" t="s">
        <v>626</v>
      </c>
      <c r="E127" s="349" t="s">
        <v>661</v>
      </c>
      <c r="F127" s="349" t="s">
        <v>662</v>
      </c>
    </row>
    <row r="128" spans="3:6" s="344" customFormat="1">
      <c r="E128" s="363" t="str">
        <f t="shared" ref="E128:E134" si="6">INDEX(DB_ArrayDash2Names,$B51)&amp;DB_WhiteSpace&amp;INDEX(DB_ArrayDash2Values,$B51)&amp;IF(H51="","",DB_SubWhiteSpace&amp;I51)</f>
        <v xml:space="preserve">ROI  0.8%  </v>
      </c>
      <c r="F128" s="364" t="str">
        <f t="shared" ref="F128:F134" si="7">IF(E51,E128,"")</f>
        <v/>
      </c>
    </row>
    <row r="129" spans="3:6" s="344" customFormat="1">
      <c r="E129" s="365" t="str">
        <f t="shared" si="6"/>
        <v xml:space="preserve">EPV  -$6348717.2,,M  </v>
      </c>
      <c r="F129" s="366" t="str">
        <f t="shared" si="7"/>
        <v xml:space="preserve">EPV  -$6348717.2,,M  </v>
      </c>
    </row>
    <row r="130" spans="3:6" s="344" customFormat="1">
      <c r="E130" s="365" t="str">
        <f t="shared" si="6"/>
        <v xml:space="preserve">NPV  -$5420987.7,,M  </v>
      </c>
      <c r="F130" s="366" t="str">
        <f t="shared" si="7"/>
        <v/>
      </c>
    </row>
    <row r="131" spans="3:6" s="344" customFormat="1">
      <c r="E131" s="365" t="str">
        <f t="shared" si="6"/>
        <v xml:space="preserve">Peak Sales  $1019582.1,,M  </v>
      </c>
      <c r="F131" s="366" t="str">
        <f t="shared" si="7"/>
        <v/>
      </c>
    </row>
    <row r="132" spans="3:6" s="344" customFormat="1">
      <c r="E132" s="365" t="str">
        <f t="shared" si="6"/>
        <v xml:space="preserve">Launch Date  2021  </v>
      </c>
      <c r="F132" s="366" t="str">
        <f t="shared" si="7"/>
        <v/>
      </c>
    </row>
    <row r="133" spans="3:6" s="344" customFormat="1">
      <c r="E133" s="365" t="str">
        <f t="shared" si="6"/>
        <v xml:space="preserve">R&amp;D Cost  $6130000.0,,M  </v>
      </c>
      <c r="F133" s="366" t="str">
        <f t="shared" si="7"/>
        <v/>
      </c>
    </row>
    <row r="134" spans="3:6" s="344" customFormat="1">
      <c r="E134" s="365" t="str">
        <f t="shared" si="6"/>
        <v xml:space="preserve">POS  2.3%  </v>
      </c>
      <c r="F134" s="366" t="str">
        <f t="shared" si="7"/>
        <v/>
      </c>
    </row>
    <row r="135" spans="3:6" s="344" customFormat="1">
      <c r="E135" s="365"/>
      <c r="F135" s="366"/>
    </row>
    <row r="136" spans="3:6" s="344" customFormat="1">
      <c r="E136" s="365"/>
      <c r="F136" s="366"/>
    </row>
    <row r="137" spans="3:6" s="344" customFormat="1">
      <c r="E137" s="367"/>
      <c r="F137" s="368"/>
    </row>
    <row r="138" spans="3:6" s="344" customFormat="1"/>
    <row r="139" spans="3:6" s="344" customFormat="1"/>
    <row r="140" spans="3:6" s="344" customFormat="1"/>
    <row r="141" spans="3:6" s="344" customFormat="1">
      <c r="C141" s="344" t="s">
        <v>628</v>
      </c>
      <c r="E141" s="349" t="s">
        <v>661</v>
      </c>
      <c r="F141" s="349" t="s">
        <v>662</v>
      </c>
    </row>
    <row r="142" spans="3:6" s="344" customFormat="1">
      <c r="E142" s="363" t="str">
        <f t="shared" ref="E142:E148" si="8">INDEX(DB_ArrayDash3Names,$B65)&amp;DB_WhiteSpace&amp;INDEX(DB_ArrayDash3Values,$B65)&amp;IF(H65="","",DB_SubWhiteSpace&amp;I65)</f>
        <v xml:space="preserve">ROI  0.8%  </v>
      </c>
      <c r="F142" s="364" t="str">
        <f t="shared" ref="F142:F148" si="9">IF(E65,E142,"")</f>
        <v/>
      </c>
    </row>
    <row r="143" spans="3:6" s="344" customFormat="1">
      <c r="E143" s="365" t="str">
        <f t="shared" si="8"/>
        <v xml:space="preserve">EPV  -$6348717.2,,M  </v>
      </c>
      <c r="F143" s="366" t="str">
        <f t="shared" si="9"/>
        <v xml:space="preserve">EPV  -$6348717.2,,M  </v>
      </c>
    </row>
    <row r="144" spans="3:6" s="344" customFormat="1">
      <c r="E144" s="365" t="str">
        <f t="shared" si="8"/>
        <v xml:space="preserve">NPV  -$5420987.7,,M  </v>
      </c>
      <c r="F144" s="366" t="str">
        <f t="shared" si="9"/>
        <v/>
      </c>
    </row>
    <row r="145" spans="3:6" s="344" customFormat="1">
      <c r="E145" s="365" t="str">
        <f t="shared" si="8"/>
        <v xml:space="preserve">Peak Sales  $1019582.1,,M  </v>
      </c>
      <c r="F145" s="366" t="str">
        <f t="shared" si="9"/>
        <v/>
      </c>
    </row>
    <row r="146" spans="3:6" s="344" customFormat="1">
      <c r="E146" s="365" t="str">
        <f t="shared" si="8"/>
        <v xml:space="preserve">Launch Date  2021  </v>
      </c>
      <c r="F146" s="366" t="str">
        <f t="shared" si="9"/>
        <v/>
      </c>
    </row>
    <row r="147" spans="3:6" s="344" customFormat="1">
      <c r="E147" s="365" t="str">
        <f t="shared" si="8"/>
        <v xml:space="preserve">R&amp;D Cost  $6130000.0,,M  </v>
      </c>
      <c r="F147" s="366" t="str">
        <f t="shared" si="9"/>
        <v/>
      </c>
    </row>
    <row r="148" spans="3:6" s="344" customFormat="1">
      <c r="E148" s="365" t="str">
        <f t="shared" si="8"/>
        <v xml:space="preserve">POS  2.3%  </v>
      </c>
      <c r="F148" s="366" t="str">
        <f t="shared" si="9"/>
        <v/>
      </c>
    </row>
    <row r="149" spans="3:6" s="344" customFormat="1">
      <c r="E149" s="365"/>
      <c r="F149" s="366"/>
    </row>
    <row r="150" spans="3:6" s="344" customFormat="1">
      <c r="E150" s="365"/>
      <c r="F150" s="366"/>
    </row>
    <row r="151" spans="3:6" s="344" customFormat="1">
      <c r="E151" s="367"/>
      <c r="F151" s="368"/>
    </row>
    <row r="152" spans="3:6" s="344" customFormat="1"/>
    <row r="153" spans="3:6" s="344" customFormat="1"/>
    <row r="154" spans="3:6" s="344" customFormat="1"/>
    <row r="155" spans="3:6" s="344" customFormat="1">
      <c r="C155" s="344" t="s">
        <v>630</v>
      </c>
      <c r="E155" s="349" t="s">
        <v>661</v>
      </c>
      <c r="F155" s="349" t="s">
        <v>662</v>
      </c>
    </row>
    <row r="156" spans="3:6" s="344" customFormat="1">
      <c r="E156" s="363"/>
      <c r="F156" s="364"/>
    </row>
    <row r="157" spans="3:6" s="344" customFormat="1">
      <c r="E157" s="365"/>
      <c r="F157" s="366"/>
    </row>
    <row r="158" spans="3:6" s="344" customFormat="1">
      <c r="E158" s="365"/>
      <c r="F158" s="366"/>
    </row>
    <row r="159" spans="3:6" s="344" customFormat="1">
      <c r="E159" s="365"/>
      <c r="F159" s="366"/>
    </row>
    <row r="160" spans="3:6" s="344" customFormat="1">
      <c r="E160" s="365"/>
      <c r="F160" s="366"/>
    </row>
    <row r="161" spans="3:6" s="344" customFormat="1">
      <c r="E161" s="365"/>
      <c r="F161" s="366"/>
    </row>
    <row r="162" spans="3:6" s="344" customFormat="1">
      <c r="E162" s="365"/>
      <c r="F162" s="366"/>
    </row>
    <row r="163" spans="3:6" s="344" customFormat="1">
      <c r="E163" s="365"/>
      <c r="F163" s="366"/>
    </row>
    <row r="164" spans="3:6" s="344" customFormat="1">
      <c r="E164" s="365"/>
      <c r="F164" s="366"/>
    </row>
    <row r="165" spans="3:6" s="344" customFormat="1">
      <c r="E165" s="367"/>
      <c r="F165" s="368"/>
    </row>
    <row r="166" spans="3:6" s="344" customFormat="1"/>
    <row r="167" spans="3:6" s="344" customFormat="1"/>
    <row r="168" spans="3:6" s="344" customFormat="1"/>
    <row r="169" spans="3:6" s="344" customFormat="1">
      <c r="C169" s="344" t="s">
        <v>632</v>
      </c>
      <c r="E169" s="349" t="s">
        <v>661</v>
      </c>
      <c r="F169" s="349" t="s">
        <v>662</v>
      </c>
    </row>
    <row r="170" spans="3:6" s="344" customFormat="1">
      <c r="E170" s="363"/>
      <c r="F170" s="364"/>
    </row>
    <row r="171" spans="3:6" s="344" customFormat="1">
      <c r="E171" s="365"/>
      <c r="F171" s="366"/>
    </row>
    <row r="172" spans="3:6" s="344" customFormat="1">
      <c r="E172" s="365"/>
      <c r="F172" s="366"/>
    </row>
    <row r="173" spans="3:6" s="344" customFormat="1">
      <c r="E173" s="365"/>
      <c r="F173" s="366"/>
    </row>
    <row r="174" spans="3:6" s="344" customFormat="1">
      <c r="E174" s="365"/>
      <c r="F174" s="366"/>
    </row>
    <row r="175" spans="3:6" s="344" customFormat="1">
      <c r="E175" s="365"/>
      <c r="F175" s="366"/>
    </row>
    <row r="176" spans="3:6" s="344" customFormat="1">
      <c r="E176" s="365"/>
      <c r="F176" s="366"/>
    </row>
    <row r="177" spans="5:13" s="344" customFormat="1">
      <c r="E177" s="365"/>
      <c r="F177" s="366"/>
    </row>
    <row r="178" spans="5:13" s="344" customFormat="1">
      <c r="E178" s="365"/>
      <c r="F178" s="366"/>
    </row>
    <row r="179" spans="5:13">
      <c r="E179" s="367"/>
      <c r="F179" s="368"/>
      <c r="G179" s="361"/>
      <c r="H179" s="361"/>
      <c r="I179" s="361"/>
      <c r="J179" s="361"/>
      <c r="K179" s="361"/>
      <c r="L179" s="361"/>
      <c r="M179" s="361"/>
    </row>
  </sheetData>
  <dataValidations count="1">
    <dataValidation type="list" allowBlank="1" showInputMessage="1" showErrorMessage="1" sqref="E93:E102 E51:E60 E65:E74 E79:E88">
      <formula1>"True,False"</formula1>
    </dataValidation>
  </dataValidations>
  <hyperlinks>
    <hyperlink ref="D3" r:id="rId1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F35"/>
  <sheetViews>
    <sheetView topLeftCell="A7" workbookViewId="0">
      <selection activeCell="C16" sqref="C16"/>
    </sheetView>
  </sheetViews>
  <sheetFormatPr defaultRowHeight="14.25"/>
  <cols>
    <col min="1" max="3" width="4.69921875" customWidth="1"/>
    <col min="5" max="6" width="24.69921875" customWidth="1"/>
  </cols>
  <sheetData>
    <row r="1" spans="1:6" s="18" customFormat="1">
      <c r="A1" s="18" t="s">
        <v>104</v>
      </c>
    </row>
    <row r="3" spans="1:6">
      <c r="A3" t="s">
        <v>245</v>
      </c>
    </row>
    <row r="4" spans="1:6">
      <c r="B4" t="s">
        <v>286</v>
      </c>
    </row>
    <row r="5" spans="1:6">
      <c r="B5" t="s">
        <v>287</v>
      </c>
    </row>
    <row r="6" spans="1:6">
      <c r="B6" t="s">
        <v>288</v>
      </c>
    </row>
    <row r="7" spans="1:6">
      <c r="B7" t="s">
        <v>289</v>
      </c>
    </row>
    <row r="10" spans="1:6" s="40" customFormat="1">
      <c r="A10" s="40" t="s">
        <v>122</v>
      </c>
    </row>
    <row r="12" spans="1:6">
      <c r="D12" s="21" t="str">
        <f>F17&amp;F18&amp;F19&amp;F20&amp;F21&amp;F22&amp;F23&amp;F24&amp;F25&amp;F26</f>
        <v/>
      </c>
      <c r="E12" t="s">
        <v>6</v>
      </c>
    </row>
    <row r="14" spans="1:6" s="40" customFormat="1">
      <c r="A14" s="40" t="s">
        <v>123</v>
      </c>
    </row>
    <row r="16" spans="1:6">
      <c r="D16" t="s">
        <v>105</v>
      </c>
      <c r="E16" t="s">
        <v>285</v>
      </c>
      <c r="F16" t="s">
        <v>106</v>
      </c>
    </row>
    <row r="17" spans="1:6">
      <c r="C17">
        <v>1</v>
      </c>
      <c r="D17" s="2" t="b">
        <v>0</v>
      </c>
      <c r="E17" s="1" t="s">
        <v>107</v>
      </c>
      <c r="F17" s="20" t="str">
        <f>IF(D17,E17 &amp; dec_LineBreak,"")</f>
        <v/>
      </c>
    </row>
    <row r="18" spans="1:6">
      <c r="C18">
        <v>2</v>
      </c>
      <c r="D18" s="2" t="b">
        <v>0</v>
      </c>
      <c r="E18" s="1"/>
      <c r="F18" s="20" t="str">
        <f>IF(D18,E18 &amp; dec_LineBreak,"")</f>
        <v/>
      </c>
    </row>
    <row r="19" spans="1:6">
      <c r="C19">
        <v>3</v>
      </c>
      <c r="D19" s="2" t="b">
        <v>0</v>
      </c>
      <c r="E19" s="1"/>
      <c r="F19" s="20" t="str">
        <f>IF(D19,E19 &amp; dec_LineBreak,"")</f>
        <v/>
      </c>
    </row>
    <row r="20" spans="1:6">
      <c r="C20">
        <v>4</v>
      </c>
      <c r="D20" s="2" t="b">
        <v>0</v>
      </c>
      <c r="E20" s="1"/>
      <c r="F20" s="20" t="str">
        <f>IF(D20,E20 &amp; dec_LineBreak,"")</f>
        <v/>
      </c>
    </row>
    <row r="21" spans="1:6">
      <c r="C21">
        <v>5</v>
      </c>
      <c r="D21" s="2" t="b">
        <v>0</v>
      </c>
      <c r="E21" s="1"/>
      <c r="F21" s="20"/>
    </row>
    <row r="22" spans="1:6">
      <c r="C22">
        <v>6</v>
      </c>
      <c r="D22" s="2" t="b">
        <v>0</v>
      </c>
      <c r="E22" s="1"/>
      <c r="F22" s="20"/>
    </row>
    <row r="23" spans="1:6">
      <c r="C23">
        <v>7</v>
      </c>
      <c r="D23" s="2" t="b">
        <v>0</v>
      </c>
      <c r="E23" s="1"/>
      <c r="F23" s="20"/>
    </row>
    <row r="24" spans="1:6">
      <c r="C24">
        <v>8</v>
      </c>
      <c r="D24" s="2" t="b">
        <v>0</v>
      </c>
      <c r="E24" s="1"/>
      <c r="F24" s="20"/>
    </row>
    <row r="25" spans="1:6">
      <c r="C25">
        <v>9</v>
      </c>
      <c r="D25" s="2" t="b">
        <v>0</v>
      </c>
      <c r="E25" s="1"/>
      <c r="F25" s="20"/>
    </row>
    <row r="26" spans="1:6">
      <c r="C26">
        <v>10</v>
      </c>
      <c r="D26" s="2" t="b">
        <v>0</v>
      </c>
      <c r="E26" s="1"/>
      <c r="F26" s="20" t="str">
        <f>IF(D26,E26 &amp; dec_LineBreak,"")</f>
        <v/>
      </c>
    </row>
    <row r="30" spans="1:6" s="40" customFormat="1">
      <c r="A30" s="40" t="s">
        <v>290</v>
      </c>
    </row>
    <row r="32" spans="1:6">
      <c r="D32" s="21" t="b">
        <f>OR(D17:D26)</f>
        <v>0</v>
      </c>
      <c r="E32" t="s">
        <v>5</v>
      </c>
    </row>
    <row r="35" spans="4:6">
      <c r="D35" s="17" t="str">
        <f>CHAR(10)</f>
        <v xml:space="preserve">
</v>
      </c>
      <c r="E35" t="s">
        <v>108</v>
      </c>
      <c r="F35" t="s">
        <v>279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FFFF00"/>
  </sheetPr>
  <dimension ref="A1:M72"/>
  <sheetViews>
    <sheetView topLeftCell="A41" zoomScale="70" zoomScaleNormal="70" workbookViewId="0">
      <selection activeCell="C71" sqref="C71"/>
    </sheetView>
  </sheetViews>
  <sheetFormatPr defaultColWidth="8.796875" defaultRowHeight="15"/>
  <cols>
    <col min="1" max="1" width="4.69921875" style="41" customWidth="1"/>
    <col min="2" max="2" width="10.69921875" style="41" customWidth="1"/>
    <col min="3" max="3" width="14.69921875" style="41" customWidth="1"/>
    <col min="4" max="4" width="32.69921875" style="41" customWidth="1"/>
    <col min="5" max="5" width="8.69921875" style="48" customWidth="1"/>
    <col min="6" max="6" width="32.69921875" style="41" customWidth="1"/>
    <col min="7" max="8" width="8.69921875" style="41" customWidth="1"/>
    <col min="9" max="9" width="8.796875" style="41"/>
    <col min="10" max="10" width="8.69921875" style="41" customWidth="1"/>
    <col min="11" max="12" width="8.796875" style="41"/>
    <col min="13" max="13" width="32.69921875" style="41" customWidth="1"/>
    <col min="14" max="16384" width="8.796875" style="41"/>
  </cols>
  <sheetData>
    <row r="1" spans="1:5" s="69" customFormat="1">
      <c r="A1" s="69" t="s">
        <v>163</v>
      </c>
      <c r="E1" s="70"/>
    </row>
    <row r="3" spans="1:5" s="72" customFormat="1">
      <c r="A3" s="71" t="s">
        <v>122</v>
      </c>
      <c r="E3" s="73"/>
    </row>
    <row r="4" spans="1:5">
      <c r="E4" s="42"/>
    </row>
    <row r="5" spans="1:5">
      <c r="C5" s="43" t="str">
        <f ca="1">SI_WorksheetName &amp; ADDRESS(ROW(M23),COLUMN(M23))&amp;":"&amp;ADDRESS(ROW(M23)+SI_TotalAvailable-1,COLUMN(M23))</f>
        <v>SIs!$M$23:$M$34</v>
      </c>
      <c r="E5" s="42"/>
    </row>
    <row r="6" spans="1:5">
      <c r="C6" s="28" t="s">
        <v>135</v>
      </c>
      <c r="E6" s="42"/>
    </row>
    <row r="7" spans="1:5">
      <c r="E7" s="42"/>
    </row>
    <row r="8" spans="1:5">
      <c r="C8" s="44" t="s">
        <v>136</v>
      </c>
      <c r="E8" s="42"/>
    </row>
    <row r="9" spans="1:5">
      <c r="C9" s="41" t="s">
        <v>137</v>
      </c>
      <c r="E9" s="42"/>
    </row>
    <row r="10" spans="1:5" ht="15.75" thickBot="1">
      <c r="E10" s="42"/>
    </row>
    <row r="11" spans="1:5" ht="15.75" thickBot="1">
      <c r="B11" s="41" t="s">
        <v>138</v>
      </c>
      <c r="C11" s="45" t="s">
        <v>139</v>
      </c>
      <c r="E11" s="42"/>
    </row>
    <row r="12" spans="1:5">
      <c r="E12" s="42"/>
    </row>
    <row r="13" spans="1:5">
      <c r="E13" s="42"/>
    </row>
    <row r="14" spans="1:5" s="72" customFormat="1">
      <c r="A14" s="71" t="s">
        <v>123</v>
      </c>
      <c r="E14" s="73"/>
    </row>
    <row r="15" spans="1:5">
      <c r="E15" s="42"/>
    </row>
    <row r="16" spans="1:5">
      <c r="B16" s="42" t="s">
        <v>124</v>
      </c>
      <c r="C16" s="46">
        <f>xxRound</f>
        <v>0</v>
      </c>
      <c r="D16" s="44" t="s">
        <v>181</v>
      </c>
      <c r="E16" s="42"/>
    </row>
    <row r="17" spans="2:13">
      <c r="B17" s="42"/>
      <c r="C17" s="28" t="s">
        <v>182</v>
      </c>
      <c r="E17" s="42"/>
    </row>
    <row r="18" spans="2:13">
      <c r="B18" s="42"/>
      <c r="E18" s="42"/>
    </row>
    <row r="19" spans="2:13">
      <c r="B19" s="42" t="s">
        <v>140</v>
      </c>
      <c r="C19" s="47" t="s">
        <v>141</v>
      </c>
      <c r="D19" s="44" t="s">
        <v>142</v>
      </c>
    </row>
    <row r="20" spans="2:13">
      <c r="B20" s="42"/>
      <c r="C20" s="28" t="s">
        <v>143</v>
      </c>
    </row>
    <row r="21" spans="2:13">
      <c r="B21" s="42"/>
    </row>
    <row r="22" spans="2:13" ht="60">
      <c r="B22" s="48" t="s">
        <v>144</v>
      </c>
      <c r="C22" s="41" t="s">
        <v>145</v>
      </c>
      <c r="D22" s="41" t="s">
        <v>146</v>
      </c>
      <c r="E22" s="49" t="s">
        <v>148</v>
      </c>
      <c r="F22" s="41" t="s">
        <v>147</v>
      </c>
      <c r="G22" s="49" t="s">
        <v>149</v>
      </c>
      <c r="H22" s="49" t="s">
        <v>150</v>
      </c>
      <c r="I22" s="49" t="s">
        <v>151</v>
      </c>
      <c r="J22" s="49" t="s">
        <v>152</v>
      </c>
      <c r="K22" s="49" t="s">
        <v>153</v>
      </c>
      <c r="L22" s="49" t="s">
        <v>154</v>
      </c>
      <c r="M22" s="49" t="s">
        <v>155</v>
      </c>
    </row>
    <row r="23" spans="2:13">
      <c r="B23" s="48">
        <v>1</v>
      </c>
      <c r="C23" s="50">
        <v>0</v>
      </c>
      <c r="D23" s="50" t="s">
        <v>156</v>
      </c>
      <c r="E23" s="51">
        <v>0</v>
      </c>
      <c r="F23" s="52" t="str">
        <f>D23</f>
        <v>Select Project</v>
      </c>
      <c r="G23" s="53" t="b">
        <f t="shared" ref="G23:G63" si="0">E23&lt;=SI_currentRound</f>
        <v>1</v>
      </c>
      <c r="H23" s="53" t="b">
        <f t="shared" ref="H23:H63" si="1">NOT(D23="")</f>
        <v>1</v>
      </c>
      <c r="I23" s="51" t="b">
        <v>0</v>
      </c>
      <c r="J23" s="50" t="b">
        <v>1</v>
      </c>
      <c r="K23" s="53" t="b">
        <f t="shared" ref="K23:K63" si="2">AND(G23,H23,J23,NOT(I23))</f>
        <v>1</v>
      </c>
      <c r="L23" s="54">
        <f>IF(K23,1,0)</f>
        <v>1</v>
      </c>
      <c r="M23" s="53" t="str">
        <f t="shared" ref="M23:M63" si="3">INDEX(SI_DisplayedName,MATCH(B23,SI_AvailableCount,0))</f>
        <v>Select Project</v>
      </c>
    </row>
    <row r="24" spans="2:13">
      <c r="B24" s="48">
        <v>2</v>
      </c>
      <c r="C24" s="55">
        <v>1</v>
      </c>
      <c r="D24" s="55" t="s">
        <v>235</v>
      </c>
      <c r="E24" s="56">
        <v>0</v>
      </c>
      <c r="F24" s="57" t="str">
        <f t="shared" ref="F24:F63" si="4">C24 &amp; SI_selectedSeparator &amp; " " &amp; D24</f>
        <v>1: Project 1</v>
      </c>
      <c r="G24" s="57" t="b">
        <f t="shared" si="0"/>
        <v>1</v>
      </c>
      <c r="H24" s="57" t="b">
        <f t="shared" si="1"/>
        <v>1</v>
      </c>
      <c r="I24" s="58" t="b">
        <f t="shared" ref="I24:I63" si="5">OR(INDEX(cbalSI1CodeR1,1)=C24,INDEX(cbalSI2CodeR1,1)=C24,INDEX(cbalSI3CodeR1,1)=C24,INDEX(cbalSI4CodeR1,1)=C24,INDEX(cbalSI5CodeR1,1)=C24,INDEX(cbalSI1CodeR2,1)=C24,INDEX(cbalSI2CodeR2,1)=C24,INDEX(cbalSI3CodeR2,1)=C24,INDEX(cbalSI4CodeR2,1)=C24,INDEX(cbalSI5CodeR2,1)=C24,INDEX(cbalSI1CodeR3,1)=C24,INDEX(cbalSI2CodeR3,1)=C24,INDEX(cbalSI3CodeR3,1)=C24,INDEX(cbalSI4CodeR3,1)=C24,INDEX(cbalSI5CodeR3,1)=C24)</f>
        <v>0</v>
      </c>
      <c r="J24" s="59" t="b">
        <v>1</v>
      </c>
      <c r="K24" s="57" t="b">
        <f t="shared" si="2"/>
        <v>1</v>
      </c>
      <c r="L24" s="60">
        <f>IF(K24,1,0)+L23</f>
        <v>2</v>
      </c>
      <c r="M24" s="57" t="str">
        <f t="shared" si="3"/>
        <v>1: Project 1</v>
      </c>
    </row>
    <row r="25" spans="2:13">
      <c r="B25" s="48">
        <v>3</v>
      </c>
      <c r="C25" s="61">
        <v>2</v>
      </c>
      <c r="D25" s="61" t="s">
        <v>236</v>
      </c>
      <c r="E25" s="62">
        <v>0</v>
      </c>
      <c r="F25" s="57" t="str">
        <f t="shared" si="4"/>
        <v>2: Project 2</v>
      </c>
      <c r="G25" s="57" t="b">
        <f t="shared" si="0"/>
        <v>1</v>
      </c>
      <c r="H25" s="57" t="b">
        <f t="shared" si="1"/>
        <v>1</v>
      </c>
      <c r="I25" s="58" t="b">
        <f t="shared" si="5"/>
        <v>0</v>
      </c>
      <c r="J25" s="59" t="b">
        <v>1</v>
      </c>
      <c r="K25" s="57" t="b">
        <f t="shared" si="2"/>
        <v>1</v>
      </c>
      <c r="L25" s="60">
        <f t="shared" ref="L25:L63" si="6">IF(K25,1,0)+L24</f>
        <v>3</v>
      </c>
      <c r="M25" s="57" t="str">
        <f t="shared" si="3"/>
        <v>2: Project 2</v>
      </c>
    </row>
    <row r="26" spans="2:13">
      <c r="B26" s="48">
        <v>4</v>
      </c>
      <c r="C26" s="55">
        <v>3</v>
      </c>
      <c r="D26" s="55" t="s">
        <v>237</v>
      </c>
      <c r="E26" s="56">
        <v>0</v>
      </c>
      <c r="F26" s="57" t="str">
        <f t="shared" si="4"/>
        <v>3: Project 3</v>
      </c>
      <c r="G26" s="57" t="b">
        <f t="shared" si="0"/>
        <v>1</v>
      </c>
      <c r="H26" s="57" t="b">
        <f t="shared" si="1"/>
        <v>1</v>
      </c>
      <c r="I26" s="58" t="b">
        <f t="shared" si="5"/>
        <v>0</v>
      </c>
      <c r="J26" s="59" t="b">
        <v>1</v>
      </c>
      <c r="K26" s="57" t="b">
        <f t="shared" si="2"/>
        <v>1</v>
      </c>
      <c r="L26" s="60">
        <f t="shared" si="6"/>
        <v>4</v>
      </c>
      <c r="M26" s="57" t="str">
        <f t="shared" si="3"/>
        <v>3: Project 3</v>
      </c>
    </row>
    <row r="27" spans="2:13">
      <c r="B27" s="48">
        <v>5</v>
      </c>
      <c r="C27" s="61">
        <v>4</v>
      </c>
      <c r="D27" s="61" t="s">
        <v>238</v>
      </c>
      <c r="E27" s="62">
        <v>0</v>
      </c>
      <c r="F27" s="57" t="str">
        <f t="shared" si="4"/>
        <v>4: Project 4</v>
      </c>
      <c r="G27" s="57" t="b">
        <f t="shared" si="0"/>
        <v>1</v>
      </c>
      <c r="H27" s="57" t="b">
        <f t="shared" si="1"/>
        <v>1</v>
      </c>
      <c r="I27" s="58" t="b">
        <f t="shared" si="5"/>
        <v>0</v>
      </c>
      <c r="J27" s="59" t="b">
        <v>1</v>
      </c>
      <c r="K27" s="57" t="b">
        <f t="shared" si="2"/>
        <v>1</v>
      </c>
      <c r="L27" s="60">
        <f t="shared" si="6"/>
        <v>5</v>
      </c>
      <c r="M27" s="57" t="str">
        <f t="shared" si="3"/>
        <v>4: Project 4</v>
      </c>
    </row>
    <row r="28" spans="2:13">
      <c r="B28" s="48">
        <v>6</v>
      </c>
      <c r="C28" s="55">
        <v>5</v>
      </c>
      <c r="D28" s="55" t="s">
        <v>239</v>
      </c>
      <c r="E28" s="56">
        <v>0</v>
      </c>
      <c r="F28" s="57" t="str">
        <f t="shared" si="4"/>
        <v>5: Project 5</v>
      </c>
      <c r="G28" s="57" t="b">
        <f t="shared" si="0"/>
        <v>1</v>
      </c>
      <c r="H28" s="57" t="b">
        <f t="shared" si="1"/>
        <v>1</v>
      </c>
      <c r="I28" s="58" t="b">
        <f t="shared" si="5"/>
        <v>0</v>
      </c>
      <c r="J28" s="59" t="b">
        <v>1</v>
      </c>
      <c r="K28" s="57" t="b">
        <f t="shared" si="2"/>
        <v>1</v>
      </c>
      <c r="L28" s="60">
        <f t="shared" si="6"/>
        <v>6</v>
      </c>
      <c r="M28" s="57" t="str">
        <f t="shared" si="3"/>
        <v>5: Project 5</v>
      </c>
    </row>
    <row r="29" spans="2:13">
      <c r="B29" s="48">
        <v>7</v>
      </c>
      <c r="C29" s="61">
        <v>6</v>
      </c>
      <c r="D29" s="61" t="s">
        <v>349</v>
      </c>
      <c r="E29" s="62">
        <v>0</v>
      </c>
      <c r="F29" s="57" t="str">
        <f t="shared" si="4"/>
        <v>6: Project 6</v>
      </c>
      <c r="G29" s="57" t="b">
        <f t="shared" si="0"/>
        <v>1</v>
      </c>
      <c r="H29" s="57" t="b">
        <f t="shared" si="1"/>
        <v>1</v>
      </c>
      <c r="I29" s="58" t="b">
        <f t="shared" si="5"/>
        <v>0</v>
      </c>
      <c r="J29" s="59" t="b">
        <v>1</v>
      </c>
      <c r="K29" s="57" t="b">
        <f t="shared" si="2"/>
        <v>1</v>
      </c>
      <c r="L29" s="60">
        <f t="shared" si="6"/>
        <v>7</v>
      </c>
      <c r="M29" s="57" t="str">
        <f t="shared" si="3"/>
        <v>6: Project 6</v>
      </c>
    </row>
    <row r="30" spans="2:13">
      <c r="B30" s="48">
        <v>8</v>
      </c>
      <c r="C30" s="55">
        <v>7</v>
      </c>
      <c r="D30" s="55" t="s">
        <v>350</v>
      </c>
      <c r="E30" s="56">
        <v>0</v>
      </c>
      <c r="F30" s="57" t="str">
        <f t="shared" si="4"/>
        <v>7: Project 7</v>
      </c>
      <c r="G30" s="57" t="b">
        <f t="shared" si="0"/>
        <v>1</v>
      </c>
      <c r="H30" s="57" t="b">
        <f t="shared" si="1"/>
        <v>1</v>
      </c>
      <c r="I30" s="58" t="b">
        <f t="shared" si="5"/>
        <v>0</v>
      </c>
      <c r="J30" s="59" t="b">
        <v>1</v>
      </c>
      <c r="K30" s="57" t="b">
        <f t="shared" si="2"/>
        <v>1</v>
      </c>
      <c r="L30" s="60">
        <f t="shared" si="6"/>
        <v>8</v>
      </c>
      <c r="M30" s="57" t="str">
        <f t="shared" si="3"/>
        <v>7: Project 7</v>
      </c>
    </row>
    <row r="31" spans="2:13">
      <c r="B31" s="48">
        <v>9</v>
      </c>
      <c r="C31" s="61">
        <v>8</v>
      </c>
      <c r="D31" s="61" t="s">
        <v>351</v>
      </c>
      <c r="E31" s="62">
        <v>0</v>
      </c>
      <c r="F31" s="57" t="str">
        <f t="shared" si="4"/>
        <v>8: Project 8</v>
      </c>
      <c r="G31" s="57" t="b">
        <f t="shared" si="0"/>
        <v>1</v>
      </c>
      <c r="H31" s="57" t="b">
        <f t="shared" si="1"/>
        <v>1</v>
      </c>
      <c r="I31" s="58" t="b">
        <f t="shared" si="5"/>
        <v>0</v>
      </c>
      <c r="J31" s="59" t="b">
        <v>1</v>
      </c>
      <c r="K31" s="57" t="b">
        <f t="shared" si="2"/>
        <v>1</v>
      </c>
      <c r="L31" s="60">
        <f t="shared" si="6"/>
        <v>9</v>
      </c>
      <c r="M31" s="57" t="str">
        <f t="shared" si="3"/>
        <v>8: Project 8</v>
      </c>
    </row>
    <row r="32" spans="2:13">
      <c r="B32" s="48">
        <v>10</v>
      </c>
      <c r="C32" s="55">
        <v>9</v>
      </c>
      <c r="D32" s="55" t="s">
        <v>352</v>
      </c>
      <c r="E32" s="56">
        <v>0</v>
      </c>
      <c r="F32" s="57" t="str">
        <f t="shared" si="4"/>
        <v>9: Project 9</v>
      </c>
      <c r="G32" s="57" t="b">
        <f t="shared" si="0"/>
        <v>1</v>
      </c>
      <c r="H32" s="57" t="b">
        <f t="shared" si="1"/>
        <v>1</v>
      </c>
      <c r="I32" s="58" t="b">
        <f t="shared" si="5"/>
        <v>0</v>
      </c>
      <c r="J32" s="59" t="b">
        <v>1</v>
      </c>
      <c r="K32" s="57" t="b">
        <f t="shared" si="2"/>
        <v>1</v>
      </c>
      <c r="L32" s="60">
        <f t="shared" si="6"/>
        <v>10</v>
      </c>
      <c r="M32" s="57" t="str">
        <f t="shared" si="3"/>
        <v>9: Project 9</v>
      </c>
    </row>
    <row r="33" spans="2:13">
      <c r="B33" s="48">
        <v>11</v>
      </c>
      <c r="C33" s="61">
        <v>10</v>
      </c>
      <c r="D33" s="61" t="s">
        <v>353</v>
      </c>
      <c r="E33" s="62">
        <v>0</v>
      </c>
      <c r="F33" s="57" t="str">
        <f t="shared" si="4"/>
        <v>10: Project 10</v>
      </c>
      <c r="G33" s="57" t="b">
        <f t="shared" si="0"/>
        <v>1</v>
      </c>
      <c r="H33" s="57" t="b">
        <f t="shared" si="1"/>
        <v>1</v>
      </c>
      <c r="I33" s="58" t="b">
        <f t="shared" si="5"/>
        <v>0</v>
      </c>
      <c r="J33" s="59" t="b">
        <v>1</v>
      </c>
      <c r="K33" s="57" t="b">
        <f t="shared" si="2"/>
        <v>1</v>
      </c>
      <c r="L33" s="60">
        <f t="shared" si="6"/>
        <v>11</v>
      </c>
      <c r="M33" s="57" t="str">
        <f t="shared" si="3"/>
        <v>10: Project 10</v>
      </c>
    </row>
    <row r="34" spans="2:13">
      <c r="B34" s="48">
        <v>12</v>
      </c>
      <c r="C34" s="55">
        <v>11</v>
      </c>
      <c r="D34" s="55" t="s">
        <v>354</v>
      </c>
      <c r="E34" s="56">
        <v>0</v>
      </c>
      <c r="F34" s="57" t="str">
        <f t="shared" si="4"/>
        <v>11: Project 11</v>
      </c>
      <c r="G34" s="57" t="b">
        <f t="shared" si="0"/>
        <v>1</v>
      </c>
      <c r="H34" s="57" t="b">
        <f t="shared" si="1"/>
        <v>1</v>
      </c>
      <c r="I34" s="58" t="b">
        <f t="shared" si="5"/>
        <v>0</v>
      </c>
      <c r="J34" s="59" t="b">
        <v>1</v>
      </c>
      <c r="K34" s="57" t="b">
        <f t="shared" si="2"/>
        <v>1</v>
      </c>
      <c r="L34" s="60">
        <f t="shared" si="6"/>
        <v>12</v>
      </c>
      <c r="M34" s="57" t="str">
        <f t="shared" si="3"/>
        <v>11: Project 11</v>
      </c>
    </row>
    <row r="35" spans="2:13">
      <c r="B35" s="48">
        <v>13</v>
      </c>
      <c r="C35" s="61">
        <v>12</v>
      </c>
      <c r="D35" s="61"/>
      <c r="E35" s="62">
        <v>0</v>
      </c>
      <c r="F35" s="57" t="str">
        <f t="shared" si="4"/>
        <v xml:space="preserve">12: </v>
      </c>
      <c r="G35" s="57" t="b">
        <f t="shared" si="0"/>
        <v>1</v>
      </c>
      <c r="H35" s="57" t="b">
        <f t="shared" si="1"/>
        <v>0</v>
      </c>
      <c r="I35" s="58" t="b">
        <f t="shared" si="5"/>
        <v>0</v>
      </c>
      <c r="J35" s="59" t="b">
        <v>1</v>
      </c>
      <c r="K35" s="57" t="b">
        <f t="shared" si="2"/>
        <v>0</v>
      </c>
      <c r="L35" s="60">
        <f t="shared" si="6"/>
        <v>12</v>
      </c>
      <c r="M35" s="57" t="e">
        <f t="shared" si="3"/>
        <v>#N/A</v>
      </c>
    </row>
    <row r="36" spans="2:13">
      <c r="B36" s="48">
        <v>14</v>
      </c>
      <c r="C36" s="55">
        <v>13</v>
      </c>
      <c r="D36" s="55"/>
      <c r="E36" s="56">
        <v>0</v>
      </c>
      <c r="F36" s="57" t="str">
        <f t="shared" si="4"/>
        <v xml:space="preserve">13: </v>
      </c>
      <c r="G36" s="57" t="b">
        <f t="shared" si="0"/>
        <v>1</v>
      </c>
      <c r="H36" s="57" t="b">
        <f t="shared" si="1"/>
        <v>0</v>
      </c>
      <c r="I36" s="58" t="b">
        <f t="shared" si="5"/>
        <v>0</v>
      </c>
      <c r="J36" s="59" t="b">
        <v>1</v>
      </c>
      <c r="K36" s="57" t="b">
        <f t="shared" si="2"/>
        <v>0</v>
      </c>
      <c r="L36" s="60">
        <f t="shared" si="6"/>
        <v>12</v>
      </c>
      <c r="M36" s="57" t="e">
        <f t="shared" si="3"/>
        <v>#N/A</v>
      </c>
    </row>
    <row r="37" spans="2:13">
      <c r="B37" s="48">
        <v>15</v>
      </c>
      <c r="C37" s="61">
        <v>14</v>
      </c>
      <c r="D37" s="61"/>
      <c r="E37" s="62">
        <v>0</v>
      </c>
      <c r="F37" s="57" t="str">
        <f t="shared" si="4"/>
        <v xml:space="preserve">14: </v>
      </c>
      <c r="G37" s="57" t="b">
        <f t="shared" si="0"/>
        <v>1</v>
      </c>
      <c r="H37" s="57" t="b">
        <f t="shared" si="1"/>
        <v>0</v>
      </c>
      <c r="I37" s="58" t="b">
        <f t="shared" si="5"/>
        <v>0</v>
      </c>
      <c r="J37" s="59" t="b">
        <v>1</v>
      </c>
      <c r="K37" s="57" t="b">
        <f t="shared" si="2"/>
        <v>0</v>
      </c>
      <c r="L37" s="60">
        <f t="shared" si="6"/>
        <v>12</v>
      </c>
      <c r="M37" s="57" t="e">
        <f t="shared" si="3"/>
        <v>#N/A</v>
      </c>
    </row>
    <row r="38" spans="2:13">
      <c r="B38" s="48">
        <v>16</v>
      </c>
      <c r="C38" s="55">
        <v>15</v>
      </c>
      <c r="D38" s="55"/>
      <c r="E38" s="56">
        <v>0</v>
      </c>
      <c r="F38" s="57" t="str">
        <f t="shared" si="4"/>
        <v xml:space="preserve">15: </v>
      </c>
      <c r="G38" s="57" t="b">
        <f t="shared" si="0"/>
        <v>1</v>
      </c>
      <c r="H38" s="57" t="b">
        <f t="shared" si="1"/>
        <v>0</v>
      </c>
      <c r="I38" s="58" t="b">
        <f t="shared" si="5"/>
        <v>0</v>
      </c>
      <c r="J38" s="59" t="b">
        <v>1</v>
      </c>
      <c r="K38" s="57" t="b">
        <f t="shared" si="2"/>
        <v>0</v>
      </c>
      <c r="L38" s="60">
        <f t="shared" si="6"/>
        <v>12</v>
      </c>
      <c r="M38" s="57" t="e">
        <f t="shared" si="3"/>
        <v>#N/A</v>
      </c>
    </row>
    <row r="39" spans="2:13">
      <c r="B39" s="48">
        <v>17</v>
      </c>
      <c r="C39" s="61">
        <v>16</v>
      </c>
      <c r="D39" s="61"/>
      <c r="E39" s="62">
        <v>0</v>
      </c>
      <c r="F39" s="57" t="str">
        <f t="shared" si="4"/>
        <v xml:space="preserve">16: </v>
      </c>
      <c r="G39" s="57" t="b">
        <f t="shared" si="0"/>
        <v>1</v>
      </c>
      <c r="H39" s="57" t="b">
        <f t="shared" si="1"/>
        <v>0</v>
      </c>
      <c r="I39" s="58" t="b">
        <f t="shared" si="5"/>
        <v>0</v>
      </c>
      <c r="J39" s="59" t="b">
        <v>1</v>
      </c>
      <c r="K39" s="57" t="b">
        <f t="shared" si="2"/>
        <v>0</v>
      </c>
      <c r="L39" s="60">
        <f t="shared" si="6"/>
        <v>12</v>
      </c>
      <c r="M39" s="57" t="e">
        <f t="shared" si="3"/>
        <v>#N/A</v>
      </c>
    </row>
    <row r="40" spans="2:13">
      <c r="B40" s="48">
        <v>18</v>
      </c>
      <c r="C40" s="55">
        <v>17</v>
      </c>
      <c r="D40" s="55"/>
      <c r="E40" s="56">
        <v>0</v>
      </c>
      <c r="F40" s="57" t="str">
        <f t="shared" si="4"/>
        <v xml:space="preserve">17: </v>
      </c>
      <c r="G40" s="57" t="b">
        <f t="shared" si="0"/>
        <v>1</v>
      </c>
      <c r="H40" s="57" t="b">
        <f t="shared" si="1"/>
        <v>0</v>
      </c>
      <c r="I40" s="58" t="b">
        <f t="shared" si="5"/>
        <v>0</v>
      </c>
      <c r="J40" s="59" t="b">
        <v>1</v>
      </c>
      <c r="K40" s="57" t="b">
        <f t="shared" si="2"/>
        <v>0</v>
      </c>
      <c r="L40" s="60">
        <f t="shared" si="6"/>
        <v>12</v>
      </c>
      <c r="M40" s="57" t="e">
        <f t="shared" si="3"/>
        <v>#N/A</v>
      </c>
    </row>
    <row r="41" spans="2:13">
      <c r="B41" s="48">
        <v>19</v>
      </c>
      <c r="C41" s="61">
        <v>18</v>
      </c>
      <c r="D41" s="61"/>
      <c r="E41" s="62">
        <v>0</v>
      </c>
      <c r="F41" s="57" t="str">
        <f t="shared" si="4"/>
        <v xml:space="preserve">18: </v>
      </c>
      <c r="G41" s="57" t="b">
        <f t="shared" si="0"/>
        <v>1</v>
      </c>
      <c r="H41" s="57" t="b">
        <f t="shared" si="1"/>
        <v>0</v>
      </c>
      <c r="I41" s="58" t="b">
        <f t="shared" si="5"/>
        <v>0</v>
      </c>
      <c r="J41" s="59" t="b">
        <v>1</v>
      </c>
      <c r="K41" s="57" t="b">
        <f t="shared" si="2"/>
        <v>0</v>
      </c>
      <c r="L41" s="60">
        <f t="shared" si="6"/>
        <v>12</v>
      </c>
      <c r="M41" s="57" t="e">
        <f t="shared" si="3"/>
        <v>#N/A</v>
      </c>
    </row>
    <row r="42" spans="2:13">
      <c r="B42" s="48">
        <v>20</v>
      </c>
      <c r="C42" s="55">
        <v>19</v>
      </c>
      <c r="D42" s="55"/>
      <c r="E42" s="56">
        <v>0</v>
      </c>
      <c r="F42" s="57" t="str">
        <f t="shared" si="4"/>
        <v xml:space="preserve">19: </v>
      </c>
      <c r="G42" s="57" t="b">
        <f t="shared" si="0"/>
        <v>1</v>
      </c>
      <c r="H42" s="57" t="b">
        <f t="shared" si="1"/>
        <v>0</v>
      </c>
      <c r="I42" s="58" t="b">
        <f t="shared" si="5"/>
        <v>0</v>
      </c>
      <c r="J42" s="59" t="b">
        <v>1</v>
      </c>
      <c r="K42" s="57" t="b">
        <f t="shared" si="2"/>
        <v>0</v>
      </c>
      <c r="L42" s="60">
        <f t="shared" si="6"/>
        <v>12</v>
      </c>
      <c r="M42" s="57" t="e">
        <f t="shared" si="3"/>
        <v>#N/A</v>
      </c>
    </row>
    <row r="43" spans="2:13">
      <c r="B43" s="48">
        <v>21</v>
      </c>
      <c r="C43" s="61">
        <v>20</v>
      </c>
      <c r="D43" s="61"/>
      <c r="E43" s="62">
        <v>0</v>
      </c>
      <c r="F43" s="57" t="str">
        <f t="shared" si="4"/>
        <v xml:space="preserve">20: </v>
      </c>
      <c r="G43" s="57" t="b">
        <f t="shared" si="0"/>
        <v>1</v>
      </c>
      <c r="H43" s="57" t="b">
        <f t="shared" si="1"/>
        <v>0</v>
      </c>
      <c r="I43" s="58" t="b">
        <f t="shared" si="5"/>
        <v>0</v>
      </c>
      <c r="J43" s="59" t="b">
        <v>1</v>
      </c>
      <c r="K43" s="57" t="b">
        <f t="shared" si="2"/>
        <v>0</v>
      </c>
      <c r="L43" s="60">
        <f t="shared" si="6"/>
        <v>12</v>
      </c>
      <c r="M43" s="57" t="e">
        <f t="shared" si="3"/>
        <v>#N/A</v>
      </c>
    </row>
    <row r="44" spans="2:13">
      <c r="B44" s="48">
        <v>22</v>
      </c>
      <c r="C44" s="55">
        <v>21</v>
      </c>
      <c r="D44" s="55"/>
      <c r="E44" s="56">
        <v>0</v>
      </c>
      <c r="F44" s="57" t="str">
        <f t="shared" si="4"/>
        <v xml:space="preserve">21: </v>
      </c>
      <c r="G44" s="57" t="b">
        <f t="shared" si="0"/>
        <v>1</v>
      </c>
      <c r="H44" s="57" t="b">
        <f t="shared" si="1"/>
        <v>0</v>
      </c>
      <c r="I44" s="58" t="b">
        <f t="shared" si="5"/>
        <v>0</v>
      </c>
      <c r="J44" s="59" t="b">
        <v>1</v>
      </c>
      <c r="K44" s="57" t="b">
        <f t="shared" si="2"/>
        <v>0</v>
      </c>
      <c r="L44" s="60">
        <f t="shared" si="6"/>
        <v>12</v>
      </c>
      <c r="M44" s="57" t="e">
        <f t="shared" si="3"/>
        <v>#N/A</v>
      </c>
    </row>
    <row r="45" spans="2:13">
      <c r="B45" s="48">
        <v>23</v>
      </c>
      <c r="C45" s="61">
        <v>22</v>
      </c>
      <c r="D45" s="61"/>
      <c r="E45" s="62">
        <v>0</v>
      </c>
      <c r="F45" s="57" t="str">
        <f t="shared" si="4"/>
        <v xml:space="preserve">22: </v>
      </c>
      <c r="G45" s="57" t="b">
        <f t="shared" si="0"/>
        <v>1</v>
      </c>
      <c r="H45" s="57" t="b">
        <f t="shared" si="1"/>
        <v>0</v>
      </c>
      <c r="I45" s="58" t="b">
        <f t="shared" si="5"/>
        <v>0</v>
      </c>
      <c r="J45" s="59" t="b">
        <v>1</v>
      </c>
      <c r="K45" s="57" t="b">
        <f t="shared" si="2"/>
        <v>0</v>
      </c>
      <c r="L45" s="60">
        <f t="shared" si="6"/>
        <v>12</v>
      </c>
      <c r="M45" s="57" t="e">
        <f t="shared" si="3"/>
        <v>#N/A</v>
      </c>
    </row>
    <row r="46" spans="2:13">
      <c r="B46" s="48">
        <v>24</v>
      </c>
      <c r="C46" s="55">
        <v>23</v>
      </c>
      <c r="D46" s="55"/>
      <c r="E46" s="56">
        <v>0</v>
      </c>
      <c r="F46" s="57" t="str">
        <f t="shared" si="4"/>
        <v xml:space="preserve">23: </v>
      </c>
      <c r="G46" s="57" t="b">
        <f t="shared" si="0"/>
        <v>1</v>
      </c>
      <c r="H46" s="57" t="b">
        <f t="shared" si="1"/>
        <v>0</v>
      </c>
      <c r="I46" s="58" t="b">
        <f t="shared" si="5"/>
        <v>0</v>
      </c>
      <c r="J46" s="59" t="b">
        <v>1</v>
      </c>
      <c r="K46" s="57" t="b">
        <f t="shared" si="2"/>
        <v>0</v>
      </c>
      <c r="L46" s="60">
        <f t="shared" si="6"/>
        <v>12</v>
      </c>
      <c r="M46" s="57" t="e">
        <f t="shared" si="3"/>
        <v>#N/A</v>
      </c>
    </row>
    <row r="47" spans="2:13">
      <c r="B47" s="48">
        <v>25</v>
      </c>
      <c r="C47" s="61">
        <v>24</v>
      </c>
      <c r="D47" s="61"/>
      <c r="E47" s="62">
        <v>0</v>
      </c>
      <c r="F47" s="57" t="str">
        <f t="shared" si="4"/>
        <v xml:space="preserve">24: </v>
      </c>
      <c r="G47" s="57" t="b">
        <f t="shared" si="0"/>
        <v>1</v>
      </c>
      <c r="H47" s="57" t="b">
        <f t="shared" si="1"/>
        <v>0</v>
      </c>
      <c r="I47" s="58" t="b">
        <f t="shared" si="5"/>
        <v>0</v>
      </c>
      <c r="J47" s="59" t="b">
        <v>1</v>
      </c>
      <c r="K47" s="57" t="b">
        <f t="shared" si="2"/>
        <v>0</v>
      </c>
      <c r="L47" s="60">
        <f t="shared" si="6"/>
        <v>12</v>
      </c>
      <c r="M47" s="57" t="e">
        <f t="shared" si="3"/>
        <v>#N/A</v>
      </c>
    </row>
    <row r="48" spans="2:13">
      <c r="B48" s="48">
        <v>26</v>
      </c>
      <c r="C48" s="55">
        <v>25</v>
      </c>
      <c r="D48" s="55"/>
      <c r="E48" s="56">
        <v>0</v>
      </c>
      <c r="F48" s="57" t="str">
        <f t="shared" si="4"/>
        <v xml:space="preserve">25: </v>
      </c>
      <c r="G48" s="57" t="b">
        <f t="shared" si="0"/>
        <v>1</v>
      </c>
      <c r="H48" s="57" t="b">
        <f t="shared" si="1"/>
        <v>0</v>
      </c>
      <c r="I48" s="58" t="b">
        <f t="shared" si="5"/>
        <v>0</v>
      </c>
      <c r="J48" s="59" t="b">
        <v>1</v>
      </c>
      <c r="K48" s="57" t="b">
        <f t="shared" si="2"/>
        <v>0</v>
      </c>
      <c r="L48" s="60">
        <f t="shared" si="6"/>
        <v>12</v>
      </c>
      <c r="M48" s="57" t="e">
        <f t="shared" si="3"/>
        <v>#N/A</v>
      </c>
    </row>
    <row r="49" spans="2:13">
      <c r="B49" s="48">
        <v>27</v>
      </c>
      <c r="C49" s="61">
        <v>26</v>
      </c>
      <c r="D49" s="61"/>
      <c r="E49" s="62">
        <v>0</v>
      </c>
      <c r="F49" s="57" t="str">
        <f t="shared" si="4"/>
        <v xml:space="preserve">26: </v>
      </c>
      <c r="G49" s="57" t="b">
        <f t="shared" si="0"/>
        <v>1</v>
      </c>
      <c r="H49" s="57" t="b">
        <f t="shared" si="1"/>
        <v>0</v>
      </c>
      <c r="I49" s="58" t="b">
        <f t="shared" si="5"/>
        <v>0</v>
      </c>
      <c r="J49" s="59" t="b">
        <v>1</v>
      </c>
      <c r="K49" s="57" t="b">
        <f t="shared" si="2"/>
        <v>0</v>
      </c>
      <c r="L49" s="60">
        <f t="shared" si="6"/>
        <v>12</v>
      </c>
      <c r="M49" s="57" t="e">
        <f t="shared" si="3"/>
        <v>#N/A</v>
      </c>
    </row>
    <row r="50" spans="2:13">
      <c r="B50" s="48">
        <v>28</v>
      </c>
      <c r="C50" s="55">
        <v>27</v>
      </c>
      <c r="D50" s="55"/>
      <c r="E50" s="56">
        <v>0</v>
      </c>
      <c r="F50" s="57" t="str">
        <f t="shared" si="4"/>
        <v xml:space="preserve">27: </v>
      </c>
      <c r="G50" s="57" t="b">
        <f t="shared" si="0"/>
        <v>1</v>
      </c>
      <c r="H50" s="57" t="b">
        <f t="shared" si="1"/>
        <v>0</v>
      </c>
      <c r="I50" s="58" t="b">
        <f t="shared" si="5"/>
        <v>0</v>
      </c>
      <c r="J50" s="59" t="b">
        <v>1</v>
      </c>
      <c r="K50" s="57" t="b">
        <f t="shared" si="2"/>
        <v>0</v>
      </c>
      <c r="L50" s="60">
        <f t="shared" si="6"/>
        <v>12</v>
      </c>
      <c r="M50" s="57" t="e">
        <f t="shared" si="3"/>
        <v>#N/A</v>
      </c>
    </row>
    <row r="51" spans="2:13">
      <c r="B51" s="48">
        <v>29</v>
      </c>
      <c r="C51" s="61">
        <v>28</v>
      </c>
      <c r="D51" s="61"/>
      <c r="E51" s="62">
        <v>0</v>
      </c>
      <c r="F51" s="57" t="str">
        <f t="shared" si="4"/>
        <v xml:space="preserve">28: </v>
      </c>
      <c r="G51" s="57" t="b">
        <f t="shared" si="0"/>
        <v>1</v>
      </c>
      <c r="H51" s="57" t="b">
        <f t="shared" si="1"/>
        <v>0</v>
      </c>
      <c r="I51" s="58" t="b">
        <f t="shared" si="5"/>
        <v>0</v>
      </c>
      <c r="J51" s="59" t="b">
        <v>1</v>
      </c>
      <c r="K51" s="57" t="b">
        <f t="shared" si="2"/>
        <v>0</v>
      </c>
      <c r="L51" s="60">
        <f t="shared" si="6"/>
        <v>12</v>
      </c>
      <c r="M51" s="57" t="e">
        <f t="shared" si="3"/>
        <v>#N/A</v>
      </c>
    </row>
    <row r="52" spans="2:13">
      <c r="B52" s="48">
        <v>30</v>
      </c>
      <c r="C52" s="55">
        <v>29</v>
      </c>
      <c r="D52" s="55"/>
      <c r="E52" s="56">
        <v>0</v>
      </c>
      <c r="F52" s="57" t="str">
        <f t="shared" si="4"/>
        <v xml:space="preserve">29: </v>
      </c>
      <c r="G52" s="57" t="b">
        <f t="shared" si="0"/>
        <v>1</v>
      </c>
      <c r="H52" s="57" t="b">
        <f t="shared" si="1"/>
        <v>0</v>
      </c>
      <c r="I52" s="58" t="b">
        <f t="shared" si="5"/>
        <v>0</v>
      </c>
      <c r="J52" s="59" t="b">
        <v>1</v>
      </c>
      <c r="K52" s="57" t="b">
        <f t="shared" si="2"/>
        <v>0</v>
      </c>
      <c r="L52" s="60">
        <f t="shared" si="6"/>
        <v>12</v>
      </c>
      <c r="M52" s="57" t="e">
        <f t="shared" si="3"/>
        <v>#N/A</v>
      </c>
    </row>
    <row r="53" spans="2:13">
      <c r="B53" s="48">
        <v>31</v>
      </c>
      <c r="C53" s="61">
        <v>30</v>
      </c>
      <c r="D53" s="61"/>
      <c r="E53" s="62">
        <v>0</v>
      </c>
      <c r="F53" s="57" t="str">
        <f t="shared" si="4"/>
        <v xml:space="preserve">30: </v>
      </c>
      <c r="G53" s="57" t="b">
        <f t="shared" si="0"/>
        <v>1</v>
      </c>
      <c r="H53" s="57" t="b">
        <f t="shared" si="1"/>
        <v>0</v>
      </c>
      <c r="I53" s="58" t="b">
        <f t="shared" si="5"/>
        <v>0</v>
      </c>
      <c r="J53" s="59" t="b">
        <v>1</v>
      </c>
      <c r="K53" s="57" t="b">
        <f t="shared" si="2"/>
        <v>0</v>
      </c>
      <c r="L53" s="60">
        <f t="shared" si="6"/>
        <v>12</v>
      </c>
      <c r="M53" s="57" t="e">
        <f t="shared" si="3"/>
        <v>#N/A</v>
      </c>
    </row>
    <row r="54" spans="2:13">
      <c r="B54" s="48">
        <v>32</v>
      </c>
      <c r="C54" s="55">
        <v>31</v>
      </c>
      <c r="D54" s="55"/>
      <c r="E54" s="56">
        <v>0</v>
      </c>
      <c r="F54" s="57" t="str">
        <f t="shared" si="4"/>
        <v xml:space="preserve">31: </v>
      </c>
      <c r="G54" s="57" t="b">
        <f t="shared" si="0"/>
        <v>1</v>
      </c>
      <c r="H54" s="57" t="b">
        <f t="shared" si="1"/>
        <v>0</v>
      </c>
      <c r="I54" s="58" t="b">
        <f t="shared" si="5"/>
        <v>0</v>
      </c>
      <c r="J54" s="59" t="b">
        <v>1</v>
      </c>
      <c r="K54" s="57" t="b">
        <f t="shared" si="2"/>
        <v>0</v>
      </c>
      <c r="L54" s="60">
        <f t="shared" si="6"/>
        <v>12</v>
      </c>
      <c r="M54" s="57" t="e">
        <f t="shared" si="3"/>
        <v>#N/A</v>
      </c>
    </row>
    <row r="55" spans="2:13">
      <c r="B55" s="48">
        <v>33</v>
      </c>
      <c r="C55" s="61">
        <v>32</v>
      </c>
      <c r="D55" s="61"/>
      <c r="E55" s="62">
        <v>0</v>
      </c>
      <c r="F55" s="57" t="str">
        <f t="shared" si="4"/>
        <v xml:space="preserve">32: </v>
      </c>
      <c r="G55" s="57" t="b">
        <f t="shared" si="0"/>
        <v>1</v>
      </c>
      <c r="H55" s="57" t="b">
        <f t="shared" si="1"/>
        <v>0</v>
      </c>
      <c r="I55" s="58" t="b">
        <f t="shared" si="5"/>
        <v>0</v>
      </c>
      <c r="J55" s="59" t="b">
        <v>1</v>
      </c>
      <c r="K55" s="57" t="b">
        <f t="shared" si="2"/>
        <v>0</v>
      </c>
      <c r="L55" s="60">
        <f t="shared" si="6"/>
        <v>12</v>
      </c>
      <c r="M55" s="57" t="e">
        <f t="shared" si="3"/>
        <v>#N/A</v>
      </c>
    </row>
    <row r="56" spans="2:13">
      <c r="B56" s="48">
        <v>34</v>
      </c>
      <c r="C56" s="55">
        <v>33</v>
      </c>
      <c r="D56" s="55"/>
      <c r="E56" s="56">
        <v>0</v>
      </c>
      <c r="F56" s="57" t="str">
        <f t="shared" si="4"/>
        <v xml:space="preserve">33: </v>
      </c>
      <c r="G56" s="57" t="b">
        <f t="shared" si="0"/>
        <v>1</v>
      </c>
      <c r="H56" s="57" t="b">
        <f t="shared" si="1"/>
        <v>0</v>
      </c>
      <c r="I56" s="58" t="b">
        <f t="shared" si="5"/>
        <v>0</v>
      </c>
      <c r="J56" s="59" t="b">
        <v>1</v>
      </c>
      <c r="K56" s="57" t="b">
        <f t="shared" si="2"/>
        <v>0</v>
      </c>
      <c r="L56" s="60">
        <f t="shared" si="6"/>
        <v>12</v>
      </c>
      <c r="M56" s="57" t="e">
        <f t="shared" si="3"/>
        <v>#N/A</v>
      </c>
    </row>
    <row r="57" spans="2:13">
      <c r="B57" s="48">
        <v>35</v>
      </c>
      <c r="C57" s="61">
        <v>34</v>
      </c>
      <c r="D57" s="61"/>
      <c r="E57" s="62">
        <v>0</v>
      </c>
      <c r="F57" s="57" t="str">
        <f t="shared" si="4"/>
        <v xml:space="preserve">34: </v>
      </c>
      <c r="G57" s="57" t="b">
        <f t="shared" si="0"/>
        <v>1</v>
      </c>
      <c r="H57" s="57" t="b">
        <f t="shared" si="1"/>
        <v>0</v>
      </c>
      <c r="I57" s="58" t="b">
        <f t="shared" si="5"/>
        <v>0</v>
      </c>
      <c r="J57" s="59" t="b">
        <v>1</v>
      </c>
      <c r="K57" s="57" t="b">
        <f t="shared" si="2"/>
        <v>0</v>
      </c>
      <c r="L57" s="60">
        <f t="shared" si="6"/>
        <v>12</v>
      </c>
      <c r="M57" s="57" t="e">
        <f t="shared" si="3"/>
        <v>#N/A</v>
      </c>
    </row>
    <row r="58" spans="2:13">
      <c r="B58" s="48">
        <v>36</v>
      </c>
      <c r="C58" s="55">
        <v>35</v>
      </c>
      <c r="D58" s="55"/>
      <c r="E58" s="56">
        <v>0</v>
      </c>
      <c r="F58" s="57" t="str">
        <f t="shared" si="4"/>
        <v xml:space="preserve">35: </v>
      </c>
      <c r="G58" s="57" t="b">
        <f t="shared" si="0"/>
        <v>1</v>
      </c>
      <c r="H58" s="57" t="b">
        <f t="shared" si="1"/>
        <v>0</v>
      </c>
      <c r="I58" s="58" t="b">
        <f t="shared" si="5"/>
        <v>0</v>
      </c>
      <c r="J58" s="59" t="b">
        <v>1</v>
      </c>
      <c r="K58" s="57" t="b">
        <f t="shared" si="2"/>
        <v>0</v>
      </c>
      <c r="L58" s="60">
        <f t="shared" si="6"/>
        <v>12</v>
      </c>
      <c r="M58" s="57" t="e">
        <f t="shared" si="3"/>
        <v>#N/A</v>
      </c>
    </row>
    <row r="59" spans="2:13">
      <c r="B59" s="48">
        <v>37</v>
      </c>
      <c r="C59" s="61">
        <v>36</v>
      </c>
      <c r="D59" s="61"/>
      <c r="E59" s="62">
        <v>0</v>
      </c>
      <c r="F59" s="57" t="str">
        <f t="shared" si="4"/>
        <v xml:space="preserve">36: </v>
      </c>
      <c r="G59" s="57" t="b">
        <f t="shared" si="0"/>
        <v>1</v>
      </c>
      <c r="H59" s="57" t="b">
        <f t="shared" si="1"/>
        <v>0</v>
      </c>
      <c r="I59" s="58" t="b">
        <f t="shared" si="5"/>
        <v>0</v>
      </c>
      <c r="J59" s="59" t="b">
        <v>1</v>
      </c>
      <c r="K59" s="57" t="b">
        <f t="shared" si="2"/>
        <v>0</v>
      </c>
      <c r="L59" s="60">
        <f t="shared" si="6"/>
        <v>12</v>
      </c>
      <c r="M59" s="57" t="e">
        <f t="shared" si="3"/>
        <v>#N/A</v>
      </c>
    </row>
    <row r="60" spans="2:13">
      <c r="B60" s="48">
        <v>38</v>
      </c>
      <c r="C60" s="55">
        <v>37</v>
      </c>
      <c r="D60" s="55"/>
      <c r="E60" s="56">
        <v>0</v>
      </c>
      <c r="F60" s="57" t="str">
        <f t="shared" si="4"/>
        <v xml:space="preserve">37: </v>
      </c>
      <c r="G60" s="57" t="b">
        <f t="shared" si="0"/>
        <v>1</v>
      </c>
      <c r="H60" s="57" t="b">
        <f t="shared" si="1"/>
        <v>0</v>
      </c>
      <c r="I60" s="58" t="b">
        <f t="shared" si="5"/>
        <v>0</v>
      </c>
      <c r="J60" s="59" t="b">
        <v>1</v>
      </c>
      <c r="K60" s="57" t="b">
        <f t="shared" si="2"/>
        <v>0</v>
      </c>
      <c r="L60" s="60">
        <f t="shared" si="6"/>
        <v>12</v>
      </c>
      <c r="M60" s="57" t="e">
        <f t="shared" si="3"/>
        <v>#N/A</v>
      </c>
    </row>
    <row r="61" spans="2:13">
      <c r="B61" s="48">
        <v>39</v>
      </c>
      <c r="C61" s="61">
        <v>38</v>
      </c>
      <c r="D61" s="61"/>
      <c r="E61" s="62">
        <v>0</v>
      </c>
      <c r="F61" s="57" t="str">
        <f t="shared" si="4"/>
        <v xml:space="preserve">38: </v>
      </c>
      <c r="G61" s="57" t="b">
        <f t="shared" si="0"/>
        <v>1</v>
      </c>
      <c r="H61" s="57" t="b">
        <f t="shared" si="1"/>
        <v>0</v>
      </c>
      <c r="I61" s="58" t="b">
        <f t="shared" si="5"/>
        <v>0</v>
      </c>
      <c r="J61" s="59" t="b">
        <v>1</v>
      </c>
      <c r="K61" s="57" t="b">
        <f t="shared" si="2"/>
        <v>0</v>
      </c>
      <c r="L61" s="60">
        <f t="shared" si="6"/>
        <v>12</v>
      </c>
      <c r="M61" s="57" t="e">
        <f t="shared" si="3"/>
        <v>#N/A</v>
      </c>
    </row>
    <row r="62" spans="2:13">
      <c r="B62" s="48">
        <v>40</v>
      </c>
      <c r="C62" s="55">
        <v>39</v>
      </c>
      <c r="D62" s="55"/>
      <c r="E62" s="56">
        <v>0</v>
      </c>
      <c r="F62" s="57" t="str">
        <f t="shared" si="4"/>
        <v xml:space="preserve">39: </v>
      </c>
      <c r="G62" s="57" t="b">
        <f t="shared" si="0"/>
        <v>1</v>
      </c>
      <c r="H62" s="57" t="b">
        <f t="shared" si="1"/>
        <v>0</v>
      </c>
      <c r="I62" s="58" t="b">
        <f t="shared" si="5"/>
        <v>0</v>
      </c>
      <c r="J62" s="59" t="b">
        <v>1</v>
      </c>
      <c r="K62" s="57" t="b">
        <f t="shared" si="2"/>
        <v>0</v>
      </c>
      <c r="L62" s="60">
        <f t="shared" si="6"/>
        <v>12</v>
      </c>
      <c r="M62" s="57" t="e">
        <f t="shared" si="3"/>
        <v>#N/A</v>
      </c>
    </row>
    <row r="63" spans="2:13">
      <c r="B63" s="48">
        <v>41</v>
      </c>
      <c r="C63" s="63">
        <v>40</v>
      </c>
      <c r="D63" s="63"/>
      <c r="E63" s="64">
        <v>0</v>
      </c>
      <c r="F63" s="65" t="str">
        <f t="shared" si="4"/>
        <v xml:space="preserve">40: </v>
      </c>
      <c r="G63" s="65" t="b">
        <f t="shared" si="0"/>
        <v>1</v>
      </c>
      <c r="H63" s="65" t="b">
        <f t="shared" si="1"/>
        <v>0</v>
      </c>
      <c r="I63" s="66" t="b">
        <f t="shared" si="5"/>
        <v>0</v>
      </c>
      <c r="J63" s="67" t="b">
        <v>1</v>
      </c>
      <c r="K63" s="65" t="b">
        <f t="shared" si="2"/>
        <v>0</v>
      </c>
      <c r="L63" s="68">
        <f t="shared" si="6"/>
        <v>12</v>
      </c>
      <c r="M63" s="65" t="e">
        <f t="shared" si="3"/>
        <v>#N/A</v>
      </c>
    </row>
    <row r="64" spans="2:13">
      <c r="B64" s="28" t="s">
        <v>355</v>
      </c>
      <c r="C64" s="28" t="s">
        <v>179</v>
      </c>
      <c r="D64" s="28" t="s">
        <v>348</v>
      </c>
      <c r="E64" s="41"/>
      <c r="F64" s="28" t="s">
        <v>157</v>
      </c>
      <c r="L64" s="28" t="s">
        <v>158</v>
      </c>
    </row>
    <row r="65" spans="1:5">
      <c r="E65" s="41"/>
    </row>
    <row r="66" spans="1:5" s="72" customFormat="1">
      <c r="A66" s="71" t="s">
        <v>126</v>
      </c>
      <c r="E66" s="73"/>
    </row>
    <row r="68" spans="1:5">
      <c r="B68" s="42" t="s">
        <v>159</v>
      </c>
      <c r="C68" s="43" t="str">
        <f ca="1">MID(CELL("filename",C68),FIND("]",CELL("filename",C68))+1,255)&amp;"!"</f>
        <v>SIs!</v>
      </c>
    </row>
    <row r="69" spans="1:5">
      <c r="B69" s="42"/>
      <c r="C69" s="28" t="s">
        <v>160</v>
      </c>
    </row>
    <row r="70" spans="1:5">
      <c r="B70" s="42"/>
    </row>
    <row r="71" spans="1:5">
      <c r="B71" s="42" t="s">
        <v>161</v>
      </c>
      <c r="C71" s="43">
        <f>MAX(SI_AvailableCount)</f>
        <v>12</v>
      </c>
    </row>
    <row r="72" spans="1:5">
      <c r="C72" s="28" t="s">
        <v>162</v>
      </c>
    </row>
  </sheetData>
  <dataValidations disablePrompts="1" count="1">
    <dataValidation type="list" allowBlank="1" showInputMessage="1" showErrorMessage="1" sqref="C11">
      <formula1>INDIRECT(SI_AvailableProgramDropDown)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4"/>
  </sheetPr>
  <dimension ref="A1:U29"/>
  <sheetViews>
    <sheetView zoomScaleNormal="100" workbookViewId="0">
      <selection activeCell="F2" sqref="F2"/>
    </sheetView>
  </sheetViews>
  <sheetFormatPr defaultColWidth="8.796875" defaultRowHeight="14.25"/>
  <cols>
    <col min="1" max="2" width="1.69921875" style="10" customWidth="1"/>
    <col min="3" max="3" width="24.69921875" style="10" customWidth="1"/>
    <col min="4" max="4" width="5.69921875" style="10" customWidth="1"/>
    <col min="5" max="5" width="10.69921875" style="10" customWidth="1"/>
    <col min="6" max="6" width="1.69921875" style="10" customWidth="1"/>
    <col min="7" max="7" width="10.69921875" style="10" customWidth="1"/>
    <col min="8" max="8" width="1.69921875" style="10" customWidth="1"/>
    <col min="9" max="9" width="10.69921875" style="10" customWidth="1"/>
    <col min="10" max="10" width="1.69921875" style="10" customWidth="1"/>
    <col min="11" max="11" width="10.69921875" style="10" customWidth="1"/>
    <col min="12" max="12" width="1.69921875" style="10" customWidth="1"/>
    <col min="13" max="13" width="10.69921875" style="10" customWidth="1"/>
    <col min="14" max="14" width="1.69921875" style="10" customWidth="1"/>
    <col min="15" max="15" width="10.69921875" style="10" customWidth="1"/>
    <col min="16" max="17" width="1.69921875" style="10" customWidth="1"/>
    <col min="18" max="18" width="20.69921875" style="10" customWidth="1"/>
    <col min="19" max="16384" width="8.796875" style="10"/>
  </cols>
  <sheetData>
    <row r="1" spans="1:21" s="75" customFormat="1" ht="6" customHeight="1"/>
    <row r="2" spans="1:21" s="310" customFormat="1" ht="50.25" customHeight="1">
      <c r="T2" s="311" t="s">
        <v>295</v>
      </c>
      <c r="U2" s="310" t="s">
        <v>130</v>
      </c>
    </row>
    <row r="3" spans="1:21" s="75" customFormat="1" ht="9.9499999999999993" customHeight="1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312"/>
      <c r="R3" s="312"/>
      <c r="S3" s="312"/>
    </row>
    <row r="4" spans="1:21" s="75" customFormat="1" ht="44.1" customHeight="1">
      <c r="A4" s="312"/>
      <c r="B4" s="312"/>
      <c r="C4" s="581" t="str">
        <f>nmProgramTitle</f>
        <v>Forecasting &amp; Planning Tool</v>
      </c>
      <c r="D4" s="581"/>
      <c r="E4" s="581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2"/>
      <c r="R4" s="312"/>
      <c r="S4" s="312"/>
    </row>
    <row r="5" spans="1:21" s="75" customFormat="1" ht="6" customHeight="1">
      <c r="A5" s="312"/>
      <c r="B5" s="312"/>
      <c r="C5" s="581"/>
      <c r="D5" s="581"/>
      <c r="E5" s="581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  <c r="Q5" s="312"/>
      <c r="R5" s="312"/>
      <c r="S5" s="312"/>
    </row>
    <row r="6" spans="1:21" s="75" customFormat="1" ht="27" customHeight="1">
      <c r="A6" s="312"/>
      <c r="B6" s="312"/>
      <c r="C6" s="581"/>
      <c r="D6" s="581"/>
      <c r="E6" s="581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2"/>
      <c r="R6" s="312"/>
      <c r="S6" s="312"/>
    </row>
    <row r="7" spans="1:21" s="75" customFormat="1" ht="21.95" customHeight="1">
      <c r="A7" s="209"/>
      <c r="B7" s="209"/>
      <c r="C7" s="209"/>
      <c r="D7" s="209"/>
      <c r="E7" s="209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209"/>
      <c r="R7" s="209"/>
      <c r="S7" s="312"/>
    </row>
    <row r="8" spans="1:21" s="75" customFormat="1" ht="21.95" customHeight="1">
      <c r="A8" s="209"/>
      <c r="B8" s="209"/>
      <c r="C8" s="396" t="s">
        <v>1172</v>
      </c>
      <c r="D8" s="97" t="s">
        <v>1291</v>
      </c>
      <c r="E8" s="312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209"/>
      <c r="R8" s="209"/>
      <c r="S8" s="312"/>
    </row>
    <row r="9" spans="1:21" s="75" customFormat="1" ht="9.75" customHeight="1">
      <c r="A9" s="209"/>
      <c r="B9" s="209"/>
      <c r="C9" s="312"/>
      <c r="D9" s="312"/>
      <c r="E9" s="312"/>
      <c r="F9" s="312"/>
      <c r="G9" s="312"/>
      <c r="H9" s="175"/>
      <c r="I9" s="175"/>
      <c r="J9" s="175"/>
      <c r="K9" s="175"/>
      <c r="L9" s="175"/>
      <c r="M9" s="175"/>
      <c r="N9" s="175"/>
      <c r="O9" s="175"/>
      <c r="P9" s="175"/>
      <c r="Q9" s="209"/>
      <c r="R9" s="209"/>
      <c r="S9" s="312"/>
    </row>
    <row r="10" spans="1:21" s="75" customFormat="1" ht="21.95" customHeight="1">
      <c r="A10" s="209"/>
      <c r="B10" s="209"/>
      <c r="C10" s="312"/>
      <c r="D10" s="312"/>
      <c r="E10" s="312"/>
      <c r="F10" s="312"/>
      <c r="G10" s="312"/>
      <c r="H10" s="175"/>
      <c r="I10" s="175"/>
      <c r="J10" s="175"/>
      <c r="K10" s="175"/>
      <c r="L10" s="175"/>
      <c r="M10" s="175"/>
      <c r="N10" s="175"/>
      <c r="O10" s="175"/>
      <c r="P10" s="175"/>
      <c r="Q10" s="209"/>
      <c r="R10" s="209"/>
      <c r="S10" s="312"/>
    </row>
    <row r="11" spans="1:21" s="75" customFormat="1" ht="21.95" customHeight="1" thickBot="1">
      <c r="A11" s="209"/>
      <c r="B11" s="209"/>
      <c r="C11" s="312"/>
      <c r="D11" s="209"/>
      <c r="E11" s="393" t="s">
        <v>1170</v>
      </c>
      <c r="F11" s="394"/>
      <c r="G11" s="395" t="s">
        <v>1171</v>
      </c>
      <c r="H11" s="175"/>
      <c r="I11" s="175"/>
      <c r="J11" s="175"/>
      <c r="K11" s="175"/>
      <c r="L11" s="175"/>
      <c r="M11" s="175"/>
      <c r="N11" s="175"/>
      <c r="O11" s="175"/>
      <c r="P11" s="175"/>
      <c r="Q11" s="209"/>
      <c r="R11" s="209"/>
      <c r="S11" s="312"/>
    </row>
    <row r="12" spans="1:21" s="75" customFormat="1" ht="21.95" customHeight="1" thickBot="1">
      <c r="A12" s="209"/>
      <c r="B12" s="209"/>
      <c r="C12" s="315" t="s">
        <v>1169</v>
      </c>
      <c r="D12" s="209"/>
      <c r="E12" s="392">
        <v>42786</v>
      </c>
      <c r="F12" s="175"/>
      <c r="G12" s="175" t="s">
        <v>1173</v>
      </c>
      <c r="H12" s="175"/>
      <c r="I12" s="77"/>
      <c r="J12" s="77"/>
      <c r="K12" s="77"/>
      <c r="L12" s="77"/>
      <c r="M12" s="77"/>
      <c r="N12" s="77"/>
      <c r="O12" s="77"/>
      <c r="P12" s="77"/>
      <c r="Q12" s="76"/>
      <c r="R12" s="76"/>
    </row>
    <row r="13" spans="1:21" s="75" customFormat="1" ht="21.95" customHeight="1" thickBot="1">
      <c r="A13" s="209"/>
      <c r="B13" s="209"/>
      <c r="C13" s="209"/>
      <c r="D13" s="209"/>
      <c r="E13" s="387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209"/>
      <c r="R13" s="209"/>
      <c r="S13" s="312"/>
      <c r="T13" s="312" t="b">
        <v>0</v>
      </c>
    </row>
    <row r="14" spans="1:21" s="75" customFormat="1" ht="22.5" customHeight="1" thickBot="1">
      <c r="A14" s="209"/>
      <c r="B14" s="209"/>
      <c r="C14" s="315" t="s">
        <v>1167</v>
      </c>
      <c r="D14" s="209"/>
      <c r="E14" s="392">
        <v>42748</v>
      </c>
      <c r="F14" s="175"/>
      <c r="G14" s="175" t="s">
        <v>1174</v>
      </c>
      <c r="H14" s="175"/>
      <c r="I14" s="175"/>
      <c r="J14" s="175"/>
      <c r="K14" s="175"/>
      <c r="L14" s="175"/>
      <c r="M14" s="175"/>
      <c r="N14" s="175"/>
      <c r="O14" s="175"/>
      <c r="P14" s="175"/>
      <c r="Q14" s="209"/>
      <c r="R14" s="209"/>
      <c r="S14" s="312"/>
      <c r="T14" s="312" t="b">
        <v>0</v>
      </c>
    </row>
    <row r="15" spans="1:21" s="75" customFormat="1" ht="13.5" customHeight="1" thickBot="1">
      <c r="A15" s="209"/>
      <c r="B15" s="209"/>
      <c r="C15" s="312"/>
      <c r="D15" s="209"/>
      <c r="E15" s="316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209"/>
      <c r="R15" s="209"/>
      <c r="S15" s="312"/>
      <c r="T15" s="312" t="b">
        <v>0</v>
      </c>
    </row>
    <row r="16" spans="1:21" s="75" customFormat="1" ht="21.95" customHeight="1" thickBot="1">
      <c r="A16" s="209"/>
      <c r="B16" s="209"/>
      <c r="C16" s="315" t="s">
        <v>1168</v>
      </c>
      <c r="D16" s="209"/>
      <c r="E16" s="392">
        <v>42773</v>
      </c>
      <c r="F16" s="175"/>
      <c r="G16" s="397">
        <v>0.41666666666666669</v>
      </c>
      <c r="H16" s="175"/>
      <c r="I16" s="175"/>
      <c r="J16" s="175"/>
      <c r="K16" s="175"/>
      <c r="L16" s="175"/>
      <c r="M16" s="175"/>
      <c r="N16" s="175"/>
      <c r="O16" s="175"/>
      <c r="P16" s="175"/>
      <c r="Q16" s="209"/>
      <c r="R16" s="209"/>
      <c r="S16" s="312"/>
      <c r="T16" s="312" t="b">
        <v>0</v>
      </c>
    </row>
    <row r="17" spans="1:20" s="75" customFormat="1" ht="21.95" customHeight="1">
      <c r="A17" s="209"/>
      <c r="B17" s="209"/>
      <c r="C17" s="312"/>
      <c r="D17" s="209"/>
      <c r="E17" s="209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209"/>
      <c r="R17" s="209"/>
      <c r="S17" s="312"/>
      <c r="T17" s="312" t="s">
        <v>134</v>
      </c>
    </row>
    <row r="18" spans="1:20" s="75" customFormat="1" ht="9.9499999999999993" customHeight="1" thickBot="1">
      <c r="A18" s="209"/>
      <c r="B18" s="209"/>
      <c r="C18" s="209"/>
      <c r="D18" s="209"/>
      <c r="E18" s="209"/>
      <c r="F18" s="209"/>
      <c r="G18" s="209"/>
      <c r="H18" s="209"/>
      <c r="I18" s="209"/>
      <c r="J18" s="209"/>
      <c r="K18" s="209"/>
      <c r="L18" s="209"/>
      <c r="M18" s="209"/>
      <c r="N18" s="209"/>
      <c r="O18" s="209"/>
      <c r="P18" s="209"/>
      <c r="Q18" s="209"/>
      <c r="R18" s="209"/>
      <c r="S18" s="312"/>
      <c r="T18" s="312"/>
    </row>
    <row r="19" spans="1:20" s="314" customFormat="1" ht="21.95" customHeight="1" thickTop="1"/>
    <row r="20" spans="1:20" s="74" customFormat="1" ht="21.95" customHeight="1"/>
    <row r="21" spans="1:20" s="74" customFormat="1" ht="21.95" customHeight="1"/>
    <row r="22" spans="1:20" s="74" customFormat="1" ht="21.95" customHeight="1"/>
    <row r="23" spans="1:20" ht="21.95" customHeight="1"/>
    <row r="24" spans="1:20" ht="21.95" customHeight="1"/>
    <row r="25" spans="1:20" ht="21.95" customHeight="1"/>
    <row r="26" spans="1:20" ht="21.95" customHeight="1"/>
    <row r="27" spans="1:20" ht="21.95" customHeight="1"/>
    <row r="28" spans="1:20" ht="21.95" customHeight="1"/>
    <row r="29" spans="1:20" ht="21.95" customHeight="1"/>
  </sheetData>
  <sheetProtection selectLockedCells="1"/>
  <mergeCells count="1">
    <mergeCell ref="C4:E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4"/>
  </sheetPr>
  <dimension ref="A1:AR105"/>
  <sheetViews>
    <sheetView topLeftCell="A10" zoomScale="80" zoomScaleNormal="80" workbookViewId="0">
      <selection activeCell="M19" sqref="M19"/>
    </sheetView>
  </sheetViews>
  <sheetFormatPr defaultColWidth="8.796875" defaultRowHeight="15"/>
  <cols>
    <col min="1" max="1" width="1.69921875" style="216" customWidth="1"/>
    <col min="2" max="2" width="1.69921875" style="90" customWidth="1"/>
    <col min="3" max="3" width="12.09765625" style="90" customWidth="1"/>
    <col min="4" max="4" width="2.59765625" style="90" customWidth="1"/>
    <col min="5" max="5" width="12.09765625" style="90" customWidth="1"/>
    <col min="6" max="6" width="2.3984375" style="90" customWidth="1"/>
    <col min="7" max="7" width="12.09765625" style="90" customWidth="1"/>
    <col min="8" max="8" width="1.69921875" style="90" customWidth="1"/>
    <col min="9" max="9" width="12.09765625" style="90" customWidth="1"/>
    <col min="10" max="10" width="1.69921875" style="90" customWidth="1"/>
    <col min="11" max="11" width="12.09765625" style="90" customWidth="1"/>
    <col min="12" max="12" width="1.69921875" style="90" customWidth="1"/>
    <col min="13" max="13" width="12.09765625" style="90" customWidth="1"/>
    <col min="14" max="14" width="1.69921875" style="90" customWidth="1"/>
    <col min="15" max="15" width="12.09765625" style="90" customWidth="1"/>
    <col min="16" max="16" width="1.69921875" style="90" customWidth="1"/>
    <col min="17" max="17" width="12.09765625" style="90" customWidth="1"/>
    <col min="18" max="18" width="1.69921875" style="90" customWidth="1"/>
    <col min="19" max="19" width="12.09765625" style="90" customWidth="1"/>
    <col min="20" max="20" width="3.296875" style="90" customWidth="1"/>
    <col min="21" max="22" width="12.09765625" style="90" customWidth="1"/>
    <col min="23" max="23" width="8.796875" style="90"/>
    <col min="24" max="28" width="10.69921875" style="90" customWidth="1"/>
    <col min="29" max="16384" width="8.796875" style="90"/>
  </cols>
  <sheetData>
    <row r="1" spans="1:44" s="89" customFormat="1" ht="6" customHeight="1">
      <c r="A1" s="216"/>
      <c r="C1" s="178"/>
    </row>
    <row r="2" spans="1:44" s="89" customFormat="1" ht="57.75" customHeight="1">
      <c r="A2" s="216"/>
      <c r="C2" s="222" t="s">
        <v>597</v>
      </c>
    </row>
    <row r="3" spans="1:44" s="215" customFormat="1" ht="27.95" customHeight="1">
      <c r="A3" s="216"/>
      <c r="B3" s="213"/>
      <c r="C3" s="220" t="s">
        <v>595</v>
      </c>
      <c r="D3" s="213"/>
      <c r="E3" s="213"/>
      <c r="F3" s="213"/>
      <c r="G3" s="213"/>
      <c r="H3" s="213"/>
      <c r="I3" s="213"/>
      <c r="J3" s="213"/>
      <c r="K3" s="213"/>
      <c r="L3" s="213"/>
      <c r="M3" s="213"/>
      <c r="N3" s="213"/>
      <c r="O3" s="213"/>
      <c r="P3" s="213"/>
      <c r="Q3" s="213"/>
      <c r="R3" s="213"/>
      <c r="S3" s="213"/>
      <c r="T3" s="213"/>
      <c r="U3" s="213"/>
      <c r="V3" s="213"/>
      <c r="W3" s="213"/>
      <c r="X3" s="213"/>
      <c r="Y3" s="213"/>
      <c r="Z3" s="213"/>
      <c r="AA3" s="213"/>
      <c r="AB3" s="213"/>
      <c r="AC3" s="213"/>
      <c r="AD3" s="213"/>
      <c r="AE3" s="213"/>
      <c r="AF3" s="213"/>
      <c r="AG3" s="213"/>
      <c r="AH3" s="213"/>
      <c r="AI3" s="213"/>
      <c r="AJ3" s="213"/>
    </row>
    <row r="4" spans="1:44" s="215" customFormat="1" ht="18" customHeight="1">
      <c r="A4" s="216"/>
      <c r="B4" s="214"/>
      <c r="C4" s="236"/>
      <c r="D4" s="214"/>
      <c r="E4" s="214"/>
      <c r="F4" s="214"/>
      <c r="G4" s="214"/>
      <c r="H4" s="214"/>
      <c r="I4" s="214"/>
      <c r="J4" s="214"/>
      <c r="K4" s="214"/>
      <c r="L4" s="214"/>
      <c r="M4" s="214"/>
      <c r="N4" s="214"/>
      <c r="O4" s="214"/>
      <c r="P4" s="214"/>
      <c r="Q4" s="589" t="s">
        <v>594</v>
      </c>
      <c r="R4" s="214"/>
      <c r="S4" s="589" t="s">
        <v>463</v>
      </c>
      <c r="T4" s="214"/>
      <c r="U4" s="589" t="s">
        <v>508</v>
      </c>
      <c r="V4" s="237"/>
      <c r="W4" s="214"/>
      <c r="X4" s="214"/>
      <c r="Y4" s="214"/>
      <c r="Z4" s="214"/>
      <c r="AA4" s="214"/>
      <c r="AB4" s="214"/>
      <c r="AC4" s="214"/>
      <c r="AD4" s="214"/>
      <c r="AE4" s="214"/>
      <c r="AF4" s="214"/>
      <c r="AG4" s="214"/>
      <c r="AH4" s="214"/>
      <c r="AI4" s="214"/>
      <c r="AJ4" s="214"/>
      <c r="AK4" s="93"/>
      <c r="AL4" s="93"/>
      <c r="AM4" s="93"/>
      <c r="AN4" s="93"/>
      <c r="AO4" s="93"/>
      <c r="AP4" s="93"/>
      <c r="AQ4" s="93"/>
      <c r="AR4" s="93"/>
    </row>
    <row r="5" spans="1:44" s="93" customFormat="1" ht="20.100000000000001" customHeight="1" thickBot="1">
      <c r="A5" s="216"/>
      <c r="Q5" s="590"/>
      <c r="S5" s="590"/>
      <c r="U5" s="590"/>
      <c r="V5" s="241"/>
    </row>
    <row r="6" spans="1:44" s="93" customFormat="1" ht="39" customHeight="1" thickBot="1">
      <c r="A6" s="216"/>
      <c r="C6" s="265" t="s">
        <v>602</v>
      </c>
      <c r="D6" s="223"/>
      <c r="E6" s="238" t="s">
        <v>82</v>
      </c>
      <c r="F6" s="223"/>
      <c r="G6" s="204" t="s">
        <v>598</v>
      </c>
      <c r="H6" s="223"/>
      <c r="I6" s="238" t="s">
        <v>457</v>
      </c>
      <c r="J6" s="224"/>
      <c r="K6" s="204" t="s">
        <v>477</v>
      </c>
      <c r="M6" s="238" t="s">
        <v>82</v>
      </c>
      <c r="N6" s="223"/>
      <c r="P6" s="199"/>
      <c r="Q6" s="263" t="s">
        <v>475</v>
      </c>
      <c r="R6" s="225"/>
      <c r="S6" s="225"/>
      <c r="T6" s="226"/>
      <c r="U6" s="227"/>
      <c r="V6" s="167"/>
    </row>
    <row r="7" spans="1:44" s="93" customFormat="1" ht="24" customHeight="1" thickBot="1">
      <c r="A7" s="216"/>
      <c r="C7" s="204"/>
      <c r="D7" s="223"/>
      <c r="E7" s="223"/>
      <c r="F7" s="223"/>
      <c r="G7" s="204"/>
      <c r="H7" s="223"/>
      <c r="I7" s="223"/>
      <c r="J7" s="223"/>
      <c r="K7" s="204"/>
      <c r="L7" s="223"/>
      <c r="M7" s="223"/>
      <c r="N7" s="223"/>
      <c r="P7" s="199"/>
      <c r="Q7" s="228"/>
      <c r="R7" s="229"/>
      <c r="S7" s="229"/>
      <c r="T7" s="230"/>
      <c r="U7" s="231"/>
      <c r="V7" s="167"/>
    </row>
    <row r="8" spans="1:44" s="93" customFormat="1" ht="39" customHeight="1" thickBot="1">
      <c r="A8" s="216"/>
      <c r="C8" s="204" t="s">
        <v>599</v>
      </c>
      <c r="E8" s="239" t="s">
        <v>82</v>
      </c>
      <c r="G8" s="204" t="s">
        <v>600</v>
      </c>
      <c r="I8" s="426">
        <v>2017</v>
      </c>
      <c r="K8" s="204" t="s">
        <v>514</v>
      </c>
      <c r="M8" s="239">
        <v>2023</v>
      </c>
      <c r="P8" s="199"/>
      <c r="Q8" s="228"/>
      <c r="R8" s="229"/>
      <c r="S8" s="229"/>
      <c r="T8" s="230"/>
      <c r="U8" s="231"/>
      <c r="V8" s="167"/>
    </row>
    <row r="9" spans="1:44" s="93" customFormat="1" ht="24" customHeight="1" thickBot="1">
      <c r="A9" s="216"/>
      <c r="C9" s="179"/>
      <c r="G9" s="179"/>
      <c r="M9" s="164"/>
      <c r="O9" s="199"/>
      <c r="P9" s="199"/>
      <c r="Q9" s="228"/>
      <c r="R9" s="229"/>
      <c r="S9" s="229"/>
      <c r="T9" s="230"/>
      <c r="U9" s="231"/>
      <c r="V9" s="167"/>
    </row>
    <row r="10" spans="1:44" s="93" customFormat="1" ht="39" customHeight="1" thickBot="1">
      <c r="A10" s="216"/>
      <c r="C10" s="204" t="s">
        <v>601</v>
      </c>
      <c r="E10" s="239" t="s">
        <v>540</v>
      </c>
      <c r="G10" s="179" t="s">
        <v>461</v>
      </c>
      <c r="I10" s="239">
        <v>2030</v>
      </c>
      <c r="O10" s="199"/>
      <c r="P10" s="199"/>
      <c r="Q10" s="228"/>
      <c r="R10" s="229"/>
      <c r="S10" s="229"/>
      <c r="T10" s="230"/>
      <c r="U10" s="231"/>
      <c r="V10" s="167"/>
    </row>
    <row r="11" spans="1:44" s="93" customFormat="1" ht="24" customHeight="1" thickBot="1">
      <c r="A11" s="216"/>
      <c r="Q11" s="228"/>
      <c r="R11" s="229"/>
      <c r="S11" s="229"/>
      <c r="T11" s="230"/>
      <c r="U11" s="231"/>
      <c r="V11" s="167"/>
    </row>
    <row r="12" spans="1:44" s="93" customFormat="1" ht="39" customHeight="1" thickBot="1">
      <c r="A12" s="216"/>
      <c r="C12" s="582" t="s">
        <v>547</v>
      </c>
      <c r="E12" s="239" t="s">
        <v>540</v>
      </c>
      <c r="G12" s="582" t="s">
        <v>1181</v>
      </c>
      <c r="I12" s="239">
        <v>0</v>
      </c>
      <c r="Q12" s="232"/>
      <c r="R12" s="233"/>
      <c r="S12" s="233"/>
      <c r="T12" s="234"/>
      <c r="U12" s="235"/>
      <c r="V12" s="167"/>
    </row>
    <row r="13" spans="1:44" s="93" customFormat="1" ht="13.5" customHeight="1">
      <c r="A13" s="216"/>
      <c r="C13" s="582"/>
      <c r="G13" s="582"/>
    </row>
    <row r="14" spans="1:44" s="93" customFormat="1" ht="29.25" customHeight="1">
      <c r="A14" s="216"/>
    </row>
    <row r="15" spans="1:44" s="92" customFormat="1" ht="27.95" customHeight="1" thickBot="1">
      <c r="A15" s="216"/>
      <c r="B15" s="217"/>
      <c r="C15" s="221" t="s">
        <v>596</v>
      </c>
      <c r="D15" s="218"/>
      <c r="E15" s="219"/>
      <c r="F15" s="219"/>
      <c r="G15" s="219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8"/>
      <c r="U15" s="218"/>
      <c r="V15" s="218"/>
      <c r="W15" s="218"/>
      <c r="X15" s="218"/>
      <c r="Y15" s="218"/>
      <c r="Z15" s="218"/>
      <c r="AA15" s="218"/>
      <c r="AB15" s="218"/>
      <c r="AC15" s="218"/>
      <c r="AD15" s="218"/>
      <c r="AE15" s="218"/>
      <c r="AF15" s="218"/>
      <c r="AG15" s="218"/>
      <c r="AH15" s="218"/>
      <c r="AI15" s="218"/>
      <c r="AJ15" s="218"/>
      <c r="AK15" s="218"/>
    </row>
    <row r="16" spans="1:44" s="165" customFormat="1" ht="15.75" customHeight="1">
      <c r="A16" s="216"/>
      <c r="B16" s="167"/>
      <c r="C16" s="168"/>
      <c r="D16" s="167"/>
      <c r="E16" s="167"/>
      <c r="F16" s="167"/>
      <c r="G16" s="167"/>
      <c r="H16" s="167"/>
      <c r="I16" s="167"/>
      <c r="J16" s="167"/>
      <c r="K16" s="167"/>
      <c r="L16" s="167"/>
      <c r="M16" s="167"/>
      <c r="N16" s="167"/>
      <c r="O16" s="167"/>
      <c r="P16" s="167"/>
      <c r="Q16" s="167"/>
      <c r="R16" s="167"/>
      <c r="S16" s="167"/>
      <c r="T16" s="167"/>
      <c r="U16" s="167"/>
      <c r="V16" s="167"/>
      <c r="W16" s="167"/>
      <c r="X16" s="167"/>
      <c r="Y16" s="167"/>
      <c r="Z16" s="167"/>
      <c r="AA16" s="167"/>
      <c r="AB16" s="167"/>
      <c r="AC16" s="167"/>
      <c r="AD16" s="167"/>
      <c r="AE16" s="167"/>
      <c r="AF16" s="167"/>
      <c r="AG16" s="167"/>
      <c r="AH16" s="167"/>
      <c r="AI16" s="167"/>
      <c r="AJ16" s="167"/>
      <c r="AK16" s="167"/>
    </row>
    <row r="17" spans="1:28" s="167" customFormat="1" ht="6.75" customHeight="1">
      <c r="A17" s="216"/>
      <c r="C17" s="168"/>
    </row>
    <row r="18" spans="1:28" s="93" customFormat="1" ht="30.75" customHeight="1" thickBot="1">
      <c r="A18" s="216"/>
      <c r="C18" s="246"/>
      <c r="D18" s="247"/>
      <c r="E18" s="247"/>
      <c r="F18" s="247"/>
      <c r="G18" s="248"/>
      <c r="H18" s="247"/>
      <c r="I18" s="249" t="s">
        <v>496</v>
      </c>
      <c r="J18" s="250"/>
      <c r="K18" s="249" t="s">
        <v>497</v>
      </c>
      <c r="L18" s="250"/>
      <c r="M18" s="249" t="s">
        <v>498</v>
      </c>
      <c r="N18" s="247"/>
      <c r="O18" s="591" t="s">
        <v>475</v>
      </c>
      <c r="P18" s="591"/>
      <c r="Q18" s="591"/>
      <c r="R18" s="591"/>
      <c r="S18" s="591"/>
      <c r="T18" s="251"/>
      <c r="V18" s="259" t="s">
        <v>515</v>
      </c>
      <c r="X18" s="180" t="s">
        <v>516</v>
      </c>
      <c r="Y18" s="180" t="s">
        <v>465</v>
      </c>
      <c r="Z18" s="180" t="s">
        <v>466</v>
      </c>
      <c r="AA18" s="180" t="s">
        <v>467</v>
      </c>
      <c r="AB18" s="180" t="s">
        <v>517</v>
      </c>
    </row>
    <row r="19" spans="1:28" s="93" customFormat="1" ht="48.75" customHeight="1" thickBot="1">
      <c r="A19" s="216"/>
      <c r="C19" s="587" t="s">
        <v>607</v>
      </c>
      <c r="D19" s="588"/>
      <c r="E19" s="588"/>
      <c r="F19" s="588"/>
      <c r="G19" s="588"/>
      <c r="H19" s="230"/>
      <c r="I19" s="245" t="s">
        <v>490</v>
      </c>
      <c r="J19" s="230"/>
      <c r="K19" s="245" t="s">
        <v>1497</v>
      </c>
      <c r="L19" s="230"/>
      <c r="M19" s="245" t="s">
        <v>1497</v>
      </c>
      <c r="N19" s="230"/>
      <c r="O19" s="320"/>
      <c r="P19" s="321"/>
      <c r="Q19" s="321"/>
      <c r="R19" s="321"/>
      <c r="S19" s="322"/>
      <c r="T19" s="252"/>
      <c r="U19" s="167"/>
      <c r="V19" s="584"/>
      <c r="X19" s="93" t="s">
        <v>518</v>
      </c>
    </row>
    <row r="20" spans="1:28" s="93" customFormat="1" ht="17.25" customHeight="1">
      <c r="A20" s="216" t="s">
        <v>469</v>
      </c>
      <c r="C20" s="253"/>
      <c r="D20" s="254"/>
      <c r="E20" s="254"/>
      <c r="F20" s="254"/>
      <c r="G20" s="254"/>
      <c r="H20" s="254"/>
      <c r="I20" s="254"/>
      <c r="J20" s="254"/>
      <c r="K20" s="254"/>
      <c r="L20" s="254"/>
      <c r="M20" s="254"/>
      <c r="N20" s="254"/>
      <c r="O20" s="254"/>
      <c r="P20" s="254"/>
      <c r="Q20" s="254"/>
      <c r="R20" s="254"/>
      <c r="S20" s="254"/>
      <c r="T20" s="255"/>
      <c r="U20" s="167"/>
      <c r="V20" s="585"/>
    </row>
    <row r="21" spans="1:28" s="93" customFormat="1" ht="21.95" customHeight="1">
      <c r="A21" s="216"/>
      <c r="G21" s="583"/>
      <c r="H21" s="583"/>
      <c r="I21" s="583"/>
      <c r="J21" s="583"/>
      <c r="K21" s="583"/>
      <c r="L21" s="583"/>
      <c r="M21" s="583"/>
      <c r="N21" s="583"/>
      <c r="O21" s="583"/>
      <c r="P21" s="583"/>
      <c r="Q21" s="583"/>
      <c r="R21" s="583"/>
      <c r="S21" s="583"/>
      <c r="U21" s="167"/>
      <c r="V21" s="585"/>
    </row>
    <row r="22" spans="1:28" s="93" customFormat="1" ht="21.95" customHeight="1" thickBot="1">
      <c r="A22" s="216"/>
      <c r="C22" s="246"/>
      <c r="D22" s="247"/>
      <c r="E22" s="247"/>
      <c r="F22" s="247"/>
      <c r="G22" s="248"/>
      <c r="H22" s="248"/>
      <c r="I22" s="248"/>
      <c r="J22" s="248"/>
      <c r="K22" s="248"/>
      <c r="L22" s="248"/>
      <c r="M22" s="248"/>
      <c r="N22" s="248"/>
      <c r="O22" s="248"/>
      <c r="P22" s="248"/>
      <c r="Q22" s="248"/>
      <c r="R22" s="248"/>
      <c r="S22" s="248"/>
      <c r="T22" s="256"/>
      <c r="U22" s="167"/>
      <c r="V22" s="585"/>
    </row>
    <row r="23" spans="1:28" s="93" customFormat="1" ht="48.75" customHeight="1" thickBot="1">
      <c r="A23" s="216"/>
      <c r="C23" s="587" t="s">
        <v>603</v>
      </c>
      <c r="D23" s="588"/>
      <c r="E23" s="588"/>
      <c r="F23" s="588"/>
      <c r="G23" s="588"/>
      <c r="H23" s="230"/>
      <c r="I23" s="320" t="s">
        <v>1488</v>
      </c>
      <c r="J23" s="321"/>
      <c r="K23" s="321"/>
      <c r="L23" s="321"/>
      <c r="M23" s="321"/>
      <c r="N23" s="321"/>
      <c r="O23" s="321"/>
      <c r="P23" s="321"/>
      <c r="Q23" s="321"/>
      <c r="R23" s="321"/>
      <c r="S23" s="322"/>
      <c r="T23" s="252"/>
      <c r="U23" s="169"/>
      <c r="V23" s="585"/>
    </row>
    <row r="24" spans="1:28" s="93" customFormat="1" ht="17.25" customHeight="1">
      <c r="A24" s="216" t="s">
        <v>469</v>
      </c>
      <c r="C24" s="253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4"/>
      <c r="R24" s="254"/>
      <c r="S24" s="254"/>
      <c r="T24" s="255"/>
      <c r="U24" s="167"/>
      <c r="V24" s="585"/>
    </row>
    <row r="25" spans="1:28" s="93" customFormat="1" ht="21.95" customHeight="1">
      <c r="A25" s="216"/>
      <c r="G25" s="583"/>
      <c r="H25" s="583"/>
      <c r="I25" s="583"/>
      <c r="J25" s="583"/>
      <c r="K25" s="583"/>
      <c r="L25" s="583"/>
      <c r="M25" s="583"/>
      <c r="N25" s="583"/>
      <c r="O25" s="583"/>
      <c r="P25" s="583"/>
      <c r="Q25" s="583"/>
      <c r="R25" s="583"/>
      <c r="S25" s="583"/>
      <c r="U25" s="167"/>
      <c r="V25" s="585"/>
    </row>
    <row r="26" spans="1:28" s="93" customFormat="1" ht="21.95" customHeight="1" thickBot="1">
      <c r="A26" s="216"/>
      <c r="C26" s="246"/>
      <c r="D26" s="247"/>
      <c r="E26" s="247"/>
      <c r="F26" s="247"/>
      <c r="G26" s="248"/>
      <c r="H26" s="248"/>
      <c r="I26" s="248"/>
      <c r="J26" s="248"/>
      <c r="K26" s="248"/>
      <c r="L26" s="248"/>
      <c r="M26" s="248"/>
      <c r="N26" s="248"/>
      <c r="O26" s="248"/>
      <c r="P26" s="248"/>
      <c r="Q26" s="248"/>
      <c r="R26" s="248"/>
      <c r="S26" s="248"/>
      <c r="T26" s="256"/>
      <c r="U26" s="167"/>
      <c r="V26" s="585"/>
    </row>
    <row r="27" spans="1:28" s="93" customFormat="1" ht="48.75" customHeight="1" thickBot="1">
      <c r="A27" s="216"/>
      <c r="C27" s="587" t="s">
        <v>604</v>
      </c>
      <c r="D27" s="588"/>
      <c r="E27" s="588"/>
      <c r="F27" s="588"/>
      <c r="G27" s="588"/>
      <c r="H27" s="244"/>
      <c r="I27" s="320" t="s">
        <v>1488</v>
      </c>
      <c r="J27" s="323"/>
      <c r="K27" s="323"/>
      <c r="L27" s="323"/>
      <c r="M27" s="323"/>
      <c r="N27" s="323"/>
      <c r="O27" s="323"/>
      <c r="P27" s="323"/>
      <c r="Q27" s="323"/>
      <c r="R27" s="323"/>
      <c r="S27" s="324"/>
      <c r="T27" s="252"/>
      <c r="U27" s="169"/>
      <c r="V27" s="585"/>
    </row>
    <row r="28" spans="1:28" s="93" customFormat="1" ht="17.25" customHeight="1">
      <c r="A28" s="216" t="s">
        <v>469</v>
      </c>
      <c r="C28" s="253"/>
      <c r="D28" s="254"/>
      <c r="E28" s="254"/>
      <c r="F28" s="254"/>
      <c r="G28" s="254"/>
      <c r="H28" s="254"/>
      <c r="I28" s="254"/>
      <c r="J28" s="254"/>
      <c r="K28" s="254"/>
      <c r="L28" s="254"/>
      <c r="M28" s="254"/>
      <c r="N28" s="254"/>
      <c r="O28" s="254"/>
      <c r="P28" s="254"/>
      <c r="Q28" s="254"/>
      <c r="R28" s="254"/>
      <c r="S28" s="254"/>
      <c r="T28" s="255"/>
      <c r="U28" s="167"/>
      <c r="V28" s="585"/>
    </row>
    <row r="29" spans="1:28" s="93" customFormat="1" ht="21.95" customHeight="1">
      <c r="A29" s="216"/>
      <c r="U29" s="167"/>
      <c r="V29" s="585"/>
    </row>
    <row r="30" spans="1:28" s="93" customFormat="1" ht="21.95" customHeight="1">
      <c r="A30" s="216"/>
      <c r="C30" s="246"/>
      <c r="D30" s="247"/>
      <c r="E30" s="247"/>
      <c r="F30" s="247"/>
      <c r="G30" s="247"/>
      <c r="H30" s="247"/>
      <c r="I30" s="591" t="s">
        <v>522</v>
      </c>
      <c r="J30" s="250"/>
      <c r="K30" s="591" t="s">
        <v>524</v>
      </c>
      <c r="L30" s="250"/>
      <c r="M30" s="591" t="s">
        <v>523</v>
      </c>
      <c r="N30" s="247"/>
      <c r="O30" s="591" t="s">
        <v>475</v>
      </c>
      <c r="P30" s="591"/>
      <c r="Q30" s="591"/>
      <c r="R30" s="591"/>
      <c r="S30" s="591"/>
      <c r="T30" s="256"/>
      <c r="U30" s="167"/>
      <c r="V30" s="585"/>
    </row>
    <row r="31" spans="1:28" s="93" customFormat="1" ht="15" customHeight="1" thickBot="1">
      <c r="A31" s="216"/>
      <c r="C31" s="257"/>
      <c r="D31" s="230"/>
      <c r="E31" s="230"/>
      <c r="F31" s="230"/>
      <c r="G31" s="230"/>
      <c r="H31" s="230"/>
      <c r="I31" s="592"/>
      <c r="J31" s="243"/>
      <c r="K31" s="592"/>
      <c r="L31" s="243"/>
      <c r="M31" s="592"/>
      <c r="N31" s="230"/>
      <c r="O31" s="592"/>
      <c r="P31" s="592"/>
      <c r="Q31" s="592"/>
      <c r="R31" s="592"/>
      <c r="S31" s="592"/>
      <c r="T31" s="258"/>
      <c r="U31" s="167"/>
      <c r="V31" s="585"/>
    </row>
    <row r="32" spans="1:28" s="93" customFormat="1" ht="48.75" customHeight="1" thickBot="1">
      <c r="A32" s="216"/>
      <c r="C32" s="587" t="s">
        <v>605</v>
      </c>
      <c r="D32" s="588"/>
      <c r="E32" s="588"/>
      <c r="F32" s="588"/>
      <c r="G32" s="588"/>
      <c r="H32" s="230"/>
      <c r="I32" s="320" t="s">
        <v>1488</v>
      </c>
      <c r="J32" s="230"/>
      <c r="K32" s="320" t="s">
        <v>1488</v>
      </c>
      <c r="L32" s="230"/>
      <c r="M32" s="320" t="s">
        <v>1488</v>
      </c>
      <c r="N32" s="230"/>
      <c r="O32" s="320"/>
      <c r="P32" s="321"/>
      <c r="Q32" s="321"/>
      <c r="R32" s="321"/>
      <c r="S32" s="322"/>
      <c r="T32" s="252"/>
      <c r="U32" s="169"/>
      <c r="V32" s="585"/>
    </row>
    <row r="33" spans="1:35" s="93" customFormat="1" ht="17.25" customHeight="1">
      <c r="A33" s="216" t="s">
        <v>469</v>
      </c>
      <c r="C33" s="253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4"/>
      <c r="P33" s="254"/>
      <c r="Q33" s="254"/>
      <c r="R33" s="254"/>
      <c r="S33" s="254"/>
      <c r="T33" s="255"/>
      <c r="U33" s="167"/>
      <c r="V33" s="585"/>
    </row>
    <row r="34" spans="1:35" s="93" customFormat="1" ht="21.95" customHeight="1">
      <c r="A34" s="216"/>
      <c r="G34" s="583"/>
      <c r="H34" s="583"/>
      <c r="I34" s="583"/>
      <c r="J34" s="583"/>
      <c r="K34" s="583"/>
      <c r="L34" s="583"/>
      <c r="M34" s="583"/>
      <c r="N34" s="583"/>
      <c r="O34" s="583"/>
      <c r="P34" s="583"/>
      <c r="Q34" s="583"/>
      <c r="R34" s="583"/>
      <c r="S34" s="583"/>
      <c r="U34" s="167"/>
      <c r="V34" s="585"/>
    </row>
    <row r="35" spans="1:35" s="93" customFormat="1" ht="21.95" customHeight="1" thickBot="1">
      <c r="A35" s="216"/>
      <c r="C35" s="246"/>
      <c r="D35" s="247"/>
      <c r="E35" s="247"/>
      <c r="F35" s="247"/>
      <c r="G35" s="248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  <c r="T35" s="256"/>
      <c r="U35" s="167"/>
      <c r="V35" s="585"/>
    </row>
    <row r="36" spans="1:35" s="93" customFormat="1" ht="48.75" customHeight="1" thickBot="1">
      <c r="A36" s="216"/>
      <c r="C36" s="587" t="s">
        <v>606</v>
      </c>
      <c r="D36" s="588"/>
      <c r="E36" s="588"/>
      <c r="F36" s="588"/>
      <c r="G36" s="588"/>
      <c r="H36" s="230"/>
      <c r="I36" s="320" t="s">
        <v>1488</v>
      </c>
      <c r="J36" s="323"/>
      <c r="K36" s="323"/>
      <c r="L36" s="323"/>
      <c r="M36" s="323"/>
      <c r="N36" s="323"/>
      <c r="O36" s="323"/>
      <c r="P36" s="323"/>
      <c r="Q36" s="323"/>
      <c r="R36" s="323"/>
      <c r="S36" s="324"/>
      <c r="T36" s="252"/>
      <c r="U36" s="169"/>
      <c r="V36" s="585"/>
    </row>
    <row r="37" spans="1:35" s="93" customFormat="1" ht="17.25" customHeight="1">
      <c r="A37" s="216" t="s">
        <v>469</v>
      </c>
      <c r="C37" s="253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4"/>
      <c r="P37" s="254"/>
      <c r="Q37" s="254"/>
      <c r="R37" s="254"/>
      <c r="S37" s="254"/>
      <c r="T37" s="255"/>
      <c r="U37" s="167"/>
      <c r="V37" s="585"/>
    </row>
    <row r="38" spans="1:35" s="93" customFormat="1" ht="21.95" customHeight="1">
      <c r="A38" s="216"/>
      <c r="G38" s="583"/>
      <c r="H38" s="583"/>
      <c r="I38" s="583"/>
      <c r="J38" s="583"/>
      <c r="K38" s="583"/>
      <c r="L38" s="583"/>
      <c r="M38" s="583"/>
      <c r="N38" s="583"/>
      <c r="O38" s="583"/>
      <c r="P38" s="583"/>
      <c r="Q38" s="583"/>
      <c r="R38" s="583"/>
      <c r="S38" s="583"/>
      <c r="U38" s="167"/>
      <c r="V38" s="585"/>
    </row>
    <row r="39" spans="1:35" s="93" customFormat="1" ht="21.95" customHeight="1" thickBot="1">
      <c r="A39" s="216"/>
      <c r="C39" s="246"/>
      <c r="D39" s="247"/>
      <c r="E39" s="247"/>
      <c r="F39" s="247"/>
      <c r="G39" s="248"/>
      <c r="H39" s="248"/>
      <c r="I39" s="248"/>
      <c r="J39" s="248"/>
      <c r="K39" s="248"/>
      <c r="L39" s="248"/>
      <c r="M39" s="248"/>
      <c r="N39" s="248"/>
      <c r="O39" s="248"/>
      <c r="P39" s="248"/>
      <c r="Q39" s="248"/>
      <c r="R39" s="248"/>
      <c r="S39" s="248"/>
      <c r="T39" s="256"/>
      <c r="U39" s="167"/>
      <c r="V39" s="585"/>
    </row>
    <row r="40" spans="1:35" s="93" customFormat="1" ht="48.75" customHeight="1" thickBot="1">
      <c r="A40" s="216"/>
      <c r="C40" s="587" t="s">
        <v>608</v>
      </c>
      <c r="D40" s="588"/>
      <c r="E40" s="588"/>
      <c r="F40" s="588"/>
      <c r="G40" s="588"/>
      <c r="H40" s="230"/>
      <c r="I40" s="320" t="s">
        <v>1488</v>
      </c>
      <c r="J40" s="323"/>
      <c r="K40" s="323"/>
      <c r="L40" s="323"/>
      <c r="M40" s="323"/>
      <c r="N40" s="323"/>
      <c r="O40" s="323"/>
      <c r="P40" s="323"/>
      <c r="Q40" s="323"/>
      <c r="R40" s="323"/>
      <c r="S40" s="324"/>
      <c r="T40" s="252"/>
      <c r="U40" s="169"/>
      <c r="V40" s="585"/>
    </row>
    <row r="41" spans="1:35" s="93" customFormat="1" ht="21.95" customHeight="1">
      <c r="A41" s="216" t="s">
        <v>469</v>
      </c>
      <c r="C41" s="253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4"/>
      <c r="P41" s="254"/>
      <c r="Q41" s="254"/>
      <c r="R41" s="254"/>
      <c r="S41" s="254"/>
      <c r="T41" s="255"/>
      <c r="V41" s="586"/>
    </row>
    <row r="42" spans="1:35" s="197" customFormat="1">
      <c r="A42" s="216"/>
      <c r="B42" s="93"/>
      <c r="C42" s="93"/>
      <c r="D42" s="93"/>
      <c r="E42" s="93"/>
      <c r="F42" s="93"/>
      <c r="G42" s="93"/>
      <c r="H42" s="93"/>
      <c r="I42" s="93"/>
      <c r="J42" s="93"/>
      <c r="K42" s="93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  <c r="X42" s="93"/>
      <c r="Y42" s="93"/>
      <c r="Z42" s="93"/>
      <c r="AA42" s="93"/>
      <c r="AB42" s="93"/>
      <c r="AC42" s="93"/>
      <c r="AD42" s="93"/>
      <c r="AE42" s="93"/>
      <c r="AF42" s="93"/>
      <c r="AG42" s="93"/>
      <c r="AH42" s="93"/>
      <c r="AI42" s="93"/>
    </row>
    <row r="43" spans="1:35" s="93" customFormat="1">
      <c r="A43" s="216"/>
    </row>
    <row r="44" spans="1:35" s="93" customFormat="1">
      <c r="A44" s="216"/>
    </row>
    <row r="45" spans="1:35" s="93" customFormat="1">
      <c r="A45" s="216"/>
    </row>
    <row r="46" spans="1:35" s="93" customFormat="1">
      <c r="A46" s="216"/>
    </row>
    <row r="47" spans="1:35" s="93" customFormat="1">
      <c r="A47" s="216"/>
    </row>
    <row r="48" spans="1:35" s="93" customFormat="1">
      <c r="A48" s="216"/>
    </row>
    <row r="49" spans="1:1" s="93" customFormat="1">
      <c r="A49" s="216"/>
    </row>
    <row r="50" spans="1:1" s="93" customFormat="1">
      <c r="A50" s="216"/>
    </row>
    <row r="51" spans="1:1" s="93" customFormat="1">
      <c r="A51" s="216"/>
    </row>
    <row r="52" spans="1:1" s="93" customFormat="1">
      <c r="A52" s="216"/>
    </row>
    <row r="53" spans="1:1" s="93" customFormat="1">
      <c r="A53" s="216"/>
    </row>
    <row r="54" spans="1:1" s="93" customFormat="1">
      <c r="A54" s="216"/>
    </row>
    <row r="55" spans="1:1" s="93" customFormat="1">
      <c r="A55" s="216"/>
    </row>
    <row r="56" spans="1:1" s="93" customFormat="1">
      <c r="A56" s="216"/>
    </row>
    <row r="57" spans="1:1" s="93" customFormat="1">
      <c r="A57" s="216"/>
    </row>
    <row r="58" spans="1:1" s="93" customFormat="1">
      <c r="A58" s="216"/>
    </row>
    <row r="59" spans="1:1" s="93" customFormat="1">
      <c r="A59" s="216"/>
    </row>
    <row r="60" spans="1:1" s="93" customFormat="1">
      <c r="A60" s="216"/>
    </row>
    <row r="61" spans="1:1" s="93" customFormat="1">
      <c r="A61" s="216"/>
    </row>
    <row r="62" spans="1:1" s="93" customFormat="1">
      <c r="A62" s="216"/>
    </row>
    <row r="63" spans="1:1" s="93" customFormat="1">
      <c r="A63" s="216"/>
    </row>
    <row r="64" spans="1:1" s="93" customFormat="1">
      <c r="A64" s="216"/>
    </row>
    <row r="65" spans="1:1" s="93" customFormat="1">
      <c r="A65" s="216"/>
    </row>
    <row r="66" spans="1:1" s="93" customFormat="1">
      <c r="A66" s="216"/>
    </row>
    <row r="67" spans="1:1" s="93" customFormat="1">
      <c r="A67" s="216"/>
    </row>
    <row r="68" spans="1:1" s="93" customFormat="1">
      <c r="A68" s="216"/>
    </row>
    <row r="69" spans="1:1" s="93" customFormat="1">
      <c r="A69" s="216"/>
    </row>
    <row r="70" spans="1:1" s="93" customFormat="1">
      <c r="A70" s="216"/>
    </row>
    <row r="71" spans="1:1" s="93" customFormat="1">
      <c r="A71" s="216"/>
    </row>
    <row r="72" spans="1:1" s="93" customFormat="1">
      <c r="A72" s="216"/>
    </row>
    <row r="73" spans="1:1" s="93" customFormat="1">
      <c r="A73" s="216"/>
    </row>
    <row r="74" spans="1:1" s="93" customFormat="1">
      <c r="A74" s="216"/>
    </row>
    <row r="75" spans="1:1" s="93" customFormat="1">
      <c r="A75" s="216"/>
    </row>
    <row r="76" spans="1:1" s="93" customFormat="1">
      <c r="A76" s="216"/>
    </row>
    <row r="77" spans="1:1" s="93" customFormat="1">
      <c r="A77" s="216"/>
    </row>
    <row r="78" spans="1:1" s="93" customFormat="1">
      <c r="A78" s="216"/>
    </row>
    <row r="79" spans="1:1" s="93" customFormat="1">
      <c r="A79" s="216"/>
    </row>
    <row r="80" spans="1:1" s="93" customFormat="1">
      <c r="A80" s="216"/>
    </row>
    <row r="81" spans="1:1" s="93" customFormat="1">
      <c r="A81" s="216"/>
    </row>
    <row r="82" spans="1:1" s="93" customFormat="1">
      <c r="A82" s="216"/>
    </row>
    <row r="83" spans="1:1" s="93" customFormat="1">
      <c r="A83" s="216"/>
    </row>
    <row r="84" spans="1:1" s="93" customFormat="1">
      <c r="A84" s="216"/>
    </row>
    <row r="85" spans="1:1" s="93" customFormat="1">
      <c r="A85" s="216"/>
    </row>
    <row r="86" spans="1:1" s="93" customFormat="1">
      <c r="A86" s="216"/>
    </row>
    <row r="87" spans="1:1" s="93" customFormat="1">
      <c r="A87" s="216"/>
    </row>
    <row r="88" spans="1:1" s="93" customFormat="1">
      <c r="A88" s="216"/>
    </row>
    <row r="89" spans="1:1" s="93" customFormat="1">
      <c r="A89" s="216"/>
    </row>
    <row r="90" spans="1:1" s="93" customFormat="1">
      <c r="A90" s="216"/>
    </row>
    <row r="91" spans="1:1" s="93" customFormat="1">
      <c r="A91" s="216"/>
    </row>
    <row r="92" spans="1:1" s="93" customFormat="1">
      <c r="A92" s="216"/>
    </row>
    <row r="93" spans="1:1" s="93" customFormat="1">
      <c r="A93" s="216"/>
    </row>
    <row r="94" spans="1:1" s="93" customFormat="1">
      <c r="A94" s="216"/>
    </row>
    <row r="95" spans="1:1" s="93" customFormat="1">
      <c r="A95" s="216"/>
    </row>
    <row r="96" spans="1:1" s="93" customFormat="1">
      <c r="A96" s="216"/>
    </row>
    <row r="97" spans="1:1" s="93" customFormat="1">
      <c r="A97" s="216"/>
    </row>
    <row r="98" spans="1:1" s="93" customFormat="1">
      <c r="A98" s="216"/>
    </row>
    <row r="99" spans="1:1" s="93" customFormat="1">
      <c r="A99" s="216"/>
    </row>
    <row r="100" spans="1:1" s="93" customFormat="1">
      <c r="A100" s="216"/>
    </row>
    <row r="101" spans="1:1" s="93" customFormat="1">
      <c r="A101" s="216"/>
    </row>
    <row r="102" spans="1:1" s="93" customFormat="1">
      <c r="A102" s="216"/>
    </row>
    <row r="103" spans="1:1" s="93" customFormat="1">
      <c r="A103" s="216"/>
    </row>
    <row r="104" spans="1:1" s="93" customFormat="1">
      <c r="A104" s="216"/>
    </row>
    <row r="105" spans="1:1" s="93" customFormat="1">
      <c r="A105" s="216"/>
    </row>
  </sheetData>
  <sheetProtection selectLockedCells="1"/>
  <mergeCells count="21">
    <mergeCell ref="Q4:Q5"/>
    <mergeCell ref="S4:S5"/>
    <mergeCell ref="U4:U5"/>
    <mergeCell ref="I30:I31"/>
    <mergeCell ref="K30:K31"/>
    <mergeCell ref="M30:M31"/>
    <mergeCell ref="O30:S31"/>
    <mergeCell ref="O18:S18"/>
    <mergeCell ref="C12:C13"/>
    <mergeCell ref="G25:S25"/>
    <mergeCell ref="G21:S21"/>
    <mergeCell ref="G12:G13"/>
    <mergeCell ref="V19:V41"/>
    <mergeCell ref="G38:S38"/>
    <mergeCell ref="C40:G40"/>
    <mergeCell ref="C19:G19"/>
    <mergeCell ref="C23:G23"/>
    <mergeCell ref="G34:S34"/>
    <mergeCell ref="C36:G36"/>
    <mergeCell ref="C27:G27"/>
    <mergeCell ref="C32:G32"/>
  </mergeCells>
  <dataValidations count="3">
    <dataValidation type="list" allowBlank="1" showInputMessage="1" showErrorMessage="1" sqref="I6">
      <formula1>datalistFranchise</formula1>
    </dataValidation>
    <dataValidation type="list" allowBlank="1" showInputMessage="1" showErrorMessage="1" sqref="E12 E10">
      <formula1>datalistAcquisition</formula1>
    </dataValidation>
    <dataValidation type="list" allowBlank="1" showInputMessage="1" showErrorMessage="1" sqref="M19 K19">
      <formula1>datalistMetrics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4"/>
  </sheetPr>
  <dimension ref="A1:AH149"/>
  <sheetViews>
    <sheetView tabSelected="1" zoomScale="80" zoomScaleNormal="80" workbookViewId="0">
      <pane ySplit="3" topLeftCell="A56" activePane="bottomLeft" state="frozen"/>
      <selection pane="bottomLeft" activeCell="Q68" sqref="Q68"/>
    </sheetView>
  </sheetViews>
  <sheetFormatPr defaultColWidth="8.796875" defaultRowHeight="15"/>
  <cols>
    <col min="1" max="1" width="1.69921875" style="260" customWidth="1"/>
    <col min="2" max="2" width="1.69921875" style="90" customWidth="1"/>
    <col min="3" max="3" width="28.796875" style="90" customWidth="1"/>
    <col min="4" max="4" width="2.59765625" style="90" customWidth="1"/>
    <col min="5" max="5" width="10.69921875" style="90" customWidth="1"/>
    <col min="6" max="6" width="2.3984375" style="90" customWidth="1"/>
    <col min="7" max="7" width="10.69921875" style="90" customWidth="1"/>
    <col min="8" max="8" width="1.69921875" style="90" customWidth="1"/>
    <col min="9" max="9" width="10.69921875" style="90" customWidth="1"/>
    <col min="10" max="10" width="1.69921875" style="90" customWidth="1"/>
    <col min="11" max="11" width="10.69921875" style="90" customWidth="1"/>
    <col min="12" max="12" width="1.69921875" style="90" customWidth="1"/>
    <col min="13" max="13" width="12.8984375" style="90" customWidth="1"/>
    <col min="14" max="14" width="1.69921875" style="90" customWidth="1"/>
    <col min="15" max="15" width="12.8984375" style="90" customWidth="1"/>
    <col min="16" max="16" width="1.69921875" style="90" customWidth="1"/>
    <col min="17" max="17" width="15.59765625" style="90" customWidth="1"/>
    <col min="18" max="18" width="20.69921875" style="90" customWidth="1"/>
    <col min="19" max="19" width="14.19921875" style="90" customWidth="1"/>
    <col min="20" max="33" width="8.796875" style="90"/>
    <col min="34" max="34" width="16.796875" style="90" bestFit="1" customWidth="1"/>
    <col min="35" max="16384" width="8.796875" style="90"/>
  </cols>
  <sheetData>
    <row r="1" spans="1:28" s="89" customFormat="1" ht="6" customHeight="1">
      <c r="A1" s="260"/>
      <c r="C1" s="318"/>
      <c r="D1" s="318"/>
      <c r="E1" s="318"/>
      <c r="F1" s="318"/>
    </row>
    <row r="2" spans="1:28" s="89" customFormat="1" ht="50.25" customHeight="1">
      <c r="A2" s="260"/>
      <c r="C2" s="318" t="str">
        <f>"PROJECT NAME : "&amp;tlInputPlanProjectName</f>
        <v>PROJECT NAME : -</v>
      </c>
      <c r="D2" s="318"/>
      <c r="E2" s="318"/>
      <c r="F2" s="318"/>
      <c r="T2" s="91" t="s">
        <v>131</v>
      </c>
      <c r="U2" s="89" t="s">
        <v>130</v>
      </c>
    </row>
    <row r="3" spans="1:28" s="92" customFormat="1" ht="27.95" customHeight="1">
      <c r="A3" s="260"/>
      <c r="B3" s="211"/>
      <c r="C3" s="264" t="s">
        <v>507</v>
      </c>
      <c r="D3" s="212" t="str">
        <f>DB_Dashboard1</f>
        <v xml:space="preserve">EPV  -$6348717.2,,M  </v>
      </c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12"/>
      <c r="P3" s="212"/>
      <c r="Q3" s="212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</row>
    <row r="4" spans="1:28" s="93" customFormat="1" ht="37.5" customHeight="1">
      <c r="A4" s="260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</row>
    <row r="5" spans="1:28" s="167" customFormat="1" ht="21.95" customHeight="1">
      <c r="A5" s="260"/>
      <c r="B5" s="266"/>
      <c r="C5" s="267"/>
      <c r="D5" s="268"/>
      <c r="E5" s="268"/>
      <c r="F5" s="268"/>
      <c r="G5" s="268"/>
      <c r="H5" s="268"/>
      <c r="I5" s="268"/>
      <c r="J5" s="240"/>
      <c r="K5" s="390"/>
      <c r="L5" s="240"/>
      <c r="M5" s="269" t="s">
        <v>463</v>
      </c>
      <c r="N5" s="269"/>
      <c r="O5" s="269" t="s">
        <v>508</v>
      </c>
      <c r="P5" s="240"/>
      <c r="Q5" s="240"/>
      <c r="R5" s="240"/>
      <c r="S5" s="240"/>
      <c r="T5" s="230"/>
      <c r="U5" s="230"/>
      <c r="V5" s="230"/>
      <c r="W5" s="230"/>
      <c r="X5" s="230"/>
      <c r="Y5" s="230"/>
    </row>
    <row r="6" spans="1:28" s="165" customFormat="1" ht="18.75" customHeight="1">
      <c r="A6" s="260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</row>
    <row r="7" spans="1:28" s="93" customFormat="1" ht="36" customHeight="1">
      <c r="A7" s="260"/>
      <c r="C7" s="284" t="s">
        <v>609</v>
      </c>
      <c r="D7" s="210"/>
      <c r="E7" s="241" t="s">
        <v>464</v>
      </c>
      <c r="F7" s="241"/>
      <c r="G7" s="241" t="s">
        <v>465</v>
      </c>
      <c r="H7" s="241"/>
      <c r="I7" s="241" t="s">
        <v>612</v>
      </c>
      <c r="J7" s="241"/>
      <c r="K7" s="241" t="s">
        <v>467</v>
      </c>
      <c r="N7" s="210"/>
      <c r="Q7" s="89" t="s">
        <v>475</v>
      </c>
      <c r="R7" s="170"/>
    </row>
    <row r="8" spans="1:28" s="93" customFormat="1" ht="15" customHeight="1" thickBot="1">
      <c r="A8" s="260"/>
      <c r="D8" s="177"/>
      <c r="E8" s="175"/>
      <c r="F8" s="175"/>
      <c r="G8" s="175"/>
      <c r="H8" s="175"/>
      <c r="I8" s="175"/>
      <c r="J8" s="175"/>
      <c r="K8" s="175"/>
      <c r="Q8" s="89"/>
      <c r="R8" s="170"/>
    </row>
    <row r="9" spans="1:28" s="93" customFormat="1" ht="21.95" customHeight="1" thickBot="1">
      <c r="A9" s="260"/>
      <c r="C9" s="278" t="s">
        <v>1216</v>
      </c>
      <c r="E9" s="273">
        <v>0</v>
      </c>
      <c r="F9" s="167"/>
      <c r="G9" s="175"/>
      <c r="H9" s="167"/>
      <c r="I9" s="175"/>
      <c r="J9" s="167"/>
      <c r="K9" s="175"/>
      <c r="Q9" s="89"/>
      <c r="R9" s="170"/>
    </row>
    <row r="10" spans="1:28" s="93" customFormat="1" ht="15" customHeight="1" thickBot="1">
      <c r="A10" s="260" t="s">
        <v>469</v>
      </c>
      <c r="E10" s="167"/>
      <c r="F10" s="167"/>
      <c r="G10" s="175"/>
      <c r="H10" s="167"/>
      <c r="I10" s="175"/>
      <c r="J10" s="167"/>
      <c r="K10" s="175"/>
      <c r="Q10" s="89"/>
    </row>
    <row r="11" spans="1:28" s="93" customFormat="1" ht="21.95" customHeight="1" thickBot="1">
      <c r="A11" s="260"/>
      <c r="C11" s="278" t="s">
        <v>587</v>
      </c>
      <c r="D11" s="281"/>
      <c r="E11" s="274" t="s">
        <v>591</v>
      </c>
      <c r="F11" s="167"/>
      <c r="G11" s="398"/>
      <c r="H11" s="167"/>
      <c r="I11" s="175"/>
      <c r="J11" s="167"/>
      <c r="K11" s="175"/>
      <c r="Q11" s="89"/>
      <c r="R11" s="170"/>
    </row>
    <row r="12" spans="1:28" s="93" customFormat="1" ht="15" customHeight="1" thickBot="1">
      <c r="A12" s="260"/>
      <c r="E12" s="167"/>
      <c r="F12" s="167"/>
      <c r="G12" s="167"/>
      <c r="H12" s="167"/>
      <c r="I12" s="271"/>
      <c r="J12" s="167"/>
      <c r="K12" s="167"/>
      <c r="Q12" s="89"/>
      <c r="R12" s="170"/>
    </row>
    <row r="13" spans="1:28" s="93" customFormat="1" ht="21.95" customHeight="1" thickBot="1">
      <c r="A13" s="260"/>
      <c r="C13" s="278" t="s">
        <v>495</v>
      </c>
      <c r="D13" s="278"/>
      <c r="E13" s="278"/>
      <c r="F13" s="281"/>
      <c r="G13" s="273">
        <v>50</v>
      </c>
      <c r="H13" s="167"/>
      <c r="I13" s="273">
        <v>250</v>
      </c>
      <c r="J13" s="167"/>
      <c r="K13" s="273">
        <v>1500</v>
      </c>
      <c r="Q13" s="89"/>
      <c r="R13" s="170"/>
    </row>
    <row r="14" spans="1:28" s="93" customFormat="1" ht="15" customHeight="1" thickBot="1">
      <c r="A14" s="260" t="s">
        <v>469</v>
      </c>
      <c r="E14" s="167"/>
      <c r="F14" s="167"/>
      <c r="G14" s="167"/>
      <c r="H14" s="167"/>
      <c r="I14" s="167"/>
      <c r="J14" s="167"/>
      <c r="K14" s="167"/>
      <c r="Q14" s="89"/>
    </row>
    <row r="15" spans="1:28" s="93" customFormat="1" ht="21.95" customHeight="1" thickBot="1">
      <c r="A15" s="260"/>
      <c r="C15" s="278" t="s">
        <v>611</v>
      </c>
      <c r="D15" s="278"/>
      <c r="E15" s="278"/>
      <c r="F15" s="281"/>
      <c r="G15" s="273" t="s">
        <v>584</v>
      </c>
      <c r="H15" s="167"/>
      <c r="I15" s="273" t="s">
        <v>584</v>
      </c>
      <c r="J15" s="167"/>
      <c r="K15" s="273" t="s">
        <v>584</v>
      </c>
      <c r="Q15" s="89"/>
      <c r="R15" s="170"/>
    </row>
    <row r="16" spans="1:28" s="93" customFormat="1" ht="15" customHeight="1" thickBot="1">
      <c r="A16" s="260"/>
      <c r="E16" s="167"/>
      <c r="F16" s="167"/>
      <c r="G16" s="167"/>
      <c r="H16" s="167"/>
      <c r="I16" s="271"/>
      <c r="J16" s="167"/>
      <c r="K16" s="167"/>
      <c r="Q16" s="89"/>
      <c r="R16" s="170"/>
    </row>
    <row r="17" spans="1:18" s="93" customFormat="1" ht="21.95" customHeight="1" thickBot="1">
      <c r="A17" s="260"/>
      <c r="C17" s="279" t="s">
        <v>554</v>
      </c>
      <c r="D17" s="278"/>
      <c r="E17" s="278"/>
      <c r="F17" s="278"/>
      <c r="G17" s="278"/>
      <c r="H17" s="281"/>
      <c r="I17" s="273" t="s">
        <v>556</v>
      </c>
      <c r="J17" s="167"/>
      <c r="K17" s="273" t="s">
        <v>556</v>
      </c>
      <c r="Q17" s="89"/>
      <c r="R17" s="170"/>
    </row>
    <row r="18" spans="1:18" s="93" customFormat="1" ht="15" customHeight="1" thickBot="1">
      <c r="A18" s="260" t="s">
        <v>469</v>
      </c>
      <c r="E18" s="167"/>
      <c r="F18" s="167"/>
      <c r="G18" s="167"/>
      <c r="H18" s="167"/>
      <c r="I18" s="167"/>
      <c r="J18" s="167"/>
      <c r="K18" s="167"/>
      <c r="Q18" s="89"/>
    </row>
    <row r="19" spans="1:18" s="93" customFormat="1" ht="21.95" customHeight="1" thickBot="1">
      <c r="A19" s="260"/>
      <c r="C19" s="278" t="s">
        <v>513</v>
      </c>
      <c r="D19" s="278"/>
      <c r="E19" s="278"/>
      <c r="F19" s="278"/>
      <c r="G19" s="278"/>
      <c r="H19" s="281"/>
      <c r="I19" s="273" t="s">
        <v>531</v>
      </c>
      <c r="J19" s="167"/>
      <c r="K19" s="167"/>
      <c r="Q19" s="89"/>
      <c r="R19" s="170"/>
    </row>
    <row r="20" spans="1:18" s="93" customFormat="1" ht="15" customHeight="1" thickBot="1">
      <c r="A20" s="260" t="s">
        <v>469</v>
      </c>
      <c r="E20" s="167"/>
      <c r="F20" s="167"/>
      <c r="G20" s="167"/>
      <c r="H20" s="167"/>
      <c r="I20" s="167"/>
      <c r="J20" s="167"/>
      <c r="K20" s="167"/>
      <c r="M20" s="223"/>
      <c r="N20" s="223"/>
      <c r="O20" s="223"/>
      <c r="Q20" s="89"/>
    </row>
    <row r="21" spans="1:18" s="93" customFormat="1" ht="21.95" customHeight="1" thickBot="1">
      <c r="A21" s="260"/>
      <c r="C21" s="278" t="s">
        <v>1179</v>
      </c>
      <c r="D21" s="278"/>
      <c r="E21" s="278"/>
      <c r="F21" s="278"/>
      <c r="G21" s="278"/>
      <c r="H21" s="281"/>
      <c r="I21" s="273" t="s">
        <v>527</v>
      </c>
      <c r="J21" s="167"/>
      <c r="K21" s="167"/>
      <c r="M21" s="223"/>
      <c r="N21" s="223"/>
      <c r="O21" s="223"/>
      <c r="Q21" s="89"/>
      <c r="R21" s="170"/>
    </row>
    <row r="22" spans="1:18" s="93" customFormat="1" ht="15" customHeight="1" thickBot="1">
      <c r="A22" s="260" t="s">
        <v>469</v>
      </c>
      <c r="E22" s="167"/>
      <c r="F22" s="167"/>
      <c r="G22" s="167"/>
      <c r="H22" s="167"/>
      <c r="I22" s="167"/>
      <c r="J22" s="167"/>
      <c r="K22" s="167"/>
      <c r="Q22" s="89"/>
    </row>
    <row r="23" spans="1:18" s="93" customFormat="1" ht="21.95" customHeight="1" thickBot="1">
      <c r="A23" s="260"/>
      <c r="C23" s="279" t="s">
        <v>560</v>
      </c>
      <c r="D23" s="278"/>
      <c r="E23" s="278"/>
      <c r="F23" s="278"/>
      <c r="G23" s="278"/>
      <c r="H23" s="281"/>
      <c r="I23" s="273" t="s">
        <v>1511</v>
      </c>
      <c r="J23" s="167"/>
      <c r="K23" s="167"/>
      <c r="M23" s="223"/>
      <c r="N23" s="223"/>
      <c r="O23" s="223"/>
      <c r="Q23" s="89"/>
      <c r="R23" s="170"/>
    </row>
    <row r="24" spans="1:18" s="93" customFormat="1" ht="15" customHeight="1" thickBot="1">
      <c r="A24" s="260"/>
      <c r="C24" s="97"/>
      <c r="E24" s="167"/>
      <c r="F24" s="167"/>
      <c r="G24" s="167"/>
      <c r="H24" s="167"/>
      <c r="I24" s="167"/>
      <c r="J24" s="167"/>
      <c r="K24" s="272"/>
      <c r="Q24" s="89"/>
      <c r="R24" s="170"/>
    </row>
    <row r="25" spans="1:18" s="93" customFormat="1" ht="21.95" customHeight="1" thickBot="1">
      <c r="A25" s="260" t="s">
        <v>512</v>
      </c>
      <c r="C25" s="279" t="s">
        <v>572</v>
      </c>
      <c r="D25" s="278"/>
      <c r="E25" s="278"/>
      <c r="F25" s="278"/>
      <c r="G25" s="278"/>
      <c r="H25" s="278"/>
      <c r="I25" s="278"/>
      <c r="J25" s="281"/>
      <c r="K25" s="275">
        <v>1</v>
      </c>
      <c r="Q25" s="89"/>
      <c r="R25" s="170"/>
    </row>
    <row r="26" spans="1:18" s="93" customFormat="1" ht="15" customHeight="1" thickBot="1">
      <c r="A26" s="260" t="s">
        <v>469</v>
      </c>
      <c r="E26" s="167"/>
      <c r="F26" s="167"/>
      <c r="G26" s="167"/>
      <c r="H26" s="167"/>
      <c r="I26" s="167"/>
      <c r="J26" s="167"/>
      <c r="K26" s="167"/>
      <c r="Q26" s="89"/>
    </row>
    <row r="27" spans="1:18" s="93" customFormat="1" ht="21.95" customHeight="1" thickBot="1">
      <c r="A27" s="260" t="s">
        <v>512</v>
      </c>
      <c r="C27" s="279" t="s">
        <v>573</v>
      </c>
      <c r="D27" s="278"/>
      <c r="E27" s="278"/>
      <c r="F27" s="278"/>
      <c r="G27" s="278"/>
      <c r="H27" s="278"/>
      <c r="I27" s="278"/>
      <c r="J27" s="281"/>
      <c r="K27" s="275">
        <v>1</v>
      </c>
      <c r="Q27" s="89"/>
      <c r="R27" s="170"/>
    </row>
    <row r="28" spans="1:18" s="93" customFormat="1" ht="15" customHeight="1" thickBot="1">
      <c r="A28" s="260" t="s">
        <v>469</v>
      </c>
      <c r="E28" s="167"/>
      <c r="F28" s="167"/>
      <c r="G28" s="167"/>
      <c r="H28" s="167"/>
      <c r="I28" s="167"/>
      <c r="J28" s="167"/>
      <c r="K28" s="167"/>
      <c r="Q28" s="89"/>
    </row>
    <row r="29" spans="1:18" s="93" customFormat="1" ht="21.95" customHeight="1" thickBot="1">
      <c r="A29" s="260"/>
      <c r="C29" s="278" t="s">
        <v>489</v>
      </c>
      <c r="D29" s="278"/>
      <c r="E29" s="278"/>
      <c r="F29" s="278"/>
      <c r="G29" s="278"/>
      <c r="H29" s="278"/>
      <c r="I29" s="278"/>
      <c r="J29" s="281"/>
      <c r="K29" s="273" t="s">
        <v>536</v>
      </c>
      <c r="Q29" s="89"/>
      <c r="R29" s="170"/>
    </row>
    <row r="30" spans="1:18" s="93" customFormat="1" ht="15.75" customHeight="1" thickBot="1">
      <c r="A30" s="260"/>
      <c r="E30" s="167"/>
      <c r="F30" s="167"/>
      <c r="G30" s="175"/>
      <c r="H30" s="167"/>
      <c r="I30" s="175"/>
      <c r="J30" s="167"/>
      <c r="K30" s="175"/>
      <c r="Q30" s="89"/>
      <c r="R30" s="170"/>
    </row>
    <row r="31" spans="1:18" s="93" customFormat="1" ht="21.95" customHeight="1" thickBot="1">
      <c r="A31" s="260"/>
      <c r="C31" s="278" t="s">
        <v>669</v>
      </c>
      <c r="D31" s="278"/>
      <c r="E31" s="278"/>
      <c r="F31" s="278"/>
      <c r="G31" s="278"/>
      <c r="H31" s="278"/>
      <c r="I31" s="278"/>
      <c r="J31" s="281"/>
      <c r="K31" s="276">
        <v>0.9</v>
      </c>
      <c r="Q31" s="89"/>
      <c r="R31" s="170"/>
    </row>
    <row r="32" spans="1:18" s="93" customFormat="1" ht="15.75" customHeight="1">
      <c r="A32" s="260"/>
      <c r="E32" s="167"/>
      <c r="F32" s="167"/>
      <c r="G32" s="175"/>
      <c r="H32" s="167"/>
      <c r="I32" s="175"/>
      <c r="J32" s="167"/>
      <c r="K32" s="175"/>
      <c r="Q32" s="89"/>
      <c r="R32" s="170"/>
    </row>
    <row r="33" spans="1:20" s="93" customFormat="1" ht="21.95" customHeight="1">
      <c r="A33" s="260"/>
      <c r="C33" s="278" t="s">
        <v>571</v>
      </c>
      <c r="D33" s="278"/>
      <c r="E33" s="277">
        <f>calcScenario1ResearchPTS</f>
        <v>0.9</v>
      </c>
      <c r="F33" s="175"/>
      <c r="G33" s="277">
        <f>calcScenario1Ph1PTS</f>
        <v>0.9</v>
      </c>
      <c r="H33" s="175"/>
      <c r="I33" s="290">
        <f>calcScenario1Ph2PTS</f>
        <v>0.37</v>
      </c>
      <c r="J33" s="175"/>
      <c r="K33" s="277">
        <f>calcScenario1Ph3PTS</f>
        <v>0.84499999999999997</v>
      </c>
      <c r="M33" s="399" t="s">
        <v>1455</v>
      </c>
      <c r="O33" s="544">
        <f>calcScenario1TotPOS</f>
        <v>0.22792184999999998</v>
      </c>
      <c r="Q33" s="89"/>
      <c r="R33" s="170"/>
    </row>
    <row r="34" spans="1:20" s="93" customFormat="1" ht="15" customHeight="1">
      <c r="A34" s="260" t="s">
        <v>469</v>
      </c>
      <c r="E34" s="167"/>
      <c r="F34" s="167"/>
      <c r="G34" s="167"/>
      <c r="H34" s="167"/>
      <c r="I34" s="167"/>
      <c r="J34" s="167"/>
      <c r="K34" s="167"/>
      <c r="M34" s="399"/>
      <c r="O34" s="179"/>
      <c r="Q34" s="89"/>
    </row>
    <row r="35" spans="1:20" s="93" customFormat="1" ht="21.95" customHeight="1">
      <c r="A35" s="260"/>
      <c r="C35" s="278" t="s">
        <v>468</v>
      </c>
      <c r="D35" s="280"/>
      <c r="E35" s="523">
        <f>calcScenario1ResearchTimeReq</f>
        <v>0.25</v>
      </c>
      <c r="F35" s="383"/>
      <c r="G35" s="524">
        <f>calcScenario1Ph1TimeReq</f>
        <v>0.5</v>
      </c>
      <c r="H35" s="383"/>
      <c r="I35" s="524">
        <f>calcScenario1Ph2TimeReq</f>
        <v>0.77500000000000002</v>
      </c>
      <c r="J35" s="383"/>
      <c r="K35" s="524">
        <f>calcScenario1Ph3TimeReq</f>
        <v>2.8</v>
      </c>
      <c r="M35" s="399" t="s">
        <v>1456</v>
      </c>
      <c r="O35" s="545">
        <f>finScenario1LaunchDate</f>
        <v>2021.325</v>
      </c>
      <c r="Q35" s="89"/>
      <c r="R35" s="170"/>
    </row>
    <row r="36" spans="1:20" s="93" customFormat="1" ht="15" customHeight="1">
      <c r="A36" s="260"/>
      <c r="D36" s="177"/>
      <c r="E36" s="383"/>
      <c r="F36" s="383"/>
      <c r="G36" s="383"/>
      <c r="H36" s="383"/>
      <c r="I36" s="383"/>
      <c r="J36" s="383"/>
      <c r="K36" s="383"/>
      <c r="O36" s="546"/>
      <c r="Q36" s="89"/>
    </row>
    <row r="37" spans="1:20" s="93" customFormat="1" ht="21.95" customHeight="1">
      <c r="A37" s="260"/>
      <c r="C37" s="278" t="s">
        <v>566</v>
      </c>
      <c r="D37" s="280"/>
      <c r="E37" s="531">
        <f>calcScenario1ResearchRnDCost</f>
        <v>800000</v>
      </c>
      <c r="F37" s="383"/>
      <c r="G37" s="532">
        <f>calcScenario1Ph1RnDCost</f>
        <v>3300000</v>
      </c>
      <c r="H37" s="383"/>
      <c r="I37" s="532">
        <f>calcScenario1Ph2RnDCost</f>
        <v>13200000</v>
      </c>
      <c r="J37" s="383"/>
      <c r="K37" s="532">
        <f>calcScenario1Ph3RnDCost</f>
        <v>44000000</v>
      </c>
      <c r="M37" s="399" t="s">
        <v>1457</v>
      </c>
      <c r="O37" s="547">
        <f>calcScenario1TotRnDCost</f>
        <v>61300000</v>
      </c>
      <c r="Q37" s="563"/>
      <c r="R37" s="170"/>
    </row>
    <row r="38" spans="1:20" s="93" customFormat="1" ht="15" customHeight="1">
      <c r="A38" s="260"/>
      <c r="D38" s="177"/>
      <c r="E38" s="383"/>
      <c r="F38" s="383"/>
      <c r="G38" s="383"/>
      <c r="H38" s="383"/>
      <c r="I38" s="383"/>
      <c r="J38" s="383"/>
      <c r="K38" s="383"/>
      <c r="O38" s="548"/>
      <c r="Q38" s="89"/>
    </row>
    <row r="39" spans="1:20" s="93" customFormat="1" ht="21.95" customHeight="1">
      <c r="A39" s="260"/>
      <c r="C39" s="278" t="s">
        <v>567</v>
      </c>
      <c r="D39" s="280"/>
      <c r="E39" s="532">
        <f>calcScenario1ResearchFTECost</f>
        <v>80000</v>
      </c>
      <c r="F39" s="383"/>
      <c r="G39" s="532">
        <f>calcScenario1Ph1FTECost</f>
        <v>330000</v>
      </c>
      <c r="H39" s="383"/>
      <c r="I39" s="532">
        <f>calcScenario1Ph2FTECost</f>
        <v>1320000</v>
      </c>
      <c r="J39" s="383"/>
      <c r="K39" s="532">
        <f>calcScenario1Ph3FTECost</f>
        <v>4400000</v>
      </c>
      <c r="M39" s="399" t="s">
        <v>1458</v>
      </c>
      <c r="O39" s="547">
        <f>calcScenario1TotFTECost</f>
        <v>6130000</v>
      </c>
      <c r="Q39" s="89"/>
      <c r="R39" s="170"/>
    </row>
    <row r="40" spans="1:20" s="93" customFormat="1" ht="57.75" customHeight="1">
      <c r="A40" s="260" t="s">
        <v>469</v>
      </c>
      <c r="E40" s="241" t="s">
        <v>464</v>
      </c>
      <c r="F40" s="241"/>
      <c r="G40" s="241" t="s">
        <v>465</v>
      </c>
      <c r="H40" s="241"/>
      <c r="I40" s="241" t="s">
        <v>612</v>
      </c>
      <c r="J40" s="241"/>
      <c r="K40" s="241" t="s">
        <v>467</v>
      </c>
      <c r="Q40" s="89"/>
    </row>
    <row r="41" spans="1:20" s="93" customFormat="1" ht="15" customHeight="1">
      <c r="A41" s="260"/>
      <c r="Q41" s="89"/>
    </row>
    <row r="42" spans="1:20" s="165" customFormat="1" ht="43.5" customHeight="1">
      <c r="A42" s="260"/>
      <c r="C42" s="287" t="s">
        <v>610</v>
      </c>
      <c r="E42" s="195"/>
      <c r="G42" s="195"/>
      <c r="I42" s="195"/>
      <c r="K42" s="195"/>
      <c r="M42" s="195"/>
      <c r="O42" s="195"/>
      <c r="Q42" s="282"/>
      <c r="S42" s="165" t="s">
        <v>479</v>
      </c>
      <c r="T42" s="165">
        <v>100</v>
      </c>
    </row>
    <row r="43" spans="1:20" s="93" customFormat="1" ht="30.75" customHeight="1" thickBot="1">
      <c r="A43" s="260"/>
      <c r="C43" s="285" t="s">
        <v>568</v>
      </c>
      <c r="D43" s="286"/>
      <c r="E43" s="295" t="s">
        <v>470</v>
      </c>
      <c r="F43" s="292"/>
      <c r="G43" s="291" t="s">
        <v>471</v>
      </c>
      <c r="H43" s="292"/>
      <c r="I43" s="293" t="s">
        <v>472</v>
      </c>
      <c r="J43" s="292"/>
      <c r="K43" s="294" t="s">
        <v>473</v>
      </c>
      <c r="M43" s="167"/>
      <c r="N43" s="167"/>
      <c r="O43" s="167"/>
      <c r="Q43" s="89" t="s">
        <v>475</v>
      </c>
      <c r="S43" s="93" t="s">
        <v>480</v>
      </c>
      <c r="T43" s="171">
        <v>0.2</v>
      </c>
    </row>
    <row r="44" spans="1:20" s="93" customFormat="1" ht="15" customHeight="1">
      <c r="A44" s="260"/>
      <c r="M44" s="167"/>
      <c r="N44" s="167"/>
      <c r="O44" s="167"/>
      <c r="Q44" s="89"/>
      <c r="T44" s="171"/>
    </row>
    <row r="45" spans="1:20" s="93" customFormat="1" ht="21.95" customHeight="1">
      <c r="A45" s="260"/>
      <c r="C45" s="278" t="s">
        <v>519</v>
      </c>
      <c r="E45" s="176" t="b">
        <v>1</v>
      </c>
      <c r="G45" s="172" t="b">
        <v>0</v>
      </c>
      <c r="I45" s="174" t="b">
        <v>0</v>
      </c>
      <c r="K45" s="174" t="b">
        <v>0</v>
      </c>
      <c r="M45" s="175"/>
      <c r="N45" s="167"/>
      <c r="O45" s="172"/>
      <c r="Q45" s="270"/>
    </row>
    <row r="46" spans="1:20" s="93" customFormat="1" ht="15" customHeight="1" thickBot="1">
      <c r="A46" s="260"/>
      <c r="M46" s="175"/>
      <c r="N46" s="167"/>
      <c r="O46" s="167"/>
      <c r="Q46" s="89"/>
      <c r="S46" s="93" t="s">
        <v>481</v>
      </c>
      <c r="T46" s="171">
        <v>0.5</v>
      </c>
    </row>
    <row r="47" spans="1:20" s="93" customFormat="1" ht="30.75" customHeight="1" thickBot="1">
      <c r="A47" s="260"/>
      <c r="C47" s="288" t="s">
        <v>574</v>
      </c>
      <c r="E47" s="298">
        <v>1000</v>
      </c>
      <c r="F47" s="208"/>
      <c r="G47" s="301">
        <v>500</v>
      </c>
      <c r="H47" s="208"/>
      <c r="I47" s="303">
        <v>2000</v>
      </c>
      <c r="J47" s="208"/>
      <c r="K47" s="557">
        <v>3000</v>
      </c>
      <c r="M47" s="167"/>
      <c r="N47" s="176"/>
      <c r="O47" s="172"/>
      <c r="Q47" s="270"/>
    </row>
    <row r="48" spans="1:20" s="93" customFormat="1" ht="15" customHeight="1" thickBot="1">
      <c r="A48" s="260"/>
      <c r="M48" s="175"/>
      <c r="N48" s="167"/>
      <c r="O48" s="167"/>
      <c r="Q48" s="89"/>
      <c r="S48" s="93" t="s">
        <v>482</v>
      </c>
      <c r="T48" s="171">
        <v>0.75</v>
      </c>
    </row>
    <row r="49" spans="1:34" s="93" customFormat="1" ht="21.95" customHeight="1" thickBot="1">
      <c r="A49" s="260"/>
      <c r="C49" s="288" t="s">
        <v>474</v>
      </c>
      <c r="E49" s="299">
        <v>0.1</v>
      </c>
      <c r="G49" s="300">
        <v>0.1</v>
      </c>
      <c r="I49" s="302">
        <v>0.1</v>
      </c>
      <c r="K49" s="304">
        <v>0.1</v>
      </c>
      <c r="M49" s="175"/>
      <c r="N49" s="167"/>
      <c r="O49" s="172"/>
      <c r="Q49" s="270"/>
    </row>
    <row r="50" spans="1:34" s="194" customFormat="1" ht="15" customHeight="1">
      <c r="A50" s="261"/>
      <c r="M50" s="196"/>
      <c r="N50" s="196"/>
      <c r="O50" s="196"/>
      <c r="Q50" s="283"/>
    </row>
    <row r="51" spans="1:34" s="93" customFormat="1" ht="21.95" customHeight="1">
      <c r="A51" s="260"/>
      <c r="C51" s="288" t="s">
        <v>593</v>
      </c>
      <c r="E51" s="379">
        <f>calcScenario1Reg1Price</f>
        <v>183.6</v>
      </c>
      <c r="F51" s="208"/>
      <c r="G51" s="380">
        <f>calcScenario1Reg2Price</f>
        <v>0</v>
      </c>
      <c r="H51" s="208"/>
      <c r="I51" s="381">
        <f>calcScenario1Reg3Price</f>
        <v>0</v>
      </c>
      <c r="J51" s="208"/>
      <c r="K51" s="382">
        <f>calcScenario1Reg4Price</f>
        <v>0</v>
      </c>
      <c r="M51" s="175"/>
      <c r="N51" s="167"/>
      <c r="O51" s="172"/>
      <c r="Q51" s="270"/>
    </row>
    <row r="52" spans="1:34" s="194" customFormat="1" ht="15" customHeight="1">
      <c r="A52" s="261"/>
      <c r="M52" s="196"/>
      <c r="N52" s="196"/>
      <c r="O52" s="196"/>
      <c r="Q52" s="283"/>
    </row>
    <row r="53" spans="1:34" s="194" customFormat="1" ht="21.95" customHeight="1">
      <c r="A53" s="261"/>
      <c r="C53" s="288" t="s">
        <v>486</v>
      </c>
      <c r="E53" s="307">
        <f>calcScenario1Reg1SnM</f>
        <v>0.05</v>
      </c>
      <c r="F53" s="93"/>
      <c r="G53" s="306">
        <f>calcScenario1Reg2SnM</f>
        <v>0</v>
      </c>
      <c r="H53" s="93"/>
      <c r="I53" s="308">
        <f>calcScenario1Reg3SnM</f>
        <v>0</v>
      </c>
      <c r="J53" s="93"/>
      <c r="K53" s="309">
        <f>calcScenario1Reg4SnM</f>
        <v>0</v>
      </c>
      <c r="M53" s="196"/>
      <c r="N53" s="196"/>
      <c r="O53" s="196"/>
      <c r="Q53" s="283"/>
    </row>
    <row r="54" spans="1:34" s="93" customFormat="1" ht="31.5" customHeight="1">
      <c r="A54" s="260"/>
      <c r="M54" s="164"/>
      <c r="Q54" s="89"/>
      <c r="S54" s="93" t="s">
        <v>482</v>
      </c>
      <c r="T54" s="171">
        <v>0.75</v>
      </c>
    </row>
    <row r="55" spans="1:34" s="165" customFormat="1" ht="15" customHeight="1">
      <c r="A55" s="260"/>
      <c r="Q55" s="242"/>
      <c r="S55" s="165" t="s">
        <v>483</v>
      </c>
      <c r="T55" s="165">
        <v>16</v>
      </c>
    </row>
    <row r="56" spans="1:34" s="167" customFormat="1" ht="28.5" customHeight="1" thickBot="1">
      <c r="A56" s="260"/>
      <c r="C56" s="296" t="s">
        <v>569</v>
      </c>
      <c r="Q56" s="89" t="s">
        <v>475</v>
      </c>
    </row>
    <row r="57" spans="1:34" s="93" customFormat="1" ht="21.95" customHeight="1" thickBot="1">
      <c r="A57" s="260"/>
      <c r="C57" s="288" t="s">
        <v>1395</v>
      </c>
      <c r="E57" s="522">
        <f>finScenario1Yr1MS</f>
        <v>3.130495168499705E-2</v>
      </c>
      <c r="G57" s="278" t="s">
        <v>1175</v>
      </c>
      <c r="H57" s="278"/>
      <c r="I57" s="278"/>
      <c r="K57" s="273" t="s">
        <v>1177</v>
      </c>
      <c r="M57" s="533" t="s">
        <v>1459</v>
      </c>
      <c r="O57" s="543">
        <f>finScenario1Breakeven</f>
        <v>2031.325</v>
      </c>
      <c r="Q57" s="89"/>
    </row>
    <row r="58" spans="1:34" s="93" customFormat="1" ht="15" customHeight="1" thickBot="1">
      <c r="A58" s="260"/>
      <c r="C58" s="97"/>
      <c r="O58" s="182"/>
      <c r="Q58" s="89"/>
    </row>
    <row r="59" spans="1:34" s="93" customFormat="1" ht="21.95" customHeight="1" thickBot="1">
      <c r="A59" s="260"/>
      <c r="C59" s="288" t="s">
        <v>494</v>
      </c>
      <c r="E59" s="290">
        <f>calcScenario1AverageCompliance</f>
        <v>0.7</v>
      </c>
      <c r="G59" s="278" t="s">
        <v>492</v>
      </c>
      <c r="H59" s="278"/>
      <c r="I59" s="278"/>
      <c r="K59" s="276">
        <v>0</v>
      </c>
      <c r="M59" s="533" t="s">
        <v>615</v>
      </c>
      <c r="O59" s="549">
        <f>finScenario1ROI</f>
        <v>7.9444444373089534E-2</v>
      </c>
      <c r="Q59" s="89"/>
    </row>
    <row r="60" spans="1:34" s="93" customFormat="1" ht="15" customHeight="1" thickBot="1">
      <c r="A60" s="260"/>
      <c r="C60" s="97"/>
      <c r="K60" s="180"/>
      <c r="O60" s="399"/>
      <c r="Q60" s="89"/>
    </row>
    <row r="61" spans="1:34" s="93" customFormat="1" ht="21.95" customHeight="1" thickBot="1">
      <c r="A61" s="260"/>
      <c r="C61" s="288" t="s">
        <v>485</v>
      </c>
      <c r="E61" s="290">
        <f>calcScenario1AverageDiscount</f>
        <v>0.1</v>
      </c>
      <c r="G61" s="278" t="s">
        <v>521</v>
      </c>
      <c r="H61" s="278"/>
      <c r="I61" s="297"/>
      <c r="K61" s="276">
        <v>0.06</v>
      </c>
      <c r="M61" s="533" t="s">
        <v>1208</v>
      </c>
      <c r="O61" s="547">
        <f>finScenario1EPV</f>
        <v>-63487171.701017223</v>
      </c>
      <c r="Q61" s="89"/>
    </row>
    <row r="62" spans="1:34" s="93" customFormat="1" ht="15" customHeight="1" thickBot="1">
      <c r="A62" s="260"/>
      <c r="C62" s="97"/>
      <c r="O62" s="399"/>
      <c r="Q62" s="89"/>
    </row>
    <row r="63" spans="1:34" s="93" customFormat="1" ht="21.95" customHeight="1" thickBot="1">
      <c r="A63" s="260"/>
      <c r="C63" s="279" t="s">
        <v>558</v>
      </c>
      <c r="E63" s="391">
        <f>calcScenario1AverageCOGS</f>
        <v>73.44</v>
      </c>
      <c r="G63" s="278" t="s">
        <v>520</v>
      </c>
      <c r="H63" s="278"/>
      <c r="I63" s="297"/>
      <c r="K63" s="276">
        <v>0.12</v>
      </c>
      <c r="M63" s="533" t="s">
        <v>1209</v>
      </c>
      <c r="O63" s="547">
        <f>finScenario1NPV</f>
        <v>-54209876.689616203</v>
      </c>
      <c r="Q63" s="89"/>
      <c r="AG63" s="93">
        <v>7.6</v>
      </c>
      <c r="AH63" s="93">
        <v>87</v>
      </c>
    </row>
    <row r="64" spans="1:34" s="93" customFormat="1" ht="15" customHeight="1">
      <c r="A64" s="260"/>
      <c r="AG64" s="93">
        <v>100</v>
      </c>
      <c r="AH64" s="579">
        <f>AH63*AG64/AG63*1000000</f>
        <v>1144736842.1052632</v>
      </c>
    </row>
    <row r="65" spans="1:34" s="93" customFormat="1" ht="15" customHeight="1">
      <c r="A65" s="260"/>
    </row>
    <row r="66" spans="1:34" s="93" customFormat="1" ht="15" customHeight="1">
      <c r="A66" s="260"/>
      <c r="AH66" s="93">
        <f>75*12</f>
        <v>900</v>
      </c>
    </row>
    <row r="67" spans="1:34" s="93" customFormat="1" ht="15" customHeight="1">
      <c r="A67" s="260"/>
    </row>
    <row r="68" spans="1:34" s="93" customFormat="1" ht="15" customHeight="1">
      <c r="A68" s="260"/>
      <c r="AH68" s="580">
        <f>AH64/AH66</f>
        <v>1271929.8245614036</v>
      </c>
    </row>
    <row r="69" spans="1:34" s="93" customFormat="1" ht="15" customHeight="1">
      <c r="A69" s="260"/>
    </row>
    <row r="70" spans="1:34" s="93" customFormat="1" ht="15" customHeight="1">
      <c r="A70" s="260"/>
    </row>
    <row r="71" spans="1:34" s="93" customFormat="1" ht="15" customHeight="1">
      <c r="A71" s="260"/>
    </row>
    <row r="72" spans="1:34" s="93" customFormat="1" ht="15" customHeight="1">
      <c r="A72" s="260"/>
    </row>
    <row r="73" spans="1:34" s="93" customFormat="1" ht="15" customHeight="1">
      <c r="A73" s="260"/>
    </row>
    <row r="74" spans="1:34" s="93" customFormat="1" ht="15" customHeight="1">
      <c r="A74" s="260"/>
    </row>
    <row r="75" spans="1:34" s="93" customFormat="1" ht="15" customHeight="1">
      <c r="A75" s="260"/>
    </row>
    <row r="76" spans="1:34" s="93" customFormat="1" ht="15" customHeight="1">
      <c r="A76" s="260"/>
    </row>
    <row r="77" spans="1:34" s="93" customFormat="1" ht="15" customHeight="1">
      <c r="A77" s="260"/>
    </row>
    <row r="78" spans="1:34" s="93" customFormat="1" ht="15" customHeight="1">
      <c r="A78" s="260"/>
    </row>
    <row r="79" spans="1:34" s="93" customFormat="1" ht="15" customHeight="1">
      <c r="A79" s="260"/>
    </row>
    <row r="80" spans="1:34" s="93" customFormat="1" ht="15" customHeight="1">
      <c r="A80" s="260"/>
    </row>
    <row r="81" spans="1:1" s="197" customFormat="1" ht="21.95" customHeight="1">
      <c r="A81" s="260"/>
    </row>
    <row r="82" spans="1:1" s="93" customFormat="1" ht="21.95" customHeight="1">
      <c r="A82" s="260"/>
    </row>
    <row r="83" spans="1:1" s="93" customFormat="1">
      <c r="A83" s="260"/>
    </row>
    <row r="84" spans="1:1" s="93" customFormat="1">
      <c r="A84" s="260"/>
    </row>
    <row r="85" spans="1:1" s="93" customFormat="1">
      <c r="A85" s="260"/>
    </row>
    <row r="86" spans="1:1" s="93" customFormat="1">
      <c r="A86" s="260"/>
    </row>
    <row r="87" spans="1:1" s="93" customFormat="1">
      <c r="A87" s="260"/>
    </row>
    <row r="88" spans="1:1" s="93" customFormat="1">
      <c r="A88" s="260"/>
    </row>
    <row r="89" spans="1:1" s="93" customFormat="1">
      <c r="A89" s="260"/>
    </row>
    <row r="90" spans="1:1" s="93" customFormat="1">
      <c r="A90" s="260"/>
    </row>
    <row r="91" spans="1:1" s="93" customFormat="1">
      <c r="A91" s="260"/>
    </row>
    <row r="92" spans="1:1" s="93" customFormat="1">
      <c r="A92" s="260"/>
    </row>
    <row r="93" spans="1:1" s="93" customFormat="1">
      <c r="A93" s="260"/>
    </row>
    <row r="94" spans="1:1" s="93" customFormat="1">
      <c r="A94" s="260"/>
    </row>
    <row r="95" spans="1:1" s="93" customFormat="1">
      <c r="A95" s="260"/>
    </row>
    <row r="96" spans="1:1" s="93" customFormat="1">
      <c r="A96" s="260"/>
    </row>
    <row r="97" spans="1:1" s="93" customFormat="1">
      <c r="A97" s="260"/>
    </row>
    <row r="98" spans="1:1" s="93" customFormat="1">
      <c r="A98" s="260"/>
    </row>
    <row r="99" spans="1:1" s="93" customFormat="1">
      <c r="A99" s="260"/>
    </row>
    <row r="100" spans="1:1" s="93" customFormat="1">
      <c r="A100" s="260"/>
    </row>
    <row r="101" spans="1:1" s="93" customFormat="1">
      <c r="A101" s="260"/>
    </row>
    <row r="102" spans="1:1" s="93" customFormat="1">
      <c r="A102" s="260"/>
    </row>
    <row r="103" spans="1:1" s="93" customFormat="1">
      <c r="A103" s="260"/>
    </row>
    <row r="104" spans="1:1" s="93" customFormat="1">
      <c r="A104" s="260"/>
    </row>
    <row r="105" spans="1:1" s="93" customFormat="1">
      <c r="A105" s="260"/>
    </row>
    <row r="106" spans="1:1" s="93" customFormat="1">
      <c r="A106" s="260"/>
    </row>
    <row r="107" spans="1:1" s="93" customFormat="1">
      <c r="A107" s="260"/>
    </row>
    <row r="108" spans="1:1" s="93" customFormat="1">
      <c r="A108" s="260"/>
    </row>
    <row r="109" spans="1:1" s="93" customFormat="1">
      <c r="A109" s="260"/>
    </row>
    <row r="110" spans="1:1" s="93" customFormat="1">
      <c r="A110" s="260"/>
    </row>
    <row r="111" spans="1:1" s="93" customFormat="1">
      <c r="A111" s="260"/>
    </row>
    <row r="112" spans="1:1" s="93" customFormat="1">
      <c r="A112" s="260"/>
    </row>
    <row r="113" spans="1:1" s="93" customFormat="1">
      <c r="A113" s="260"/>
    </row>
    <row r="114" spans="1:1" s="93" customFormat="1">
      <c r="A114" s="260"/>
    </row>
    <row r="115" spans="1:1" s="93" customFormat="1">
      <c r="A115" s="260"/>
    </row>
    <row r="116" spans="1:1" s="93" customFormat="1">
      <c r="A116" s="260"/>
    </row>
    <row r="117" spans="1:1" s="93" customFormat="1">
      <c r="A117" s="260"/>
    </row>
    <row r="118" spans="1:1" s="93" customFormat="1">
      <c r="A118" s="260"/>
    </row>
    <row r="119" spans="1:1" s="93" customFormat="1">
      <c r="A119" s="260"/>
    </row>
    <row r="120" spans="1:1" s="93" customFormat="1">
      <c r="A120" s="260"/>
    </row>
    <row r="121" spans="1:1" s="93" customFormat="1">
      <c r="A121" s="260"/>
    </row>
    <row r="122" spans="1:1" s="93" customFormat="1">
      <c r="A122" s="260"/>
    </row>
    <row r="123" spans="1:1" s="93" customFormat="1">
      <c r="A123" s="260"/>
    </row>
    <row r="124" spans="1:1" s="93" customFormat="1">
      <c r="A124" s="260"/>
    </row>
    <row r="125" spans="1:1" s="93" customFormat="1">
      <c r="A125" s="260"/>
    </row>
    <row r="126" spans="1:1" s="93" customFormat="1">
      <c r="A126" s="260"/>
    </row>
    <row r="127" spans="1:1" s="93" customFormat="1">
      <c r="A127" s="260"/>
    </row>
    <row r="128" spans="1:1" s="93" customFormat="1">
      <c r="A128" s="260"/>
    </row>
    <row r="129" spans="1:1" s="93" customFormat="1">
      <c r="A129" s="260"/>
    </row>
    <row r="130" spans="1:1" s="93" customFormat="1">
      <c r="A130" s="260"/>
    </row>
    <row r="131" spans="1:1" s="93" customFormat="1">
      <c r="A131" s="260"/>
    </row>
    <row r="132" spans="1:1" s="93" customFormat="1">
      <c r="A132" s="260"/>
    </row>
    <row r="133" spans="1:1" s="93" customFormat="1">
      <c r="A133" s="260"/>
    </row>
    <row r="134" spans="1:1" s="93" customFormat="1">
      <c r="A134" s="260"/>
    </row>
    <row r="135" spans="1:1" s="93" customFormat="1">
      <c r="A135" s="260"/>
    </row>
    <row r="136" spans="1:1" s="93" customFormat="1">
      <c r="A136" s="260"/>
    </row>
    <row r="137" spans="1:1" s="93" customFormat="1">
      <c r="A137" s="260"/>
    </row>
    <row r="138" spans="1:1" s="93" customFormat="1">
      <c r="A138" s="260"/>
    </row>
    <row r="139" spans="1:1" s="93" customFormat="1">
      <c r="A139" s="260"/>
    </row>
    <row r="140" spans="1:1" s="93" customFormat="1">
      <c r="A140" s="260"/>
    </row>
    <row r="141" spans="1:1" s="93" customFormat="1">
      <c r="A141" s="260"/>
    </row>
    <row r="142" spans="1:1" s="93" customFormat="1">
      <c r="A142" s="260"/>
    </row>
    <row r="143" spans="1:1" s="93" customFormat="1">
      <c r="A143" s="260"/>
    </row>
    <row r="144" spans="1:1" s="93" customFormat="1">
      <c r="A144" s="260"/>
    </row>
    <row r="145" spans="1:1" s="93" customFormat="1">
      <c r="A145" s="260"/>
    </row>
    <row r="146" spans="1:1" s="93" customFormat="1">
      <c r="A146" s="260"/>
    </row>
    <row r="147" spans="1:1" s="93" customFormat="1">
      <c r="A147" s="260"/>
    </row>
    <row r="148" spans="1:1" s="93" customFormat="1">
      <c r="A148" s="260"/>
    </row>
    <row r="149" spans="1:1" s="93" customFormat="1">
      <c r="A149" s="260"/>
    </row>
  </sheetData>
  <sheetProtection selectLockedCells="1"/>
  <dataValidations count="15">
    <dataValidation type="list" allowBlank="1" showInputMessage="1" showErrorMessage="1" sqref="I21">
      <formula1>datalistLMH</formula1>
    </dataValidation>
    <dataValidation type="list" allowBlank="1" showInputMessage="1" showErrorMessage="1" sqref="I23">
      <formula1>datalistIndication</formula1>
    </dataValidation>
    <dataValidation type="list" allowBlank="1" showInputMessage="1" showErrorMessage="1" sqref="I19">
      <formula1>datalistYesNo</formula1>
    </dataValidation>
    <dataValidation type="list" allowBlank="1" showInputMessage="1" showErrorMessage="1" sqref="K25 K27">
      <formula1>datalist123</formula1>
    </dataValidation>
    <dataValidation type="list" allowBlank="1" showInputMessage="1" showErrorMessage="1" sqref="K29">
      <formula1>datalistComparator</formula1>
    </dataValidation>
    <dataValidation type="list" allowBlank="1" showInputMessage="1" showErrorMessage="1" sqref="I17 K17">
      <formula1>datalistGlobalTrials</formula1>
    </dataValidation>
    <dataValidation type="list" allowBlank="1" showInputMessage="1" showErrorMessage="1" sqref="E11">
      <formula1>datalistAdmin</formula1>
    </dataValidation>
    <dataValidation type="list" allowBlank="1" showInputMessage="1" showErrorMessage="1" sqref="G13">
      <formula1>datalistSizePh1</formula1>
    </dataValidation>
    <dataValidation type="list" allowBlank="1" showInputMessage="1" showErrorMessage="1" sqref="I13">
      <formula1>datalistSizePh2</formula1>
    </dataValidation>
    <dataValidation type="list" allowBlank="1" showInputMessage="1" showErrorMessage="1" sqref="K13">
      <formula1>datalistSizePh3</formula1>
    </dataValidation>
    <dataValidation type="list" allowBlank="1" showInputMessage="1" showErrorMessage="1" sqref="G15">
      <formula1>datalistDurationPh1</formula1>
    </dataValidation>
    <dataValidation type="list" allowBlank="1" showInputMessage="1" showErrorMessage="1" sqref="I15">
      <formula1>datalistDurationPh2</formula1>
    </dataValidation>
    <dataValidation type="list" allowBlank="1" showInputMessage="1" showErrorMessage="1" sqref="K15">
      <formula1>datalistDurationPh3</formula1>
    </dataValidation>
    <dataValidation type="list" allowBlank="1" showInputMessage="1" showErrorMessage="1" sqref="E9">
      <formula1>datalistBiomarkers</formula1>
    </dataValidation>
    <dataValidation type="list" allowBlank="1" showInputMessage="1" showErrorMessage="1" sqref="K57">
      <formula1>datalistFormulation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72" r:id="rId4" name="Spinner 16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5" name="Spinner 18">
              <controlPr defaultSize="0" autoPict="0">
                <anchor moveWithCells="1" sizeWithCells="1">
                  <from>
                    <xdr:col>10</xdr:col>
                    <xdr:colOff>790575</xdr:colOff>
                    <xdr:row>34</xdr:row>
                    <xdr:rowOff>0</xdr:rowOff>
                  </from>
                  <to>
                    <xdr:col>10</xdr:col>
                    <xdr:colOff>990600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6" name="Spinner 19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7" name="Spinner 20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8" name="Spinner 21">
              <controlPr defaultSize="0" autoPict="0">
                <anchor moveWithCells="1" sizeWithCells="1">
                  <from>
                    <xdr:col>4</xdr:col>
                    <xdr:colOff>781050</xdr:colOff>
                    <xdr:row>36</xdr:row>
                    <xdr:rowOff>19050</xdr:rowOff>
                  </from>
                  <to>
                    <xdr:col>4</xdr:col>
                    <xdr:colOff>981075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9" name="Spinner 22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9525</xdr:rowOff>
                  </from>
                  <to>
                    <xdr:col>8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10" name="Spinner 23">
              <controlPr defaultSize="0" autoPict="0">
                <anchor moveWithCells="1" sizeWithCells="1">
                  <from>
                    <xdr:col>10</xdr:col>
                    <xdr:colOff>800100</xdr:colOff>
                    <xdr:row>36</xdr:row>
                    <xdr:rowOff>9525</xdr:rowOff>
                  </from>
                  <to>
                    <xdr:col>10</xdr:col>
                    <xdr:colOff>1000125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11" name="Spinner 24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981075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12" name="Spinner 25">
              <controlPr defaultSize="0" autoPict="0">
                <anchor moveWithCells="1" sizeWithCells="1">
                  <from>
                    <xdr:col>6</xdr:col>
                    <xdr:colOff>790575</xdr:colOff>
                    <xdr:row>38</xdr:row>
                    <xdr:rowOff>0</xdr:rowOff>
                  </from>
                  <to>
                    <xdr:col>6</xdr:col>
                    <xdr:colOff>1000125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13" name="Spinner 26">
              <controlPr defaultSize="0" autoPict="0">
                <anchor moveWithCells="1" sizeWithCells="1">
                  <from>
                    <xdr:col>4</xdr:col>
                    <xdr:colOff>790575</xdr:colOff>
                    <xdr:row>38</xdr:row>
                    <xdr:rowOff>0</xdr:rowOff>
                  </from>
                  <to>
                    <xdr:col>4</xdr:col>
                    <xdr:colOff>990600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14" name="Spinner 27">
              <controlPr defaultSize="0" autoPict="0">
                <anchor moveWithCells="1" sizeWithCells="1">
                  <from>
                    <xdr:col>6</xdr:col>
                    <xdr:colOff>790575</xdr:colOff>
                    <xdr:row>36</xdr:row>
                    <xdr:rowOff>9525</xdr:rowOff>
                  </from>
                  <to>
                    <xdr:col>6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15" name="Spinner 29">
              <controlPr defaultSize="0" autoPict="0">
                <anchor moveWithCells="1" sizeWithCells="1">
                  <from>
                    <xdr:col>10</xdr:col>
                    <xdr:colOff>800100</xdr:colOff>
                    <xdr:row>38</xdr:row>
                    <xdr:rowOff>0</xdr:rowOff>
                  </from>
                  <to>
                    <xdr:col>10</xdr:col>
                    <xdr:colOff>1000125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16" name="Spinner 31">
              <controlPr defaultSize="0" autoPict="0">
                <anchor moveWithCells="1" sizeWithCells="1">
                  <from>
                    <xdr:col>4</xdr:col>
                    <xdr:colOff>771525</xdr:colOff>
                    <xdr:row>32</xdr:row>
                    <xdr:rowOff>0</xdr:rowOff>
                  </from>
                  <to>
                    <xdr:col>4</xdr:col>
                    <xdr:colOff>971550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17" name="Spinner 33">
              <controlPr defaultSize="0" autoPict="0">
                <anchor moveWithCells="1" sizeWithCells="1">
                  <from>
                    <xdr:col>6</xdr:col>
                    <xdr:colOff>781050</xdr:colOff>
                    <xdr:row>32</xdr:row>
                    <xdr:rowOff>0</xdr:rowOff>
                  </from>
                  <to>
                    <xdr:col>6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18" name="Spinner 34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19" name="Spinner 39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1000125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20" name="Spinner 40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8" r:id="rId21" name="Check Box 13350">
              <controlPr defaultSize="0" autoFill="0" autoLine="0" autoPict="0">
                <anchor moveWithCells="1">
                  <from>
                    <xdr:col>4</xdr:col>
                    <xdr:colOff>171450</xdr:colOff>
                    <xdr:row>43</xdr:row>
                    <xdr:rowOff>28575</xdr:rowOff>
                  </from>
                  <to>
                    <xdr:col>4</xdr:col>
                    <xdr:colOff>504825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9" r:id="rId22" name="Check Box 13351">
              <controlPr defaultSize="0" autoFill="0" autoLine="0" autoPict="0">
                <anchor moveWithCells="1">
                  <from>
                    <xdr:col>6</xdr:col>
                    <xdr:colOff>66675</xdr:colOff>
                    <xdr:row>43</xdr:row>
                    <xdr:rowOff>28575</xdr:rowOff>
                  </from>
                  <to>
                    <xdr:col>6</xdr:col>
                    <xdr:colOff>400050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0" r:id="rId23" name="Check Box 13352">
              <controlPr defaultSize="0" autoFill="0" autoLine="0" autoPict="0">
                <anchor moveWithCells="1">
                  <from>
                    <xdr:col>8</xdr:col>
                    <xdr:colOff>133350</xdr:colOff>
                    <xdr:row>43</xdr:row>
                    <xdr:rowOff>19050</xdr:rowOff>
                  </from>
                  <to>
                    <xdr:col>8</xdr:col>
                    <xdr:colOff>466725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1" r:id="rId24" name="Check Box 13353">
              <controlPr defaultSize="0" autoFill="0" autoLine="0" autoPict="0">
                <anchor moveWithCells="1">
                  <from>
                    <xdr:col>10</xdr:col>
                    <xdr:colOff>66675</xdr:colOff>
                    <xdr:row>43</xdr:row>
                    <xdr:rowOff>28575</xdr:rowOff>
                  </from>
                  <to>
                    <xdr:col>10</xdr:col>
                    <xdr:colOff>400050</xdr:colOff>
                    <xdr:row>44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1" r:id="rId25" name="Spinner 13363">
              <controlPr defaultSize="0" autoPict="0">
                <anchor moveWithCells="1" sizeWithCells="1">
                  <from>
                    <xdr:col>4</xdr:col>
                    <xdr:colOff>790575</xdr:colOff>
                    <xdr:row>52</xdr:row>
                    <xdr:rowOff>0</xdr:rowOff>
                  </from>
                  <to>
                    <xdr:col>4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2" r:id="rId26" name="Spinner 13364">
              <controlPr defaultSize="0" autoPict="0">
                <anchor moveWithCells="1" sizeWithCells="1">
                  <from>
                    <xdr:col>6</xdr:col>
                    <xdr:colOff>790575</xdr:colOff>
                    <xdr:row>52</xdr:row>
                    <xdr:rowOff>0</xdr:rowOff>
                  </from>
                  <to>
                    <xdr:col>6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3" r:id="rId27" name="Spinner 13365">
              <controlPr defaultSize="0" autoPict="0">
                <anchor moveWithCells="1" sizeWithCells="1">
                  <from>
                    <xdr:col>8</xdr:col>
                    <xdr:colOff>790575</xdr:colOff>
                    <xdr:row>52</xdr:row>
                    <xdr:rowOff>0</xdr:rowOff>
                  </from>
                  <to>
                    <xdr:col>8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4" r:id="rId28" name="Spinner 13366">
              <controlPr defaultSize="0" autoPict="0">
                <anchor moveWithCells="1" sizeWithCells="1">
                  <from>
                    <xdr:col>10</xdr:col>
                    <xdr:colOff>790575</xdr:colOff>
                    <xdr:row>52</xdr:row>
                    <xdr:rowOff>0</xdr:rowOff>
                  </from>
                  <to>
                    <xdr:col>10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29" name="Spinner 13342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0" name="Spinner 13343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6" r:id="rId31" name="Spinner 13368">
              <controlPr defaultSize="0" autoPict="0">
                <anchor moveWithCells="1" sizeWithCells="1">
                  <from>
                    <xdr:col>4</xdr:col>
                    <xdr:colOff>857250</xdr:colOff>
                    <xdr:row>56</xdr:row>
                    <xdr:rowOff>9525</xdr:rowOff>
                  </from>
                  <to>
                    <xdr:col>5</xdr:col>
                    <xdr:colOff>38100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17" r:id="rId32" name="Spinner 13369">
              <controlPr defaultSize="0" autoPict="0">
                <anchor moveWithCells="1" sizeWithCells="1">
                  <from>
                    <xdr:col>4</xdr:col>
                    <xdr:colOff>857250</xdr:colOff>
                    <xdr:row>60</xdr:row>
                    <xdr:rowOff>9525</xdr:rowOff>
                  </from>
                  <to>
                    <xdr:col>5</xdr:col>
                    <xdr:colOff>38100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0" r:id="rId33" name="Spinner 13402">
              <controlPr defaultSize="0" autoPict="0">
                <anchor moveWithCells="1" sizeWithCells="1">
                  <from>
                    <xdr:col>4</xdr:col>
                    <xdr:colOff>857250</xdr:colOff>
                    <xdr:row>62</xdr:row>
                    <xdr:rowOff>9525</xdr:rowOff>
                  </from>
                  <to>
                    <xdr:col>5</xdr:col>
                    <xdr:colOff>38100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2" r:id="rId34" name="Spinner 13404">
              <controlPr defaultSize="0" autoPict="0">
                <anchor moveWithCells="1" sizeWithCells="1">
                  <from>
                    <xdr:col>4</xdr:col>
                    <xdr:colOff>790575</xdr:colOff>
                    <xdr:row>50</xdr:row>
                    <xdr:rowOff>0</xdr:rowOff>
                  </from>
                  <to>
                    <xdr:col>4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3" r:id="rId35" name="Spinner 13405">
              <controlPr defaultSize="0" autoPict="0">
                <anchor moveWithCells="1" sizeWithCells="1">
                  <from>
                    <xdr:col>6</xdr:col>
                    <xdr:colOff>790575</xdr:colOff>
                    <xdr:row>50</xdr:row>
                    <xdr:rowOff>0</xdr:rowOff>
                  </from>
                  <to>
                    <xdr:col>6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4" r:id="rId36" name="Spinner 13406">
              <controlPr defaultSize="0" autoPict="0">
                <anchor moveWithCells="1" sizeWithCells="1">
                  <from>
                    <xdr:col>8</xdr:col>
                    <xdr:colOff>790575</xdr:colOff>
                    <xdr:row>50</xdr:row>
                    <xdr:rowOff>0</xdr:rowOff>
                  </from>
                  <to>
                    <xdr:col>8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5" r:id="rId37" name="Spinner 13407">
              <controlPr defaultSize="0" autoPict="0">
                <anchor moveWithCells="1" sizeWithCells="1">
                  <from>
                    <xdr:col>10</xdr:col>
                    <xdr:colOff>790575</xdr:colOff>
                    <xdr:row>50</xdr:row>
                    <xdr:rowOff>0</xdr:rowOff>
                  </from>
                  <to>
                    <xdr:col>10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6" r:id="rId38" name="Spinner 13408">
              <controlPr defaultSize="0" autoPict="0">
                <anchor moveWithCells="1" sizeWithCells="1">
                  <from>
                    <xdr:col>8</xdr:col>
                    <xdr:colOff>781050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7" r:id="rId39" name="Spinner 13409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8" r:id="rId40" name="Spinner 13410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59" r:id="rId41" name="Spinner 13411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0" r:id="rId42" name="Spinner 13412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1" r:id="rId43" name="Spinner 13413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1000125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2" r:id="rId44" name="Spinner 13414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3" r:id="rId45" name="Spinner 13415">
              <controlPr defaultSize="0" autoPict="0">
                <anchor moveWithCells="1" sizeWithCells="1">
                  <from>
                    <xdr:col>8</xdr:col>
                    <xdr:colOff>781050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4" r:id="rId46" name="Spinner 13416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5" r:id="rId47" name="Spinner 13417">
              <controlPr defaultSize="0" autoPict="0">
                <anchor moveWithCells="1" sizeWithCells="1">
                  <from>
                    <xdr:col>4</xdr:col>
                    <xdr:colOff>771525</xdr:colOff>
                    <xdr:row>36</xdr:row>
                    <xdr:rowOff>0</xdr:rowOff>
                  </from>
                  <to>
                    <xdr:col>4</xdr:col>
                    <xdr:colOff>971550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6" r:id="rId48" name="Spinner 13418">
              <controlPr defaultSize="0" autoPict="0">
                <anchor moveWithCells="1" sizeWithCells="1">
                  <from>
                    <xdr:col>6</xdr:col>
                    <xdr:colOff>781050</xdr:colOff>
                    <xdr:row>36</xdr:row>
                    <xdr:rowOff>0</xdr:rowOff>
                  </from>
                  <to>
                    <xdr:col>6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7" r:id="rId49" name="Spinner 13419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8" r:id="rId50" name="Spinner 13420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1000125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69" r:id="rId51" name="Spinner 13421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0" r:id="rId52" name="Spinner 13422">
              <controlPr defaultSize="0" autoPict="0">
                <anchor moveWithCells="1" sizeWithCells="1">
                  <from>
                    <xdr:col>8</xdr:col>
                    <xdr:colOff>781050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1" r:id="rId53" name="Spinner 13423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2" r:id="rId54" name="Spinner 13424">
              <controlPr defaultSize="0" autoPict="0">
                <anchor moveWithCells="1" sizeWithCells="1">
                  <from>
                    <xdr:col>4</xdr:col>
                    <xdr:colOff>771525</xdr:colOff>
                    <xdr:row>38</xdr:row>
                    <xdr:rowOff>0</xdr:rowOff>
                  </from>
                  <to>
                    <xdr:col>4</xdr:col>
                    <xdr:colOff>971550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3" r:id="rId55" name="Spinner 13425">
              <controlPr defaultSize="0" autoPict="0">
                <anchor moveWithCells="1" sizeWithCells="1">
                  <from>
                    <xdr:col>6</xdr:col>
                    <xdr:colOff>781050</xdr:colOff>
                    <xdr:row>38</xdr:row>
                    <xdr:rowOff>0</xdr:rowOff>
                  </from>
                  <to>
                    <xdr:col>6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4" r:id="rId56" name="Spinner 13426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5" r:id="rId57" name="Spinner 13427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1000125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6" r:id="rId58" name="Spinner 13428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7" r:id="rId59" name="Spinner 13429">
              <controlPr defaultSize="0" autoPict="0">
                <anchor moveWithCells="1" sizeWithCells="1">
                  <from>
                    <xdr:col>8</xdr:col>
                    <xdr:colOff>781050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8" r:id="rId60" name="Spinner 13430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79" r:id="rId61" name="Spinner 13431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80" r:id="rId62" name="Spinner 13432">
              <controlPr defaultSize="0" autoPict="0">
                <anchor moveWithCells="1" sizeWithCells="1">
                  <from>
                    <xdr:col>4</xdr:col>
                    <xdr:colOff>857250</xdr:colOff>
                    <xdr:row>60</xdr:row>
                    <xdr:rowOff>9525</xdr:rowOff>
                  </from>
                  <to>
                    <xdr:col>5</xdr:col>
                    <xdr:colOff>38100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81" r:id="rId63" name="Spinner 13433">
              <controlPr defaultSize="0" autoPict="0">
                <anchor moveWithCells="1" sizeWithCells="1">
                  <from>
                    <xdr:col>4</xdr:col>
                    <xdr:colOff>857250</xdr:colOff>
                    <xdr:row>62</xdr:row>
                    <xdr:rowOff>9525</xdr:rowOff>
                  </from>
                  <to>
                    <xdr:col>5</xdr:col>
                    <xdr:colOff>38100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82" r:id="rId64" name="Spinner 13434">
              <controlPr defaultSize="0" autoPict="0">
                <anchor moveWithCells="1" sizeWithCells="1">
                  <from>
                    <xdr:col>4</xdr:col>
                    <xdr:colOff>857250</xdr:colOff>
                    <xdr:row>62</xdr:row>
                    <xdr:rowOff>9525</xdr:rowOff>
                  </from>
                  <to>
                    <xdr:col>5</xdr:col>
                    <xdr:colOff>38100</xdr:colOff>
                    <xdr:row>63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5E50F490-A671-4840-A309-A6E09773A76B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E33 E37 E35</xm:sqref>
        </x14:conditionalFormatting>
        <x14:conditionalFormatting xmlns:xm="http://schemas.microsoft.com/office/excel/2006/main">
          <x14:cfRule type="expression" priority="8" id="{EA6A26A2-AA25-4FED-80E2-45D14C7A64B5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E39</xm:sqref>
        </x14:conditionalFormatting>
        <x14:conditionalFormatting xmlns:xm="http://schemas.microsoft.com/office/excel/2006/main">
          <x14:cfRule type="expression" priority="7" id="{DDFE216D-0782-4A37-BAF8-F4D27F689C75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G33 G37 G35</xm:sqref>
        </x14:conditionalFormatting>
        <x14:conditionalFormatting xmlns:xm="http://schemas.microsoft.com/office/excel/2006/main">
          <x14:cfRule type="expression" priority="6" id="{89495778-386C-4478-AC6D-EE44C1ACC55C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5" id="{B49840D1-9E5C-4031-AAD9-367B516091E2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K33 K37 K35</xm:sqref>
        </x14:conditionalFormatting>
        <x14:conditionalFormatting xmlns:xm="http://schemas.microsoft.com/office/excel/2006/main">
          <x14:cfRule type="expression" priority="3" id="{11C6A49F-9E5A-48C3-A298-D66DF6760BE4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I39 I37 I35</xm:sqref>
        </x14:conditionalFormatting>
        <x14:conditionalFormatting xmlns:xm="http://schemas.microsoft.com/office/excel/2006/main">
          <x14:cfRule type="expression" priority="2" id="{E305DABE-F125-45D4-901F-B065C408E21F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expression" priority="1" id="{07A43664-0076-465E-ACCE-20960FA5C626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theme="4"/>
  </sheetPr>
  <dimension ref="A1:AB149"/>
  <sheetViews>
    <sheetView topLeftCell="F1" zoomScaleNormal="100" workbookViewId="0">
      <pane ySplit="3" topLeftCell="A4" activePane="bottomLeft" state="frozen"/>
      <selection pane="bottomLeft" activeCell="I23" sqref="I23"/>
    </sheetView>
  </sheetViews>
  <sheetFormatPr defaultColWidth="8.796875" defaultRowHeight="15"/>
  <cols>
    <col min="1" max="1" width="1.69921875" style="260" customWidth="1"/>
    <col min="2" max="2" width="1.69921875" style="90" customWidth="1"/>
    <col min="3" max="3" width="28.296875" style="90" customWidth="1"/>
    <col min="4" max="4" width="2.59765625" style="90" customWidth="1"/>
    <col min="5" max="5" width="10.69921875" style="90" customWidth="1"/>
    <col min="6" max="6" width="2.3984375" style="90" customWidth="1"/>
    <col min="7" max="7" width="10.69921875" style="90" customWidth="1"/>
    <col min="8" max="8" width="1.69921875" style="90" customWidth="1"/>
    <col min="9" max="9" width="10.69921875" style="90" customWidth="1"/>
    <col min="10" max="10" width="1.69921875" style="90" customWidth="1"/>
    <col min="11" max="11" width="10.69921875" style="90" customWidth="1"/>
    <col min="12" max="12" width="1.69921875" style="90" customWidth="1"/>
    <col min="13" max="13" width="12.8984375" style="90" customWidth="1"/>
    <col min="14" max="14" width="1.69921875" style="90" customWidth="1"/>
    <col min="15" max="15" width="12.8984375" style="90" customWidth="1"/>
    <col min="16" max="16" width="1.69921875" style="90" customWidth="1"/>
    <col min="17" max="17" width="15.59765625" style="90" customWidth="1"/>
    <col min="18" max="18" width="20.69921875" style="90" customWidth="1"/>
    <col min="19" max="19" width="14.19921875" style="90" customWidth="1"/>
    <col min="20" max="16384" width="8.796875" style="90"/>
  </cols>
  <sheetData>
    <row r="1" spans="1:28" s="89" customFormat="1" ht="6" customHeight="1">
      <c r="A1" s="260"/>
      <c r="C1" s="386"/>
      <c r="D1" s="386"/>
      <c r="E1" s="386"/>
      <c r="F1" s="386"/>
    </row>
    <row r="2" spans="1:28" s="89" customFormat="1" ht="50.25" customHeight="1">
      <c r="A2" s="260"/>
      <c r="C2" s="386" t="str">
        <f>"PROJECT NAME : "&amp;tlInputPlanProjectName</f>
        <v>PROJECT NAME : -</v>
      </c>
      <c r="D2" s="386"/>
      <c r="E2" s="386"/>
      <c r="F2" s="386"/>
      <c r="T2" s="91" t="s">
        <v>131</v>
      </c>
      <c r="U2" s="89" t="s">
        <v>130</v>
      </c>
    </row>
    <row r="3" spans="1:28" s="92" customFormat="1" ht="27.95" customHeight="1">
      <c r="A3" s="260"/>
      <c r="B3" s="211"/>
      <c r="C3" s="264" t="s">
        <v>507</v>
      </c>
      <c r="D3" s="212" t="str">
        <f>DB_Dashboard2</f>
        <v xml:space="preserve">EPV  -$6348717.2,,M  </v>
      </c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12"/>
      <c r="P3" s="212"/>
      <c r="Q3" s="212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</row>
    <row r="4" spans="1:28" s="93" customFormat="1" ht="37.5" customHeight="1">
      <c r="A4" s="260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</row>
    <row r="5" spans="1:28" s="167" customFormat="1" ht="21.95" customHeight="1">
      <c r="A5" s="260"/>
      <c r="B5" s="266"/>
      <c r="C5" s="267"/>
      <c r="D5" s="268"/>
      <c r="E5" s="268"/>
      <c r="F5" s="268"/>
      <c r="G5" s="268"/>
      <c r="H5" s="268"/>
      <c r="I5" s="268"/>
      <c r="J5" s="240"/>
      <c r="K5" s="403" t="s">
        <v>1187</v>
      </c>
      <c r="L5" s="240"/>
      <c r="M5" s="269" t="s">
        <v>463</v>
      </c>
      <c r="N5" s="269"/>
      <c r="O5" s="269" t="s">
        <v>508</v>
      </c>
      <c r="P5" s="240"/>
      <c r="Q5" s="240"/>
      <c r="R5" s="240"/>
      <c r="S5" s="240"/>
      <c r="T5" s="230"/>
      <c r="U5" s="230"/>
      <c r="V5" s="230"/>
      <c r="W5" s="230"/>
      <c r="X5" s="230"/>
      <c r="Y5" s="230"/>
    </row>
    <row r="6" spans="1:28" s="165" customFormat="1" ht="18.75" customHeight="1">
      <c r="A6" s="260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</row>
    <row r="7" spans="1:28" s="93" customFormat="1" ht="36" customHeight="1">
      <c r="A7" s="260"/>
      <c r="C7" s="284" t="s">
        <v>609</v>
      </c>
      <c r="D7" s="385"/>
      <c r="E7" s="241" t="s">
        <v>464</v>
      </c>
      <c r="F7" s="241"/>
      <c r="G7" s="241" t="s">
        <v>465</v>
      </c>
      <c r="H7" s="241"/>
      <c r="I7" s="241" t="s">
        <v>612</v>
      </c>
      <c r="J7" s="241"/>
      <c r="K7" s="241" t="s">
        <v>467</v>
      </c>
      <c r="N7" s="385"/>
      <c r="Q7" s="89" t="s">
        <v>475</v>
      </c>
      <c r="R7" s="170"/>
    </row>
    <row r="8" spans="1:28" s="93" customFormat="1" ht="15" customHeight="1" thickBot="1">
      <c r="A8" s="260"/>
      <c r="D8" s="177"/>
      <c r="E8" s="175"/>
      <c r="F8" s="175"/>
      <c r="G8" s="175"/>
      <c r="H8" s="175"/>
      <c r="I8" s="175"/>
      <c r="J8" s="175"/>
      <c r="K8" s="175"/>
      <c r="Q8" s="89"/>
      <c r="R8" s="170"/>
    </row>
    <row r="9" spans="1:28" s="93" customFormat="1" ht="21.95" customHeight="1" thickBot="1">
      <c r="A9" s="260"/>
      <c r="C9" s="278" t="s">
        <v>1216</v>
      </c>
      <c r="E9" s="273">
        <v>0</v>
      </c>
      <c r="F9" s="167"/>
      <c r="G9" s="175"/>
      <c r="H9" s="167"/>
      <c r="I9" s="175"/>
      <c r="J9" s="167"/>
      <c r="K9" s="175"/>
      <c r="Q9" s="89"/>
      <c r="R9" s="170"/>
    </row>
    <row r="10" spans="1:28" s="93" customFormat="1" ht="15" customHeight="1" thickBot="1">
      <c r="A10" s="260" t="s">
        <v>469</v>
      </c>
      <c r="E10" s="167"/>
      <c r="F10" s="167"/>
      <c r="G10" s="175"/>
      <c r="H10" s="167"/>
      <c r="I10" s="175"/>
      <c r="J10" s="167"/>
      <c r="K10" s="175"/>
      <c r="Q10" s="89"/>
    </row>
    <row r="11" spans="1:28" s="93" customFormat="1" ht="21.95" customHeight="1" thickBot="1">
      <c r="A11" s="260"/>
      <c r="C11" s="278" t="s">
        <v>587</v>
      </c>
      <c r="D11" s="281"/>
      <c r="E11" s="274" t="s">
        <v>591</v>
      </c>
      <c r="F11" s="167"/>
      <c r="G11" s="175"/>
      <c r="H11" s="167"/>
      <c r="I11" s="175"/>
      <c r="J11" s="167"/>
      <c r="K11" s="175"/>
      <c r="Q11" s="89"/>
      <c r="R11" s="170"/>
    </row>
    <row r="12" spans="1:28" s="93" customFormat="1" ht="15" customHeight="1" thickBot="1">
      <c r="A12" s="260"/>
      <c r="E12" s="167"/>
      <c r="F12" s="167"/>
      <c r="G12" s="167"/>
      <c r="H12" s="167"/>
      <c r="I12" s="271"/>
      <c r="J12" s="167"/>
      <c r="K12" s="167"/>
      <c r="Q12" s="89"/>
      <c r="R12" s="170"/>
    </row>
    <row r="13" spans="1:28" s="93" customFormat="1" ht="21.95" customHeight="1" thickBot="1">
      <c r="A13" s="260"/>
      <c r="C13" s="278" t="s">
        <v>495</v>
      </c>
      <c r="D13" s="278"/>
      <c r="E13" s="278"/>
      <c r="F13" s="281"/>
      <c r="G13" s="273">
        <v>50</v>
      </c>
      <c r="H13" s="167"/>
      <c r="I13" s="273">
        <v>250</v>
      </c>
      <c r="J13" s="167"/>
      <c r="K13" s="273">
        <v>1500</v>
      </c>
      <c r="Q13" s="89"/>
      <c r="R13" s="170"/>
    </row>
    <row r="14" spans="1:28" s="93" customFormat="1" ht="15" customHeight="1" thickBot="1">
      <c r="A14" s="260" t="s">
        <v>469</v>
      </c>
      <c r="E14" s="167"/>
      <c r="F14" s="167"/>
      <c r="G14" s="167"/>
      <c r="H14" s="167"/>
      <c r="I14" s="167"/>
      <c r="J14" s="167"/>
      <c r="K14" s="167"/>
      <c r="Q14" s="89"/>
    </row>
    <row r="15" spans="1:28" s="93" customFormat="1" ht="21.95" customHeight="1" thickBot="1">
      <c r="A15" s="260"/>
      <c r="C15" s="278" t="s">
        <v>611</v>
      </c>
      <c r="D15" s="278"/>
      <c r="E15" s="278"/>
      <c r="F15" s="281"/>
      <c r="G15" s="273" t="s">
        <v>584</v>
      </c>
      <c r="H15" s="167"/>
      <c r="I15" s="273" t="s">
        <v>584</v>
      </c>
      <c r="J15" s="167"/>
      <c r="K15" s="273" t="s">
        <v>584</v>
      </c>
      <c r="Q15" s="89"/>
      <c r="R15" s="170"/>
    </row>
    <row r="16" spans="1:28" s="93" customFormat="1" ht="15" customHeight="1" thickBot="1">
      <c r="A16" s="260"/>
      <c r="E16" s="167"/>
      <c r="F16" s="167"/>
      <c r="G16" s="167"/>
      <c r="H16" s="167"/>
      <c r="I16" s="271"/>
      <c r="J16" s="167"/>
      <c r="K16" s="167"/>
      <c r="Q16" s="89"/>
      <c r="R16" s="170"/>
    </row>
    <row r="17" spans="1:18" s="93" customFormat="1" ht="21.95" customHeight="1" thickBot="1">
      <c r="A17" s="260"/>
      <c r="C17" s="279" t="s">
        <v>554</v>
      </c>
      <c r="D17" s="278"/>
      <c r="E17" s="278"/>
      <c r="F17" s="278"/>
      <c r="G17" s="278"/>
      <c r="H17" s="281"/>
      <c r="I17" s="273" t="s">
        <v>556</v>
      </c>
      <c r="J17" s="167"/>
      <c r="K17" s="273" t="s">
        <v>556</v>
      </c>
      <c r="Q17" s="89"/>
      <c r="R17" s="170"/>
    </row>
    <row r="18" spans="1:18" s="93" customFormat="1" ht="15" customHeight="1" thickBot="1">
      <c r="A18" s="260" t="s">
        <v>469</v>
      </c>
      <c r="E18" s="167"/>
      <c r="F18" s="167"/>
      <c r="G18" s="167"/>
      <c r="H18" s="167"/>
      <c r="I18" s="167"/>
      <c r="J18" s="167"/>
      <c r="K18" s="167"/>
      <c r="Q18" s="89"/>
    </row>
    <row r="19" spans="1:18" s="93" customFormat="1" ht="21.95" customHeight="1" thickBot="1">
      <c r="A19" s="260"/>
      <c r="C19" s="278" t="s">
        <v>513</v>
      </c>
      <c r="D19" s="278"/>
      <c r="E19" s="278"/>
      <c r="F19" s="278"/>
      <c r="G19" s="278"/>
      <c r="H19" s="281"/>
      <c r="I19" s="273" t="s">
        <v>531</v>
      </c>
      <c r="J19" s="167"/>
      <c r="K19" s="167"/>
      <c r="Q19" s="89"/>
      <c r="R19" s="170"/>
    </row>
    <row r="20" spans="1:18" s="93" customFormat="1" ht="15" customHeight="1" thickBot="1">
      <c r="A20" s="260" t="s">
        <v>469</v>
      </c>
      <c r="E20" s="167"/>
      <c r="F20" s="167"/>
      <c r="G20" s="167"/>
      <c r="H20" s="167"/>
      <c r="I20" s="167"/>
      <c r="J20" s="167"/>
      <c r="K20" s="167"/>
      <c r="M20" s="223"/>
      <c r="N20" s="223"/>
      <c r="O20" s="223"/>
      <c r="Q20" s="89"/>
    </row>
    <row r="21" spans="1:18" s="93" customFormat="1" ht="21.95" customHeight="1" thickBot="1">
      <c r="A21" s="260"/>
      <c r="C21" s="278" t="s">
        <v>1179</v>
      </c>
      <c r="D21" s="278"/>
      <c r="E21" s="278"/>
      <c r="F21" s="278"/>
      <c r="G21" s="278"/>
      <c r="H21" s="281"/>
      <c r="I21" s="273" t="s">
        <v>527</v>
      </c>
      <c r="J21" s="167"/>
      <c r="K21" s="167"/>
      <c r="M21" s="223"/>
      <c r="N21" s="223"/>
      <c r="O21" s="223"/>
      <c r="Q21" s="89"/>
      <c r="R21" s="170"/>
    </row>
    <row r="22" spans="1:18" s="93" customFormat="1" ht="15" customHeight="1" thickBot="1">
      <c r="A22" s="260" t="s">
        <v>469</v>
      </c>
      <c r="E22" s="167"/>
      <c r="F22" s="167"/>
      <c r="G22" s="167"/>
      <c r="H22" s="167"/>
      <c r="I22" s="167"/>
      <c r="J22" s="167"/>
      <c r="K22" s="167"/>
      <c r="Q22" s="89"/>
    </row>
    <row r="23" spans="1:18" s="93" customFormat="1" ht="21.95" customHeight="1" thickBot="1">
      <c r="A23" s="260"/>
      <c r="C23" s="279" t="s">
        <v>560</v>
      </c>
      <c r="D23" s="278"/>
      <c r="E23" s="278"/>
      <c r="F23" s="278"/>
      <c r="G23" s="278"/>
      <c r="H23" s="281"/>
      <c r="I23" s="273" t="s">
        <v>1511</v>
      </c>
      <c r="J23" s="167"/>
      <c r="K23" s="167"/>
      <c r="M23" s="223"/>
      <c r="N23" s="223"/>
      <c r="O23" s="223"/>
      <c r="Q23" s="89"/>
      <c r="R23" s="170"/>
    </row>
    <row r="24" spans="1:18" s="93" customFormat="1" ht="15" customHeight="1" thickBot="1">
      <c r="A24" s="260"/>
      <c r="C24" s="97"/>
      <c r="E24" s="167"/>
      <c r="F24" s="167"/>
      <c r="G24" s="167"/>
      <c r="H24" s="167"/>
      <c r="I24" s="167"/>
      <c r="J24" s="167"/>
      <c r="K24" s="272"/>
      <c r="Q24" s="89"/>
      <c r="R24" s="170"/>
    </row>
    <row r="25" spans="1:18" s="93" customFormat="1" ht="21.95" customHeight="1" thickBot="1">
      <c r="A25" s="260" t="s">
        <v>512</v>
      </c>
      <c r="C25" s="279" t="s">
        <v>572</v>
      </c>
      <c r="D25" s="278"/>
      <c r="E25" s="278"/>
      <c r="F25" s="278"/>
      <c r="G25" s="278"/>
      <c r="H25" s="278"/>
      <c r="I25" s="278"/>
      <c r="J25" s="281"/>
      <c r="K25" s="275">
        <v>1</v>
      </c>
      <c r="Q25" s="89"/>
      <c r="R25" s="170"/>
    </row>
    <row r="26" spans="1:18" s="93" customFormat="1" ht="15" customHeight="1" thickBot="1">
      <c r="A26" s="260" t="s">
        <v>469</v>
      </c>
      <c r="E26" s="167"/>
      <c r="F26" s="167"/>
      <c r="G26" s="167"/>
      <c r="H26" s="167"/>
      <c r="I26" s="167"/>
      <c r="J26" s="167"/>
      <c r="K26" s="167"/>
      <c r="Q26" s="89"/>
    </row>
    <row r="27" spans="1:18" s="93" customFormat="1" ht="21.95" customHeight="1" thickBot="1">
      <c r="A27" s="260" t="s">
        <v>512</v>
      </c>
      <c r="C27" s="279" t="s">
        <v>573</v>
      </c>
      <c r="D27" s="278"/>
      <c r="E27" s="278"/>
      <c r="F27" s="278"/>
      <c r="G27" s="278"/>
      <c r="H27" s="278"/>
      <c r="I27" s="278"/>
      <c r="J27" s="281"/>
      <c r="K27" s="275">
        <v>1</v>
      </c>
      <c r="Q27" s="89"/>
      <c r="R27" s="170"/>
    </row>
    <row r="28" spans="1:18" s="93" customFormat="1" ht="15" customHeight="1" thickBot="1">
      <c r="A28" s="260" t="s">
        <v>469</v>
      </c>
      <c r="E28" s="167"/>
      <c r="F28" s="167"/>
      <c r="G28" s="167"/>
      <c r="H28" s="167"/>
      <c r="I28" s="167"/>
      <c r="J28" s="167"/>
      <c r="K28" s="167"/>
      <c r="Q28" s="89"/>
    </row>
    <row r="29" spans="1:18" s="93" customFormat="1" ht="21.95" customHeight="1" thickBot="1">
      <c r="A29" s="260"/>
      <c r="C29" s="278" t="s">
        <v>489</v>
      </c>
      <c r="D29" s="278"/>
      <c r="E29" s="278"/>
      <c r="F29" s="278"/>
      <c r="G29" s="278"/>
      <c r="H29" s="278"/>
      <c r="I29" s="278"/>
      <c r="J29" s="281"/>
      <c r="K29" s="273" t="s">
        <v>536</v>
      </c>
      <c r="Q29" s="89"/>
      <c r="R29" s="170"/>
    </row>
    <row r="30" spans="1:18" s="93" customFormat="1" ht="15.75" customHeight="1" thickBot="1">
      <c r="A30" s="260"/>
      <c r="E30" s="167"/>
      <c r="F30" s="167"/>
      <c r="G30" s="175"/>
      <c r="H30" s="167"/>
      <c r="I30" s="175"/>
      <c r="J30" s="167"/>
      <c r="K30" s="175"/>
      <c r="Q30" s="89"/>
      <c r="R30" s="170"/>
    </row>
    <row r="31" spans="1:18" s="93" customFormat="1" ht="21.95" customHeight="1" thickBot="1">
      <c r="A31" s="260"/>
      <c r="C31" s="278" t="s">
        <v>669</v>
      </c>
      <c r="D31" s="278"/>
      <c r="E31" s="278"/>
      <c r="F31" s="278"/>
      <c r="G31" s="278"/>
      <c r="H31" s="278"/>
      <c r="I31" s="278"/>
      <c r="J31" s="281"/>
      <c r="K31" s="276">
        <v>0.9</v>
      </c>
      <c r="Q31" s="89"/>
      <c r="R31" s="170"/>
    </row>
    <row r="32" spans="1:18" s="93" customFormat="1" ht="15.75" customHeight="1">
      <c r="A32" s="260"/>
      <c r="E32" s="167"/>
      <c r="F32" s="167"/>
      <c r="G32" s="175"/>
      <c r="H32" s="167"/>
      <c r="I32" s="175"/>
      <c r="J32" s="167"/>
      <c r="K32" s="175"/>
      <c r="Q32" s="89"/>
      <c r="R32" s="170"/>
    </row>
    <row r="33" spans="1:20" s="93" customFormat="1" ht="21.95" customHeight="1">
      <c r="A33" s="260"/>
      <c r="C33" s="278" t="s">
        <v>571</v>
      </c>
      <c r="D33" s="278"/>
      <c r="E33" s="277">
        <f>calcScenario2ResearchPTS</f>
        <v>0.9</v>
      </c>
      <c r="F33" s="446"/>
      <c r="G33" s="277">
        <f>calcScenario2Ph1PTS</f>
        <v>0.9</v>
      </c>
      <c r="H33" s="446"/>
      <c r="I33" s="542">
        <f>calcScenario2Ph2PTS</f>
        <v>0.37</v>
      </c>
      <c r="J33" s="446"/>
      <c r="K33" s="277">
        <f>calcScenario2Ph3PTS</f>
        <v>0.84499999999999997</v>
      </c>
      <c r="M33" s="399" t="s">
        <v>1455</v>
      </c>
      <c r="O33" s="544">
        <f>calcScenario2TotPOS</f>
        <v>0.22792184999999998</v>
      </c>
      <c r="Q33" s="89"/>
      <c r="R33" s="170"/>
    </row>
    <row r="34" spans="1:20" s="93" customFormat="1" ht="15" customHeight="1">
      <c r="A34" s="260" t="s">
        <v>469</v>
      </c>
      <c r="E34" s="167"/>
      <c r="F34" s="167"/>
      <c r="G34" s="167"/>
      <c r="H34" s="167"/>
      <c r="I34" s="167"/>
      <c r="J34" s="167"/>
      <c r="K34" s="167"/>
      <c r="M34" s="399"/>
      <c r="O34" s="179"/>
      <c r="Q34" s="89"/>
    </row>
    <row r="35" spans="1:20" s="93" customFormat="1" ht="21.95" customHeight="1">
      <c r="A35" s="260"/>
      <c r="C35" s="278" t="s">
        <v>468</v>
      </c>
      <c r="D35" s="280"/>
      <c r="E35" s="523">
        <f>calcScenario2ResearchTimeReq</f>
        <v>0.25</v>
      </c>
      <c r="F35" s="383"/>
      <c r="G35" s="524">
        <f>calcScenario2Ph1TimeReq</f>
        <v>0.5</v>
      </c>
      <c r="H35" s="383"/>
      <c r="I35" s="524">
        <f>calcScenario2Ph2TimeReq</f>
        <v>0.77500000000000002</v>
      </c>
      <c r="J35" s="383"/>
      <c r="K35" s="524">
        <f>calcScenario2Ph3TimeReq</f>
        <v>2.8</v>
      </c>
      <c r="M35" s="399" t="s">
        <v>1456</v>
      </c>
      <c r="O35" s="545">
        <f>finScenario2LaunchDate</f>
        <v>2021.325</v>
      </c>
      <c r="Q35" s="89"/>
      <c r="R35" s="170"/>
    </row>
    <row r="36" spans="1:20" s="93" customFormat="1" ht="15" customHeight="1">
      <c r="A36" s="260"/>
      <c r="D36" s="177"/>
      <c r="E36" s="383"/>
      <c r="F36" s="383"/>
      <c r="G36" s="383"/>
      <c r="H36" s="383"/>
      <c r="I36" s="383"/>
      <c r="J36" s="383"/>
      <c r="K36" s="383"/>
      <c r="O36" s="546"/>
      <c r="Q36" s="89"/>
    </row>
    <row r="37" spans="1:20" s="93" customFormat="1" ht="21.95" customHeight="1">
      <c r="A37" s="260"/>
      <c r="C37" s="278" t="s">
        <v>566</v>
      </c>
      <c r="D37" s="280"/>
      <c r="E37" s="531">
        <f>calcScenario2ResearchRnDCost</f>
        <v>800000</v>
      </c>
      <c r="F37" s="383"/>
      <c r="G37" s="532">
        <f>calcScenario2Ph1RnDCost</f>
        <v>3300000</v>
      </c>
      <c r="H37" s="383"/>
      <c r="I37" s="532">
        <f>calcScenario2Ph2RnDCost</f>
        <v>13200000</v>
      </c>
      <c r="J37" s="383"/>
      <c r="K37" s="532">
        <f>calcScenario2Ph3RnDCost</f>
        <v>44000000</v>
      </c>
      <c r="M37" s="399" t="s">
        <v>1457</v>
      </c>
      <c r="O37" s="547">
        <f>calcScenario2TotRnDCost</f>
        <v>61300000</v>
      </c>
      <c r="Q37" s="89"/>
      <c r="R37" s="170"/>
    </row>
    <row r="38" spans="1:20" s="93" customFormat="1" ht="15" customHeight="1">
      <c r="A38" s="260"/>
      <c r="D38" s="177"/>
      <c r="E38" s="383"/>
      <c r="F38" s="383"/>
      <c r="G38" s="383"/>
      <c r="H38" s="383"/>
      <c r="I38" s="383"/>
      <c r="J38" s="383"/>
      <c r="K38" s="383"/>
      <c r="O38" s="548"/>
      <c r="Q38" s="89"/>
    </row>
    <row r="39" spans="1:20" s="93" customFormat="1" ht="21.95" customHeight="1">
      <c r="A39" s="260"/>
      <c r="C39" s="278" t="s">
        <v>567</v>
      </c>
      <c r="D39" s="280"/>
      <c r="E39" s="532">
        <f>calcScenario2ResearchFTECost</f>
        <v>80000</v>
      </c>
      <c r="F39" s="383"/>
      <c r="G39" s="532">
        <f>calcScenario2Ph1FTECost</f>
        <v>330000</v>
      </c>
      <c r="H39" s="383"/>
      <c r="I39" s="532">
        <f>calcScenario2Ph2FTECost</f>
        <v>1320000</v>
      </c>
      <c r="J39" s="383"/>
      <c r="K39" s="532">
        <f>calcScenario2Ph3FTECost</f>
        <v>4400000</v>
      </c>
      <c r="M39" s="399" t="s">
        <v>1458</v>
      </c>
      <c r="O39" s="547">
        <f>calcScenario2TotFTECost</f>
        <v>6130000</v>
      </c>
      <c r="Q39" s="89"/>
      <c r="R39" s="170"/>
    </row>
    <row r="40" spans="1:20" s="93" customFormat="1" ht="57.75" customHeight="1">
      <c r="A40" s="260" t="s">
        <v>469</v>
      </c>
      <c r="E40" s="241" t="s">
        <v>464</v>
      </c>
      <c r="F40" s="241"/>
      <c r="G40" s="241" t="s">
        <v>465</v>
      </c>
      <c r="H40" s="241"/>
      <c r="I40" s="241" t="s">
        <v>612</v>
      </c>
      <c r="J40" s="241"/>
      <c r="K40" s="241" t="s">
        <v>467</v>
      </c>
      <c r="Q40" s="89"/>
    </row>
    <row r="41" spans="1:20" s="93" customFormat="1" ht="15" customHeight="1">
      <c r="A41" s="260"/>
      <c r="Q41" s="89"/>
    </row>
    <row r="42" spans="1:20" s="165" customFormat="1" ht="43.5" customHeight="1">
      <c r="A42" s="260"/>
      <c r="C42" s="287" t="s">
        <v>610</v>
      </c>
      <c r="E42" s="195"/>
      <c r="G42" s="195"/>
      <c r="I42" s="195"/>
      <c r="K42" s="195"/>
      <c r="M42" s="195"/>
      <c r="O42" s="195"/>
      <c r="Q42" s="282"/>
      <c r="S42" s="165" t="s">
        <v>479</v>
      </c>
      <c r="T42" s="165">
        <v>100</v>
      </c>
    </row>
    <row r="43" spans="1:20" s="93" customFormat="1" ht="30.75" customHeight="1" thickBot="1">
      <c r="A43" s="260"/>
      <c r="C43" s="285" t="s">
        <v>568</v>
      </c>
      <c r="D43" s="286"/>
      <c r="E43" s="295" t="s">
        <v>470</v>
      </c>
      <c r="F43" s="292"/>
      <c r="G43" s="291" t="s">
        <v>471</v>
      </c>
      <c r="H43" s="292"/>
      <c r="I43" s="293" t="s">
        <v>472</v>
      </c>
      <c r="J43" s="292"/>
      <c r="K43" s="294" t="s">
        <v>473</v>
      </c>
      <c r="M43" s="167"/>
      <c r="N43" s="167"/>
      <c r="O43" s="167"/>
      <c r="Q43" s="89" t="s">
        <v>475</v>
      </c>
      <c r="S43" s="93" t="s">
        <v>480</v>
      </c>
      <c r="T43" s="171">
        <v>0.2</v>
      </c>
    </row>
    <row r="44" spans="1:20" s="93" customFormat="1" ht="15" customHeight="1">
      <c r="A44" s="260"/>
      <c r="M44" s="167"/>
      <c r="N44" s="167"/>
      <c r="O44" s="167"/>
      <c r="Q44" s="89"/>
      <c r="T44" s="171"/>
    </row>
    <row r="45" spans="1:20" s="93" customFormat="1" ht="21.95" customHeight="1">
      <c r="A45" s="260"/>
      <c r="C45" s="278" t="s">
        <v>519</v>
      </c>
      <c r="E45" s="176" t="b">
        <v>1</v>
      </c>
      <c r="G45" s="172" t="b">
        <v>0</v>
      </c>
      <c r="I45" s="174" t="b">
        <v>0</v>
      </c>
      <c r="K45" s="174" t="b">
        <v>0</v>
      </c>
      <c r="M45" s="175"/>
      <c r="N45" s="167"/>
      <c r="O45" s="172"/>
      <c r="Q45" s="270"/>
    </row>
    <row r="46" spans="1:20" s="93" customFormat="1" ht="15" customHeight="1" thickBot="1">
      <c r="A46" s="260"/>
      <c r="M46" s="175"/>
      <c r="N46" s="167"/>
      <c r="O46" s="167"/>
      <c r="Q46" s="89"/>
      <c r="S46" s="93" t="s">
        <v>481</v>
      </c>
      <c r="T46" s="171">
        <v>0.5</v>
      </c>
    </row>
    <row r="47" spans="1:20" s="93" customFormat="1" ht="30.75" customHeight="1" thickBot="1">
      <c r="A47" s="260"/>
      <c r="C47" s="288" t="s">
        <v>574</v>
      </c>
      <c r="E47" s="298">
        <v>1000</v>
      </c>
      <c r="F47" s="208"/>
      <c r="G47" s="301">
        <v>500</v>
      </c>
      <c r="H47" s="208"/>
      <c r="I47" s="303">
        <v>2000</v>
      </c>
      <c r="J47" s="208"/>
      <c r="K47" s="305">
        <v>3000</v>
      </c>
      <c r="M47" s="175"/>
      <c r="N47" s="176"/>
      <c r="O47" s="172"/>
      <c r="Q47" s="270"/>
    </row>
    <row r="48" spans="1:20" s="93" customFormat="1" ht="15" customHeight="1" thickBot="1">
      <c r="A48" s="260"/>
      <c r="M48" s="175"/>
      <c r="N48" s="167"/>
      <c r="O48" s="167"/>
      <c r="Q48" s="89"/>
      <c r="S48" s="93" t="s">
        <v>482</v>
      </c>
      <c r="T48" s="171">
        <v>0.75</v>
      </c>
    </row>
    <row r="49" spans="1:20" s="93" customFormat="1" ht="21.95" customHeight="1" thickBot="1">
      <c r="A49" s="260"/>
      <c r="C49" s="288" t="s">
        <v>474</v>
      </c>
      <c r="E49" s="299">
        <v>0.1</v>
      </c>
      <c r="G49" s="300">
        <v>0.1</v>
      </c>
      <c r="I49" s="302">
        <v>0.1</v>
      </c>
      <c r="K49" s="304">
        <v>0.1</v>
      </c>
      <c r="M49" s="175"/>
      <c r="N49" s="167"/>
      <c r="O49" s="172"/>
      <c r="Q49" s="270"/>
    </row>
    <row r="50" spans="1:20" s="194" customFormat="1" ht="15" customHeight="1">
      <c r="A50" s="261"/>
      <c r="M50" s="196"/>
      <c r="N50" s="196"/>
      <c r="O50" s="196"/>
      <c r="Q50" s="283"/>
    </row>
    <row r="51" spans="1:20" s="93" customFormat="1" ht="21.95" customHeight="1">
      <c r="A51" s="260"/>
      <c r="C51" s="288" t="s">
        <v>593</v>
      </c>
      <c r="E51" s="379">
        <f>calcScenario2Reg1Price</f>
        <v>183.6</v>
      </c>
      <c r="F51" s="208"/>
      <c r="G51" s="380">
        <f>calcScenario2Reg2Price</f>
        <v>0</v>
      </c>
      <c r="H51" s="208"/>
      <c r="I51" s="381">
        <f>calcScenario2Reg3Price</f>
        <v>0</v>
      </c>
      <c r="J51" s="208"/>
      <c r="K51" s="382">
        <f>calcScenario2Reg4Price</f>
        <v>0</v>
      </c>
      <c r="M51" s="175"/>
      <c r="N51" s="167"/>
      <c r="O51" s="172"/>
      <c r="Q51" s="270"/>
    </row>
    <row r="52" spans="1:20" s="194" customFormat="1" ht="15" customHeight="1">
      <c r="A52" s="261"/>
      <c r="M52" s="196"/>
      <c r="N52" s="196"/>
      <c r="O52" s="196"/>
      <c r="Q52" s="283"/>
    </row>
    <row r="53" spans="1:20" s="194" customFormat="1" ht="21.95" customHeight="1">
      <c r="A53" s="261"/>
      <c r="C53" s="288" t="s">
        <v>486</v>
      </c>
      <c r="E53" s="307">
        <f>calcScenario2Reg1SnM</f>
        <v>0.05</v>
      </c>
      <c r="F53" s="93"/>
      <c r="G53" s="306">
        <f>calcScenario2Reg2SnM</f>
        <v>0</v>
      </c>
      <c r="H53" s="93"/>
      <c r="I53" s="308">
        <f>calcScenario2Reg3SnM</f>
        <v>0</v>
      </c>
      <c r="J53" s="93"/>
      <c r="K53" s="309">
        <f>calcScenario2Reg4SnM</f>
        <v>0</v>
      </c>
      <c r="M53" s="196"/>
      <c r="N53" s="196"/>
      <c r="O53" s="196"/>
      <c r="Q53" s="283"/>
    </row>
    <row r="54" spans="1:20" s="93" customFormat="1" ht="31.5" customHeight="1">
      <c r="A54" s="260"/>
      <c r="M54" s="384"/>
      <c r="Q54" s="89"/>
      <c r="S54" s="93" t="s">
        <v>482</v>
      </c>
      <c r="T54" s="171">
        <v>0.75</v>
      </c>
    </row>
    <row r="55" spans="1:20" s="165" customFormat="1" ht="15" customHeight="1">
      <c r="A55" s="260"/>
      <c r="Q55" s="242"/>
      <c r="S55" s="165" t="s">
        <v>483</v>
      </c>
      <c r="T55" s="165">
        <v>16</v>
      </c>
    </row>
    <row r="56" spans="1:20" s="167" customFormat="1" ht="28.5" customHeight="1" thickBot="1">
      <c r="A56" s="260"/>
      <c r="C56" s="296" t="s">
        <v>569</v>
      </c>
      <c r="Q56" s="89" t="s">
        <v>475</v>
      </c>
    </row>
    <row r="57" spans="1:20" s="93" customFormat="1" ht="21.95" customHeight="1" thickBot="1">
      <c r="A57" s="260"/>
      <c r="C57" s="288" t="s">
        <v>1395</v>
      </c>
      <c r="E57" s="522">
        <f>finScenario2Yr1MS</f>
        <v>3.130495168499705E-2</v>
      </c>
      <c r="G57" s="278" t="s">
        <v>1175</v>
      </c>
      <c r="H57" s="278"/>
      <c r="I57" s="278"/>
      <c r="K57" s="273" t="s">
        <v>1177</v>
      </c>
      <c r="M57" s="533" t="s">
        <v>1459</v>
      </c>
      <c r="O57" s="543">
        <f>finScenario2Breakeven</f>
        <v>2031.325</v>
      </c>
      <c r="Q57" s="89"/>
    </row>
    <row r="58" spans="1:20" s="93" customFormat="1" ht="15" customHeight="1" thickBot="1">
      <c r="A58" s="260"/>
      <c r="C58" s="97"/>
      <c r="O58" s="182"/>
      <c r="Q58" s="89"/>
    </row>
    <row r="59" spans="1:20" s="93" customFormat="1" ht="21.95" customHeight="1" thickBot="1">
      <c r="A59" s="260"/>
      <c r="C59" s="288" t="s">
        <v>494</v>
      </c>
      <c r="E59" s="290">
        <f>calcScenario2AverageCompliance</f>
        <v>0.7</v>
      </c>
      <c r="G59" s="278" t="s">
        <v>492</v>
      </c>
      <c r="H59" s="278"/>
      <c r="I59" s="278"/>
      <c r="K59" s="276">
        <v>0</v>
      </c>
      <c r="M59" s="533" t="s">
        <v>615</v>
      </c>
      <c r="O59" s="549">
        <f>finScenario2ROI</f>
        <v>7.9444444373089534E-2</v>
      </c>
      <c r="Q59" s="89"/>
    </row>
    <row r="60" spans="1:20" s="93" customFormat="1" ht="15" customHeight="1" thickBot="1">
      <c r="A60" s="260"/>
      <c r="C60" s="97"/>
      <c r="K60" s="384"/>
      <c r="O60" s="399"/>
      <c r="Q60" s="89"/>
    </row>
    <row r="61" spans="1:20" s="93" customFormat="1" ht="21.95" customHeight="1" thickBot="1">
      <c r="A61" s="260"/>
      <c r="C61" s="288" t="s">
        <v>485</v>
      </c>
      <c r="E61" s="277">
        <f>calcScenario2AverageDiscount</f>
        <v>0.1</v>
      </c>
      <c r="G61" s="278" t="s">
        <v>521</v>
      </c>
      <c r="H61" s="278"/>
      <c r="I61" s="297"/>
      <c r="K61" s="276">
        <v>0.06</v>
      </c>
      <c r="M61" s="533" t="s">
        <v>1208</v>
      </c>
      <c r="O61" s="547">
        <f>finScenario2EPV</f>
        <v>-63487171.701017223</v>
      </c>
      <c r="Q61" s="89"/>
    </row>
    <row r="62" spans="1:20" s="93" customFormat="1" ht="15" customHeight="1" thickBot="1">
      <c r="A62" s="260"/>
      <c r="C62" s="97"/>
      <c r="O62" s="399"/>
      <c r="Q62" s="89"/>
    </row>
    <row r="63" spans="1:20" s="93" customFormat="1" ht="21.95" customHeight="1" thickBot="1">
      <c r="A63" s="260"/>
      <c r="C63" s="279" t="s">
        <v>558</v>
      </c>
      <c r="E63" s="289">
        <f>calcScenario2AverageCOGS</f>
        <v>73.44</v>
      </c>
      <c r="G63" s="278" t="s">
        <v>520</v>
      </c>
      <c r="H63" s="278"/>
      <c r="I63" s="297"/>
      <c r="K63" s="276">
        <v>0.12</v>
      </c>
      <c r="M63" s="533" t="s">
        <v>1209</v>
      </c>
      <c r="O63" s="547">
        <f>finScenario2NPV</f>
        <v>-54209876.689616203</v>
      </c>
      <c r="Q63" s="89"/>
    </row>
    <row r="64" spans="1:20" s="93" customFormat="1" ht="15" customHeight="1">
      <c r="A64" s="260"/>
    </row>
    <row r="65" spans="1:1" s="93" customFormat="1" ht="15" customHeight="1">
      <c r="A65" s="260"/>
    </row>
    <row r="66" spans="1:1" s="93" customFormat="1" ht="15" customHeight="1">
      <c r="A66" s="260"/>
    </row>
    <row r="67" spans="1:1" s="93" customFormat="1" ht="15" customHeight="1">
      <c r="A67" s="260"/>
    </row>
    <row r="68" spans="1:1" s="93" customFormat="1" ht="15" customHeight="1">
      <c r="A68" s="260"/>
    </row>
    <row r="69" spans="1:1" s="93" customFormat="1" ht="15" customHeight="1">
      <c r="A69" s="260"/>
    </row>
    <row r="70" spans="1:1" s="93" customFormat="1" ht="15" customHeight="1">
      <c r="A70" s="260"/>
    </row>
    <row r="71" spans="1:1" s="93" customFormat="1" ht="15" customHeight="1">
      <c r="A71" s="260"/>
    </row>
    <row r="72" spans="1:1" s="93" customFormat="1" ht="15" customHeight="1">
      <c r="A72" s="260"/>
    </row>
    <row r="73" spans="1:1" s="93" customFormat="1" ht="15" customHeight="1">
      <c r="A73" s="260"/>
    </row>
    <row r="74" spans="1:1" s="93" customFormat="1" ht="15" customHeight="1">
      <c r="A74" s="260"/>
    </row>
    <row r="75" spans="1:1" s="93" customFormat="1" ht="15" customHeight="1">
      <c r="A75" s="260"/>
    </row>
    <row r="76" spans="1:1" s="93" customFormat="1" ht="15" customHeight="1">
      <c r="A76" s="260"/>
    </row>
    <row r="77" spans="1:1" s="93" customFormat="1" ht="15" customHeight="1">
      <c r="A77" s="260"/>
    </row>
    <row r="78" spans="1:1" s="93" customFormat="1" ht="15" customHeight="1">
      <c r="A78" s="260"/>
    </row>
    <row r="79" spans="1:1" s="93" customFormat="1" ht="15" customHeight="1">
      <c r="A79" s="260"/>
    </row>
    <row r="80" spans="1:1" s="93" customFormat="1" ht="15" customHeight="1">
      <c r="A80" s="260"/>
    </row>
    <row r="81" spans="1:1" s="197" customFormat="1" ht="21.95" customHeight="1">
      <c r="A81" s="260"/>
    </row>
    <row r="82" spans="1:1" s="93" customFormat="1" ht="21.95" customHeight="1">
      <c r="A82" s="260"/>
    </row>
    <row r="83" spans="1:1" s="93" customFormat="1">
      <c r="A83" s="260"/>
    </row>
    <row r="84" spans="1:1" s="93" customFormat="1">
      <c r="A84" s="260"/>
    </row>
    <row r="85" spans="1:1" s="93" customFormat="1">
      <c r="A85" s="260"/>
    </row>
    <row r="86" spans="1:1" s="93" customFormat="1">
      <c r="A86" s="260"/>
    </row>
    <row r="87" spans="1:1" s="93" customFormat="1">
      <c r="A87" s="260"/>
    </row>
    <row r="88" spans="1:1" s="93" customFormat="1">
      <c r="A88" s="260"/>
    </row>
    <row r="89" spans="1:1" s="93" customFormat="1">
      <c r="A89" s="260"/>
    </row>
    <row r="90" spans="1:1" s="93" customFormat="1">
      <c r="A90" s="260"/>
    </row>
    <row r="91" spans="1:1" s="93" customFormat="1">
      <c r="A91" s="260"/>
    </row>
    <row r="92" spans="1:1" s="93" customFormat="1">
      <c r="A92" s="260"/>
    </row>
    <row r="93" spans="1:1" s="93" customFormat="1">
      <c r="A93" s="260"/>
    </row>
    <row r="94" spans="1:1" s="93" customFormat="1">
      <c r="A94" s="260"/>
    </row>
    <row r="95" spans="1:1" s="93" customFormat="1">
      <c r="A95" s="260"/>
    </row>
    <row r="96" spans="1:1" s="93" customFormat="1">
      <c r="A96" s="260"/>
    </row>
    <row r="97" spans="1:1" s="93" customFormat="1">
      <c r="A97" s="260"/>
    </row>
    <row r="98" spans="1:1" s="93" customFormat="1">
      <c r="A98" s="260"/>
    </row>
    <row r="99" spans="1:1" s="93" customFormat="1">
      <c r="A99" s="260"/>
    </row>
    <row r="100" spans="1:1" s="93" customFormat="1">
      <c r="A100" s="260"/>
    </row>
    <row r="101" spans="1:1" s="93" customFormat="1">
      <c r="A101" s="260"/>
    </row>
    <row r="102" spans="1:1" s="93" customFormat="1">
      <c r="A102" s="260"/>
    </row>
    <row r="103" spans="1:1" s="93" customFormat="1">
      <c r="A103" s="260"/>
    </row>
    <row r="104" spans="1:1" s="93" customFormat="1">
      <c r="A104" s="260"/>
    </row>
    <row r="105" spans="1:1" s="93" customFormat="1">
      <c r="A105" s="260"/>
    </row>
    <row r="106" spans="1:1" s="93" customFormat="1">
      <c r="A106" s="260"/>
    </row>
    <row r="107" spans="1:1" s="93" customFormat="1">
      <c r="A107" s="260"/>
    </row>
    <row r="108" spans="1:1" s="93" customFormat="1">
      <c r="A108" s="260"/>
    </row>
    <row r="109" spans="1:1" s="93" customFormat="1">
      <c r="A109" s="260"/>
    </row>
    <row r="110" spans="1:1" s="93" customFormat="1">
      <c r="A110" s="260"/>
    </row>
    <row r="111" spans="1:1" s="93" customFormat="1">
      <c r="A111" s="260"/>
    </row>
    <row r="112" spans="1:1" s="93" customFormat="1">
      <c r="A112" s="260"/>
    </row>
    <row r="113" spans="1:1" s="93" customFormat="1">
      <c r="A113" s="260"/>
    </row>
    <row r="114" spans="1:1" s="93" customFormat="1">
      <c r="A114" s="260"/>
    </row>
    <row r="115" spans="1:1" s="93" customFormat="1">
      <c r="A115" s="260"/>
    </row>
    <row r="116" spans="1:1" s="93" customFormat="1">
      <c r="A116" s="260"/>
    </row>
    <row r="117" spans="1:1" s="93" customFormat="1">
      <c r="A117" s="260"/>
    </row>
    <row r="118" spans="1:1" s="93" customFormat="1">
      <c r="A118" s="260"/>
    </row>
    <row r="119" spans="1:1" s="93" customFormat="1">
      <c r="A119" s="260"/>
    </row>
    <row r="120" spans="1:1" s="93" customFormat="1">
      <c r="A120" s="260"/>
    </row>
    <row r="121" spans="1:1" s="93" customFormat="1">
      <c r="A121" s="260"/>
    </row>
    <row r="122" spans="1:1" s="93" customFormat="1">
      <c r="A122" s="260"/>
    </row>
    <row r="123" spans="1:1" s="93" customFormat="1">
      <c r="A123" s="260"/>
    </row>
    <row r="124" spans="1:1" s="93" customFormat="1">
      <c r="A124" s="260"/>
    </row>
    <row r="125" spans="1:1" s="93" customFormat="1">
      <c r="A125" s="260"/>
    </row>
    <row r="126" spans="1:1" s="93" customFormat="1">
      <c r="A126" s="260"/>
    </row>
    <row r="127" spans="1:1" s="93" customFormat="1">
      <c r="A127" s="260"/>
    </row>
    <row r="128" spans="1:1" s="93" customFormat="1">
      <c r="A128" s="260"/>
    </row>
    <row r="129" spans="1:1" s="93" customFormat="1">
      <c r="A129" s="260"/>
    </row>
    <row r="130" spans="1:1" s="93" customFormat="1">
      <c r="A130" s="260"/>
    </row>
    <row r="131" spans="1:1" s="93" customFormat="1">
      <c r="A131" s="260"/>
    </row>
    <row r="132" spans="1:1" s="93" customFormat="1">
      <c r="A132" s="260"/>
    </row>
    <row r="133" spans="1:1" s="93" customFormat="1">
      <c r="A133" s="260"/>
    </row>
    <row r="134" spans="1:1" s="93" customFormat="1">
      <c r="A134" s="260"/>
    </row>
    <row r="135" spans="1:1" s="93" customFormat="1">
      <c r="A135" s="260"/>
    </row>
    <row r="136" spans="1:1" s="93" customFormat="1">
      <c r="A136" s="260"/>
    </row>
    <row r="137" spans="1:1" s="93" customFormat="1">
      <c r="A137" s="260"/>
    </row>
    <row r="138" spans="1:1" s="93" customFormat="1">
      <c r="A138" s="260"/>
    </row>
    <row r="139" spans="1:1" s="93" customFormat="1">
      <c r="A139" s="260"/>
    </row>
    <row r="140" spans="1:1" s="93" customFormat="1">
      <c r="A140" s="260"/>
    </row>
    <row r="141" spans="1:1" s="93" customFormat="1">
      <c r="A141" s="260"/>
    </row>
    <row r="142" spans="1:1" s="93" customFormat="1">
      <c r="A142" s="260"/>
    </row>
    <row r="143" spans="1:1" s="93" customFormat="1">
      <c r="A143" s="260"/>
    </row>
    <row r="144" spans="1:1" s="93" customFormat="1">
      <c r="A144" s="260"/>
    </row>
    <row r="145" spans="1:1" s="93" customFormat="1">
      <c r="A145" s="260"/>
    </row>
    <row r="146" spans="1:1" s="93" customFormat="1">
      <c r="A146" s="260"/>
    </row>
    <row r="147" spans="1:1" s="93" customFormat="1">
      <c r="A147" s="260"/>
    </row>
    <row r="148" spans="1:1" s="93" customFormat="1">
      <c r="A148" s="260"/>
    </row>
    <row r="149" spans="1:1" s="93" customFormat="1">
      <c r="A149" s="260"/>
    </row>
  </sheetData>
  <sheetProtection selectLockedCells="1"/>
  <dataValidations count="15">
    <dataValidation type="list" allowBlank="1" showInputMessage="1" showErrorMessage="1" sqref="K57">
      <formula1>datalistFormulation</formula1>
    </dataValidation>
    <dataValidation type="list" allowBlank="1" showInputMessage="1" showErrorMessage="1" sqref="E9">
      <formula1>datalistBiomarkers</formula1>
    </dataValidation>
    <dataValidation type="list" allowBlank="1" showInputMessage="1" showErrorMessage="1" sqref="K15">
      <formula1>datalistDurationPh3</formula1>
    </dataValidation>
    <dataValidation type="list" allowBlank="1" showInputMessage="1" showErrorMessage="1" sqref="I15">
      <formula1>datalistDurationPh2</formula1>
    </dataValidation>
    <dataValidation type="list" allowBlank="1" showInputMessage="1" showErrorMessage="1" sqref="G15">
      <formula1>datalistDurationPh1</formula1>
    </dataValidation>
    <dataValidation type="list" allowBlank="1" showInputMessage="1" showErrorMessage="1" sqref="K13">
      <formula1>datalistSizePh3</formula1>
    </dataValidation>
    <dataValidation type="list" allowBlank="1" showInputMessage="1" showErrorMessage="1" sqref="I13">
      <formula1>datalistSizePh2</formula1>
    </dataValidation>
    <dataValidation type="list" allowBlank="1" showInputMessage="1" showErrorMessage="1" sqref="G13">
      <formula1>datalistSizePh1</formula1>
    </dataValidation>
    <dataValidation type="list" allowBlank="1" showInputMessage="1" showErrorMessage="1" sqref="E11">
      <formula1>datalistAdmin</formula1>
    </dataValidation>
    <dataValidation type="list" allowBlank="1" showInputMessage="1" showErrorMessage="1" sqref="I17 K17">
      <formula1>datalistGlobalTrials</formula1>
    </dataValidation>
    <dataValidation type="list" allowBlank="1" showInputMessage="1" showErrorMessage="1" sqref="K29">
      <formula1>datalistComparator</formula1>
    </dataValidation>
    <dataValidation type="list" allowBlank="1" showInputMessage="1" showErrorMessage="1" sqref="K25 K27">
      <formula1>datalist123</formula1>
    </dataValidation>
    <dataValidation type="list" allowBlank="1" showInputMessage="1" showErrorMessage="1" sqref="I19">
      <formula1>datalistYesNo</formula1>
    </dataValidation>
    <dataValidation type="list" allowBlank="1" showInputMessage="1" showErrorMessage="1" sqref="I23">
      <formula1>datalistIndication</formula1>
    </dataValidation>
    <dataValidation type="list" allowBlank="1" showInputMessage="1" showErrorMessage="1" sqref="I21">
      <formula1>datalistLMH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4" name="Spinner 1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5" name="Spinner 2">
              <controlPr defaultSize="0" autoPict="0">
                <anchor moveWithCells="1" sizeWithCells="1">
                  <from>
                    <xdr:col>10</xdr:col>
                    <xdr:colOff>790575</xdr:colOff>
                    <xdr:row>34</xdr:row>
                    <xdr:rowOff>0</xdr:rowOff>
                  </from>
                  <to>
                    <xdr:col>10</xdr:col>
                    <xdr:colOff>990600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6" name="Spinner 3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7" name="Spinner 4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8" name="Spinner 5">
              <controlPr defaultSize="0" autoPict="0">
                <anchor moveWithCells="1" sizeWithCells="1">
                  <from>
                    <xdr:col>4</xdr:col>
                    <xdr:colOff>781050</xdr:colOff>
                    <xdr:row>36</xdr:row>
                    <xdr:rowOff>19050</xdr:rowOff>
                  </from>
                  <to>
                    <xdr:col>4</xdr:col>
                    <xdr:colOff>981075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9" name="Spinner 6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9525</xdr:rowOff>
                  </from>
                  <to>
                    <xdr:col>8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10" name="Spinner 7">
              <controlPr defaultSize="0" autoPict="0">
                <anchor moveWithCells="1" sizeWithCells="1">
                  <from>
                    <xdr:col>10</xdr:col>
                    <xdr:colOff>800100</xdr:colOff>
                    <xdr:row>36</xdr:row>
                    <xdr:rowOff>9525</xdr:rowOff>
                  </from>
                  <to>
                    <xdr:col>10</xdr:col>
                    <xdr:colOff>1000125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1" name="Spinner 8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981075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2" name="Spinner 9">
              <controlPr defaultSize="0" autoPict="0">
                <anchor moveWithCells="1" sizeWithCells="1">
                  <from>
                    <xdr:col>6</xdr:col>
                    <xdr:colOff>790575</xdr:colOff>
                    <xdr:row>38</xdr:row>
                    <xdr:rowOff>0</xdr:rowOff>
                  </from>
                  <to>
                    <xdr:col>6</xdr:col>
                    <xdr:colOff>1000125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3" name="Spinner 10">
              <controlPr defaultSize="0" autoPict="0">
                <anchor moveWithCells="1" sizeWithCells="1">
                  <from>
                    <xdr:col>4</xdr:col>
                    <xdr:colOff>790575</xdr:colOff>
                    <xdr:row>38</xdr:row>
                    <xdr:rowOff>0</xdr:rowOff>
                  </from>
                  <to>
                    <xdr:col>4</xdr:col>
                    <xdr:colOff>990600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4" name="Spinner 11">
              <controlPr defaultSize="0" autoPict="0">
                <anchor moveWithCells="1" sizeWithCells="1">
                  <from>
                    <xdr:col>6</xdr:col>
                    <xdr:colOff>790575</xdr:colOff>
                    <xdr:row>36</xdr:row>
                    <xdr:rowOff>9525</xdr:rowOff>
                  </from>
                  <to>
                    <xdr:col>6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5" name="Spinner 12">
              <controlPr defaultSize="0" autoPict="0">
                <anchor moveWithCells="1" sizeWithCells="1">
                  <from>
                    <xdr:col>10</xdr:col>
                    <xdr:colOff>800100</xdr:colOff>
                    <xdr:row>38</xdr:row>
                    <xdr:rowOff>0</xdr:rowOff>
                  </from>
                  <to>
                    <xdr:col>10</xdr:col>
                    <xdr:colOff>1000125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6" name="Spinner 13">
              <controlPr defaultSize="0" autoPict="0">
                <anchor moveWithCells="1" sizeWithCells="1">
                  <from>
                    <xdr:col>4</xdr:col>
                    <xdr:colOff>771525</xdr:colOff>
                    <xdr:row>32</xdr:row>
                    <xdr:rowOff>0</xdr:rowOff>
                  </from>
                  <to>
                    <xdr:col>4</xdr:col>
                    <xdr:colOff>971550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7" name="Spinner 14">
              <controlPr defaultSize="0" autoPict="0">
                <anchor moveWithCells="1" sizeWithCells="1">
                  <from>
                    <xdr:col>6</xdr:col>
                    <xdr:colOff>781050</xdr:colOff>
                    <xdr:row>32</xdr:row>
                    <xdr:rowOff>0</xdr:rowOff>
                  </from>
                  <to>
                    <xdr:col>6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8" name="Spinner 15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9" name="Spinner 16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1000125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20" name="Spinner 17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1" name="Spinner 18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2" name="Spinner 19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3" name="Check Box 20">
              <controlPr defaultSize="0" autoFill="0" autoLine="0" autoPict="0">
                <anchor moveWithCells="1">
                  <from>
                    <xdr:col>4</xdr:col>
                    <xdr:colOff>171450</xdr:colOff>
                    <xdr:row>43</xdr:row>
                    <xdr:rowOff>28575</xdr:rowOff>
                  </from>
                  <to>
                    <xdr:col>4</xdr:col>
                    <xdr:colOff>504825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4" name="Check Box 21">
              <controlPr defaultSize="0" autoFill="0" autoLine="0" autoPict="0">
                <anchor moveWithCells="1">
                  <from>
                    <xdr:col>6</xdr:col>
                    <xdr:colOff>66675</xdr:colOff>
                    <xdr:row>43</xdr:row>
                    <xdr:rowOff>28575</xdr:rowOff>
                  </from>
                  <to>
                    <xdr:col>6</xdr:col>
                    <xdr:colOff>400050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5" name="Check Box 22">
              <controlPr defaultSize="0" autoFill="0" autoLine="0" autoPict="0">
                <anchor moveWithCells="1">
                  <from>
                    <xdr:col>8</xdr:col>
                    <xdr:colOff>133350</xdr:colOff>
                    <xdr:row>43</xdr:row>
                    <xdr:rowOff>19050</xdr:rowOff>
                  </from>
                  <to>
                    <xdr:col>8</xdr:col>
                    <xdr:colOff>466725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6" name="Check Box 23">
              <controlPr defaultSize="0" autoFill="0" autoLine="0" autoPict="0">
                <anchor moveWithCells="1">
                  <from>
                    <xdr:col>10</xdr:col>
                    <xdr:colOff>66675</xdr:colOff>
                    <xdr:row>43</xdr:row>
                    <xdr:rowOff>28575</xdr:rowOff>
                  </from>
                  <to>
                    <xdr:col>10</xdr:col>
                    <xdr:colOff>400050</xdr:colOff>
                    <xdr:row>44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7" name="Spinner 24">
              <controlPr defaultSize="0" autoPict="0">
                <anchor moveWithCells="1" sizeWithCells="1">
                  <from>
                    <xdr:col>4</xdr:col>
                    <xdr:colOff>790575</xdr:colOff>
                    <xdr:row>52</xdr:row>
                    <xdr:rowOff>0</xdr:rowOff>
                  </from>
                  <to>
                    <xdr:col>4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8" name="Spinner 25">
              <controlPr defaultSize="0" autoPict="0">
                <anchor moveWithCells="1" sizeWithCells="1">
                  <from>
                    <xdr:col>6</xdr:col>
                    <xdr:colOff>790575</xdr:colOff>
                    <xdr:row>52</xdr:row>
                    <xdr:rowOff>0</xdr:rowOff>
                  </from>
                  <to>
                    <xdr:col>6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9" name="Spinner 26">
              <controlPr defaultSize="0" autoPict="0">
                <anchor moveWithCells="1" sizeWithCells="1">
                  <from>
                    <xdr:col>8</xdr:col>
                    <xdr:colOff>790575</xdr:colOff>
                    <xdr:row>52</xdr:row>
                    <xdr:rowOff>0</xdr:rowOff>
                  </from>
                  <to>
                    <xdr:col>8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30" name="Spinner 27">
              <controlPr defaultSize="0" autoPict="0">
                <anchor moveWithCells="1" sizeWithCells="1">
                  <from>
                    <xdr:col>10</xdr:col>
                    <xdr:colOff>790575</xdr:colOff>
                    <xdr:row>52</xdr:row>
                    <xdr:rowOff>0</xdr:rowOff>
                  </from>
                  <to>
                    <xdr:col>10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1" name="Spinner 28">
              <controlPr defaultSize="0" autoPict="0">
                <anchor moveWithCells="1" sizeWithCells="1">
                  <from>
                    <xdr:col>4</xdr:col>
                    <xdr:colOff>857250</xdr:colOff>
                    <xdr:row>56</xdr:row>
                    <xdr:rowOff>9525</xdr:rowOff>
                  </from>
                  <to>
                    <xdr:col>5</xdr:col>
                    <xdr:colOff>38100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2" name="Spinner 29">
              <controlPr defaultSize="0" autoPict="0">
                <anchor moveWithCells="1" sizeWithCells="1">
                  <from>
                    <xdr:col>4</xdr:col>
                    <xdr:colOff>857250</xdr:colOff>
                    <xdr:row>60</xdr:row>
                    <xdr:rowOff>9525</xdr:rowOff>
                  </from>
                  <to>
                    <xdr:col>5</xdr:col>
                    <xdr:colOff>38100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3" name="Spinner 30">
              <controlPr defaultSize="0" autoPict="0">
                <anchor moveWithCells="1" sizeWithCells="1">
                  <from>
                    <xdr:col>4</xdr:col>
                    <xdr:colOff>857250</xdr:colOff>
                    <xdr:row>62</xdr:row>
                    <xdr:rowOff>9525</xdr:rowOff>
                  </from>
                  <to>
                    <xdr:col>5</xdr:col>
                    <xdr:colOff>38100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4" name="Spinner 31">
              <controlPr defaultSize="0" autoPict="0">
                <anchor moveWithCells="1" sizeWithCells="1">
                  <from>
                    <xdr:col>4</xdr:col>
                    <xdr:colOff>790575</xdr:colOff>
                    <xdr:row>50</xdr:row>
                    <xdr:rowOff>0</xdr:rowOff>
                  </from>
                  <to>
                    <xdr:col>4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5" name="Spinner 32">
              <controlPr defaultSize="0" autoPict="0">
                <anchor moveWithCells="1" sizeWithCells="1">
                  <from>
                    <xdr:col>6</xdr:col>
                    <xdr:colOff>790575</xdr:colOff>
                    <xdr:row>50</xdr:row>
                    <xdr:rowOff>0</xdr:rowOff>
                  </from>
                  <to>
                    <xdr:col>6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6" name="Spinner 33">
              <controlPr defaultSize="0" autoPict="0">
                <anchor moveWithCells="1" sizeWithCells="1">
                  <from>
                    <xdr:col>8</xdr:col>
                    <xdr:colOff>790575</xdr:colOff>
                    <xdr:row>50</xdr:row>
                    <xdr:rowOff>0</xdr:rowOff>
                  </from>
                  <to>
                    <xdr:col>8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7" name="Spinner 34">
              <controlPr defaultSize="0" autoPict="0">
                <anchor moveWithCells="1" sizeWithCells="1">
                  <from>
                    <xdr:col>10</xdr:col>
                    <xdr:colOff>790575</xdr:colOff>
                    <xdr:row>50</xdr:row>
                    <xdr:rowOff>0</xdr:rowOff>
                  </from>
                  <to>
                    <xdr:col>10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8" name="Spinner 35">
              <controlPr defaultSize="0" autoPict="0">
                <anchor moveWithCells="1" sizeWithCells="1">
                  <from>
                    <xdr:col>8</xdr:col>
                    <xdr:colOff>781050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9" name="Spinner 36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40" name="Spinner 37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1" name="Spinner 38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2" name="Spinner 39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3" name="Spinner 40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1000125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4" name="Spinner 41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0" r:id="rId45" name="Spinner 42">
              <controlPr defaultSize="0" autoPict="0">
                <anchor moveWithCells="1" sizeWithCells="1">
                  <from>
                    <xdr:col>8</xdr:col>
                    <xdr:colOff>781050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1" r:id="rId46" name="Spinner 43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2" r:id="rId47" name="Spinner 44">
              <controlPr defaultSize="0" autoPict="0">
                <anchor moveWithCells="1" sizeWithCells="1">
                  <from>
                    <xdr:col>4</xdr:col>
                    <xdr:colOff>771525</xdr:colOff>
                    <xdr:row>36</xdr:row>
                    <xdr:rowOff>0</xdr:rowOff>
                  </from>
                  <to>
                    <xdr:col>4</xdr:col>
                    <xdr:colOff>971550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3" r:id="rId48" name="Spinner 45">
              <controlPr defaultSize="0" autoPict="0">
                <anchor moveWithCells="1" sizeWithCells="1">
                  <from>
                    <xdr:col>6</xdr:col>
                    <xdr:colOff>781050</xdr:colOff>
                    <xdr:row>36</xdr:row>
                    <xdr:rowOff>0</xdr:rowOff>
                  </from>
                  <to>
                    <xdr:col>6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4" r:id="rId49" name="Spinner 46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5" r:id="rId50" name="Spinner 47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1000125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6" r:id="rId51" name="Spinner 48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7" r:id="rId52" name="Spinner 49">
              <controlPr defaultSize="0" autoPict="0">
                <anchor moveWithCells="1" sizeWithCells="1">
                  <from>
                    <xdr:col>8</xdr:col>
                    <xdr:colOff>781050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8" r:id="rId53" name="Spinner 50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59" r:id="rId54" name="Spinner 51">
              <controlPr defaultSize="0" autoPict="0">
                <anchor moveWithCells="1" sizeWithCells="1">
                  <from>
                    <xdr:col>4</xdr:col>
                    <xdr:colOff>771525</xdr:colOff>
                    <xdr:row>38</xdr:row>
                    <xdr:rowOff>0</xdr:rowOff>
                  </from>
                  <to>
                    <xdr:col>4</xdr:col>
                    <xdr:colOff>971550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0" r:id="rId55" name="Spinner 52">
              <controlPr defaultSize="0" autoPict="0">
                <anchor moveWithCells="1" sizeWithCells="1">
                  <from>
                    <xdr:col>6</xdr:col>
                    <xdr:colOff>781050</xdr:colOff>
                    <xdr:row>38</xdr:row>
                    <xdr:rowOff>0</xdr:rowOff>
                  </from>
                  <to>
                    <xdr:col>6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1" r:id="rId56" name="Spinner 53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2" r:id="rId57" name="Spinner 54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1000125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3" r:id="rId58" name="Spinner 55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4" r:id="rId59" name="Spinner 56">
              <controlPr defaultSize="0" autoPict="0">
                <anchor moveWithCells="1" sizeWithCells="1">
                  <from>
                    <xdr:col>8</xdr:col>
                    <xdr:colOff>781050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65" r:id="rId60" name="Spinner 57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89" r:id="rId61" name="Spinner 81">
              <controlPr defaultSize="0" autoPict="0">
                <anchor moveWithCells="1" sizeWithCells="1">
                  <from>
                    <xdr:col>4</xdr:col>
                    <xdr:colOff>857250</xdr:colOff>
                    <xdr:row>56</xdr:row>
                    <xdr:rowOff>9525</xdr:rowOff>
                  </from>
                  <to>
                    <xdr:col>5</xdr:col>
                    <xdr:colOff>38100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A9E9848C-8B4A-44B0-BB91-18BBDB3E5F2A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E33 E37</xm:sqref>
        </x14:conditionalFormatting>
        <x14:conditionalFormatting xmlns:xm="http://schemas.microsoft.com/office/excel/2006/main">
          <x14:cfRule type="expression" priority="11" id="{7BBF9838-5ED6-4EE4-9E32-FFAA1E1AAF46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expression" priority="10" id="{1AF87EC9-938D-4E1A-859D-505C19EAF3DD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G33 G37</xm:sqref>
        </x14:conditionalFormatting>
        <x14:conditionalFormatting xmlns:xm="http://schemas.microsoft.com/office/excel/2006/main">
          <x14:cfRule type="expression" priority="9" id="{4166CE49-66B4-4DAE-9CE0-7B5D531BD61B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8" id="{7D900ED0-A04F-427E-80D5-00F0EFEF8CC9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K33 K37</xm:sqref>
        </x14:conditionalFormatting>
        <x14:conditionalFormatting xmlns:xm="http://schemas.microsoft.com/office/excel/2006/main">
          <x14:cfRule type="expression" priority="7" id="{D87885B1-E617-4AC1-9E02-2397BDDDDAB1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I35 I37</xm:sqref>
        </x14:conditionalFormatting>
        <x14:conditionalFormatting xmlns:xm="http://schemas.microsoft.com/office/excel/2006/main">
          <x14:cfRule type="expression" priority="6" id="{8A0C726A-9FB1-4E5E-B453-E8B124C115F2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expression" priority="5" id="{A380F841-A9E7-421B-ACC7-2132AEBB0A92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E39</xm:sqref>
        </x14:conditionalFormatting>
        <x14:conditionalFormatting xmlns:xm="http://schemas.microsoft.com/office/excel/2006/main">
          <x14:cfRule type="expression" priority="4" id="{757C7DC0-BD4D-4C7F-B49D-9D951283338A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3" id="{134B772F-8B02-4A9F-96BB-20590B6B37DA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2" id="{7E6DC8B8-2710-4FFA-8E0D-24234B929B66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expression" priority="1" id="{308B4BC2-F839-4844-8FF8-4E827231DD41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I33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theme="4"/>
  </sheetPr>
  <dimension ref="A1:AB149"/>
  <sheetViews>
    <sheetView zoomScaleNormal="100" workbookViewId="0">
      <pane ySplit="3" topLeftCell="A16" activePane="bottomLeft" state="frozen"/>
      <selection pane="bottomLeft" activeCell="D3" sqref="D3"/>
    </sheetView>
  </sheetViews>
  <sheetFormatPr defaultColWidth="8.796875" defaultRowHeight="15"/>
  <cols>
    <col min="1" max="1" width="1.69921875" style="260" customWidth="1"/>
    <col min="2" max="2" width="1.69921875" style="90" customWidth="1"/>
    <col min="3" max="3" width="28.296875" style="90" customWidth="1"/>
    <col min="4" max="4" width="2.59765625" style="90" customWidth="1"/>
    <col min="5" max="5" width="10.69921875" style="90" customWidth="1"/>
    <col min="6" max="6" width="2.3984375" style="90" customWidth="1"/>
    <col min="7" max="7" width="10.69921875" style="90" customWidth="1"/>
    <col min="8" max="8" width="1.69921875" style="90" customWidth="1"/>
    <col min="9" max="9" width="10.69921875" style="90" customWidth="1"/>
    <col min="10" max="10" width="1.69921875" style="90" customWidth="1"/>
    <col min="11" max="11" width="10.69921875" style="90" customWidth="1"/>
    <col min="12" max="12" width="1.69921875" style="90" customWidth="1"/>
    <col min="13" max="13" width="12.8984375" style="90" customWidth="1"/>
    <col min="14" max="14" width="1.69921875" style="90" customWidth="1"/>
    <col min="15" max="15" width="12.8984375" style="90" customWidth="1"/>
    <col min="16" max="16" width="1.69921875" style="90" customWidth="1"/>
    <col min="17" max="17" width="15.59765625" style="90" customWidth="1"/>
    <col min="18" max="18" width="20.69921875" style="90" customWidth="1"/>
    <col min="19" max="19" width="14.19921875" style="90" customWidth="1"/>
    <col min="20" max="16384" width="8.796875" style="90"/>
  </cols>
  <sheetData>
    <row r="1" spans="1:28" s="89" customFormat="1" ht="6" customHeight="1">
      <c r="A1" s="260"/>
      <c r="C1" s="389"/>
      <c r="D1" s="389"/>
      <c r="E1" s="389"/>
      <c r="F1" s="389"/>
    </row>
    <row r="2" spans="1:28" s="89" customFormat="1" ht="50.25" customHeight="1">
      <c r="A2" s="260"/>
      <c r="C2" s="389" t="str">
        <f>"PROJECT NAME : "&amp;tlInputPlanProjectName</f>
        <v>PROJECT NAME : -</v>
      </c>
      <c r="D2" s="389"/>
      <c r="E2" s="389"/>
      <c r="F2" s="389"/>
      <c r="T2" s="91" t="s">
        <v>131</v>
      </c>
      <c r="U2" s="89" t="s">
        <v>130</v>
      </c>
    </row>
    <row r="3" spans="1:28" s="92" customFormat="1" ht="27.95" customHeight="1">
      <c r="A3" s="260"/>
      <c r="B3" s="211"/>
      <c r="C3" s="264" t="s">
        <v>507</v>
      </c>
      <c r="D3" s="212" t="str">
        <f>DB_Dashboard3</f>
        <v xml:space="preserve">EPV  -$6348717.2,,M  </v>
      </c>
      <c r="E3" s="262"/>
      <c r="F3" s="262"/>
      <c r="G3" s="262"/>
      <c r="H3" s="262"/>
      <c r="I3" s="262"/>
      <c r="J3" s="262"/>
      <c r="K3" s="262"/>
      <c r="L3" s="262"/>
      <c r="M3" s="262"/>
      <c r="N3" s="262"/>
      <c r="O3" s="212"/>
      <c r="P3" s="212"/>
      <c r="Q3" s="212"/>
      <c r="R3" s="211"/>
      <c r="S3" s="211"/>
      <c r="T3" s="211"/>
      <c r="U3" s="211"/>
      <c r="V3" s="211"/>
      <c r="W3" s="211"/>
      <c r="X3" s="211"/>
      <c r="Y3" s="211"/>
      <c r="Z3" s="211"/>
      <c r="AA3" s="211"/>
      <c r="AB3" s="211"/>
    </row>
    <row r="4" spans="1:28" s="93" customFormat="1" ht="37.5" customHeight="1">
      <c r="A4" s="260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  <c r="V4" s="89"/>
      <c r="W4" s="89"/>
      <c r="X4" s="89"/>
      <c r="Y4" s="89"/>
    </row>
    <row r="5" spans="1:28" s="167" customFormat="1" ht="21.95" customHeight="1">
      <c r="A5" s="260"/>
      <c r="B5" s="266"/>
      <c r="C5" s="267"/>
      <c r="D5" s="268"/>
      <c r="E5" s="268"/>
      <c r="F5" s="268"/>
      <c r="G5" s="268"/>
      <c r="H5" s="268"/>
      <c r="I5" s="268"/>
      <c r="J5" s="240"/>
      <c r="K5" s="403" t="s">
        <v>1187</v>
      </c>
      <c r="L5" s="240"/>
      <c r="M5" s="269" t="s">
        <v>463</v>
      </c>
      <c r="N5" s="269"/>
      <c r="O5" s="269" t="s">
        <v>508</v>
      </c>
      <c r="P5" s="240"/>
      <c r="Q5" s="240"/>
      <c r="R5" s="240"/>
      <c r="S5" s="240"/>
      <c r="T5" s="230"/>
      <c r="U5" s="230"/>
      <c r="V5" s="230"/>
      <c r="W5" s="230"/>
      <c r="X5" s="230"/>
      <c r="Y5" s="230"/>
    </row>
    <row r="6" spans="1:28" s="165" customFormat="1" ht="18.75" customHeight="1">
      <c r="A6" s="260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</row>
    <row r="7" spans="1:28" s="93" customFormat="1" ht="36" customHeight="1">
      <c r="A7" s="260"/>
      <c r="C7" s="284" t="s">
        <v>609</v>
      </c>
      <c r="D7" s="388"/>
      <c r="E7" s="241" t="s">
        <v>464</v>
      </c>
      <c r="F7" s="241"/>
      <c r="G7" s="241" t="s">
        <v>465</v>
      </c>
      <c r="H7" s="241"/>
      <c r="I7" s="241" t="s">
        <v>612</v>
      </c>
      <c r="J7" s="241"/>
      <c r="K7" s="241" t="s">
        <v>467</v>
      </c>
      <c r="N7" s="388"/>
      <c r="Q7" s="89" t="s">
        <v>475</v>
      </c>
      <c r="R7" s="170"/>
    </row>
    <row r="8" spans="1:28" s="93" customFormat="1" ht="15" customHeight="1" thickBot="1">
      <c r="A8" s="260"/>
      <c r="D8" s="177"/>
      <c r="E8" s="175"/>
      <c r="F8" s="175"/>
      <c r="G8" s="175"/>
      <c r="H8" s="175"/>
      <c r="I8" s="175"/>
      <c r="J8" s="175"/>
      <c r="K8" s="175"/>
      <c r="Q8" s="89"/>
      <c r="R8" s="170"/>
    </row>
    <row r="9" spans="1:28" s="93" customFormat="1" ht="21.95" customHeight="1" thickBot="1">
      <c r="A9" s="260"/>
      <c r="C9" s="278" t="s">
        <v>1216</v>
      </c>
      <c r="E9" s="273">
        <v>0</v>
      </c>
      <c r="F9" s="167"/>
      <c r="G9" s="175"/>
      <c r="H9" s="167"/>
      <c r="I9" s="175"/>
      <c r="J9" s="167"/>
      <c r="K9" s="175"/>
      <c r="Q9" s="89"/>
      <c r="R9" s="170"/>
    </row>
    <row r="10" spans="1:28" s="93" customFormat="1" ht="15" customHeight="1" thickBot="1">
      <c r="A10" s="260" t="s">
        <v>469</v>
      </c>
      <c r="E10" s="167"/>
      <c r="F10" s="167"/>
      <c r="G10" s="175"/>
      <c r="H10" s="167"/>
      <c r="I10" s="175"/>
      <c r="J10" s="167"/>
      <c r="K10" s="175"/>
      <c r="Q10" s="89"/>
    </row>
    <row r="11" spans="1:28" s="93" customFormat="1" ht="21.95" customHeight="1" thickBot="1">
      <c r="A11" s="260"/>
      <c r="C11" s="278" t="s">
        <v>587</v>
      </c>
      <c r="D11" s="281"/>
      <c r="E11" s="274" t="s">
        <v>591</v>
      </c>
      <c r="F11" s="167"/>
      <c r="G11" s="175"/>
      <c r="H11" s="167"/>
      <c r="I11" s="175"/>
      <c r="J11" s="167"/>
      <c r="K11" s="175"/>
      <c r="Q11" s="89"/>
      <c r="R11" s="170"/>
    </row>
    <row r="12" spans="1:28" s="93" customFormat="1" ht="15" customHeight="1" thickBot="1">
      <c r="A12" s="260"/>
      <c r="E12" s="167"/>
      <c r="F12" s="167"/>
      <c r="G12" s="167"/>
      <c r="H12" s="167"/>
      <c r="I12" s="271"/>
      <c r="J12" s="167"/>
      <c r="K12" s="167"/>
      <c r="Q12" s="89"/>
      <c r="R12" s="170"/>
    </row>
    <row r="13" spans="1:28" s="93" customFormat="1" ht="21.95" customHeight="1" thickBot="1">
      <c r="A13" s="260"/>
      <c r="C13" s="278" t="s">
        <v>495</v>
      </c>
      <c r="D13" s="278"/>
      <c r="E13" s="278"/>
      <c r="F13" s="281"/>
      <c r="G13" s="273">
        <v>50</v>
      </c>
      <c r="H13" s="167"/>
      <c r="I13" s="273">
        <v>250</v>
      </c>
      <c r="J13" s="167"/>
      <c r="K13" s="273">
        <v>1500</v>
      </c>
      <c r="Q13" s="89"/>
      <c r="R13" s="170"/>
    </row>
    <row r="14" spans="1:28" s="93" customFormat="1" ht="15" customHeight="1" thickBot="1">
      <c r="A14" s="260" t="s">
        <v>469</v>
      </c>
      <c r="E14" s="167"/>
      <c r="F14" s="167"/>
      <c r="G14" s="167"/>
      <c r="H14" s="167"/>
      <c r="I14" s="167"/>
      <c r="J14" s="167"/>
      <c r="K14" s="167"/>
      <c r="Q14" s="89"/>
    </row>
    <row r="15" spans="1:28" s="93" customFormat="1" ht="21.95" customHeight="1" thickBot="1">
      <c r="A15" s="260"/>
      <c r="C15" s="278" t="s">
        <v>611</v>
      </c>
      <c r="D15" s="278"/>
      <c r="E15" s="278"/>
      <c r="F15" s="281"/>
      <c r="G15" s="273" t="s">
        <v>584</v>
      </c>
      <c r="H15" s="167"/>
      <c r="I15" s="273" t="s">
        <v>584</v>
      </c>
      <c r="J15" s="167"/>
      <c r="K15" s="273" t="s">
        <v>584</v>
      </c>
      <c r="Q15" s="89"/>
      <c r="R15" s="170"/>
    </row>
    <row r="16" spans="1:28" s="93" customFormat="1" ht="15" customHeight="1" thickBot="1">
      <c r="A16" s="260"/>
      <c r="E16" s="167"/>
      <c r="F16" s="167"/>
      <c r="G16" s="167"/>
      <c r="H16" s="167"/>
      <c r="I16" s="271"/>
      <c r="J16" s="167"/>
      <c r="K16" s="167"/>
      <c r="Q16" s="89"/>
      <c r="R16" s="170"/>
    </row>
    <row r="17" spans="1:18" s="93" customFormat="1" ht="21.95" customHeight="1" thickBot="1">
      <c r="A17" s="260"/>
      <c r="C17" s="279" t="s">
        <v>554</v>
      </c>
      <c r="D17" s="278"/>
      <c r="E17" s="278"/>
      <c r="F17" s="278"/>
      <c r="G17" s="278"/>
      <c r="H17" s="281"/>
      <c r="I17" s="273" t="s">
        <v>556</v>
      </c>
      <c r="J17" s="167"/>
      <c r="K17" s="273" t="s">
        <v>556</v>
      </c>
      <c r="Q17" s="89"/>
      <c r="R17" s="170"/>
    </row>
    <row r="18" spans="1:18" s="93" customFormat="1" ht="15" customHeight="1" thickBot="1">
      <c r="A18" s="260" t="s">
        <v>469</v>
      </c>
      <c r="E18" s="167"/>
      <c r="F18" s="167"/>
      <c r="G18" s="167"/>
      <c r="H18" s="167"/>
      <c r="I18" s="167"/>
      <c r="J18" s="167"/>
      <c r="K18" s="167"/>
      <c r="Q18" s="89"/>
    </row>
    <row r="19" spans="1:18" s="93" customFormat="1" ht="21.95" customHeight="1" thickBot="1">
      <c r="A19" s="260"/>
      <c r="C19" s="278" t="s">
        <v>513</v>
      </c>
      <c r="D19" s="278"/>
      <c r="E19" s="278"/>
      <c r="F19" s="278"/>
      <c r="G19" s="278"/>
      <c r="H19" s="281"/>
      <c r="I19" s="273" t="s">
        <v>531</v>
      </c>
      <c r="J19" s="167"/>
      <c r="K19" s="167"/>
      <c r="Q19" s="89"/>
      <c r="R19" s="170"/>
    </row>
    <row r="20" spans="1:18" s="93" customFormat="1" ht="15" customHeight="1" thickBot="1">
      <c r="A20" s="260" t="s">
        <v>469</v>
      </c>
      <c r="E20" s="167"/>
      <c r="F20" s="167"/>
      <c r="G20" s="167"/>
      <c r="H20" s="167"/>
      <c r="I20" s="167"/>
      <c r="J20" s="167"/>
      <c r="K20" s="167"/>
      <c r="M20" s="223"/>
      <c r="N20" s="223"/>
      <c r="O20" s="223"/>
      <c r="Q20" s="89"/>
    </row>
    <row r="21" spans="1:18" s="93" customFormat="1" ht="21.95" customHeight="1" thickBot="1">
      <c r="A21" s="260"/>
      <c r="C21" s="278" t="s">
        <v>1179</v>
      </c>
      <c r="D21" s="278"/>
      <c r="E21" s="278"/>
      <c r="F21" s="278"/>
      <c r="G21" s="278"/>
      <c r="H21" s="281"/>
      <c r="I21" s="273" t="s">
        <v>527</v>
      </c>
      <c r="J21" s="167"/>
      <c r="K21" s="167"/>
      <c r="M21" s="223"/>
      <c r="N21" s="223"/>
      <c r="O21" s="223"/>
      <c r="Q21" s="89"/>
      <c r="R21" s="170"/>
    </row>
    <row r="22" spans="1:18" s="93" customFormat="1" ht="15" customHeight="1" thickBot="1">
      <c r="A22" s="260" t="s">
        <v>469</v>
      </c>
      <c r="E22" s="167"/>
      <c r="F22" s="167"/>
      <c r="G22" s="167"/>
      <c r="H22" s="167"/>
      <c r="I22" s="167"/>
      <c r="J22" s="167"/>
      <c r="K22" s="167"/>
      <c r="Q22" s="89"/>
    </row>
    <row r="23" spans="1:18" s="93" customFormat="1" ht="21.95" customHeight="1" thickBot="1">
      <c r="A23" s="260"/>
      <c r="C23" s="279" t="s">
        <v>560</v>
      </c>
      <c r="D23" s="278"/>
      <c r="E23" s="278"/>
      <c r="F23" s="278"/>
      <c r="G23" s="278"/>
      <c r="H23" s="281"/>
      <c r="I23" s="273" t="s">
        <v>1511</v>
      </c>
      <c r="J23" s="167"/>
      <c r="K23" s="167"/>
      <c r="M23" s="223"/>
      <c r="N23" s="223"/>
      <c r="O23" s="223"/>
      <c r="Q23" s="89"/>
      <c r="R23" s="170"/>
    </row>
    <row r="24" spans="1:18" s="93" customFormat="1" ht="15" customHeight="1" thickBot="1">
      <c r="A24" s="260"/>
      <c r="C24" s="97"/>
      <c r="E24" s="167"/>
      <c r="F24" s="167"/>
      <c r="G24" s="167"/>
      <c r="H24" s="167"/>
      <c r="I24" s="167"/>
      <c r="J24" s="167"/>
      <c r="K24" s="272"/>
      <c r="Q24" s="89"/>
      <c r="R24" s="170"/>
    </row>
    <row r="25" spans="1:18" s="93" customFormat="1" ht="21.95" customHeight="1" thickBot="1">
      <c r="A25" s="260" t="s">
        <v>512</v>
      </c>
      <c r="C25" s="279" t="s">
        <v>572</v>
      </c>
      <c r="D25" s="278"/>
      <c r="E25" s="278"/>
      <c r="F25" s="278"/>
      <c r="G25" s="278"/>
      <c r="H25" s="278"/>
      <c r="I25" s="278"/>
      <c r="J25" s="281"/>
      <c r="K25" s="275">
        <v>1</v>
      </c>
      <c r="Q25" s="89"/>
      <c r="R25" s="170"/>
    </row>
    <row r="26" spans="1:18" s="93" customFormat="1" ht="15" customHeight="1" thickBot="1">
      <c r="A26" s="260" t="s">
        <v>469</v>
      </c>
      <c r="E26" s="167"/>
      <c r="F26" s="167"/>
      <c r="G26" s="167"/>
      <c r="H26" s="167"/>
      <c r="I26" s="167"/>
      <c r="J26" s="167"/>
      <c r="K26" s="167"/>
      <c r="Q26" s="89"/>
    </row>
    <row r="27" spans="1:18" s="93" customFormat="1" ht="21.95" customHeight="1" thickBot="1">
      <c r="A27" s="260" t="s">
        <v>512</v>
      </c>
      <c r="C27" s="279" t="s">
        <v>573</v>
      </c>
      <c r="D27" s="278"/>
      <c r="E27" s="278"/>
      <c r="F27" s="278"/>
      <c r="G27" s="278"/>
      <c r="H27" s="278"/>
      <c r="I27" s="278"/>
      <c r="J27" s="281"/>
      <c r="K27" s="275">
        <v>1</v>
      </c>
      <c r="Q27" s="89"/>
      <c r="R27" s="170"/>
    </row>
    <row r="28" spans="1:18" s="93" customFormat="1" ht="15" customHeight="1" thickBot="1">
      <c r="A28" s="260" t="s">
        <v>469</v>
      </c>
      <c r="E28" s="167"/>
      <c r="F28" s="167"/>
      <c r="G28" s="167"/>
      <c r="H28" s="167"/>
      <c r="I28" s="167"/>
      <c r="J28" s="167"/>
      <c r="K28" s="167"/>
      <c r="Q28" s="89"/>
    </row>
    <row r="29" spans="1:18" s="93" customFormat="1" ht="21.95" customHeight="1" thickBot="1">
      <c r="A29" s="260"/>
      <c r="C29" s="278" t="s">
        <v>489</v>
      </c>
      <c r="D29" s="278"/>
      <c r="E29" s="278"/>
      <c r="F29" s="278"/>
      <c r="G29" s="278"/>
      <c r="H29" s="278"/>
      <c r="I29" s="278"/>
      <c r="J29" s="281"/>
      <c r="K29" s="273" t="s">
        <v>536</v>
      </c>
      <c r="Q29" s="89"/>
      <c r="R29" s="170"/>
    </row>
    <row r="30" spans="1:18" s="93" customFormat="1" ht="15.75" customHeight="1" thickBot="1">
      <c r="A30" s="260"/>
      <c r="E30" s="167"/>
      <c r="F30" s="167"/>
      <c r="G30" s="175"/>
      <c r="H30" s="167"/>
      <c r="I30" s="175"/>
      <c r="J30" s="167"/>
      <c r="K30" s="175"/>
      <c r="Q30" s="89"/>
      <c r="R30" s="170"/>
    </row>
    <row r="31" spans="1:18" s="93" customFormat="1" ht="21.95" customHeight="1" thickBot="1">
      <c r="A31" s="260"/>
      <c r="C31" s="278" t="s">
        <v>669</v>
      </c>
      <c r="D31" s="278"/>
      <c r="E31" s="278"/>
      <c r="F31" s="278"/>
      <c r="G31" s="278"/>
      <c r="H31" s="278"/>
      <c r="I31" s="278"/>
      <c r="J31" s="281"/>
      <c r="K31" s="276">
        <v>0.9</v>
      </c>
      <c r="Q31" s="89"/>
      <c r="R31" s="170"/>
    </row>
    <row r="32" spans="1:18" s="93" customFormat="1" ht="15.75" customHeight="1">
      <c r="A32" s="260"/>
      <c r="E32" s="167"/>
      <c r="F32" s="167"/>
      <c r="G32" s="175"/>
      <c r="H32" s="167"/>
      <c r="I32" s="175"/>
      <c r="J32" s="167"/>
      <c r="K32" s="175"/>
      <c r="Q32" s="89"/>
      <c r="R32" s="170"/>
    </row>
    <row r="33" spans="1:20" s="93" customFormat="1" ht="21.95" customHeight="1">
      <c r="A33" s="260"/>
      <c r="C33" s="278" t="s">
        <v>571</v>
      </c>
      <c r="D33" s="278"/>
      <c r="E33" s="277">
        <f>calcScenario3ResearchPTS</f>
        <v>0.9</v>
      </c>
      <c r="F33" s="446"/>
      <c r="G33" s="277">
        <f>calcScenario3Ph1PTS</f>
        <v>0.9</v>
      </c>
      <c r="H33" s="446"/>
      <c r="I33" s="522">
        <f>calcScenario3Ph2PTS</f>
        <v>0.37</v>
      </c>
      <c r="J33" s="446"/>
      <c r="K33" s="277">
        <f>calcScenario3Ph3PTS</f>
        <v>0.84499999999999997</v>
      </c>
      <c r="M33" s="399" t="s">
        <v>1455</v>
      </c>
      <c r="O33" s="544">
        <f>calcScenario3TotPOS</f>
        <v>0.22792184999999998</v>
      </c>
      <c r="Q33" s="89"/>
      <c r="R33" s="170"/>
    </row>
    <row r="34" spans="1:20" s="93" customFormat="1" ht="15" customHeight="1">
      <c r="A34" s="260" t="s">
        <v>469</v>
      </c>
      <c r="E34" s="167"/>
      <c r="F34" s="167"/>
      <c r="G34" s="167"/>
      <c r="H34" s="167"/>
      <c r="I34" s="167"/>
      <c r="J34" s="167"/>
      <c r="K34" s="167"/>
      <c r="M34" s="399"/>
      <c r="O34" s="179"/>
      <c r="Q34" s="89"/>
    </row>
    <row r="35" spans="1:20" s="93" customFormat="1" ht="21.95" customHeight="1">
      <c r="A35" s="260"/>
      <c r="C35" s="278" t="s">
        <v>468</v>
      </c>
      <c r="D35" s="280"/>
      <c r="E35" s="523">
        <f>calcScenario3ResearchTimeReq</f>
        <v>0.25</v>
      </c>
      <c r="F35" s="383"/>
      <c r="G35" s="524">
        <f>calcScenario3Ph1TimeReq</f>
        <v>0.5</v>
      </c>
      <c r="H35" s="383"/>
      <c r="I35" s="524">
        <f>calcScenario3Ph2TimeReq</f>
        <v>0.77500000000000002</v>
      </c>
      <c r="J35" s="383"/>
      <c r="K35" s="524">
        <f>calcScenario3Ph3TimeReq</f>
        <v>2.8</v>
      </c>
      <c r="M35" s="399" t="s">
        <v>1456</v>
      </c>
      <c r="O35" s="545">
        <f>finScenario3LaunchDate</f>
        <v>2021.325</v>
      </c>
      <c r="Q35" s="89"/>
      <c r="R35" s="170"/>
    </row>
    <row r="36" spans="1:20" s="93" customFormat="1" ht="15" customHeight="1">
      <c r="A36" s="260"/>
      <c r="D36" s="177"/>
      <c r="E36" s="383"/>
      <c r="F36" s="383"/>
      <c r="G36" s="383"/>
      <c r="H36" s="383"/>
      <c r="I36" s="383"/>
      <c r="J36" s="383"/>
      <c r="K36" s="383"/>
      <c r="O36" s="546"/>
      <c r="Q36" s="89"/>
    </row>
    <row r="37" spans="1:20" s="93" customFormat="1" ht="21.95" customHeight="1">
      <c r="A37" s="260"/>
      <c r="C37" s="278" t="s">
        <v>566</v>
      </c>
      <c r="D37" s="280"/>
      <c r="E37" s="531">
        <f>calcScenario3ResearchRnDCost</f>
        <v>800000</v>
      </c>
      <c r="F37" s="383"/>
      <c r="G37" s="532">
        <f>calcScenario3Ph1RnDCost</f>
        <v>3300000</v>
      </c>
      <c r="H37" s="383"/>
      <c r="I37" s="532">
        <f>calcScenario3Ph2RnDCost</f>
        <v>13200000</v>
      </c>
      <c r="J37" s="383"/>
      <c r="K37" s="532">
        <f>calcScenario3Ph3RnDCost</f>
        <v>44000000</v>
      </c>
      <c r="M37" s="399" t="s">
        <v>1457</v>
      </c>
      <c r="O37" s="547">
        <f>calcScenario3TotRnDCost</f>
        <v>61300000</v>
      </c>
      <c r="Q37" s="89"/>
      <c r="R37" s="170"/>
    </row>
    <row r="38" spans="1:20" s="93" customFormat="1" ht="15" customHeight="1">
      <c r="A38" s="260"/>
      <c r="D38" s="177"/>
      <c r="E38" s="383"/>
      <c r="F38" s="383"/>
      <c r="G38" s="383"/>
      <c r="H38" s="383"/>
      <c r="I38" s="383"/>
      <c r="J38" s="383"/>
      <c r="K38" s="383"/>
      <c r="O38" s="548"/>
      <c r="Q38" s="89"/>
    </row>
    <row r="39" spans="1:20" s="93" customFormat="1" ht="21.95" customHeight="1">
      <c r="A39" s="260"/>
      <c r="C39" s="278" t="s">
        <v>567</v>
      </c>
      <c r="D39" s="280"/>
      <c r="E39" s="532">
        <f>calcScenario3ResearchFTECost</f>
        <v>80000</v>
      </c>
      <c r="F39" s="383"/>
      <c r="G39" s="532">
        <f>calcScenario3Ph1FTECost</f>
        <v>330000</v>
      </c>
      <c r="H39" s="383"/>
      <c r="I39" s="532">
        <f>calcScenario3Ph2FTECost</f>
        <v>1320000</v>
      </c>
      <c r="J39" s="383"/>
      <c r="K39" s="532">
        <f>calcScenario3Ph3FTECost</f>
        <v>4400000</v>
      </c>
      <c r="M39" s="399" t="s">
        <v>1458</v>
      </c>
      <c r="O39" s="547">
        <f>calcScenario3TotFTECost</f>
        <v>6130000</v>
      </c>
      <c r="Q39" s="89"/>
      <c r="R39" s="170"/>
    </row>
    <row r="40" spans="1:20" s="93" customFormat="1" ht="57.75" customHeight="1">
      <c r="A40" s="260" t="s">
        <v>469</v>
      </c>
      <c r="E40" s="241" t="s">
        <v>464</v>
      </c>
      <c r="F40" s="241"/>
      <c r="G40" s="241" t="s">
        <v>465</v>
      </c>
      <c r="H40" s="241"/>
      <c r="I40" s="241" t="s">
        <v>612</v>
      </c>
      <c r="J40" s="241"/>
      <c r="K40" s="241" t="s">
        <v>467</v>
      </c>
      <c r="Q40" s="89"/>
    </row>
    <row r="41" spans="1:20" s="93" customFormat="1" ht="15" customHeight="1">
      <c r="A41" s="260"/>
      <c r="Q41" s="89"/>
    </row>
    <row r="42" spans="1:20" s="165" customFormat="1" ht="43.5" customHeight="1">
      <c r="A42" s="260"/>
      <c r="C42" s="287" t="s">
        <v>610</v>
      </c>
      <c r="E42" s="195"/>
      <c r="G42" s="195"/>
      <c r="I42" s="195"/>
      <c r="K42" s="195"/>
      <c r="M42" s="195"/>
      <c r="O42" s="195"/>
      <c r="Q42" s="282"/>
      <c r="S42" s="165" t="s">
        <v>479</v>
      </c>
      <c r="T42" s="165">
        <v>100</v>
      </c>
    </row>
    <row r="43" spans="1:20" s="93" customFormat="1" ht="30.75" customHeight="1" thickBot="1">
      <c r="A43" s="260"/>
      <c r="C43" s="285" t="s">
        <v>568</v>
      </c>
      <c r="D43" s="286"/>
      <c r="E43" s="295" t="s">
        <v>470</v>
      </c>
      <c r="F43" s="292"/>
      <c r="G43" s="291" t="s">
        <v>471</v>
      </c>
      <c r="H43" s="292"/>
      <c r="I43" s="293" t="s">
        <v>472</v>
      </c>
      <c r="J43" s="292"/>
      <c r="K43" s="294" t="s">
        <v>473</v>
      </c>
      <c r="M43" s="167"/>
      <c r="N43" s="167"/>
      <c r="O43" s="167"/>
      <c r="Q43" s="89" t="s">
        <v>475</v>
      </c>
      <c r="S43" s="93" t="s">
        <v>480</v>
      </c>
      <c r="T43" s="171">
        <v>0.2</v>
      </c>
    </row>
    <row r="44" spans="1:20" s="93" customFormat="1" ht="15" customHeight="1">
      <c r="A44" s="260"/>
      <c r="M44" s="167"/>
      <c r="N44" s="167"/>
      <c r="O44" s="167"/>
      <c r="Q44" s="89"/>
      <c r="T44" s="171"/>
    </row>
    <row r="45" spans="1:20" s="93" customFormat="1" ht="21.95" customHeight="1">
      <c r="A45" s="260"/>
      <c r="C45" s="278" t="s">
        <v>519</v>
      </c>
      <c r="E45" s="176" t="b">
        <v>1</v>
      </c>
      <c r="G45" s="172" t="b">
        <v>0</v>
      </c>
      <c r="I45" s="174" t="b">
        <v>0</v>
      </c>
      <c r="K45" s="174" t="b">
        <v>0</v>
      </c>
      <c r="M45" s="175"/>
      <c r="N45" s="167"/>
      <c r="O45" s="172"/>
      <c r="Q45" s="270"/>
    </row>
    <row r="46" spans="1:20" s="93" customFormat="1" ht="15" customHeight="1" thickBot="1">
      <c r="A46" s="260"/>
      <c r="M46" s="175"/>
      <c r="N46" s="167"/>
      <c r="O46" s="167"/>
      <c r="Q46" s="89"/>
      <c r="S46" s="93" t="s">
        <v>481</v>
      </c>
      <c r="T46" s="171">
        <v>0.5</v>
      </c>
    </row>
    <row r="47" spans="1:20" s="93" customFormat="1" ht="30.75" customHeight="1" thickBot="1">
      <c r="A47" s="260"/>
      <c r="C47" s="288" t="s">
        <v>574</v>
      </c>
      <c r="E47" s="298">
        <v>1000</v>
      </c>
      <c r="F47" s="208"/>
      <c r="G47" s="301">
        <v>500</v>
      </c>
      <c r="H47" s="208"/>
      <c r="I47" s="303">
        <v>2000</v>
      </c>
      <c r="J47" s="208"/>
      <c r="K47" s="305">
        <v>3000</v>
      </c>
      <c r="M47" s="175"/>
      <c r="N47" s="176"/>
      <c r="O47" s="172"/>
      <c r="Q47" s="270"/>
    </row>
    <row r="48" spans="1:20" s="93" customFormat="1" ht="15" customHeight="1" thickBot="1">
      <c r="A48" s="260"/>
      <c r="M48" s="175"/>
      <c r="N48" s="167"/>
      <c r="O48" s="167"/>
      <c r="Q48" s="89"/>
      <c r="S48" s="93" t="s">
        <v>482</v>
      </c>
      <c r="T48" s="171">
        <v>0.75</v>
      </c>
    </row>
    <row r="49" spans="1:20" s="93" customFormat="1" ht="21.95" customHeight="1" thickBot="1">
      <c r="A49" s="260"/>
      <c r="C49" s="288" t="s">
        <v>474</v>
      </c>
      <c r="E49" s="299">
        <v>0.1</v>
      </c>
      <c r="G49" s="300">
        <v>0.1</v>
      </c>
      <c r="I49" s="302">
        <v>0.1</v>
      </c>
      <c r="K49" s="304">
        <v>0.1</v>
      </c>
      <c r="M49" s="175"/>
      <c r="N49" s="167"/>
      <c r="O49" s="172"/>
      <c r="Q49" s="270"/>
    </row>
    <row r="50" spans="1:20" s="194" customFormat="1" ht="15" customHeight="1">
      <c r="A50" s="261"/>
      <c r="M50" s="196"/>
      <c r="N50" s="196"/>
      <c r="O50" s="196"/>
      <c r="Q50" s="283"/>
    </row>
    <row r="51" spans="1:20" s="93" customFormat="1" ht="21.95" customHeight="1">
      <c r="A51" s="260"/>
      <c r="C51" s="288" t="s">
        <v>593</v>
      </c>
      <c r="E51" s="379">
        <f>calcScenario3Reg1Price</f>
        <v>183.6</v>
      </c>
      <c r="F51" s="208"/>
      <c r="G51" s="380">
        <f>calcScenario3Reg2Price</f>
        <v>0</v>
      </c>
      <c r="H51" s="208"/>
      <c r="I51" s="381">
        <f>calcScenario3Reg3Price</f>
        <v>0</v>
      </c>
      <c r="J51" s="208"/>
      <c r="K51" s="382">
        <f>calcScenario3Reg4Price</f>
        <v>0</v>
      </c>
      <c r="M51" s="175"/>
      <c r="N51" s="167"/>
      <c r="O51" s="172"/>
      <c r="Q51" s="270"/>
    </row>
    <row r="52" spans="1:20" s="194" customFormat="1" ht="15" customHeight="1">
      <c r="A52" s="261"/>
      <c r="M52" s="196"/>
      <c r="N52" s="196"/>
      <c r="O52" s="196"/>
      <c r="Q52" s="283"/>
    </row>
    <row r="53" spans="1:20" s="194" customFormat="1" ht="21.95" customHeight="1">
      <c r="A53" s="261"/>
      <c r="C53" s="288" t="s">
        <v>486</v>
      </c>
      <c r="E53" s="307">
        <f>calcScenario3Reg1SnM</f>
        <v>0.05</v>
      </c>
      <c r="F53" s="93"/>
      <c r="G53" s="306">
        <f>calcScenario3Reg2SnM</f>
        <v>0</v>
      </c>
      <c r="H53" s="93"/>
      <c r="I53" s="308">
        <f>calcScenario3Reg3SnM</f>
        <v>0</v>
      </c>
      <c r="J53" s="93"/>
      <c r="K53" s="309">
        <f>calcScenario3Reg4SnM</f>
        <v>0</v>
      </c>
      <c r="M53" s="196"/>
      <c r="N53" s="196"/>
      <c r="O53" s="196"/>
      <c r="Q53" s="283"/>
    </row>
    <row r="54" spans="1:20" s="93" customFormat="1" ht="31.5" customHeight="1">
      <c r="A54" s="260"/>
      <c r="M54" s="387"/>
      <c r="Q54" s="89"/>
      <c r="S54" s="93" t="s">
        <v>482</v>
      </c>
      <c r="T54" s="171">
        <v>0.75</v>
      </c>
    </row>
    <row r="55" spans="1:20" s="165" customFormat="1" ht="15" customHeight="1">
      <c r="A55" s="260"/>
      <c r="Q55" s="242"/>
      <c r="S55" s="165" t="s">
        <v>483</v>
      </c>
      <c r="T55" s="165">
        <v>16</v>
      </c>
    </row>
    <row r="56" spans="1:20" s="167" customFormat="1" ht="28.5" customHeight="1" thickBot="1">
      <c r="A56" s="260"/>
      <c r="C56" s="296" t="s">
        <v>569</v>
      </c>
      <c r="Q56" s="89" t="s">
        <v>475</v>
      </c>
    </row>
    <row r="57" spans="1:20" s="93" customFormat="1" ht="21.95" customHeight="1" thickBot="1">
      <c r="A57" s="260"/>
      <c r="C57" s="288" t="s">
        <v>1395</v>
      </c>
      <c r="E57" s="522">
        <f>finScenario3Yr1MS</f>
        <v>3.130495168499705E-2</v>
      </c>
      <c r="G57" s="278" t="s">
        <v>1175</v>
      </c>
      <c r="H57" s="278"/>
      <c r="I57" s="278"/>
      <c r="K57" s="273" t="s">
        <v>1177</v>
      </c>
      <c r="M57" s="533" t="s">
        <v>1459</v>
      </c>
      <c r="O57" s="543">
        <f>finScenario3Breakeven</f>
        <v>2031.325</v>
      </c>
      <c r="Q57" s="89"/>
    </row>
    <row r="58" spans="1:20" s="93" customFormat="1" ht="15" customHeight="1" thickBot="1">
      <c r="A58" s="260"/>
      <c r="C58" s="97"/>
      <c r="O58" s="182"/>
      <c r="Q58" s="89"/>
    </row>
    <row r="59" spans="1:20" s="93" customFormat="1" ht="21.95" customHeight="1" thickBot="1">
      <c r="A59" s="260"/>
      <c r="C59" s="288" t="s">
        <v>494</v>
      </c>
      <c r="E59" s="290">
        <f>calcScenario3AverageCompliance</f>
        <v>0.7</v>
      </c>
      <c r="G59" s="278" t="s">
        <v>492</v>
      </c>
      <c r="H59" s="278"/>
      <c r="I59" s="278"/>
      <c r="K59" s="276">
        <v>0</v>
      </c>
      <c r="M59" s="533" t="s">
        <v>615</v>
      </c>
      <c r="O59" s="549">
        <f>finScenario3ROI</f>
        <v>7.9444444373089534E-2</v>
      </c>
      <c r="Q59" s="89"/>
    </row>
    <row r="60" spans="1:20" s="93" customFormat="1" ht="15" customHeight="1" thickBot="1">
      <c r="A60" s="260"/>
      <c r="C60" s="97"/>
      <c r="K60" s="387"/>
      <c r="O60" s="399"/>
      <c r="Q60" s="89"/>
    </row>
    <row r="61" spans="1:20" s="93" customFormat="1" ht="21.95" customHeight="1" thickBot="1">
      <c r="A61" s="260"/>
      <c r="C61" s="288" t="s">
        <v>485</v>
      </c>
      <c r="E61" s="277">
        <f>calcScenario3AverageDiscount</f>
        <v>0.1</v>
      </c>
      <c r="G61" s="278" t="s">
        <v>521</v>
      </c>
      <c r="H61" s="278"/>
      <c r="I61" s="297"/>
      <c r="K61" s="276">
        <v>0.06</v>
      </c>
      <c r="M61" s="533" t="s">
        <v>1208</v>
      </c>
      <c r="O61" s="547">
        <f>finScenario3EPV</f>
        <v>-63487171.701017223</v>
      </c>
      <c r="Q61" s="89"/>
    </row>
    <row r="62" spans="1:20" s="93" customFormat="1" ht="15" customHeight="1" thickBot="1">
      <c r="A62" s="260"/>
      <c r="C62" s="97"/>
      <c r="O62" s="399"/>
      <c r="Q62" s="89"/>
    </row>
    <row r="63" spans="1:20" s="93" customFormat="1" ht="21.95" customHeight="1" thickBot="1">
      <c r="A63" s="260"/>
      <c r="C63" s="279" t="s">
        <v>558</v>
      </c>
      <c r="E63" s="289">
        <f>calcScenario3AverageCOGS</f>
        <v>73.44</v>
      </c>
      <c r="G63" s="278" t="s">
        <v>520</v>
      </c>
      <c r="H63" s="278"/>
      <c r="I63" s="297"/>
      <c r="K63" s="276">
        <v>0.12</v>
      </c>
      <c r="M63" s="533" t="s">
        <v>1209</v>
      </c>
      <c r="O63" s="547">
        <f>finScenario3NPV</f>
        <v>-54209876.689616203</v>
      </c>
      <c r="Q63" s="89"/>
    </row>
    <row r="64" spans="1:20" s="93" customFormat="1" ht="15" customHeight="1">
      <c r="A64" s="260"/>
      <c r="Q64" s="89"/>
    </row>
    <row r="65" spans="1:17" s="93" customFormat="1" ht="15" customHeight="1">
      <c r="A65" s="260"/>
      <c r="Q65" s="89"/>
    </row>
    <row r="66" spans="1:17" s="93" customFormat="1" ht="15" customHeight="1">
      <c r="A66" s="260"/>
      <c r="Q66" s="89"/>
    </row>
    <row r="67" spans="1:17" s="93" customFormat="1" ht="15" customHeight="1">
      <c r="A67" s="260"/>
      <c r="Q67" s="89"/>
    </row>
    <row r="68" spans="1:17" s="93" customFormat="1" ht="15" customHeight="1">
      <c r="A68" s="260"/>
      <c r="Q68" s="89"/>
    </row>
    <row r="69" spans="1:17" s="93" customFormat="1" ht="15" customHeight="1">
      <c r="A69" s="260"/>
      <c r="Q69" s="89"/>
    </row>
    <row r="70" spans="1:17" s="93" customFormat="1" ht="15" customHeight="1">
      <c r="A70" s="260"/>
      <c r="Q70" s="89"/>
    </row>
    <row r="71" spans="1:17" s="93" customFormat="1" ht="15" customHeight="1">
      <c r="A71" s="260"/>
      <c r="Q71" s="89"/>
    </row>
    <row r="72" spans="1:17" s="93" customFormat="1" ht="15" customHeight="1">
      <c r="A72" s="260"/>
      <c r="Q72" s="89"/>
    </row>
    <row r="73" spans="1:17" s="93" customFormat="1" ht="15" customHeight="1">
      <c r="A73" s="260"/>
      <c r="Q73" s="89"/>
    </row>
    <row r="74" spans="1:17" s="93" customFormat="1" ht="15" customHeight="1">
      <c r="A74" s="260"/>
      <c r="Q74" s="89"/>
    </row>
    <row r="75" spans="1:17" s="93" customFormat="1" ht="15" customHeight="1">
      <c r="A75" s="260"/>
      <c r="Q75" s="89"/>
    </row>
    <row r="76" spans="1:17" s="93" customFormat="1" ht="15" customHeight="1">
      <c r="A76" s="260"/>
      <c r="Q76" s="89"/>
    </row>
    <row r="77" spans="1:17" s="93" customFormat="1" ht="15" customHeight="1">
      <c r="A77" s="260"/>
      <c r="Q77" s="89"/>
    </row>
    <row r="78" spans="1:17" s="93" customFormat="1" ht="15" customHeight="1">
      <c r="A78" s="260"/>
      <c r="Q78" s="89"/>
    </row>
    <row r="79" spans="1:17" s="93" customFormat="1" ht="15" customHeight="1">
      <c r="A79" s="260"/>
      <c r="Q79" s="89"/>
    </row>
    <row r="80" spans="1:17" s="93" customFormat="1" ht="15" customHeight="1">
      <c r="A80" s="260"/>
      <c r="Q80" s="89"/>
    </row>
    <row r="81" spans="1:1" s="197" customFormat="1" ht="21.95" customHeight="1">
      <c r="A81" s="260"/>
    </row>
    <row r="82" spans="1:1" s="93" customFormat="1" ht="21.95" customHeight="1">
      <c r="A82" s="260"/>
    </row>
    <row r="83" spans="1:1" s="93" customFormat="1">
      <c r="A83" s="260"/>
    </row>
    <row r="84" spans="1:1" s="93" customFormat="1">
      <c r="A84" s="260"/>
    </row>
    <row r="85" spans="1:1" s="93" customFormat="1">
      <c r="A85" s="260"/>
    </row>
    <row r="86" spans="1:1" s="93" customFormat="1">
      <c r="A86" s="260"/>
    </row>
    <row r="87" spans="1:1" s="93" customFormat="1">
      <c r="A87" s="260"/>
    </row>
    <row r="88" spans="1:1" s="93" customFormat="1">
      <c r="A88" s="260"/>
    </row>
    <row r="89" spans="1:1" s="93" customFormat="1">
      <c r="A89" s="260"/>
    </row>
    <row r="90" spans="1:1" s="93" customFormat="1">
      <c r="A90" s="260"/>
    </row>
    <row r="91" spans="1:1" s="93" customFormat="1">
      <c r="A91" s="260"/>
    </row>
    <row r="92" spans="1:1" s="93" customFormat="1">
      <c r="A92" s="260"/>
    </row>
    <row r="93" spans="1:1" s="93" customFormat="1">
      <c r="A93" s="260"/>
    </row>
    <row r="94" spans="1:1" s="93" customFormat="1">
      <c r="A94" s="260"/>
    </row>
    <row r="95" spans="1:1" s="93" customFormat="1">
      <c r="A95" s="260"/>
    </row>
    <row r="96" spans="1:1" s="93" customFormat="1">
      <c r="A96" s="260"/>
    </row>
    <row r="97" spans="1:1" s="93" customFormat="1">
      <c r="A97" s="260"/>
    </row>
    <row r="98" spans="1:1" s="93" customFormat="1">
      <c r="A98" s="260"/>
    </row>
    <row r="99" spans="1:1" s="93" customFormat="1">
      <c r="A99" s="260"/>
    </row>
    <row r="100" spans="1:1" s="93" customFormat="1">
      <c r="A100" s="260"/>
    </row>
    <row r="101" spans="1:1" s="93" customFormat="1">
      <c r="A101" s="260"/>
    </row>
    <row r="102" spans="1:1" s="93" customFormat="1">
      <c r="A102" s="260"/>
    </row>
    <row r="103" spans="1:1" s="93" customFormat="1">
      <c r="A103" s="260"/>
    </row>
    <row r="104" spans="1:1" s="93" customFormat="1">
      <c r="A104" s="260"/>
    </row>
    <row r="105" spans="1:1" s="93" customFormat="1">
      <c r="A105" s="260"/>
    </row>
    <row r="106" spans="1:1" s="93" customFormat="1">
      <c r="A106" s="260"/>
    </row>
    <row r="107" spans="1:1" s="93" customFormat="1">
      <c r="A107" s="260"/>
    </row>
    <row r="108" spans="1:1" s="93" customFormat="1">
      <c r="A108" s="260"/>
    </row>
    <row r="109" spans="1:1" s="93" customFormat="1">
      <c r="A109" s="260"/>
    </row>
    <row r="110" spans="1:1" s="93" customFormat="1">
      <c r="A110" s="260"/>
    </row>
    <row r="111" spans="1:1" s="93" customFormat="1">
      <c r="A111" s="260"/>
    </row>
    <row r="112" spans="1:1" s="93" customFormat="1">
      <c r="A112" s="260"/>
    </row>
    <row r="113" spans="1:1" s="93" customFormat="1">
      <c r="A113" s="260"/>
    </row>
    <row r="114" spans="1:1" s="93" customFormat="1">
      <c r="A114" s="260"/>
    </row>
    <row r="115" spans="1:1" s="93" customFormat="1">
      <c r="A115" s="260"/>
    </row>
    <row r="116" spans="1:1" s="93" customFormat="1">
      <c r="A116" s="260"/>
    </row>
    <row r="117" spans="1:1" s="93" customFormat="1">
      <c r="A117" s="260"/>
    </row>
    <row r="118" spans="1:1" s="93" customFormat="1">
      <c r="A118" s="260"/>
    </row>
    <row r="119" spans="1:1" s="93" customFormat="1">
      <c r="A119" s="260"/>
    </row>
    <row r="120" spans="1:1" s="93" customFormat="1">
      <c r="A120" s="260"/>
    </row>
    <row r="121" spans="1:1" s="93" customFormat="1">
      <c r="A121" s="260"/>
    </row>
    <row r="122" spans="1:1" s="93" customFormat="1">
      <c r="A122" s="260"/>
    </row>
    <row r="123" spans="1:1" s="93" customFormat="1">
      <c r="A123" s="260"/>
    </row>
    <row r="124" spans="1:1" s="93" customFormat="1">
      <c r="A124" s="260"/>
    </row>
    <row r="125" spans="1:1" s="93" customFormat="1">
      <c r="A125" s="260"/>
    </row>
    <row r="126" spans="1:1" s="93" customFormat="1">
      <c r="A126" s="260"/>
    </row>
    <row r="127" spans="1:1" s="93" customFormat="1">
      <c r="A127" s="260"/>
    </row>
    <row r="128" spans="1:1" s="93" customFormat="1">
      <c r="A128" s="260"/>
    </row>
    <row r="129" spans="1:1" s="93" customFormat="1">
      <c r="A129" s="260"/>
    </row>
    <row r="130" spans="1:1" s="93" customFormat="1">
      <c r="A130" s="260"/>
    </row>
    <row r="131" spans="1:1" s="93" customFormat="1">
      <c r="A131" s="260"/>
    </row>
    <row r="132" spans="1:1" s="93" customFormat="1">
      <c r="A132" s="260"/>
    </row>
    <row r="133" spans="1:1" s="93" customFormat="1">
      <c r="A133" s="260"/>
    </row>
    <row r="134" spans="1:1" s="93" customFormat="1">
      <c r="A134" s="260"/>
    </row>
    <row r="135" spans="1:1" s="93" customFormat="1">
      <c r="A135" s="260"/>
    </row>
    <row r="136" spans="1:1" s="93" customFormat="1">
      <c r="A136" s="260"/>
    </row>
    <row r="137" spans="1:1" s="93" customFormat="1">
      <c r="A137" s="260"/>
    </row>
    <row r="138" spans="1:1" s="93" customFormat="1">
      <c r="A138" s="260"/>
    </row>
    <row r="139" spans="1:1" s="93" customFormat="1">
      <c r="A139" s="260"/>
    </row>
    <row r="140" spans="1:1" s="93" customFormat="1">
      <c r="A140" s="260"/>
    </row>
    <row r="141" spans="1:1" s="93" customFormat="1">
      <c r="A141" s="260"/>
    </row>
    <row r="142" spans="1:1" s="93" customFormat="1">
      <c r="A142" s="260"/>
    </row>
    <row r="143" spans="1:1" s="93" customFormat="1">
      <c r="A143" s="260"/>
    </row>
    <row r="144" spans="1:1" s="93" customFormat="1">
      <c r="A144" s="260"/>
    </row>
    <row r="145" spans="1:1" s="93" customFormat="1">
      <c r="A145" s="260"/>
    </row>
    <row r="146" spans="1:1" s="93" customFormat="1">
      <c r="A146" s="260"/>
    </row>
    <row r="147" spans="1:1" s="93" customFormat="1">
      <c r="A147" s="260"/>
    </row>
    <row r="148" spans="1:1" s="93" customFormat="1">
      <c r="A148" s="260"/>
    </row>
    <row r="149" spans="1:1" s="93" customFormat="1">
      <c r="A149" s="260"/>
    </row>
  </sheetData>
  <sheetProtection selectLockedCells="1"/>
  <dataValidations count="15">
    <dataValidation type="list" allowBlank="1" showInputMessage="1" showErrorMessage="1" sqref="K57">
      <formula1>datalistFormulation</formula1>
    </dataValidation>
    <dataValidation type="list" allowBlank="1" showInputMessage="1" showErrorMessage="1" sqref="E9">
      <formula1>datalistBiomarkers</formula1>
    </dataValidation>
    <dataValidation type="list" allowBlank="1" showInputMessage="1" showErrorMessage="1" sqref="K15">
      <formula1>datalistDurationPh3</formula1>
    </dataValidation>
    <dataValidation type="list" allowBlank="1" showInputMessage="1" showErrorMessage="1" sqref="I15">
      <formula1>datalistDurationPh2</formula1>
    </dataValidation>
    <dataValidation type="list" allowBlank="1" showInputMessage="1" showErrorMessage="1" sqref="G15">
      <formula1>datalistDurationPh1</formula1>
    </dataValidation>
    <dataValidation type="list" allowBlank="1" showInputMessage="1" showErrorMessage="1" sqref="K13">
      <formula1>datalistSizePh3</formula1>
    </dataValidation>
    <dataValidation type="list" allowBlank="1" showInputMessage="1" showErrorMessage="1" sqref="I13">
      <formula1>datalistSizePh2</formula1>
    </dataValidation>
    <dataValidation type="list" allowBlank="1" showInputMessage="1" showErrorMessage="1" sqref="G13">
      <formula1>datalistSizePh1</formula1>
    </dataValidation>
    <dataValidation type="list" allowBlank="1" showInputMessage="1" showErrorMessage="1" sqref="E11">
      <formula1>datalistAdmin</formula1>
    </dataValidation>
    <dataValidation type="list" allowBlank="1" showInputMessage="1" showErrorMessage="1" sqref="I17 K17">
      <formula1>datalistGlobalTrials</formula1>
    </dataValidation>
    <dataValidation type="list" allowBlank="1" showInputMessage="1" showErrorMessage="1" sqref="K29">
      <formula1>datalistComparator</formula1>
    </dataValidation>
    <dataValidation type="list" allowBlank="1" showInputMessage="1" showErrorMessage="1" sqref="K25 K27">
      <formula1>datalist123</formula1>
    </dataValidation>
    <dataValidation type="list" allowBlank="1" showInputMessage="1" showErrorMessage="1" sqref="I19">
      <formula1>datalistYesNo</formula1>
    </dataValidation>
    <dataValidation type="list" allowBlank="1" showInputMessage="1" showErrorMessage="1" sqref="I23">
      <formula1>datalistIndication</formula1>
    </dataValidation>
    <dataValidation type="list" allowBlank="1" showInputMessage="1" showErrorMessage="1" sqref="I21">
      <formula1>datalistLMH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Spinner 1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Spinner 2">
              <controlPr defaultSize="0" autoPict="0">
                <anchor moveWithCells="1" sizeWithCells="1">
                  <from>
                    <xdr:col>10</xdr:col>
                    <xdr:colOff>790575</xdr:colOff>
                    <xdr:row>34</xdr:row>
                    <xdr:rowOff>0</xdr:rowOff>
                  </from>
                  <to>
                    <xdr:col>10</xdr:col>
                    <xdr:colOff>990600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Spinner 3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7" name="Spinner 4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8" name="Spinner 5">
              <controlPr defaultSize="0" autoPict="0">
                <anchor moveWithCells="1" sizeWithCells="1">
                  <from>
                    <xdr:col>4</xdr:col>
                    <xdr:colOff>781050</xdr:colOff>
                    <xdr:row>36</xdr:row>
                    <xdr:rowOff>19050</xdr:rowOff>
                  </from>
                  <to>
                    <xdr:col>4</xdr:col>
                    <xdr:colOff>981075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9" name="Spinner 6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9525</xdr:rowOff>
                  </from>
                  <to>
                    <xdr:col>8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10" name="Spinner 7">
              <controlPr defaultSize="0" autoPict="0">
                <anchor moveWithCells="1" sizeWithCells="1">
                  <from>
                    <xdr:col>10</xdr:col>
                    <xdr:colOff>800100</xdr:colOff>
                    <xdr:row>36</xdr:row>
                    <xdr:rowOff>9525</xdr:rowOff>
                  </from>
                  <to>
                    <xdr:col>10</xdr:col>
                    <xdr:colOff>1000125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1" name="Spinner 8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981075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2" name="Spinner 9">
              <controlPr defaultSize="0" autoPict="0">
                <anchor moveWithCells="1" sizeWithCells="1">
                  <from>
                    <xdr:col>6</xdr:col>
                    <xdr:colOff>790575</xdr:colOff>
                    <xdr:row>38</xdr:row>
                    <xdr:rowOff>0</xdr:rowOff>
                  </from>
                  <to>
                    <xdr:col>6</xdr:col>
                    <xdr:colOff>1000125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3" name="Spinner 10">
              <controlPr defaultSize="0" autoPict="0">
                <anchor moveWithCells="1" sizeWithCells="1">
                  <from>
                    <xdr:col>4</xdr:col>
                    <xdr:colOff>790575</xdr:colOff>
                    <xdr:row>38</xdr:row>
                    <xdr:rowOff>0</xdr:rowOff>
                  </from>
                  <to>
                    <xdr:col>4</xdr:col>
                    <xdr:colOff>990600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4" name="Spinner 11">
              <controlPr defaultSize="0" autoPict="0">
                <anchor moveWithCells="1" sizeWithCells="1">
                  <from>
                    <xdr:col>6</xdr:col>
                    <xdr:colOff>790575</xdr:colOff>
                    <xdr:row>36</xdr:row>
                    <xdr:rowOff>9525</xdr:rowOff>
                  </from>
                  <to>
                    <xdr:col>6</xdr:col>
                    <xdr:colOff>990600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5" name="Spinner 12">
              <controlPr defaultSize="0" autoPict="0">
                <anchor moveWithCells="1" sizeWithCells="1">
                  <from>
                    <xdr:col>10</xdr:col>
                    <xdr:colOff>800100</xdr:colOff>
                    <xdr:row>38</xdr:row>
                    <xdr:rowOff>0</xdr:rowOff>
                  </from>
                  <to>
                    <xdr:col>10</xdr:col>
                    <xdr:colOff>1000125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6" name="Spinner 13">
              <controlPr defaultSize="0" autoPict="0">
                <anchor moveWithCells="1" sizeWithCells="1">
                  <from>
                    <xdr:col>4</xdr:col>
                    <xdr:colOff>771525</xdr:colOff>
                    <xdr:row>32</xdr:row>
                    <xdr:rowOff>0</xdr:rowOff>
                  </from>
                  <to>
                    <xdr:col>4</xdr:col>
                    <xdr:colOff>971550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7" name="Spinner 14">
              <controlPr defaultSize="0" autoPict="0">
                <anchor moveWithCells="1" sizeWithCells="1">
                  <from>
                    <xdr:col>6</xdr:col>
                    <xdr:colOff>781050</xdr:colOff>
                    <xdr:row>32</xdr:row>
                    <xdr:rowOff>0</xdr:rowOff>
                  </from>
                  <to>
                    <xdr:col>6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8" name="Spinner 15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9" name="Spinner 16">
              <controlPr defaultSize="0" autoPict="0">
                <anchor moveWithCells="1" sizeWithCells="1">
                  <from>
                    <xdr:col>8</xdr:col>
                    <xdr:colOff>790575</xdr:colOff>
                    <xdr:row>32</xdr:row>
                    <xdr:rowOff>0</xdr:rowOff>
                  </from>
                  <to>
                    <xdr:col>8</xdr:col>
                    <xdr:colOff>1000125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20" name="Spinner 17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1" name="Spinner 18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2" name="Spinner 19">
              <controlPr defaultSize="0" autoPict="0">
                <anchor moveWithCells="1" sizeWithCells="1">
                  <from>
                    <xdr:col>4</xdr:col>
                    <xdr:colOff>857250</xdr:colOff>
                    <xdr:row>58</xdr:row>
                    <xdr:rowOff>9525</xdr:rowOff>
                  </from>
                  <to>
                    <xdr:col>5</xdr:col>
                    <xdr:colOff>38100</xdr:colOff>
                    <xdr:row>59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3" name="Check Box 20">
              <controlPr defaultSize="0" autoFill="0" autoLine="0" autoPict="0">
                <anchor moveWithCells="1">
                  <from>
                    <xdr:col>4</xdr:col>
                    <xdr:colOff>171450</xdr:colOff>
                    <xdr:row>43</xdr:row>
                    <xdr:rowOff>28575</xdr:rowOff>
                  </from>
                  <to>
                    <xdr:col>4</xdr:col>
                    <xdr:colOff>504825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4" name="Check Box 21">
              <controlPr defaultSize="0" autoFill="0" autoLine="0" autoPict="0">
                <anchor moveWithCells="1">
                  <from>
                    <xdr:col>6</xdr:col>
                    <xdr:colOff>66675</xdr:colOff>
                    <xdr:row>43</xdr:row>
                    <xdr:rowOff>28575</xdr:rowOff>
                  </from>
                  <to>
                    <xdr:col>6</xdr:col>
                    <xdr:colOff>400050</xdr:colOff>
                    <xdr:row>44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5" name="Check Box 22">
              <controlPr defaultSize="0" autoFill="0" autoLine="0" autoPict="0">
                <anchor moveWithCells="1">
                  <from>
                    <xdr:col>8</xdr:col>
                    <xdr:colOff>133350</xdr:colOff>
                    <xdr:row>43</xdr:row>
                    <xdr:rowOff>19050</xdr:rowOff>
                  </from>
                  <to>
                    <xdr:col>8</xdr:col>
                    <xdr:colOff>466725</xdr:colOff>
                    <xdr:row>44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6" name="Check Box 23">
              <controlPr defaultSize="0" autoFill="0" autoLine="0" autoPict="0">
                <anchor moveWithCells="1">
                  <from>
                    <xdr:col>10</xdr:col>
                    <xdr:colOff>66675</xdr:colOff>
                    <xdr:row>43</xdr:row>
                    <xdr:rowOff>28575</xdr:rowOff>
                  </from>
                  <to>
                    <xdr:col>10</xdr:col>
                    <xdr:colOff>400050</xdr:colOff>
                    <xdr:row>44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7" name="Spinner 24">
              <controlPr defaultSize="0" autoPict="0">
                <anchor moveWithCells="1" sizeWithCells="1">
                  <from>
                    <xdr:col>4</xdr:col>
                    <xdr:colOff>790575</xdr:colOff>
                    <xdr:row>52</xdr:row>
                    <xdr:rowOff>0</xdr:rowOff>
                  </from>
                  <to>
                    <xdr:col>4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8" name="Spinner 25">
              <controlPr defaultSize="0" autoPict="0">
                <anchor moveWithCells="1" sizeWithCells="1">
                  <from>
                    <xdr:col>6</xdr:col>
                    <xdr:colOff>790575</xdr:colOff>
                    <xdr:row>52</xdr:row>
                    <xdr:rowOff>0</xdr:rowOff>
                  </from>
                  <to>
                    <xdr:col>6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9" name="Spinner 26">
              <controlPr defaultSize="0" autoPict="0">
                <anchor moveWithCells="1" sizeWithCells="1">
                  <from>
                    <xdr:col>8</xdr:col>
                    <xdr:colOff>790575</xdr:colOff>
                    <xdr:row>52</xdr:row>
                    <xdr:rowOff>0</xdr:rowOff>
                  </from>
                  <to>
                    <xdr:col>8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30" name="Spinner 27">
              <controlPr defaultSize="0" autoPict="0">
                <anchor moveWithCells="1" sizeWithCells="1">
                  <from>
                    <xdr:col>10</xdr:col>
                    <xdr:colOff>790575</xdr:colOff>
                    <xdr:row>52</xdr:row>
                    <xdr:rowOff>0</xdr:rowOff>
                  </from>
                  <to>
                    <xdr:col>10</xdr:col>
                    <xdr:colOff>990600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1" name="Spinner 28">
              <controlPr defaultSize="0" autoPict="0">
                <anchor moveWithCells="1" sizeWithCells="1">
                  <from>
                    <xdr:col>4</xdr:col>
                    <xdr:colOff>857250</xdr:colOff>
                    <xdr:row>56</xdr:row>
                    <xdr:rowOff>9525</xdr:rowOff>
                  </from>
                  <to>
                    <xdr:col>5</xdr:col>
                    <xdr:colOff>38100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2" name="Spinner 29">
              <controlPr defaultSize="0" autoPict="0">
                <anchor moveWithCells="1" sizeWithCells="1">
                  <from>
                    <xdr:col>4</xdr:col>
                    <xdr:colOff>857250</xdr:colOff>
                    <xdr:row>60</xdr:row>
                    <xdr:rowOff>9525</xdr:rowOff>
                  </from>
                  <to>
                    <xdr:col>5</xdr:col>
                    <xdr:colOff>38100</xdr:colOff>
                    <xdr:row>61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3" name="Spinner 30">
              <controlPr defaultSize="0" autoPict="0">
                <anchor moveWithCells="1" sizeWithCells="1">
                  <from>
                    <xdr:col>4</xdr:col>
                    <xdr:colOff>857250</xdr:colOff>
                    <xdr:row>62</xdr:row>
                    <xdr:rowOff>9525</xdr:rowOff>
                  </from>
                  <to>
                    <xdr:col>5</xdr:col>
                    <xdr:colOff>38100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4" name="Spinner 31">
              <controlPr defaultSize="0" autoPict="0">
                <anchor moveWithCells="1" sizeWithCells="1">
                  <from>
                    <xdr:col>4</xdr:col>
                    <xdr:colOff>790575</xdr:colOff>
                    <xdr:row>50</xdr:row>
                    <xdr:rowOff>0</xdr:rowOff>
                  </from>
                  <to>
                    <xdr:col>4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5" name="Spinner 32">
              <controlPr defaultSize="0" autoPict="0">
                <anchor moveWithCells="1" sizeWithCells="1">
                  <from>
                    <xdr:col>6</xdr:col>
                    <xdr:colOff>790575</xdr:colOff>
                    <xdr:row>50</xdr:row>
                    <xdr:rowOff>0</xdr:rowOff>
                  </from>
                  <to>
                    <xdr:col>6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6" name="Spinner 33">
              <controlPr defaultSize="0" autoPict="0">
                <anchor moveWithCells="1" sizeWithCells="1">
                  <from>
                    <xdr:col>8</xdr:col>
                    <xdr:colOff>790575</xdr:colOff>
                    <xdr:row>50</xdr:row>
                    <xdr:rowOff>0</xdr:rowOff>
                  </from>
                  <to>
                    <xdr:col>8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7" name="Spinner 34">
              <controlPr defaultSize="0" autoPict="0">
                <anchor moveWithCells="1" sizeWithCells="1">
                  <from>
                    <xdr:col>10</xdr:col>
                    <xdr:colOff>790575</xdr:colOff>
                    <xdr:row>50</xdr:row>
                    <xdr:rowOff>0</xdr:rowOff>
                  </from>
                  <to>
                    <xdr:col>10</xdr:col>
                    <xdr:colOff>990600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3" r:id="rId38" name="Spinner 35">
              <controlPr defaultSize="0" autoPict="0">
                <anchor moveWithCells="1" sizeWithCells="1">
                  <from>
                    <xdr:col>8</xdr:col>
                    <xdr:colOff>781050</xdr:colOff>
                    <xdr:row>32</xdr:row>
                    <xdr:rowOff>0</xdr:rowOff>
                  </from>
                  <to>
                    <xdr:col>8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4" r:id="rId39" name="Spinner 36">
              <controlPr defaultSize="0" autoPict="0">
                <anchor moveWithCells="1" sizeWithCells="1">
                  <from>
                    <xdr:col>10</xdr:col>
                    <xdr:colOff>781050</xdr:colOff>
                    <xdr:row>32</xdr:row>
                    <xdr:rowOff>0</xdr:rowOff>
                  </from>
                  <to>
                    <xdr:col>10</xdr:col>
                    <xdr:colOff>990600</xdr:colOff>
                    <xdr:row>32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5" r:id="rId40" name="Spinner 37">
              <controlPr defaultSize="0" autoPict="0">
                <anchor moveWithCells="1" sizeWithCells="1">
                  <from>
                    <xdr:col>4</xdr:col>
                    <xdr:colOff>771525</xdr:colOff>
                    <xdr:row>34</xdr:row>
                    <xdr:rowOff>0</xdr:rowOff>
                  </from>
                  <to>
                    <xdr:col>4</xdr:col>
                    <xdr:colOff>971550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6" r:id="rId41" name="Spinner 38">
              <controlPr defaultSize="0" autoPict="0">
                <anchor moveWithCells="1" sizeWithCells="1">
                  <from>
                    <xdr:col>6</xdr:col>
                    <xdr:colOff>781050</xdr:colOff>
                    <xdr:row>34</xdr:row>
                    <xdr:rowOff>0</xdr:rowOff>
                  </from>
                  <to>
                    <xdr:col>6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7" r:id="rId42" name="Spinner 39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8" r:id="rId43" name="Spinner 40">
              <controlPr defaultSize="0" autoPict="0">
                <anchor moveWithCells="1" sizeWithCells="1">
                  <from>
                    <xdr:col>8</xdr:col>
                    <xdr:colOff>790575</xdr:colOff>
                    <xdr:row>34</xdr:row>
                    <xdr:rowOff>0</xdr:rowOff>
                  </from>
                  <to>
                    <xdr:col>8</xdr:col>
                    <xdr:colOff>1000125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9" r:id="rId44" name="Spinner 41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0" r:id="rId45" name="Spinner 42">
              <controlPr defaultSize="0" autoPict="0">
                <anchor moveWithCells="1" sizeWithCells="1">
                  <from>
                    <xdr:col>8</xdr:col>
                    <xdr:colOff>781050</xdr:colOff>
                    <xdr:row>34</xdr:row>
                    <xdr:rowOff>0</xdr:rowOff>
                  </from>
                  <to>
                    <xdr:col>8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1" r:id="rId46" name="Spinner 43">
              <controlPr defaultSize="0" autoPict="0">
                <anchor moveWithCells="1" sizeWithCells="1">
                  <from>
                    <xdr:col>10</xdr:col>
                    <xdr:colOff>781050</xdr:colOff>
                    <xdr:row>34</xdr:row>
                    <xdr:rowOff>0</xdr:rowOff>
                  </from>
                  <to>
                    <xdr:col>10</xdr:col>
                    <xdr:colOff>990600</xdr:colOff>
                    <xdr:row>34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2" r:id="rId47" name="Spinner 44">
              <controlPr defaultSize="0" autoPict="0">
                <anchor moveWithCells="1" sizeWithCells="1">
                  <from>
                    <xdr:col>4</xdr:col>
                    <xdr:colOff>771525</xdr:colOff>
                    <xdr:row>36</xdr:row>
                    <xdr:rowOff>0</xdr:rowOff>
                  </from>
                  <to>
                    <xdr:col>4</xdr:col>
                    <xdr:colOff>971550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3" r:id="rId48" name="Spinner 45">
              <controlPr defaultSize="0" autoPict="0">
                <anchor moveWithCells="1" sizeWithCells="1">
                  <from>
                    <xdr:col>6</xdr:col>
                    <xdr:colOff>781050</xdr:colOff>
                    <xdr:row>36</xdr:row>
                    <xdr:rowOff>0</xdr:rowOff>
                  </from>
                  <to>
                    <xdr:col>6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4" r:id="rId49" name="Spinner 46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5" r:id="rId50" name="Spinner 47">
              <controlPr defaultSize="0" autoPict="0">
                <anchor moveWithCells="1" sizeWithCells="1">
                  <from>
                    <xdr:col>8</xdr:col>
                    <xdr:colOff>790575</xdr:colOff>
                    <xdr:row>36</xdr:row>
                    <xdr:rowOff>0</xdr:rowOff>
                  </from>
                  <to>
                    <xdr:col>8</xdr:col>
                    <xdr:colOff>1000125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6" r:id="rId51" name="Spinner 48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7" r:id="rId52" name="Spinner 49">
              <controlPr defaultSize="0" autoPict="0">
                <anchor moveWithCells="1" sizeWithCells="1">
                  <from>
                    <xdr:col>8</xdr:col>
                    <xdr:colOff>781050</xdr:colOff>
                    <xdr:row>36</xdr:row>
                    <xdr:rowOff>0</xdr:rowOff>
                  </from>
                  <to>
                    <xdr:col>8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8" r:id="rId53" name="Spinner 50">
              <controlPr defaultSize="0" autoPict="0">
                <anchor moveWithCells="1" sizeWithCells="1">
                  <from>
                    <xdr:col>10</xdr:col>
                    <xdr:colOff>781050</xdr:colOff>
                    <xdr:row>36</xdr:row>
                    <xdr:rowOff>0</xdr:rowOff>
                  </from>
                  <to>
                    <xdr:col>10</xdr:col>
                    <xdr:colOff>990600</xdr:colOff>
                    <xdr:row>36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79" r:id="rId54" name="Spinner 51">
              <controlPr defaultSize="0" autoPict="0">
                <anchor moveWithCells="1" sizeWithCells="1">
                  <from>
                    <xdr:col>4</xdr:col>
                    <xdr:colOff>771525</xdr:colOff>
                    <xdr:row>38</xdr:row>
                    <xdr:rowOff>0</xdr:rowOff>
                  </from>
                  <to>
                    <xdr:col>4</xdr:col>
                    <xdr:colOff>971550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0" r:id="rId55" name="Spinner 52">
              <controlPr defaultSize="0" autoPict="0">
                <anchor moveWithCells="1" sizeWithCells="1">
                  <from>
                    <xdr:col>6</xdr:col>
                    <xdr:colOff>781050</xdr:colOff>
                    <xdr:row>38</xdr:row>
                    <xdr:rowOff>0</xdr:rowOff>
                  </from>
                  <to>
                    <xdr:col>6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1" r:id="rId56" name="Spinner 53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2" r:id="rId57" name="Spinner 54">
              <controlPr defaultSize="0" autoPict="0">
                <anchor moveWithCells="1" sizeWithCells="1">
                  <from>
                    <xdr:col>8</xdr:col>
                    <xdr:colOff>790575</xdr:colOff>
                    <xdr:row>38</xdr:row>
                    <xdr:rowOff>0</xdr:rowOff>
                  </from>
                  <to>
                    <xdr:col>8</xdr:col>
                    <xdr:colOff>1000125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3" r:id="rId58" name="Spinner 55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4" r:id="rId59" name="Spinner 56">
              <controlPr defaultSize="0" autoPict="0">
                <anchor moveWithCells="1" sizeWithCells="1">
                  <from>
                    <xdr:col>8</xdr:col>
                    <xdr:colOff>781050</xdr:colOff>
                    <xdr:row>38</xdr:row>
                    <xdr:rowOff>0</xdr:rowOff>
                  </from>
                  <to>
                    <xdr:col>8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85" r:id="rId60" name="Spinner 57">
              <controlPr defaultSize="0" autoPict="0">
                <anchor moveWithCells="1" sizeWithCells="1">
                  <from>
                    <xdr:col>10</xdr:col>
                    <xdr:colOff>781050</xdr:colOff>
                    <xdr:row>38</xdr:row>
                    <xdr:rowOff>0</xdr:rowOff>
                  </from>
                  <to>
                    <xdr:col>10</xdr:col>
                    <xdr:colOff>990600</xdr:colOff>
                    <xdr:row>38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412" r:id="rId61" name="Spinner 84">
              <controlPr defaultSize="0" autoPict="0">
                <anchor moveWithCells="1" sizeWithCells="1">
                  <from>
                    <xdr:col>4</xdr:col>
                    <xdr:colOff>857250</xdr:colOff>
                    <xdr:row>56</xdr:row>
                    <xdr:rowOff>9525</xdr:rowOff>
                  </from>
                  <to>
                    <xdr:col>5</xdr:col>
                    <xdr:colOff>38100</xdr:colOff>
                    <xdr:row>57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4296D0BF-71DF-46B1-8427-13F80ADFCBEE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E33 E37</xm:sqref>
        </x14:conditionalFormatting>
        <x14:conditionalFormatting xmlns:xm="http://schemas.microsoft.com/office/excel/2006/main">
          <x14:cfRule type="expression" priority="11" id="{5DEF9CD8-73AA-41D4-9406-F81D831F4FEC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E35</xm:sqref>
        </x14:conditionalFormatting>
        <x14:conditionalFormatting xmlns:xm="http://schemas.microsoft.com/office/excel/2006/main">
          <x14:cfRule type="expression" priority="10" id="{AF1EDBA7-B771-4156-A2FD-40E120D1BB0B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G33 G37</xm:sqref>
        </x14:conditionalFormatting>
        <x14:conditionalFormatting xmlns:xm="http://schemas.microsoft.com/office/excel/2006/main">
          <x14:cfRule type="expression" priority="9" id="{E9E9BAF8-E6F6-4B51-B92A-36ED73E27D28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G35</xm:sqref>
        </x14:conditionalFormatting>
        <x14:conditionalFormatting xmlns:xm="http://schemas.microsoft.com/office/excel/2006/main">
          <x14:cfRule type="expression" priority="8" id="{DC050B58-3375-4414-81A4-9BCC9DD0ADFF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K33 K37</xm:sqref>
        </x14:conditionalFormatting>
        <x14:conditionalFormatting xmlns:xm="http://schemas.microsoft.com/office/excel/2006/main">
          <x14:cfRule type="expression" priority="7" id="{82C52A0B-807D-4ABB-89A2-FFBFF7333F85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I35 I37</xm:sqref>
        </x14:conditionalFormatting>
        <x14:conditionalFormatting xmlns:xm="http://schemas.microsoft.com/office/excel/2006/main">
          <x14:cfRule type="expression" priority="6" id="{A1C38CCF-846F-4951-BE3E-C3EACC169825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K35</xm:sqref>
        </x14:conditionalFormatting>
        <x14:conditionalFormatting xmlns:xm="http://schemas.microsoft.com/office/excel/2006/main">
          <x14:cfRule type="expression" priority="5" id="{B92E81DB-01D9-4D08-B14D-91E2F174DC01}">
            <xm:f>Calc!$E$3&gt;0</xm:f>
            <x14:dxf>
              <fill>
                <patternFill>
                  <bgColor theme="0" tint="-0.499984740745262"/>
                </patternFill>
              </fill>
            </x14:dxf>
          </x14:cfRule>
          <xm:sqref>E39</xm:sqref>
        </x14:conditionalFormatting>
        <x14:conditionalFormatting xmlns:xm="http://schemas.microsoft.com/office/excel/2006/main">
          <x14:cfRule type="expression" priority="4" id="{9BA7464F-6312-487E-8954-4FD29EEBE7F8}">
            <xm:f>Calc!$E$3&gt;1</xm:f>
            <x14:dxf>
              <fill>
                <patternFill>
                  <bgColor theme="0" tint="-0.499984740745262"/>
                </patternFill>
              </fill>
            </x14:dxf>
          </x14:cfRule>
          <xm:sqref>G39</xm:sqref>
        </x14:conditionalFormatting>
        <x14:conditionalFormatting xmlns:xm="http://schemas.microsoft.com/office/excel/2006/main">
          <x14:cfRule type="expression" priority="3" id="{7D5FAFA6-9585-41ED-8A7B-6922C77F2F45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I39</xm:sqref>
        </x14:conditionalFormatting>
        <x14:conditionalFormatting xmlns:xm="http://schemas.microsoft.com/office/excel/2006/main">
          <x14:cfRule type="expression" priority="2" id="{7D0F5930-3F4C-4487-BD0E-75F5133141AE}">
            <xm:f>Calc!$E$3&gt;3</xm:f>
            <x14:dxf>
              <fill>
                <patternFill>
                  <bgColor theme="0" tint="-0.499984740745262"/>
                </patternFill>
              </fill>
            </x14:dxf>
          </x14:cfRule>
          <xm:sqref>K39</xm:sqref>
        </x14:conditionalFormatting>
        <x14:conditionalFormatting xmlns:xm="http://schemas.microsoft.com/office/excel/2006/main">
          <x14:cfRule type="expression" priority="1" id="{7ABBBCD3-3C38-4D00-8CE0-8946672CDFD8}">
            <xm:f>Calc!$E$3&gt;2</xm:f>
            <x14:dxf>
              <fill>
                <patternFill>
                  <bgColor theme="0" tint="-0.499984740745262"/>
                </patternFill>
              </fill>
            </x14:dxf>
          </x14:cfRule>
          <xm:sqref>I33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4"/>
  </sheetPr>
  <dimension ref="A1:V128"/>
  <sheetViews>
    <sheetView zoomScale="80" zoomScaleNormal="80" workbookViewId="0">
      <selection activeCell="S9" sqref="S9"/>
    </sheetView>
  </sheetViews>
  <sheetFormatPr defaultColWidth="8.796875" defaultRowHeight="15"/>
  <cols>
    <col min="1" max="2" width="1.69921875" style="90" customWidth="1"/>
    <col min="3" max="3" width="20.3984375" style="90" customWidth="1"/>
    <col min="4" max="4" width="5" style="90" customWidth="1"/>
    <col min="5" max="5" width="9.09765625" style="90" customWidth="1"/>
    <col min="6" max="6" width="9.69921875" style="90" customWidth="1"/>
    <col min="7" max="15" width="6.5" style="90" customWidth="1"/>
    <col min="16" max="16" width="2.796875" style="90" customWidth="1"/>
    <col min="17" max="17" width="10.796875" style="90" customWidth="1"/>
    <col min="18" max="18" width="2.796875" style="90" customWidth="1"/>
    <col min="19" max="19" width="10.796875" style="90" customWidth="1"/>
    <col min="20" max="20" width="2.796875" style="90" customWidth="1"/>
    <col min="21" max="21" width="20.69921875" style="90" customWidth="1"/>
    <col min="22" max="16384" width="8.796875" style="90"/>
  </cols>
  <sheetData>
    <row r="1" spans="1:22" s="89" customFormat="1" ht="6" customHeight="1">
      <c r="C1" s="178"/>
    </row>
    <row r="2" spans="1:22" s="92" customFormat="1" ht="27.95" customHeight="1">
      <c r="C2" s="94" t="s">
        <v>570</v>
      </c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/>
      <c r="P2" s="173"/>
      <c r="Q2" s="173" t="s">
        <v>508</v>
      </c>
      <c r="R2" s="173"/>
      <c r="S2" s="173"/>
      <c r="T2" s="173"/>
    </row>
    <row r="3" spans="1:22" s="93" customFormat="1" ht="20.100000000000001" customHeight="1">
      <c r="N3" s="182"/>
      <c r="O3" s="319"/>
      <c r="P3" s="401"/>
      <c r="Q3" s="401"/>
      <c r="R3" s="401"/>
      <c r="S3" s="401"/>
    </row>
    <row r="4" spans="1:22" s="93" customFormat="1" ht="15" customHeight="1">
      <c r="A4" s="167"/>
      <c r="B4" s="167"/>
      <c r="C4" s="411" t="s">
        <v>1200</v>
      </c>
      <c r="D4" s="417" t="str">
        <f>tlInputPlanProjectName</f>
        <v>-</v>
      </c>
      <c r="F4" s="167"/>
      <c r="G4" s="414" t="s">
        <v>598</v>
      </c>
      <c r="J4" s="417" t="str">
        <f>tlInputPlanDiseaseArea</f>
        <v>FOTE</v>
      </c>
      <c r="L4" s="414" t="s">
        <v>477</v>
      </c>
      <c r="N4" s="167"/>
      <c r="P4" s="417" t="str">
        <f>tlInputPlanFormulation</f>
        <v>-</v>
      </c>
      <c r="Q4" s="407"/>
      <c r="R4" s="167"/>
      <c r="U4" s="167"/>
      <c r="V4" s="167"/>
    </row>
    <row r="5" spans="1:22" s="93" customFormat="1" ht="12.75" customHeight="1">
      <c r="A5" s="167"/>
      <c r="B5" s="167"/>
      <c r="C5" s="412"/>
      <c r="D5" s="418"/>
      <c r="E5" s="409"/>
      <c r="F5" s="167"/>
      <c r="G5" s="415"/>
      <c r="J5" s="417"/>
      <c r="L5" s="414"/>
      <c r="N5" s="167"/>
      <c r="P5" s="417"/>
      <c r="Q5" s="409"/>
      <c r="R5" s="167"/>
      <c r="U5" s="167"/>
      <c r="V5" s="167"/>
    </row>
    <row r="6" spans="1:22" s="93" customFormat="1" ht="15" customHeight="1">
      <c r="A6" s="167"/>
      <c r="B6" s="167"/>
      <c r="C6" s="411" t="s">
        <v>599</v>
      </c>
      <c r="D6" s="417" t="str">
        <f>tlInputPlanTargetIndication</f>
        <v>-</v>
      </c>
      <c r="F6" s="167"/>
      <c r="G6" s="414" t="s">
        <v>600</v>
      </c>
      <c r="J6" s="420">
        <f>tlInputPlanProjectStartDate</f>
        <v>2017</v>
      </c>
      <c r="L6" s="423" t="s">
        <v>547</v>
      </c>
      <c r="P6" s="417" t="str">
        <f>tlInputPlanInLicenseStage</f>
        <v>Research</v>
      </c>
      <c r="Q6" s="175"/>
      <c r="R6" s="167"/>
      <c r="U6" s="167"/>
      <c r="V6" s="167"/>
    </row>
    <row r="7" spans="1:22" s="93" customFormat="1" ht="12.75" customHeight="1">
      <c r="A7" s="167"/>
      <c r="B7" s="167"/>
      <c r="C7" s="413"/>
      <c r="D7" s="419"/>
      <c r="E7" s="167"/>
      <c r="F7" s="167"/>
      <c r="G7" s="416"/>
      <c r="J7" s="417"/>
      <c r="Q7" s="175"/>
      <c r="R7" s="167"/>
      <c r="S7" s="370"/>
      <c r="T7" s="370"/>
      <c r="U7" s="167"/>
      <c r="V7" s="167"/>
    </row>
    <row r="8" spans="1:22" s="93" customFormat="1" ht="15" customHeight="1">
      <c r="A8" s="167"/>
      <c r="B8" s="167"/>
      <c r="C8" s="182" t="s">
        <v>478</v>
      </c>
      <c r="D8" s="417" t="str">
        <f>decScenario1Administration</f>
        <v>Eye Drops</v>
      </c>
      <c r="F8" s="167"/>
      <c r="G8" s="414" t="s">
        <v>601</v>
      </c>
      <c r="J8" s="417" t="str">
        <f>tlInputPlanCurrentStage</f>
        <v>Research</v>
      </c>
      <c r="L8" s="422" t="s">
        <v>1184</v>
      </c>
      <c r="N8" s="167"/>
      <c r="P8" s="421">
        <f>tlInputPlanInLicenseCost</f>
        <v>0</v>
      </c>
      <c r="Q8" s="175"/>
      <c r="R8" s="167"/>
      <c r="S8" s="370"/>
      <c r="T8" s="370"/>
      <c r="U8" s="167"/>
      <c r="V8" s="167"/>
    </row>
    <row r="9" spans="1:22" s="93" customFormat="1" ht="15" customHeight="1">
      <c r="A9" s="167"/>
      <c r="B9" s="167"/>
      <c r="D9" s="417"/>
      <c r="F9" s="167"/>
      <c r="G9" s="414"/>
      <c r="H9" s="410"/>
      <c r="J9" s="417"/>
      <c r="R9" s="167"/>
      <c r="S9" s="370"/>
      <c r="T9" s="370"/>
      <c r="U9" s="167"/>
      <c r="V9" s="167"/>
    </row>
    <row r="10" spans="1:22" s="93" customFormat="1" ht="15" customHeight="1">
      <c r="A10" s="167"/>
      <c r="B10" s="167"/>
      <c r="C10" s="414" t="s">
        <v>514</v>
      </c>
      <c r="D10" s="417">
        <f>tlInputPlanTargetLaunchDate</f>
        <v>2023</v>
      </c>
      <c r="F10" s="167"/>
      <c r="G10" s="414" t="s">
        <v>461</v>
      </c>
      <c r="J10" s="417">
        <f>tlInputPlanLOEDate</f>
        <v>2030</v>
      </c>
      <c r="R10" s="167"/>
      <c r="S10" s="370"/>
      <c r="T10" s="370"/>
      <c r="U10" s="167"/>
      <c r="V10" s="167"/>
    </row>
    <row r="11" spans="1:22" s="93" customFormat="1" ht="12.75" customHeight="1">
      <c r="A11" s="167"/>
      <c r="B11" s="167"/>
      <c r="F11" s="371"/>
      <c r="G11" s="371"/>
      <c r="H11" s="371"/>
      <c r="I11" s="371"/>
      <c r="O11" s="370"/>
      <c r="P11" s="370"/>
      <c r="Q11" s="370"/>
      <c r="R11" s="370"/>
      <c r="S11" s="370"/>
      <c r="T11" s="167"/>
      <c r="U11" s="167"/>
      <c r="V11" s="167"/>
    </row>
    <row r="12" spans="1:22" s="165" customFormat="1" ht="15.75" customHeight="1" thickBot="1">
      <c r="C12" s="166"/>
    </row>
    <row r="13" spans="1:22" s="93" customFormat="1">
      <c r="B13" s="186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8"/>
    </row>
    <row r="14" spans="1:22" s="93" customFormat="1">
      <c r="B14" s="189"/>
      <c r="C14" s="168" t="s">
        <v>1212</v>
      </c>
      <c r="D14" s="167"/>
      <c r="E14" s="167"/>
      <c r="F14" s="167"/>
      <c r="G14" s="167"/>
      <c r="H14" s="167"/>
      <c r="I14" s="167"/>
      <c r="J14" s="167"/>
      <c r="K14" s="168"/>
      <c r="L14" s="168"/>
      <c r="M14" s="168"/>
      <c r="N14" s="168"/>
      <c r="O14" s="168"/>
      <c r="P14" s="168"/>
      <c r="Q14" s="168"/>
      <c r="R14" s="168"/>
      <c r="S14" s="168"/>
      <c r="T14" s="190"/>
    </row>
    <row r="15" spans="1:22" s="93" customFormat="1" ht="24.75" customHeight="1">
      <c r="B15" s="189"/>
      <c r="C15" s="167"/>
      <c r="D15" s="408"/>
      <c r="E15" s="594" t="s">
        <v>509</v>
      </c>
      <c r="F15" s="594"/>
      <c r="G15" s="594" t="s">
        <v>510</v>
      </c>
      <c r="H15" s="594"/>
      <c r="I15" s="594" t="s">
        <v>511</v>
      </c>
      <c r="J15" s="594"/>
      <c r="K15" s="175"/>
      <c r="L15" s="175"/>
      <c r="M15" s="175"/>
      <c r="N15" s="175"/>
      <c r="O15" s="175"/>
      <c r="P15" s="167"/>
      <c r="Q15" s="593"/>
      <c r="R15" s="593"/>
      <c r="S15" s="593"/>
      <c r="T15" s="190"/>
    </row>
    <row r="16" spans="1:22" s="93" customFormat="1" ht="18.75" customHeight="1">
      <c r="B16" s="189"/>
      <c r="C16" s="167" t="s">
        <v>615</v>
      </c>
      <c r="D16" s="167"/>
      <c r="E16" s="424"/>
      <c r="F16" s="428">
        <f>Fin!D132</f>
        <v>7.9444444373089534E-2</v>
      </c>
      <c r="G16" s="424"/>
      <c r="H16" s="428">
        <f>Fin!D263</f>
        <v>7.9444444373089534E-2</v>
      </c>
      <c r="I16" s="424"/>
      <c r="J16" s="428">
        <f>Fin!D394</f>
        <v>7.9444444373089534E-2</v>
      </c>
      <c r="K16" s="167"/>
      <c r="L16" s="167"/>
      <c r="M16" s="167"/>
      <c r="N16" s="167"/>
      <c r="O16" s="167"/>
      <c r="P16" s="167"/>
      <c r="Q16" s="398"/>
      <c r="R16" s="167"/>
      <c r="S16" s="429"/>
      <c r="T16" s="190"/>
    </row>
    <row r="17" spans="2:20" s="93" customFormat="1" ht="18.75" customHeight="1">
      <c r="B17" s="189"/>
      <c r="C17" s="93" t="s">
        <v>1208</v>
      </c>
      <c r="D17" s="167"/>
      <c r="E17" s="424"/>
      <c r="F17" s="564">
        <f>Fin!D133</f>
        <v>-63487171.701017223</v>
      </c>
      <c r="G17" s="565"/>
      <c r="H17" s="564">
        <f>Fin!D264</f>
        <v>-63487171.701017223</v>
      </c>
      <c r="I17" s="565"/>
      <c r="J17" s="564">
        <f>Fin!D395</f>
        <v>-63487171.701017223</v>
      </c>
      <c r="K17" s="167"/>
      <c r="L17" s="167"/>
      <c r="M17" s="167"/>
      <c r="N17" s="167"/>
      <c r="O17" s="167"/>
      <c r="P17" s="167"/>
      <c r="Q17" s="398"/>
      <c r="R17" s="167"/>
      <c r="S17" s="430"/>
      <c r="T17" s="190"/>
    </row>
    <row r="18" spans="2:20" s="93" customFormat="1" ht="18.75" customHeight="1">
      <c r="B18" s="189"/>
      <c r="C18" s="167" t="s">
        <v>1209</v>
      </c>
      <c r="D18" s="167"/>
      <c r="E18" s="424"/>
      <c r="F18" s="526">
        <f>Fin!D134</f>
        <v>-54209876.689616203</v>
      </c>
      <c r="G18" s="424"/>
      <c r="H18" s="526">
        <f>Fin!D265</f>
        <v>-54209876.689616203</v>
      </c>
      <c r="I18" s="424"/>
      <c r="J18" s="526">
        <f>Fin!D396</f>
        <v>-54209876.689616203</v>
      </c>
      <c r="K18" s="167"/>
      <c r="L18" s="167"/>
      <c r="M18" s="167"/>
      <c r="N18" s="167"/>
      <c r="O18" s="167"/>
      <c r="P18" s="167"/>
      <c r="Q18" s="398"/>
      <c r="R18" s="167"/>
      <c r="S18" s="430"/>
      <c r="T18" s="190"/>
    </row>
    <row r="19" spans="2:20" s="93" customFormat="1" ht="18.75" customHeight="1">
      <c r="B19" s="189"/>
      <c r="C19" s="398" t="s">
        <v>1210</v>
      </c>
      <c r="D19" s="167"/>
      <c r="E19" s="424"/>
      <c r="F19" s="526">
        <f>Fin!D135</f>
        <v>10195820.909980277</v>
      </c>
      <c r="G19" s="424"/>
      <c r="H19" s="526">
        <f>Fin!D266</f>
        <v>10195820.909980277</v>
      </c>
      <c r="I19" s="424"/>
      <c r="J19" s="526">
        <f>Fin!D397</f>
        <v>10195820.909980277</v>
      </c>
      <c r="K19" s="167"/>
      <c r="L19" s="167"/>
      <c r="M19" s="167"/>
      <c r="N19" s="167"/>
      <c r="O19" s="167"/>
      <c r="P19" s="167"/>
      <c r="Q19" s="398"/>
      <c r="R19" s="167"/>
      <c r="S19" s="430"/>
      <c r="T19" s="190"/>
    </row>
    <row r="20" spans="2:20" s="93" customFormat="1" ht="18.75" customHeight="1">
      <c r="B20" s="189"/>
      <c r="C20" s="93" t="s">
        <v>491</v>
      </c>
      <c r="D20" s="167"/>
      <c r="E20" s="424"/>
      <c r="F20" s="527">
        <f>Fin!D136</f>
        <v>2021.325</v>
      </c>
      <c r="G20" s="424"/>
      <c r="H20" s="527">
        <f>Fin!D267</f>
        <v>2021.325</v>
      </c>
      <c r="I20" s="424"/>
      <c r="J20" s="527">
        <f>Fin!D398</f>
        <v>2021.325</v>
      </c>
      <c r="K20" s="167"/>
      <c r="L20" s="167"/>
      <c r="M20" s="167"/>
      <c r="N20" s="167"/>
      <c r="O20" s="167"/>
      <c r="P20" s="167"/>
      <c r="Q20" s="398"/>
      <c r="R20" s="167"/>
      <c r="S20" s="406"/>
      <c r="T20" s="190"/>
    </row>
    <row r="21" spans="2:20" s="93" customFormat="1" ht="18.75" customHeight="1">
      <c r="B21" s="189"/>
      <c r="C21" s="93" t="s">
        <v>1211</v>
      </c>
      <c r="D21" s="167"/>
      <c r="E21" s="424"/>
      <c r="F21" s="526">
        <f>Fin!D137</f>
        <v>61300000</v>
      </c>
      <c r="G21" s="424"/>
      <c r="H21" s="526">
        <f>Fin!D268</f>
        <v>61300000</v>
      </c>
      <c r="I21" s="424"/>
      <c r="J21" s="526">
        <f>Fin!D399</f>
        <v>61300000</v>
      </c>
      <c r="K21" s="167"/>
      <c r="L21" s="167"/>
      <c r="M21" s="167"/>
      <c r="N21" s="167"/>
      <c r="O21" s="167"/>
      <c r="P21" s="167"/>
      <c r="Q21" s="398"/>
      <c r="R21" s="167"/>
      <c r="S21" s="430"/>
      <c r="T21" s="190"/>
    </row>
    <row r="22" spans="2:20" s="93" customFormat="1" ht="18.75" customHeight="1">
      <c r="B22" s="189"/>
      <c r="C22" s="167" t="s">
        <v>616</v>
      </c>
      <c r="D22" s="167"/>
      <c r="E22" s="424"/>
      <c r="F22" s="428">
        <f>Fin!D138</f>
        <v>0.22792184999999998</v>
      </c>
      <c r="G22" s="424"/>
      <c r="H22" s="428">
        <f>Fin!D269</f>
        <v>0.22792184999999998</v>
      </c>
      <c r="I22" s="424"/>
      <c r="J22" s="428">
        <f>Fin!D400</f>
        <v>0.22792184999999998</v>
      </c>
      <c r="K22" s="167"/>
      <c r="L22" s="167"/>
      <c r="M22" s="167"/>
      <c r="N22" s="167"/>
      <c r="O22" s="167"/>
      <c r="P22" s="167"/>
      <c r="Q22" s="398"/>
      <c r="R22" s="167"/>
      <c r="S22" s="429"/>
      <c r="T22" s="190"/>
    </row>
    <row r="23" spans="2:20" s="93" customFormat="1" ht="18.75" customHeight="1">
      <c r="B23" s="189"/>
      <c r="C23" s="167" t="s">
        <v>1202</v>
      </c>
      <c r="D23" s="167"/>
      <c r="E23" s="424"/>
      <c r="F23" s="527">
        <f>Fin!D139</f>
        <v>2031.325</v>
      </c>
      <c r="G23" s="424"/>
      <c r="H23" s="527">
        <f>Fin!D270</f>
        <v>2031.325</v>
      </c>
      <c r="I23" s="424"/>
      <c r="J23" s="527">
        <f>Fin!D401</f>
        <v>2031.325</v>
      </c>
      <c r="K23" s="167"/>
      <c r="L23" s="167"/>
      <c r="M23" s="167"/>
      <c r="N23" s="167"/>
      <c r="O23" s="167"/>
      <c r="P23" s="167"/>
      <c r="Q23" s="398"/>
      <c r="R23" s="167"/>
      <c r="S23" s="406"/>
      <c r="T23" s="190"/>
    </row>
    <row r="24" spans="2:20" s="93" customFormat="1" ht="18.75" customHeight="1">
      <c r="B24" s="189"/>
      <c r="C24" s="167" t="s">
        <v>1207</v>
      </c>
      <c r="D24" s="167"/>
      <c r="E24" s="424"/>
      <c r="F24" s="428">
        <f>Fin!D140</f>
        <v>-0.1603182220910816</v>
      </c>
      <c r="G24" s="424"/>
      <c r="H24" s="428">
        <f>Fin!D271</f>
        <v>-0.1603182220910816</v>
      </c>
      <c r="I24" s="424"/>
      <c r="J24" s="428">
        <f>Fin!D402</f>
        <v>-0.1603182220910816</v>
      </c>
      <c r="K24" s="167"/>
      <c r="L24" s="167"/>
      <c r="M24" s="167"/>
      <c r="N24" s="167"/>
      <c r="O24" s="167"/>
      <c r="P24" s="167"/>
      <c r="Q24" s="167"/>
      <c r="R24" s="167"/>
      <c r="S24" s="429"/>
      <c r="T24" s="190"/>
    </row>
    <row r="25" spans="2:20" s="93" customFormat="1" ht="15.75" thickBot="1">
      <c r="B25" s="191"/>
      <c r="C25" s="192"/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3"/>
    </row>
    <row r="26" spans="2:20" s="93" customFormat="1">
      <c r="B26" s="186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8"/>
    </row>
    <row r="27" spans="2:20" s="93" customFormat="1">
      <c r="B27" s="189"/>
      <c r="C27" s="168" t="s">
        <v>509</v>
      </c>
      <c r="D27" s="167"/>
      <c r="E27" s="167"/>
      <c r="F27" s="167"/>
      <c r="G27" s="167"/>
      <c r="H27" s="167"/>
      <c r="I27" s="167"/>
      <c r="J27" s="167"/>
      <c r="K27" s="168"/>
      <c r="L27" s="168"/>
      <c r="M27" s="168"/>
      <c r="N27" s="168"/>
      <c r="O27" s="168"/>
      <c r="P27" s="168"/>
      <c r="Q27" s="168"/>
      <c r="R27" s="168"/>
      <c r="S27" s="168"/>
      <c r="T27" s="190"/>
    </row>
    <row r="28" spans="2:20" s="93" customFormat="1" ht="24.75" customHeight="1">
      <c r="B28" s="189"/>
      <c r="C28" s="167" t="s">
        <v>1397</v>
      </c>
      <c r="D28" s="408" t="s">
        <v>124</v>
      </c>
      <c r="E28" s="446" t="s">
        <v>517</v>
      </c>
      <c r="F28" s="530">
        <f>Fin!E98</f>
        <v>2021.325</v>
      </c>
      <c r="G28" s="175">
        <f>Fin!F98</f>
        <v>2022.325</v>
      </c>
      <c r="H28" s="555">
        <f>Fin!G98</f>
        <v>2023.325</v>
      </c>
      <c r="I28" s="175">
        <f>Fin!H98</f>
        <v>2024.325</v>
      </c>
      <c r="J28" s="175">
        <f>Fin!I98</f>
        <v>2025.325</v>
      </c>
      <c r="K28" s="175">
        <f>Fin!J98</f>
        <v>2026.325</v>
      </c>
      <c r="L28" s="175">
        <f>Fin!K98</f>
        <v>2027.325</v>
      </c>
      <c r="M28" s="175">
        <f>Fin!L98</f>
        <v>2028.325</v>
      </c>
      <c r="N28" s="175">
        <f>Fin!M98</f>
        <v>2029.325</v>
      </c>
      <c r="O28" s="175">
        <f>Fin!N98</f>
        <v>2030.325</v>
      </c>
      <c r="P28" s="167"/>
      <c r="Q28" s="593" t="s">
        <v>1199</v>
      </c>
      <c r="R28" s="593"/>
      <c r="S28" s="593"/>
      <c r="T28" s="190"/>
    </row>
    <row r="29" spans="2:20" s="93" customFormat="1" ht="18.75" customHeight="1">
      <c r="B29" s="189"/>
      <c r="C29" s="167" t="s">
        <v>1386</v>
      </c>
      <c r="D29" s="167"/>
      <c r="E29" s="528">
        <f>Fin!D103</f>
        <v>0</v>
      </c>
      <c r="F29" s="528">
        <f>Fin!E103</f>
        <v>5172830.2164289132</v>
      </c>
      <c r="G29" s="528">
        <f>Fin!F103</f>
        <v>7580481.6524092536</v>
      </c>
      <c r="H29" s="528">
        <f>Fin!G103</f>
        <v>9084355.6243331432</v>
      </c>
      <c r="I29" s="528">
        <f>Fin!H103</f>
        <v>9844775.7533901464</v>
      </c>
      <c r="J29" s="528">
        <f>Fin!I103</f>
        <v>10145529.463960664</v>
      </c>
      <c r="K29" s="528">
        <f>Fin!J103</f>
        <v>10195820.909980277</v>
      </c>
      <c r="L29" s="528">
        <f>Fin!K103</f>
        <v>10118333.21277835</v>
      </c>
      <c r="M29" s="528">
        <f>Fin!L103</f>
        <v>9978503.2839428596</v>
      </c>
      <c r="N29" s="528">
        <f>Fin!M103</f>
        <v>9809721.0081130583</v>
      </c>
      <c r="O29" s="528">
        <f>Fin!N103</f>
        <v>4814324.1043416495</v>
      </c>
      <c r="P29" s="167"/>
      <c r="Q29" s="427" t="s">
        <v>615</v>
      </c>
      <c r="R29" s="424"/>
      <c r="S29" s="428">
        <f>Fin!D132</f>
        <v>7.9444444373089534E-2</v>
      </c>
      <c r="T29" s="190"/>
    </row>
    <row r="30" spans="2:20" s="93" customFormat="1" ht="18.75" customHeight="1">
      <c r="B30" s="189"/>
      <c r="C30" s="93" t="s">
        <v>267</v>
      </c>
      <c r="D30" s="167"/>
      <c r="E30" s="528">
        <f>Fin!D105</f>
        <v>0</v>
      </c>
      <c r="F30" s="528">
        <f>Fin!E105</f>
        <v>2299035.6517461836</v>
      </c>
      <c r="G30" s="528">
        <f>Fin!F105</f>
        <v>3437860.1598227904</v>
      </c>
      <c r="H30" s="528">
        <f>Fin!G105</f>
        <v>4203968.5428909911</v>
      </c>
      <c r="I30" s="528">
        <f>Fin!H105</f>
        <v>4648845.1775999162</v>
      </c>
      <c r="J30" s="528">
        <f>Fin!I105</f>
        <v>4888638.1834827634</v>
      </c>
      <c r="K30" s="528">
        <f>Fin!J105</f>
        <v>5013133.8675172227</v>
      </c>
      <c r="L30" s="528">
        <f>Fin!K105</f>
        <v>5076565.6290579503</v>
      </c>
      <c r="M30" s="528">
        <f>Fin!L105</f>
        <v>5108581.8566272482</v>
      </c>
      <c r="N30" s="528">
        <f>Fin!M105</f>
        <v>5124665.609437298</v>
      </c>
      <c r="O30" s="528">
        <f>Fin!N105</f>
        <v>2566363.2325235675</v>
      </c>
      <c r="P30" s="167"/>
      <c r="Q30" s="427" t="s">
        <v>1208</v>
      </c>
      <c r="R30" s="424"/>
      <c r="S30" s="526">
        <f>Fin!D133</f>
        <v>-63487171.701017223</v>
      </c>
      <c r="T30" s="190"/>
    </row>
    <row r="31" spans="2:20" s="93" customFormat="1" ht="18.75" customHeight="1">
      <c r="B31" s="189"/>
      <c r="C31" s="167" t="s">
        <v>272</v>
      </c>
      <c r="D31" s="167"/>
      <c r="E31" s="528">
        <f>Fin!D106</f>
        <v>0</v>
      </c>
      <c r="F31" s="528">
        <f>Fin!E106</f>
        <v>2873794.5646827295</v>
      </c>
      <c r="G31" s="528">
        <f>Fin!F106</f>
        <v>4142621.4925864632</v>
      </c>
      <c r="H31" s="528">
        <f>Fin!G106</f>
        <v>4880387.0814421521</v>
      </c>
      <c r="I31" s="528">
        <f>Fin!H106</f>
        <v>5195930.5757902302</v>
      </c>
      <c r="J31" s="528">
        <f>Fin!I106</f>
        <v>5256891.280477901</v>
      </c>
      <c r="K31" s="528">
        <f>Fin!J106</f>
        <v>5182687.0424630539</v>
      </c>
      <c r="L31" s="528">
        <f>Fin!K106</f>
        <v>5041767.5837204</v>
      </c>
      <c r="M31" s="528">
        <f>Fin!L106</f>
        <v>4869921.4273156114</v>
      </c>
      <c r="N31" s="528">
        <f>Fin!M106</f>
        <v>4685055.3986757603</v>
      </c>
      <c r="O31" s="528">
        <f>Fin!N106</f>
        <v>2247960.8718180819</v>
      </c>
      <c r="P31" s="167"/>
      <c r="Q31" s="427" t="s">
        <v>1209</v>
      </c>
      <c r="R31" s="424"/>
      <c r="S31" s="526">
        <f>Fin!D134</f>
        <v>-54209876.689616203</v>
      </c>
      <c r="T31" s="190"/>
    </row>
    <row r="32" spans="2:20" s="93" customFormat="1" ht="18.75" customHeight="1">
      <c r="B32" s="189"/>
      <c r="C32" s="93" t="s">
        <v>1197</v>
      </c>
      <c r="D32" s="167"/>
      <c r="E32" s="528">
        <f>Fin!D116</f>
        <v>67430000</v>
      </c>
      <c r="F32" s="528">
        <f>Fin!E116</f>
        <v>51728.302164289133</v>
      </c>
      <c r="G32" s="528">
        <f>Fin!F116</f>
        <v>75804.816524092545</v>
      </c>
      <c r="H32" s="528">
        <f>Fin!G116</f>
        <v>90843.556243331434</v>
      </c>
      <c r="I32" s="528">
        <f>Fin!H116</f>
        <v>98447.757533901473</v>
      </c>
      <c r="J32" s="528">
        <f>Fin!I116</f>
        <v>101455.29463960664</v>
      </c>
      <c r="K32" s="528">
        <f>Fin!J116</f>
        <v>101958.20909980277</v>
      </c>
      <c r="L32" s="528">
        <f>Fin!K116</f>
        <v>101183.33212778351</v>
      </c>
      <c r="M32" s="528">
        <f>Fin!L116</f>
        <v>99785.032839428604</v>
      </c>
      <c r="N32" s="528">
        <f>Fin!M116</f>
        <v>98097.210081130586</v>
      </c>
      <c r="O32" s="528">
        <f>Fin!N116</f>
        <v>48143.241043416492</v>
      </c>
      <c r="P32" s="167"/>
      <c r="Q32" s="427" t="s">
        <v>1210</v>
      </c>
      <c r="R32" s="424"/>
      <c r="S32" s="526">
        <f>Fin!D135</f>
        <v>10195820.909980277</v>
      </c>
      <c r="T32" s="190"/>
    </row>
    <row r="33" spans="2:20" s="93" customFormat="1" ht="18.75" customHeight="1">
      <c r="B33" s="189"/>
      <c r="C33" s="93" t="s">
        <v>1198</v>
      </c>
      <c r="D33" s="167"/>
      <c r="E33" s="528">
        <f>Fin!D109</f>
        <v>0</v>
      </c>
      <c r="F33" s="528">
        <f>Fin!E109</f>
        <v>258641.51082144567</v>
      </c>
      <c r="G33" s="528">
        <f>Fin!F109</f>
        <v>379024.08262046269</v>
      </c>
      <c r="H33" s="528">
        <f>Fin!G109</f>
        <v>454217.7812166572</v>
      </c>
      <c r="I33" s="528">
        <f>Fin!H109</f>
        <v>492238.78766950732</v>
      </c>
      <c r="J33" s="528">
        <f>Fin!I109</f>
        <v>507276.47319803323</v>
      </c>
      <c r="K33" s="528">
        <f>Fin!J109</f>
        <v>509791.04549901385</v>
      </c>
      <c r="L33" s="528">
        <f>Fin!K109</f>
        <v>505916.66063891753</v>
      </c>
      <c r="M33" s="528">
        <f>Fin!L109</f>
        <v>498925.16419714299</v>
      </c>
      <c r="N33" s="528">
        <f>Fin!M109</f>
        <v>490486.05040565296</v>
      </c>
      <c r="O33" s="528">
        <f>Fin!N109</f>
        <v>240716.20521708249</v>
      </c>
      <c r="P33" s="167"/>
      <c r="Q33" s="427" t="s">
        <v>491</v>
      </c>
      <c r="R33" s="424"/>
      <c r="S33" s="527">
        <f>Fin!D136</f>
        <v>2021.325</v>
      </c>
      <c r="T33" s="190"/>
    </row>
    <row r="34" spans="2:20" s="93" customFormat="1" ht="18.75" customHeight="1">
      <c r="B34" s="189"/>
      <c r="C34" s="93" t="s">
        <v>1396</v>
      </c>
      <c r="D34" s="167"/>
      <c r="E34" s="528">
        <f>Fin!D111</f>
        <v>0</v>
      </c>
      <c r="F34" s="528">
        <f>Fin!E111</f>
        <v>0</v>
      </c>
      <c r="G34" s="528">
        <f>Fin!F111</f>
        <v>0</v>
      </c>
      <c r="H34" s="528">
        <f>Fin!G111</f>
        <v>0</v>
      </c>
      <c r="I34" s="528">
        <f>Fin!H111</f>
        <v>0</v>
      </c>
      <c r="J34" s="528">
        <f>Fin!I111</f>
        <v>0</v>
      </c>
      <c r="K34" s="528">
        <f>Fin!J111</f>
        <v>0</v>
      </c>
      <c r="L34" s="528">
        <f>Fin!K111</f>
        <v>0</v>
      </c>
      <c r="M34" s="528">
        <f>Fin!L111</f>
        <v>0</v>
      </c>
      <c r="N34" s="528">
        <f>Fin!M111</f>
        <v>0</v>
      </c>
      <c r="O34" s="528">
        <f>Fin!N111</f>
        <v>0</v>
      </c>
      <c r="P34" s="167"/>
      <c r="Q34" s="427" t="s">
        <v>1211</v>
      </c>
      <c r="R34" s="424"/>
      <c r="S34" s="526">
        <f>Fin!D137</f>
        <v>61300000</v>
      </c>
      <c r="T34" s="190"/>
    </row>
    <row r="35" spans="2:20" s="93" customFormat="1" ht="18.75" customHeight="1">
      <c r="B35" s="189"/>
      <c r="C35" s="167" t="s">
        <v>1498</v>
      </c>
      <c r="D35" s="167"/>
      <c r="E35" s="528">
        <f>Fin!D121</f>
        <v>-67430000</v>
      </c>
      <c r="F35" s="528">
        <f>Fin!E121</f>
        <v>1538054.8510181967</v>
      </c>
      <c r="G35" s="528">
        <f>Fin!F121</f>
        <v>2212675.5560651449</v>
      </c>
      <c r="H35" s="528">
        <f>Fin!G121</f>
        <v>2601195.446389298</v>
      </c>
      <c r="I35" s="528">
        <f>Fin!H121</f>
        <v>2763146.4183520926</v>
      </c>
      <c r="J35" s="528">
        <f>Fin!I121</f>
        <v>2788895.7075841567</v>
      </c>
      <c r="K35" s="528">
        <f>Fin!J121</f>
        <v>2742562.6727185422</v>
      </c>
      <c r="L35" s="528">
        <f>Fin!K121</f>
        <v>2660800.5545722195</v>
      </c>
      <c r="M35" s="528">
        <f>Fin!L121</f>
        <v>2562726.7381674238</v>
      </c>
      <c r="N35" s="528">
        <f>Fin!M121</f>
        <v>2457883.2829133859</v>
      </c>
      <c r="O35" s="528">
        <f>Fin!N121</f>
        <v>1175460.8553345497</v>
      </c>
      <c r="P35" s="167"/>
      <c r="Q35" s="427" t="s">
        <v>616</v>
      </c>
      <c r="R35" s="424"/>
      <c r="S35" s="428">
        <f>Fin!D138</f>
        <v>0.22792184999999998</v>
      </c>
      <c r="T35" s="190"/>
    </row>
    <row r="36" spans="2:20" s="93" customFormat="1" ht="18.75" customHeight="1">
      <c r="B36" s="189"/>
      <c r="C36" s="167" t="s">
        <v>1196</v>
      </c>
      <c r="D36" s="167"/>
      <c r="E36" s="528">
        <f>Fin!D125</f>
        <v>-67430000</v>
      </c>
      <c r="F36" s="528">
        <f>Fin!E125</f>
        <v>350556.30704554176</v>
      </c>
      <c r="G36" s="528">
        <f>Fin!F125</f>
        <v>504317.10618814651</v>
      </c>
      <c r="H36" s="528">
        <f>Fin!G125</f>
        <v>592869.2783526245</v>
      </c>
      <c r="I36" s="528">
        <f>Fin!H125</f>
        <v>629781.44349168288</v>
      </c>
      <c r="J36" s="528">
        <f>Fin!I125</f>
        <v>635650.26912963996</v>
      </c>
      <c r="K36" s="528">
        <f>Fin!J125</f>
        <v>625089.95810695458</v>
      </c>
      <c r="L36" s="528">
        <f>Fin!K125</f>
        <v>606454.58487912617</v>
      </c>
      <c r="M36" s="528">
        <f>Fin!L125</f>
        <v>584101.41920758481</v>
      </c>
      <c r="N36" s="528">
        <f>Fin!M125</f>
        <v>560205.30492569227</v>
      </c>
      <c r="O36" s="528">
        <f>Fin!N125</f>
        <v>267913.2127504329</v>
      </c>
      <c r="P36" s="167"/>
      <c r="Q36" s="427" t="s">
        <v>1202</v>
      </c>
      <c r="R36" s="424"/>
      <c r="S36" s="527">
        <f>Fin!D139</f>
        <v>2031.325</v>
      </c>
      <c r="T36" s="190"/>
    </row>
    <row r="37" spans="2:20" s="93" customFormat="1" ht="18.75" customHeight="1">
      <c r="B37" s="189"/>
      <c r="C37" s="167" t="s">
        <v>1500</v>
      </c>
      <c r="D37" s="167"/>
      <c r="E37" s="528">
        <f>Fin!D128</f>
        <v>-67430000</v>
      </c>
      <c r="F37" s="528">
        <f>Fin!E128</f>
        <v>330713.49721277523</v>
      </c>
      <c r="G37" s="528">
        <f>Fin!F128</f>
        <v>448840.42914573377</v>
      </c>
      <c r="H37" s="528">
        <f>Fin!G128</f>
        <v>497784.47842230863</v>
      </c>
      <c r="I37" s="528">
        <f>Fin!H128</f>
        <v>498845.89061465545</v>
      </c>
      <c r="J37" s="528">
        <f>Fin!I128</f>
        <v>474994.85869163211</v>
      </c>
      <c r="K37" s="528">
        <f>Fin!J128</f>
        <v>440663.75469049328</v>
      </c>
      <c r="L37" s="528">
        <f>Fin!K128</f>
        <v>403326.93576274364</v>
      </c>
      <c r="M37" s="528">
        <f>Fin!L128</f>
        <v>366472.45652915706</v>
      </c>
      <c r="N37" s="528">
        <f>Fin!M128</f>
        <v>331584.65924688638</v>
      </c>
      <c r="O37" s="528">
        <f>Fin!N128</f>
        <v>149601.33866639048</v>
      </c>
      <c r="P37" s="167"/>
      <c r="Q37" s="424" t="s">
        <v>1207</v>
      </c>
      <c r="R37" s="424"/>
      <c r="S37" s="428">
        <f>Fin!D140</f>
        <v>-0.1603182220910816</v>
      </c>
      <c r="T37" s="190"/>
    </row>
    <row r="38" spans="2:20" s="93" customFormat="1" ht="15.75" thickBot="1">
      <c r="B38" s="191"/>
      <c r="C38" s="192"/>
      <c r="D38" s="192"/>
      <c r="E38" s="192"/>
      <c r="F38" s="192"/>
      <c r="G38" s="192"/>
      <c r="H38" s="192"/>
      <c r="I38" s="192"/>
      <c r="J38" s="192"/>
      <c r="K38" s="192"/>
      <c r="L38" s="192"/>
      <c r="M38" s="192"/>
      <c r="N38" s="192"/>
      <c r="O38" s="192"/>
      <c r="P38" s="192"/>
      <c r="Q38" s="192"/>
      <c r="R38" s="192"/>
      <c r="S38" s="192"/>
      <c r="T38" s="193"/>
    </row>
    <row r="39" spans="2:20" s="93" customFormat="1" ht="15" customHeight="1">
      <c r="B39" s="189"/>
      <c r="C39" s="425" t="s">
        <v>1203</v>
      </c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90"/>
    </row>
    <row r="40" spans="2:20" s="93" customFormat="1">
      <c r="B40" s="189"/>
      <c r="C40" s="167"/>
      <c r="D40" s="167"/>
      <c r="E40" s="167"/>
      <c r="F40" s="167"/>
      <c r="G40" s="167"/>
      <c r="H40" s="167"/>
      <c r="I40" s="167"/>
      <c r="J40" s="167"/>
      <c r="K40" s="167"/>
      <c r="L40" s="167"/>
      <c r="M40" s="167"/>
      <c r="N40" s="167"/>
      <c r="O40" s="167"/>
      <c r="P40" s="167"/>
      <c r="Q40" s="167"/>
      <c r="R40" s="167"/>
      <c r="S40" s="167"/>
      <c r="T40" s="190"/>
    </row>
    <row r="41" spans="2:20" s="93" customFormat="1">
      <c r="B41" s="189"/>
      <c r="C41" s="167"/>
      <c r="D41" s="167"/>
      <c r="E41" s="167"/>
      <c r="F41" s="167"/>
      <c r="G41" s="167"/>
      <c r="H41" s="167"/>
      <c r="I41" s="167"/>
      <c r="J41" s="167"/>
      <c r="K41" s="167"/>
      <c r="L41" s="167"/>
      <c r="M41" s="167"/>
      <c r="N41" s="167"/>
      <c r="O41" s="167"/>
      <c r="P41" s="167"/>
      <c r="Q41" s="167"/>
      <c r="R41" s="167"/>
      <c r="S41" s="167"/>
      <c r="T41" s="190"/>
    </row>
    <row r="42" spans="2:20" s="93" customFormat="1">
      <c r="B42" s="189"/>
      <c r="C42" s="167"/>
      <c r="D42" s="167"/>
      <c r="E42" s="167"/>
      <c r="F42" s="167"/>
      <c r="G42" s="167"/>
      <c r="H42" s="167"/>
      <c r="I42" s="167"/>
      <c r="J42" s="167"/>
      <c r="K42" s="167"/>
      <c r="L42" s="167"/>
      <c r="M42" s="167"/>
      <c r="N42" s="167"/>
      <c r="O42" s="167"/>
      <c r="P42" s="167"/>
      <c r="Q42" s="167"/>
      <c r="R42" s="167"/>
      <c r="S42" s="167"/>
      <c r="T42" s="190"/>
    </row>
    <row r="43" spans="2:20" s="93" customFormat="1">
      <c r="B43" s="189"/>
      <c r="C43" s="167"/>
      <c r="D43" s="167"/>
      <c r="E43" s="167"/>
      <c r="F43" s="167"/>
      <c r="G43" s="167"/>
      <c r="H43" s="167"/>
      <c r="I43" s="167"/>
      <c r="J43" s="167"/>
      <c r="K43" s="167"/>
      <c r="L43" s="167"/>
      <c r="M43" s="167"/>
      <c r="N43" s="167"/>
      <c r="O43" s="167"/>
      <c r="P43" s="167"/>
      <c r="Q43" s="167"/>
      <c r="R43" s="167"/>
      <c r="S43" s="167"/>
      <c r="T43" s="190"/>
    </row>
    <row r="44" spans="2:20" s="93" customFormat="1">
      <c r="B44" s="189"/>
      <c r="C44" s="167"/>
      <c r="D44" s="167"/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7"/>
      <c r="P44" s="167"/>
      <c r="Q44" s="167"/>
      <c r="R44" s="167"/>
      <c r="S44" s="167"/>
      <c r="T44" s="190"/>
    </row>
    <row r="45" spans="2:20" s="93" customFormat="1">
      <c r="B45" s="189"/>
      <c r="C45" s="167"/>
      <c r="D45" s="167"/>
      <c r="E45" s="167"/>
      <c r="F45" s="167"/>
      <c r="G45" s="167"/>
      <c r="H45" s="167"/>
      <c r="I45" s="167"/>
      <c r="J45" s="167"/>
      <c r="K45" s="167"/>
      <c r="L45" s="167"/>
      <c r="M45" s="167"/>
      <c r="N45" s="167"/>
      <c r="O45" s="167"/>
      <c r="P45" s="167"/>
      <c r="Q45" s="167"/>
      <c r="R45" s="167"/>
      <c r="S45" s="167"/>
      <c r="T45" s="190"/>
    </row>
    <row r="46" spans="2:20" s="93" customFormat="1">
      <c r="B46" s="189"/>
      <c r="C46" s="167"/>
      <c r="D46" s="167"/>
      <c r="E46" s="167"/>
      <c r="F46" s="167"/>
      <c r="G46" s="167"/>
      <c r="H46" s="167"/>
      <c r="I46" s="167"/>
      <c r="J46" s="167"/>
      <c r="K46" s="167"/>
      <c r="L46" s="167"/>
      <c r="M46" s="167"/>
      <c r="N46" s="167"/>
      <c r="O46" s="167"/>
      <c r="P46" s="167"/>
      <c r="Q46" s="167"/>
      <c r="R46" s="167"/>
      <c r="S46" s="167"/>
      <c r="T46" s="190"/>
    </row>
    <row r="47" spans="2:20" s="93" customFormat="1">
      <c r="B47" s="189"/>
      <c r="C47" s="167"/>
      <c r="D47" s="167"/>
      <c r="E47" s="167"/>
      <c r="F47" s="167"/>
      <c r="G47" s="167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90"/>
    </row>
    <row r="48" spans="2:20" s="93" customFormat="1">
      <c r="B48" s="189"/>
      <c r="C48" s="167"/>
      <c r="D48" s="167"/>
      <c r="E48" s="167"/>
      <c r="F48" s="167"/>
      <c r="G48" s="167"/>
      <c r="H48" s="167"/>
      <c r="I48" s="167"/>
      <c r="J48" s="167"/>
      <c r="K48" s="167"/>
      <c r="L48" s="167"/>
      <c r="M48" s="167"/>
      <c r="N48" s="167"/>
      <c r="O48" s="167"/>
      <c r="P48" s="167"/>
      <c r="Q48" s="167"/>
      <c r="R48" s="167"/>
      <c r="S48" s="167"/>
      <c r="T48" s="190"/>
    </row>
    <row r="49" spans="2:20" s="93" customFormat="1">
      <c r="B49" s="189"/>
      <c r="C49" s="167"/>
      <c r="D49" s="167"/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7"/>
      <c r="P49" s="167"/>
      <c r="Q49" s="167"/>
      <c r="R49" s="167"/>
      <c r="S49" s="167"/>
      <c r="T49" s="190"/>
    </row>
    <row r="50" spans="2:20" s="93" customFormat="1">
      <c r="B50" s="189"/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90"/>
    </row>
    <row r="51" spans="2:20" s="93" customFormat="1">
      <c r="B51" s="189"/>
      <c r="C51" s="167"/>
      <c r="D51" s="167"/>
      <c r="E51" s="167"/>
      <c r="F51" s="167"/>
      <c r="G51" s="167"/>
      <c r="H51" s="167"/>
      <c r="I51" s="167"/>
      <c r="J51" s="167"/>
      <c r="K51" s="167"/>
      <c r="L51" s="167"/>
      <c r="M51" s="167"/>
      <c r="N51" s="167"/>
      <c r="O51" s="167"/>
      <c r="P51" s="167"/>
      <c r="Q51" s="167"/>
      <c r="R51" s="167"/>
      <c r="S51" s="167"/>
      <c r="T51" s="190"/>
    </row>
    <row r="52" spans="2:20" s="93" customFormat="1">
      <c r="B52" s="189"/>
      <c r="C52" s="167"/>
      <c r="D52" s="167"/>
      <c r="E52" s="167"/>
      <c r="F52" s="167"/>
      <c r="G52" s="167"/>
      <c r="H52" s="167"/>
      <c r="I52" s="167"/>
      <c r="J52" s="167"/>
      <c r="K52" s="167"/>
      <c r="L52" s="167"/>
      <c r="M52" s="167"/>
      <c r="N52" s="167"/>
      <c r="O52" s="167"/>
      <c r="P52" s="167"/>
      <c r="Q52" s="167"/>
      <c r="R52" s="167"/>
      <c r="S52" s="167"/>
      <c r="T52" s="190"/>
    </row>
    <row r="53" spans="2:20" s="93" customFormat="1" ht="15.75" thickBot="1">
      <c r="B53" s="189"/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90"/>
    </row>
    <row r="54" spans="2:20" s="93" customFormat="1">
      <c r="B54" s="186"/>
      <c r="C54" s="187"/>
      <c r="D54" s="187"/>
      <c r="E54" s="187"/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8"/>
    </row>
    <row r="55" spans="2:20" s="93" customFormat="1">
      <c r="B55" s="189"/>
      <c r="C55" s="168" t="s">
        <v>510</v>
      </c>
      <c r="D55" s="167"/>
      <c r="E55" s="167"/>
      <c r="F55" s="167"/>
      <c r="G55" s="167"/>
      <c r="H55" s="167"/>
      <c r="I55" s="167"/>
      <c r="J55" s="167"/>
      <c r="K55" s="168"/>
      <c r="L55" s="168"/>
      <c r="M55" s="168"/>
      <c r="N55" s="168"/>
      <c r="O55" s="168"/>
      <c r="P55" s="168"/>
      <c r="Q55" s="168"/>
      <c r="R55" s="168"/>
      <c r="S55" s="168"/>
      <c r="T55" s="190"/>
    </row>
    <row r="56" spans="2:20" s="93" customFormat="1" ht="24.75" customHeight="1">
      <c r="B56" s="189"/>
      <c r="C56" s="167" t="s">
        <v>1397</v>
      </c>
      <c r="D56" s="408" t="s">
        <v>124</v>
      </c>
      <c r="E56" s="446" t="s">
        <v>517</v>
      </c>
      <c r="F56" s="530">
        <f>Fin!E229</f>
        <v>2021.325</v>
      </c>
      <c r="G56" s="530">
        <f>Fin!F229</f>
        <v>2022.325</v>
      </c>
      <c r="H56" s="530">
        <f>Fin!G229</f>
        <v>2023.325</v>
      </c>
      <c r="I56" s="530">
        <f>Fin!H229</f>
        <v>2024.325</v>
      </c>
      <c r="J56" s="530">
        <f>Fin!I229</f>
        <v>2025.325</v>
      </c>
      <c r="K56" s="530">
        <f>Fin!J229</f>
        <v>2026.325</v>
      </c>
      <c r="L56" s="530">
        <f>Fin!K229</f>
        <v>2027.325</v>
      </c>
      <c r="M56" s="530">
        <f>Fin!L229</f>
        <v>2028.325</v>
      </c>
      <c r="N56" s="530">
        <f>Fin!M229</f>
        <v>2029.325</v>
      </c>
      <c r="O56" s="530">
        <f>Fin!N229</f>
        <v>2030.325</v>
      </c>
      <c r="P56" s="167"/>
      <c r="Q56" s="593" t="s">
        <v>1199</v>
      </c>
      <c r="R56" s="593"/>
      <c r="S56" s="593"/>
      <c r="T56" s="190"/>
    </row>
    <row r="57" spans="2:20" s="93" customFormat="1" ht="18.75" customHeight="1">
      <c r="B57" s="189"/>
      <c r="C57" s="167" t="s">
        <v>1386</v>
      </c>
      <c r="D57" s="167"/>
      <c r="E57" s="528">
        <f>Fin!D234</f>
        <v>0</v>
      </c>
      <c r="F57" s="528">
        <f>Fin!E234</f>
        <v>5172830.2164289132</v>
      </c>
      <c r="G57" s="528">
        <f>Fin!F234</f>
        <v>7580481.6524092536</v>
      </c>
      <c r="H57" s="528">
        <f>Fin!G234</f>
        <v>9084355.6243331432</v>
      </c>
      <c r="I57" s="528">
        <f>Fin!H234</f>
        <v>9844775.7533901464</v>
      </c>
      <c r="J57" s="528">
        <f>Fin!I234</f>
        <v>10145529.463960664</v>
      </c>
      <c r="K57" s="528">
        <f>Fin!J234</f>
        <v>10195820.909980277</v>
      </c>
      <c r="L57" s="528">
        <f>Fin!K234</f>
        <v>10118333.21277835</v>
      </c>
      <c r="M57" s="528">
        <f>Fin!L234</f>
        <v>9978503.2839428596</v>
      </c>
      <c r="N57" s="528">
        <f>Fin!M234</f>
        <v>9809721.0081130583</v>
      </c>
      <c r="O57" s="528">
        <f>Fin!N234</f>
        <v>4814324.1043416495</v>
      </c>
      <c r="P57" s="167"/>
      <c r="Q57" s="427" t="s">
        <v>615</v>
      </c>
      <c r="R57" s="424"/>
      <c r="S57" s="428">
        <f>Fin!D263</f>
        <v>7.9444444373089534E-2</v>
      </c>
      <c r="T57" s="190"/>
    </row>
    <row r="58" spans="2:20" s="93" customFormat="1" ht="18.75" customHeight="1">
      <c r="B58" s="189"/>
      <c r="C58" s="93" t="s">
        <v>267</v>
      </c>
      <c r="D58" s="167"/>
      <c r="E58" s="528">
        <f>Fin!D236</f>
        <v>0</v>
      </c>
      <c r="F58" s="528">
        <f>Fin!E236</f>
        <v>2299035.6517461836</v>
      </c>
      <c r="G58" s="528">
        <f>Fin!F236</f>
        <v>3437860.1598227904</v>
      </c>
      <c r="H58" s="528">
        <f>Fin!G236</f>
        <v>4203968.5428909911</v>
      </c>
      <c r="I58" s="528">
        <f>Fin!H236</f>
        <v>4648845.1775999162</v>
      </c>
      <c r="J58" s="528">
        <f>Fin!I236</f>
        <v>4888638.1834827634</v>
      </c>
      <c r="K58" s="528">
        <f>Fin!J236</f>
        <v>5013133.8675172227</v>
      </c>
      <c r="L58" s="528">
        <f>Fin!K236</f>
        <v>5076565.6290579503</v>
      </c>
      <c r="M58" s="528">
        <f>Fin!L236</f>
        <v>5108581.8566272482</v>
      </c>
      <c r="N58" s="528">
        <f>Fin!M236</f>
        <v>5124665.609437298</v>
      </c>
      <c r="O58" s="528">
        <f>Fin!N236</f>
        <v>2566363.2325235675</v>
      </c>
      <c r="P58" s="167"/>
      <c r="Q58" s="427" t="s">
        <v>1208</v>
      </c>
      <c r="R58" s="424"/>
      <c r="S58" s="526">
        <f>Fin!D264</f>
        <v>-63487171.701017223</v>
      </c>
      <c r="T58" s="190"/>
    </row>
    <row r="59" spans="2:20" s="93" customFormat="1" ht="18.75" customHeight="1">
      <c r="B59" s="189"/>
      <c r="C59" s="167" t="s">
        <v>272</v>
      </c>
      <c r="D59" s="167"/>
      <c r="E59" s="528">
        <f>Fin!D237</f>
        <v>0</v>
      </c>
      <c r="F59" s="528">
        <f>Fin!E237</f>
        <v>2873794.5646827295</v>
      </c>
      <c r="G59" s="528">
        <f>Fin!F237</f>
        <v>4142621.4925864632</v>
      </c>
      <c r="H59" s="528">
        <f>Fin!G237</f>
        <v>4880387.0814421521</v>
      </c>
      <c r="I59" s="528">
        <f>Fin!H237</f>
        <v>5195930.5757902302</v>
      </c>
      <c r="J59" s="528">
        <f>Fin!I237</f>
        <v>5256891.280477901</v>
      </c>
      <c r="K59" s="528">
        <f>Fin!J237</f>
        <v>5182687.0424630539</v>
      </c>
      <c r="L59" s="528">
        <f>Fin!K237</f>
        <v>5041767.5837204</v>
      </c>
      <c r="M59" s="528">
        <f>Fin!L237</f>
        <v>4869921.4273156114</v>
      </c>
      <c r="N59" s="528">
        <f>Fin!M237</f>
        <v>4685055.3986757603</v>
      </c>
      <c r="O59" s="528">
        <f>Fin!N237</f>
        <v>2247960.8718180819</v>
      </c>
      <c r="P59" s="167"/>
      <c r="Q59" s="427" t="s">
        <v>1209</v>
      </c>
      <c r="R59" s="424"/>
      <c r="S59" s="526">
        <f>Fin!D265</f>
        <v>-54209876.689616203</v>
      </c>
      <c r="T59" s="190"/>
    </row>
    <row r="60" spans="2:20" s="93" customFormat="1" ht="18.75" customHeight="1">
      <c r="B60" s="189"/>
      <c r="C60" s="93" t="s">
        <v>1197</v>
      </c>
      <c r="D60" s="167"/>
      <c r="E60" s="528">
        <f>Fin!D247</f>
        <v>67430000</v>
      </c>
      <c r="F60" s="528">
        <f>Fin!E247</f>
        <v>51728.302164289133</v>
      </c>
      <c r="G60" s="528">
        <f>Fin!F247</f>
        <v>75804.816524092545</v>
      </c>
      <c r="H60" s="528">
        <f>Fin!G247</f>
        <v>90843.556243331434</v>
      </c>
      <c r="I60" s="528">
        <f>Fin!H247</f>
        <v>98447.757533901473</v>
      </c>
      <c r="J60" s="528">
        <f>Fin!I247</f>
        <v>101455.29463960664</v>
      </c>
      <c r="K60" s="528">
        <f>Fin!J247</f>
        <v>101958.20909980277</v>
      </c>
      <c r="L60" s="528">
        <f>Fin!K247</f>
        <v>101183.33212778351</v>
      </c>
      <c r="M60" s="528">
        <f>Fin!L247</f>
        <v>99785.032839428604</v>
      </c>
      <c r="N60" s="528">
        <f>Fin!M247</f>
        <v>98097.210081130586</v>
      </c>
      <c r="O60" s="528">
        <f>Fin!N247</f>
        <v>48143.241043416492</v>
      </c>
      <c r="P60" s="167"/>
      <c r="Q60" s="427" t="s">
        <v>1210</v>
      </c>
      <c r="R60" s="424"/>
      <c r="S60" s="526">
        <f>Fin!D266</f>
        <v>10195820.909980277</v>
      </c>
      <c r="T60" s="190"/>
    </row>
    <row r="61" spans="2:20" s="93" customFormat="1" ht="18.75" customHeight="1">
      <c r="B61" s="189"/>
      <c r="C61" s="93" t="s">
        <v>1198</v>
      </c>
      <c r="D61" s="167"/>
      <c r="E61" s="528">
        <f>Fin!D240</f>
        <v>0</v>
      </c>
      <c r="F61" s="528">
        <f>Fin!E240</f>
        <v>258641.51082144567</v>
      </c>
      <c r="G61" s="528">
        <f>Fin!F240</f>
        <v>379024.08262046269</v>
      </c>
      <c r="H61" s="528">
        <f>Fin!G240</f>
        <v>454217.7812166572</v>
      </c>
      <c r="I61" s="528">
        <f>Fin!H240</f>
        <v>492238.78766950732</v>
      </c>
      <c r="J61" s="528">
        <f>Fin!I240</f>
        <v>507276.47319803323</v>
      </c>
      <c r="K61" s="528">
        <f>Fin!J240</f>
        <v>509791.04549901385</v>
      </c>
      <c r="L61" s="528">
        <f>Fin!K240</f>
        <v>505916.66063891753</v>
      </c>
      <c r="M61" s="528">
        <f>Fin!L240</f>
        <v>498925.16419714299</v>
      </c>
      <c r="N61" s="528">
        <f>Fin!M240</f>
        <v>490486.05040565296</v>
      </c>
      <c r="O61" s="528">
        <f>Fin!N240</f>
        <v>240716.20521708249</v>
      </c>
      <c r="P61" s="167"/>
      <c r="Q61" s="427" t="s">
        <v>491</v>
      </c>
      <c r="R61" s="424"/>
      <c r="S61" s="527">
        <f>Fin!D267</f>
        <v>2021.325</v>
      </c>
      <c r="T61" s="190"/>
    </row>
    <row r="62" spans="2:20" s="93" customFormat="1" ht="18.75" customHeight="1">
      <c r="B62" s="189"/>
      <c r="C62" s="93" t="s">
        <v>1396</v>
      </c>
      <c r="D62" s="167"/>
      <c r="E62" s="528">
        <f>Fin!D242</f>
        <v>0</v>
      </c>
      <c r="F62" s="528">
        <f>Fin!E242</f>
        <v>0</v>
      </c>
      <c r="G62" s="528">
        <f>Fin!F242</f>
        <v>0</v>
      </c>
      <c r="H62" s="528">
        <f>Fin!G242</f>
        <v>0</v>
      </c>
      <c r="I62" s="528">
        <f>Fin!H242</f>
        <v>0</v>
      </c>
      <c r="J62" s="528">
        <f>Fin!I242</f>
        <v>0</v>
      </c>
      <c r="K62" s="528">
        <f>Fin!J242</f>
        <v>0</v>
      </c>
      <c r="L62" s="528">
        <f>Fin!K242</f>
        <v>0</v>
      </c>
      <c r="M62" s="528">
        <f>Fin!L242</f>
        <v>0</v>
      </c>
      <c r="N62" s="528">
        <f>Fin!M242</f>
        <v>0</v>
      </c>
      <c r="O62" s="528">
        <f>Fin!N242</f>
        <v>0</v>
      </c>
      <c r="P62" s="167"/>
      <c r="Q62" s="427" t="s">
        <v>1211</v>
      </c>
      <c r="R62" s="424"/>
      <c r="S62" s="526">
        <f>Fin!D268</f>
        <v>61300000</v>
      </c>
      <c r="T62" s="190"/>
    </row>
    <row r="63" spans="2:20" s="93" customFormat="1" ht="18.75" customHeight="1">
      <c r="B63" s="189"/>
      <c r="C63" s="167" t="s">
        <v>1498</v>
      </c>
      <c r="D63" s="167"/>
      <c r="E63" s="528">
        <f>Fin!D252</f>
        <v>-67430000</v>
      </c>
      <c r="F63" s="528">
        <f>Fin!E252</f>
        <v>1538054.8510181967</v>
      </c>
      <c r="G63" s="528">
        <f>Fin!F252</f>
        <v>2212675.5560651449</v>
      </c>
      <c r="H63" s="528">
        <f>Fin!G252</f>
        <v>2601195.446389298</v>
      </c>
      <c r="I63" s="528">
        <f>Fin!H252</f>
        <v>2763146.4183520926</v>
      </c>
      <c r="J63" s="528">
        <f>Fin!I252</f>
        <v>2788895.7075841567</v>
      </c>
      <c r="K63" s="528">
        <f>Fin!J252</f>
        <v>2742562.6727185422</v>
      </c>
      <c r="L63" s="528">
        <f>Fin!K252</f>
        <v>2660800.5545722195</v>
      </c>
      <c r="M63" s="528">
        <f>Fin!L252</f>
        <v>2562726.7381674238</v>
      </c>
      <c r="N63" s="528">
        <f>Fin!M252</f>
        <v>2457883.2829133859</v>
      </c>
      <c r="O63" s="528">
        <f>Fin!N252</f>
        <v>1175460.8553345497</v>
      </c>
      <c r="P63" s="167"/>
      <c r="Q63" s="427" t="s">
        <v>616</v>
      </c>
      <c r="R63" s="424"/>
      <c r="S63" s="428">
        <f>Fin!D269</f>
        <v>0.22792184999999998</v>
      </c>
      <c r="T63" s="190"/>
    </row>
    <row r="64" spans="2:20" s="93" customFormat="1" ht="18.75" customHeight="1">
      <c r="B64" s="189"/>
      <c r="C64" s="167" t="s">
        <v>1196</v>
      </c>
      <c r="D64" s="167"/>
      <c r="E64" s="528">
        <f>Fin!D256</f>
        <v>-67430000</v>
      </c>
      <c r="F64" s="528">
        <f>Fin!E256</f>
        <v>350556.30704554176</v>
      </c>
      <c r="G64" s="528">
        <f>Fin!F256</f>
        <v>504317.10618814651</v>
      </c>
      <c r="H64" s="528">
        <f>Fin!G256</f>
        <v>592869.2783526245</v>
      </c>
      <c r="I64" s="528">
        <f>Fin!H256</f>
        <v>629781.44349168288</v>
      </c>
      <c r="J64" s="528">
        <f>Fin!I256</f>
        <v>635650.26912963996</v>
      </c>
      <c r="K64" s="528">
        <f>Fin!J256</f>
        <v>625089.95810695458</v>
      </c>
      <c r="L64" s="528">
        <f>Fin!K256</f>
        <v>606454.58487912617</v>
      </c>
      <c r="M64" s="528">
        <f>Fin!L256</f>
        <v>584101.41920758481</v>
      </c>
      <c r="N64" s="528">
        <f>Fin!M256</f>
        <v>560205.30492569227</v>
      </c>
      <c r="O64" s="528">
        <f>Fin!N256</f>
        <v>267913.2127504329</v>
      </c>
      <c r="P64" s="167"/>
      <c r="Q64" s="427" t="s">
        <v>1202</v>
      </c>
      <c r="R64" s="424"/>
      <c r="S64" s="527">
        <f>Fin!D270</f>
        <v>2031.325</v>
      </c>
      <c r="T64" s="190"/>
    </row>
    <row r="65" spans="2:20" s="93" customFormat="1" ht="18.75" customHeight="1">
      <c r="B65" s="189"/>
      <c r="C65" s="167" t="s">
        <v>1500</v>
      </c>
      <c r="D65" s="167"/>
      <c r="E65" s="528">
        <f>Fin!D259</f>
        <v>-67430000</v>
      </c>
      <c r="F65" s="528">
        <f>Fin!E259</f>
        <v>330713.49721277523</v>
      </c>
      <c r="G65" s="528">
        <f>Fin!F259</f>
        <v>448840.42914573377</v>
      </c>
      <c r="H65" s="528">
        <f>Fin!G259</f>
        <v>497784.47842230863</v>
      </c>
      <c r="I65" s="528">
        <f>Fin!H259</f>
        <v>498845.89061465545</v>
      </c>
      <c r="J65" s="528">
        <f>Fin!I259</f>
        <v>474994.85869163211</v>
      </c>
      <c r="K65" s="528">
        <f>Fin!J259</f>
        <v>440663.75469049328</v>
      </c>
      <c r="L65" s="528">
        <f>Fin!K259</f>
        <v>403326.93576274364</v>
      </c>
      <c r="M65" s="528">
        <f>Fin!L259</f>
        <v>366472.45652915706</v>
      </c>
      <c r="N65" s="528">
        <f>Fin!M259</f>
        <v>331584.65924688638</v>
      </c>
      <c r="O65" s="528">
        <f>Fin!N259</f>
        <v>149601.33866639048</v>
      </c>
      <c r="P65" s="167"/>
      <c r="Q65" s="424" t="s">
        <v>1207</v>
      </c>
      <c r="R65" s="424"/>
      <c r="S65" s="428">
        <f>Fin!D271</f>
        <v>-0.1603182220910816</v>
      </c>
      <c r="T65" s="190"/>
    </row>
    <row r="66" spans="2:20" s="93" customFormat="1" ht="15.75" thickBot="1">
      <c r="B66" s="191"/>
      <c r="C66" s="192"/>
      <c r="D66" s="192"/>
      <c r="E66" s="192"/>
      <c r="F66" s="192"/>
      <c r="G66" s="192"/>
      <c r="H66" s="192"/>
      <c r="I66" s="192"/>
      <c r="J66" s="192"/>
      <c r="K66" s="192"/>
      <c r="L66" s="192"/>
      <c r="M66" s="192"/>
      <c r="N66" s="192"/>
      <c r="O66" s="192"/>
      <c r="P66" s="192"/>
      <c r="Q66" s="192"/>
      <c r="R66" s="192"/>
      <c r="S66" s="192"/>
      <c r="T66" s="193"/>
    </row>
    <row r="67" spans="2:20" s="93" customFormat="1" ht="15" customHeight="1">
      <c r="B67" s="189"/>
      <c r="C67" s="425" t="s">
        <v>1203</v>
      </c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90"/>
    </row>
    <row r="68" spans="2:20" s="93" customFormat="1">
      <c r="B68" s="189"/>
      <c r="C68" s="167"/>
      <c r="D68" s="167"/>
      <c r="E68" s="167"/>
      <c r="F68" s="167"/>
      <c r="G68" s="167"/>
      <c r="H68" s="167"/>
      <c r="I68" s="167"/>
      <c r="J68" s="167"/>
      <c r="K68" s="167"/>
      <c r="L68" s="167"/>
      <c r="M68" s="167"/>
      <c r="N68" s="167"/>
      <c r="O68" s="167"/>
      <c r="P68" s="167"/>
      <c r="Q68" s="167"/>
      <c r="R68" s="167"/>
      <c r="S68" s="167"/>
      <c r="T68" s="190"/>
    </row>
    <row r="69" spans="2:20" s="93" customFormat="1">
      <c r="B69" s="189"/>
      <c r="C69" s="167"/>
      <c r="D69" s="167"/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7"/>
      <c r="P69" s="167"/>
      <c r="Q69" s="167"/>
      <c r="R69" s="167"/>
      <c r="S69" s="167"/>
      <c r="T69" s="190"/>
    </row>
    <row r="70" spans="2:20" s="93" customFormat="1">
      <c r="B70" s="189"/>
      <c r="C70" s="167"/>
      <c r="D70" s="167"/>
      <c r="E70" s="167"/>
      <c r="F70" s="167"/>
      <c r="G70" s="167"/>
      <c r="H70" s="167"/>
      <c r="I70" s="167"/>
      <c r="J70" s="167"/>
      <c r="K70" s="167"/>
      <c r="L70" s="167"/>
      <c r="M70" s="167"/>
      <c r="N70" s="167"/>
      <c r="O70" s="167"/>
      <c r="P70" s="167"/>
      <c r="Q70" s="167"/>
      <c r="R70" s="167"/>
      <c r="S70" s="167"/>
      <c r="T70" s="190"/>
    </row>
    <row r="71" spans="2:20" s="93" customFormat="1">
      <c r="B71" s="189"/>
      <c r="C71" s="167"/>
      <c r="D71" s="167"/>
      <c r="E71" s="167"/>
      <c r="F71" s="167"/>
      <c r="G71" s="167"/>
      <c r="H71" s="167"/>
      <c r="I71" s="167"/>
      <c r="J71" s="167"/>
      <c r="K71" s="167"/>
      <c r="L71" s="167"/>
      <c r="M71" s="167"/>
      <c r="N71" s="167"/>
      <c r="O71" s="167"/>
      <c r="P71" s="167"/>
      <c r="Q71" s="167"/>
      <c r="R71" s="167"/>
      <c r="S71" s="167"/>
      <c r="T71" s="190"/>
    </row>
    <row r="72" spans="2:20" s="93" customFormat="1">
      <c r="B72" s="189"/>
      <c r="C72" s="167"/>
      <c r="D72" s="167"/>
      <c r="E72" s="167"/>
      <c r="F72" s="167"/>
      <c r="G72" s="167"/>
      <c r="H72" s="167"/>
      <c r="I72" s="167"/>
      <c r="J72" s="167"/>
      <c r="K72" s="167"/>
      <c r="L72" s="167"/>
      <c r="M72" s="167"/>
      <c r="N72" s="167"/>
      <c r="O72" s="167"/>
      <c r="P72" s="167"/>
      <c r="Q72" s="167"/>
      <c r="R72" s="167"/>
      <c r="S72" s="167"/>
      <c r="T72" s="190"/>
    </row>
    <row r="73" spans="2:20" s="93" customFormat="1">
      <c r="B73" s="189"/>
      <c r="C73" s="167"/>
      <c r="D73" s="167"/>
      <c r="E73" s="167"/>
      <c r="F73" s="167"/>
      <c r="G73" s="167"/>
      <c r="H73" s="167"/>
      <c r="I73" s="167"/>
      <c r="J73" s="167"/>
      <c r="K73" s="167"/>
      <c r="L73" s="167"/>
      <c r="M73" s="167"/>
      <c r="N73" s="167"/>
      <c r="O73" s="167"/>
      <c r="P73" s="167"/>
      <c r="Q73" s="167"/>
      <c r="R73" s="167"/>
      <c r="S73" s="167"/>
      <c r="T73" s="190"/>
    </row>
    <row r="74" spans="2:20" s="93" customFormat="1">
      <c r="B74" s="189"/>
      <c r="C74" s="167"/>
      <c r="D74" s="167"/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7"/>
      <c r="P74" s="167"/>
      <c r="Q74" s="167"/>
      <c r="R74" s="167"/>
      <c r="S74" s="167"/>
      <c r="T74" s="190"/>
    </row>
    <row r="75" spans="2:20" s="93" customFormat="1">
      <c r="B75" s="189"/>
      <c r="C75" s="167"/>
      <c r="D75" s="167"/>
      <c r="E75" s="167"/>
      <c r="F75" s="167"/>
      <c r="G75" s="167"/>
      <c r="H75" s="167"/>
      <c r="I75" s="167"/>
      <c r="J75" s="167"/>
      <c r="K75" s="167"/>
      <c r="L75" s="167"/>
      <c r="M75" s="167"/>
      <c r="N75" s="167"/>
      <c r="O75" s="167"/>
      <c r="P75" s="167"/>
      <c r="Q75" s="167"/>
      <c r="R75" s="167"/>
      <c r="S75" s="167"/>
      <c r="T75" s="190"/>
    </row>
    <row r="76" spans="2:20" s="93" customFormat="1">
      <c r="B76" s="189"/>
      <c r="C76" s="167"/>
      <c r="D76" s="167"/>
      <c r="E76" s="167"/>
      <c r="F76" s="167"/>
      <c r="G76" s="167"/>
      <c r="H76" s="167"/>
      <c r="I76" s="167"/>
      <c r="J76" s="167"/>
      <c r="K76" s="167"/>
      <c r="L76" s="167"/>
      <c r="M76" s="167"/>
      <c r="N76" s="167"/>
      <c r="O76" s="167"/>
      <c r="P76" s="167"/>
      <c r="Q76" s="167"/>
      <c r="R76" s="167"/>
      <c r="S76" s="167"/>
      <c r="T76" s="190"/>
    </row>
    <row r="77" spans="2:20" s="93" customFormat="1">
      <c r="B77" s="189"/>
      <c r="C77" s="167"/>
      <c r="D77" s="167"/>
      <c r="E77" s="167"/>
      <c r="F77" s="167"/>
      <c r="G77" s="167"/>
      <c r="H77" s="167"/>
      <c r="I77" s="167"/>
      <c r="J77" s="167"/>
      <c r="K77" s="167"/>
      <c r="L77" s="167"/>
      <c r="M77" s="167"/>
      <c r="N77" s="167"/>
      <c r="O77" s="167"/>
      <c r="P77" s="167"/>
      <c r="Q77" s="167"/>
      <c r="R77" s="167"/>
      <c r="S77" s="167"/>
      <c r="T77" s="190"/>
    </row>
    <row r="78" spans="2:20" s="93" customFormat="1">
      <c r="B78" s="189"/>
      <c r="C78" s="167"/>
      <c r="D78" s="167"/>
      <c r="E78" s="167"/>
      <c r="F78" s="167"/>
      <c r="G78" s="167"/>
      <c r="H78" s="167"/>
      <c r="I78" s="167"/>
      <c r="J78" s="167"/>
      <c r="K78" s="167"/>
      <c r="L78" s="167"/>
      <c r="M78" s="167"/>
      <c r="N78" s="167"/>
      <c r="O78" s="167"/>
      <c r="P78" s="167"/>
      <c r="Q78" s="167"/>
      <c r="R78" s="167"/>
      <c r="S78" s="167"/>
      <c r="T78" s="190"/>
    </row>
    <row r="79" spans="2:20" s="93" customFormat="1">
      <c r="B79" s="189"/>
      <c r="C79" s="167"/>
      <c r="D79" s="167"/>
      <c r="E79" s="167"/>
      <c r="F79" s="167"/>
      <c r="G79" s="167"/>
      <c r="H79" s="167"/>
      <c r="I79" s="167"/>
      <c r="J79" s="167"/>
      <c r="K79" s="167"/>
      <c r="L79" s="167"/>
      <c r="M79" s="167"/>
      <c r="N79" s="167"/>
      <c r="O79" s="167"/>
      <c r="P79" s="167"/>
      <c r="Q79" s="167"/>
      <c r="R79" s="167"/>
      <c r="S79" s="167"/>
      <c r="T79" s="190"/>
    </row>
    <row r="80" spans="2:20" s="93" customFormat="1">
      <c r="B80" s="189"/>
      <c r="C80" s="167"/>
      <c r="D80" s="167"/>
      <c r="E80" s="167"/>
      <c r="F80" s="167"/>
      <c r="G80" s="167"/>
      <c r="H80" s="167"/>
      <c r="I80" s="167"/>
      <c r="J80" s="167"/>
      <c r="K80" s="167"/>
      <c r="L80" s="167"/>
      <c r="M80" s="167"/>
      <c r="N80" s="167"/>
      <c r="O80" s="167"/>
      <c r="P80" s="167"/>
      <c r="Q80" s="167"/>
      <c r="R80" s="167"/>
      <c r="S80" s="167"/>
      <c r="T80" s="190"/>
    </row>
    <row r="81" spans="2:20" s="93" customFormat="1" ht="15.75" thickBot="1">
      <c r="B81" s="189"/>
      <c r="C81" s="167"/>
      <c r="D81" s="167"/>
      <c r="E81" s="167"/>
      <c r="F81" s="167"/>
      <c r="G81" s="167"/>
      <c r="H81" s="167"/>
      <c r="I81" s="167"/>
      <c r="J81" s="167"/>
      <c r="K81" s="167"/>
      <c r="L81" s="167"/>
      <c r="M81" s="167"/>
      <c r="N81" s="167"/>
      <c r="O81" s="167"/>
      <c r="P81" s="167"/>
      <c r="Q81" s="167"/>
      <c r="R81" s="167"/>
      <c r="S81" s="167"/>
      <c r="T81" s="190"/>
    </row>
    <row r="82" spans="2:20" s="93" customFormat="1">
      <c r="B82" s="186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188"/>
    </row>
    <row r="83" spans="2:20" s="93" customFormat="1">
      <c r="B83" s="189"/>
      <c r="C83" s="168" t="s">
        <v>511</v>
      </c>
      <c r="D83" s="167"/>
      <c r="E83" s="167"/>
      <c r="F83" s="167"/>
      <c r="G83" s="167"/>
      <c r="H83" s="167"/>
      <c r="I83" s="167"/>
      <c r="J83" s="167"/>
      <c r="K83" s="168"/>
      <c r="L83" s="168"/>
      <c r="M83" s="168"/>
      <c r="N83" s="168"/>
      <c r="O83" s="168"/>
      <c r="P83" s="168"/>
      <c r="Q83" s="168"/>
      <c r="R83" s="168"/>
      <c r="S83" s="168"/>
      <c r="T83" s="190"/>
    </row>
    <row r="84" spans="2:20" s="93" customFormat="1" ht="24.75" customHeight="1">
      <c r="B84" s="189"/>
      <c r="C84" s="167" t="s">
        <v>1397</v>
      </c>
      <c r="D84" s="408" t="s">
        <v>124</v>
      </c>
      <c r="E84" s="446" t="s">
        <v>517</v>
      </c>
      <c r="F84" s="530">
        <f>Fin!E360</f>
        <v>2021.325</v>
      </c>
      <c r="G84" s="175">
        <f>Fin!F360</f>
        <v>2022.325</v>
      </c>
      <c r="H84" s="175">
        <f>Fin!G360</f>
        <v>2023.325</v>
      </c>
      <c r="I84" s="175">
        <f>Fin!H360</f>
        <v>2024.325</v>
      </c>
      <c r="J84" s="175">
        <f>Fin!I360</f>
        <v>2025.325</v>
      </c>
      <c r="K84" s="175">
        <f>Fin!J360</f>
        <v>2026.325</v>
      </c>
      <c r="L84" s="175">
        <f>Fin!K360</f>
        <v>2027.325</v>
      </c>
      <c r="M84" s="175">
        <f>Fin!L360</f>
        <v>2028.325</v>
      </c>
      <c r="N84" s="175">
        <f>Fin!M360</f>
        <v>2029.325</v>
      </c>
      <c r="O84" s="175">
        <f>Fin!N360</f>
        <v>2030.325</v>
      </c>
      <c r="P84" s="167"/>
      <c r="Q84" s="593" t="s">
        <v>1199</v>
      </c>
      <c r="R84" s="593"/>
      <c r="S84" s="593"/>
      <c r="T84" s="190"/>
    </row>
    <row r="85" spans="2:20" s="93" customFormat="1" ht="18.75" customHeight="1">
      <c r="B85" s="189"/>
      <c r="C85" s="167" t="s">
        <v>1386</v>
      </c>
      <c r="D85" s="167"/>
      <c r="E85" s="528">
        <f>Fin!D365</f>
        <v>0</v>
      </c>
      <c r="F85" s="528">
        <f>Fin!E365</f>
        <v>5172830.2164289132</v>
      </c>
      <c r="G85" s="528">
        <f>Fin!F365</f>
        <v>7580481.6524092536</v>
      </c>
      <c r="H85" s="528">
        <f>Fin!G365</f>
        <v>9084355.6243331432</v>
      </c>
      <c r="I85" s="528">
        <f>Fin!H365</f>
        <v>9844775.7533901464</v>
      </c>
      <c r="J85" s="528">
        <f>Fin!I365</f>
        <v>10145529.463960664</v>
      </c>
      <c r="K85" s="528">
        <f>Fin!J365</f>
        <v>10195820.909980277</v>
      </c>
      <c r="L85" s="528">
        <f>Fin!K365</f>
        <v>10118333.21277835</v>
      </c>
      <c r="M85" s="528">
        <f>Fin!L365</f>
        <v>9978503.2839428596</v>
      </c>
      <c r="N85" s="528">
        <f>Fin!M365</f>
        <v>9809721.0081130583</v>
      </c>
      <c r="O85" s="528">
        <f>Fin!N365</f>
        <v>4814324.1043416495</v>
      </c>
      <c r="P85" s="167"/>
      <c r="Q85" s="427" t="s">
        <v>615</v>
      </c>
      <c r="R85" s="424"/>
      <c r="S85" s="428">
        <f>Fin!D394</f>
        <v>7.9444444373089534E-2</v>
      </c>
      <c r="T85" s="190"/>
    </row>
    <row r="86" spans="2:20" s="93" customFormat="1" ht="18.75" customHeight="1">
      <c r="B86" s="189"/>
      <c r="C86" s="93" t="s">
        <v>267</v>
      </c>
      <c r="D86" s="167"/>
      <c r="E86" s="528">
        <f>Fin!D367</f>
        <v>0</v>
      </c>
      <c r="F86" s="528">
        <f>Fin!E367</f>
        <v>2299035.6517461836</v>
      </c>
      <c r="G86" s="528">
        <f>Fin!F367</f>
        <v>3437860.1598227904</v>
      </c>
      <c r="H86" s="528">
        <f>Fin!G367</f>
        <v>4203968.5428909911</v>
      </c>
      <c r="I86" s="528">
        <f>Fin!H367</f>
        <v>4648845.1775999162</v>
      </c>
      <c r="J86" s="528">
        <f>Fin!I367</f>
        <v>4888638.1834827634</v>
      </c>
      <c r="K86" s="528">
        <f>Fin!J367</f>
        <v>5013133.8675172227</v>
      </c>
      <c r="L86" s="528">
        <f>Fin!K367</f>
        <v>5076565.6290579503</v>
      </c>
      <c r="M86" s="528">
        <f>Fin!L367</f>
        <v>5108581.8566272482</v>
      </c>
      <c r="N86" s="528">
        <f>Fin!M367</f>
        <v>5124665.609437298</v>
      </c>
      <c r="O86" s="528">
        <f>Fin!N367</f>
        <v>2566363.2325235675</v>
      </c>
      <c r="P86" s="167"/>
      <c r="Q86" s="427" t="s">
        <v>1208</v>
      </c>
      <c r="R86" s="424"/>
      <c r="S86" s="526">
        <f>Fin!D395</f>
        <v>-63487171.701017223</v>
      </c>
      <c r="T86" s="190"/>
    </row>
    <row r="87" spans="2:20" s="93" customFormat="1" ht="18.75" customHeight="1">
      <c r="B87" s="189"/>
      <c r="C87" s="167" t="s">
        <v>272</v>
      </c>
      <c r="D87" s="167"/>
      <c r="E87" s="528">
        <f>Fin!D368</f>
        <v>0</v>
      </c>
      <c r="F87" s="528">
        <f>Fin!E368</f>
        <v>2873794.5646827295</v>
      </c>
      <c r="G87" s="528">
        <f>Fin!F368</f>
        <v>4142621.4925864632</v>
      </c>
      <c r="H87" s="528">
        <f>Fin!G368</f>
        <v>4880387.0814421521</v>
      </c>
      <c r="I87" s="528">
        <f>Fin!H368</f>
        <v>5195930.5757902302</v>
      </c>
      <c r="J87" s="528">
        <f>Fin!I368</f>
        <v>5256891.280477901</v>
      </c>
      <c r="K87" s="528">
        <f>Fin!J368</f>
        <v>5182687.0424630539</v>
      </c>
      <c r="L87" s="528">
        <f>Fin!K368</f>
        <v>5041767.5837204</v>
      </c>
      <c r="M87" s="528">
        <f>Fin!L368</f>
        <v>4869921.4273156114</v>
      </c>
      <c r="N87" s="528">
        <f>Fin!M368</f>
        <v>4685055.3986757603</v>
      </c>
      <c r="O87" s="528">
        <f>Fin!N368</f>
        <v>2247960.8718180819</v>
      </c>
      <c r="P87" s="167"/>
      <c r="Q87" s="427" t="s">
        <v>1209</v>
      </c>
      <c r="R87" s="424"/>
      <c r="S87" s="526">
        <f>Fin!D396</f>
        <v>-54209876.689616203</v>
      </c>
      <c r="T87" s="190"/>
    </row>
    <row r="88" spans="2:20" s="93" customFormat="1" ht="18.75" customHeight="1">
      <c r="B88" s="189"/>
      <c r="C88" s="93" t="s">
        <v>1197</v>
      </c>
      <c r="D88" s="167"/>
      <c r="E88" s="528">
        <f>Fin!D378</f>
        <v>67430000</v>
      </c>
      <c r="F88" s="528">
        <f>Fin!E378</f>
        <v>51728.302164289133</v>
      </c>
      <c r="G88" s="528">
        <f>Fin!F378</f>
        <v>75804.816524092545</v>
      </c>
      <c r="H88" s="528">
        <f>Fin!G378</f>
        <v>90843.556243331434</v>
      </c>
      <c r="I88" s="528">
        <f>Fin!H378</f>
        <v>98447.757533901473</v>
      </c>
      <c r="J88" s="528">
        <f>Fin!I378</f>
        <v>101455.29463960664</v>
      </c>
      <c r="K88" s="528">
        <f>Fin!J378</f>
        <v>101958.20909980277</v>
      </c>
      <c r="L88" s="528">
        <f>Fin!K378</f>
        <v>101183.33212778351</v>
      </c>
      <c r="M88" s="528">
        <f>Fin!L378</f>
        <v>99785.032839428604</v>
      </c>
      <c r="N88" s="528">
        <f>Fin!M378</f>
        <v>98097.210081130586</v>
      </c>
      <c r="O88" s="528">
        <f>Fin!N378</f>
        <v>48143.241043416492</v>
      </c>
      <c r="P88" s="167"/>
      <c r="Q88" s="427" t="s">
        <v>1210</v>
      </c>
      <c r="R88" s="424"/>
      <c r="S88" s="526">
        <f>Fin!D397</f>
        <v>10195820.909980277</v>
      </c>
      <c r="T88" s="190"/>
    </row>
    <row r="89" spans="2:20" s="93" customFormat="1" ht="18.75" customHeight="1">
      <c r="B89" s="189"/>
      <c r="C89" s="93" t="s">
        <v>1198</v>
      </c>
      <c r="D89" s="167"/>
      <c r="E89" s="528">
        <f>Fin!D371</f>
        <v>0</v>
      </c>
      <c r="F89" s="528">
        <f>Fin!E371</f>
        <v>258641.51082144567</v>
      </c>
      <c r="G89" s="528">
        <f>Fin!F371</f>
        <v>379024.08262046269</v>
      </c>
      <c r="H89" s="528">
        <f>Fin!G371</f>
        <v>454217.7812166572</v>
      </c>
      <c r="I89" s="528">
        <f>Fin!H371</f>
        <v>492238.78766950732</v>
      </c>
      <c r="J89" s="528">
        <f>Fin!I371</f>
        <v>507276.47319803323</v>
      </c>
      <c r="K89" s="528">
        <f>Fin!J371</f>
        <v>509791.04549901385</v>
      </c>
      <c r="L89" s="528">
        <f>Fin!K371</f>
        <v>505916.66063891753</v>
      </c>
      <c r="M89" s="528">
        <f>Fin!L371</f>
        <v>498925.16419714299</v>
      </c>
      <c r="N89" s="528">
        <f>Fin!M371</f>
        <v>490486.05040565296</v>
      </c>
      <c r="O89" s="528">
        <f>Fin!N371</f>
        <v>240716.20521708249</v>
      </c>
      <c r="P89" s="167"/>
      <c r="Q89" s="427" t="s">
        <v>491</v>
      </c>
      <c r="R89" s="424"/>
      <c r="S89" s="527">
        <f>Fin!D398</f>
        <v>2021.325</v>
      </c>
      <c r="T89" s="190"/>
    </row>
    <row r="90" spans="2:20" s="93" customFormat="1" ht="18.75" customHeight="1">
      <c r="B90" s="189"/>
      <c r="C90" s="93" t="s">
        <v>1396</v>
      </c>
      <c r="D90" s="167"/>
      <c r="E90" s="528">
        <f>Fin!D373</f>
        <v>0</v>
      </c>
      <c r="F90" s="528">
        <f>Fin!E373</f>
        <v>0</v>
      </c>
      <c r="G90" s="528">
        <f>Fin!F373</f>
        <v>0</v>
      </c>
      <c r="H90" s="528">
        <f>Fin!G373</f>
        <v>0</v>
      </c>
      <c r="I90" s="528">
        <f>Fin!H373</f>
        <v>0</v>
      </c>
      <c r="J90" s="528">
        <f>Fin!I373</f>
        <v>0</v>
      </c>
      <c r="K90" s="528">
        <f>Fin!J373</f>
        <v>0</v>
      </c>
      <c r="L90" s="528">
        <f>Fin!K373</f>
        <v>0</v>
      </c>
      <c r="M90" s="528">
        <f>Fin!L373</f>
        <v>0</v>
      </c>
      <c r="N90" s="528">
        <f>Fin!M373</f>
        <v>0</v>
      </c>
      <c r="O90" s="528">
        <f>Fin!N373</f>
        <v>0</v>
      </c>
      <c r="P90" s="167"/>
      <c r="Q90" s="427" t="s">
        <v>1211</v>
      </c>
      <c r="R90" s="424"/>
      <c r="S90" s="526">
        <f>Fin!D399</f>
        <v>61300000</v>
      </c>
      <c r="T90" s="190"/>
    </row>
    <row r="91" spans="2:20" s="93" customFormat="1" ht="18.75" customHeight="1">
      <c r="B91" s="189"/>
      <c r="C91" s="167" t="s">
        <v>1498</v>
      </c>
      <c r="D91" s="167"/>
      <c r="E91" s="528">
        <f>Fin!D383</f>
        <v>-67430000</v>
      </c>
      <c r="F91" s="528">
        <f>Fin!E383</f>
        <v>1538054.8510181967</v>
      </c>
      <c r="G91" s="528">
        <f>Fin!F383</f>
        <v>2212675.5560651449</v>
      </c>
      <c r="H91" s="528">
        <f>Fin!G383</f>
        <v>2601195.446389298</v>
      </c>
      <c r="I91" s="528">
        <f>Fin!H383</f>
        <v>2763146.4183520926</v>
      </c>
      <c r="J91" s="528">
        <f>Fin!I383</f>
        <v>2788895.7075841567</v>
      </c>
      <c r="K91" s="528">
        <f>Fin!J383</f>
        <v>2742562.6727185422</v>
      </c>
      <c r="L91" s="528">
        <f>Fin!K383</f>
        <v>2660800.5545722195</v>
      </c>
      <c r="M91" s="528">
        <f>Fin!L383</f>
        <v>2562726.7381674238</v>
      </c>
      <c r="N91" s="528">
        <f>Fin!M383</f>
        <v>2457883.2829133859</v>
      </c>
      <c r="O91" s="528">
        <f>Fin!N383</f>
        <v>1175460.8553345497</v>
      </c>
      <c r="P91" s="167"/>
      <c r="Q91" s="427" t="s">
        <v>616</v>
      </c>
      <c r="R91" s="424"/>
      <c r="S91" s="428">
        <f>Fin!D400</f>
        <v>0.22792184999999998</v>
      </c>
      <c r="T91" s="190"/>
    </row>
    <row r="92" spans="2:20" s="93" customFormat="1" ht="18.75" customHeight="1">
      <c r="B92" s="189"/>
      <c r="C92" s="167" t="s">
        <v>1196</v>
      </c>
      <c r="D92" s="167"/>
      <c r="E92" s="528">
        <f>Fin!D387</f>
        <v>-67430000</v>
      </c>
      <c r="F92" s="528">
        <f>Fin!E387</f>
        <v>350556.30704554176</v>
      </c>
      <c r="G92" s="528">
        <f>Fin!F387</f>
        <v>504317.10618814651</v>
      </c>
      <c r="H92" s="528">
        <f>Fin!G387</f>
        <v>592869.2783526245</v>
      </c>
      <c r="I92" s="528">
        <f>Fin!H387</f>
        <v>629781.44349168288</v>
      </c>
      <c r="J92" s="528">
        <f>Fin!I387</f>
        <v>635650.26912963996</v>
      </c>
      <c r="K92" s="528">
        <f>Fin!J387</f>
        <v>625089.95810695458</v>
      </c>
      <c r="L92" s="528">
        <f>Fin!K387</f>
        <v>606454.58487912617</v>
      </c>
      <c r="M92" s="528">
        <f>Fin!L387</f>
        <v>584101.41920758481</v>
      </c>
      <c r="N92" s="528">
        <f>Fin!M387</f>
        <v>560205.30492569227</v>
      </c>
      <c r="O92" s="528">
        <f>Fin!N387</f>
        <v>267913.2127504329</v>
      </c>
      <c r="P92" s="167"/>
      <c r="Q92" s="427" t="s">
        <v>1202</v>
      </c>
      <c r="R92" s="424"/>
      <c r="S92" s="527">
        <f>Fin!D401</f>
        <v>2031.325</v>
      </c>
      <c r="T92" s="190"/>
    </row>
    <row r="93" spans="2:20" s="93" customFormat="1" ht="18.75" customHeight="1">
      <c r="B93" s="189"/>
      <c r="C93" s="167" t="s">
        <v>1500</v>
      </c>
      <c r="D93" s="167"/>
      <c r="E93" s="528">
        <f>Fin!D390</f>
        <v>-67430000</v>
      </c>
      <c r="F93" s="528">
        <f>Fin!E390</f>
        <v>330713.49721277523</v>
      </c>
      <c r="G93" s="528">
        <f>Fin!F390</f>
        <v>448840.42914573377</v>
      </c>
      <c r="H93" s="528">
        <f>Fin!G390</f>
        <v>497784.47842230863</v>
      </c>
      <c r="I93" s="528">
        <f>Fin!H390</f>
        <v>498845.89061465545</v>
      </c>
      <c r="J93" s="528">
        <f>Fin!I390</f>
        <v>474994.85869163211</v>
      </c>
      <c r="K93" s="528">
        <f>Fin!J390</f>
        <v>440663.75469049328</v>
      </c>
      <c r="L93" s="528">
        <f>Fin!K390</f>
        <v>403326.93576274364</v>
      </c>
      <c r="M93" s="528">
        <f>Fin!L390</f>
        <v>366472.45652915706</v>
      </c>
      <c r="N93" s="528">
        <f>Fin!M390</f>
        <v>331584.65924688638</v>
      </c>
      <c r="O93" s="528">
        <f>Fin!N390</f>
        <v>149601.33866639048</v>
      </c>
      <c r="P93" s="167"/>
      <c r="Q93" s="424" t="s">
        <v>1207</v>
      </c>
      <c r="R93" s="424"/>
      <c r="S93" s="428">
        <f>Fin!D402</f>
        <v>-0.1603182220910816</v>
      </c>
      <c r="T93" s="190"/>
    </row>
    <row r="94" spans="2:20" s="93" customFormat="1" ht="15.75" thickBot="1">
      <c r="B94" s="191"/>
      <c r="C94" s="192"/>
      <c r="D94" s="192"/>
      <c r="E94" s="192"/>
      <c r="F94" s="192"/>
      <c r="G94" s="192"/>
      <c r="H94" s="192"/>
      <c r="I94" s="192"/>
      <c r="J94" s="192"/>
      <c r="K94" s="192"/>
      <c r="L94" s="192"/>
      <c r="M94" s="192"/>
      <c r="N94" s="192"/>
      <c r="O94" s="192"/>
      <c r="P94" s="192"/>
      <c r="Q94" s="192"/>
      <c r="R94" s="192"/>
      <c r="S94" s="192"/>
      <c r="T94" s="193"/>
    </row>
    <row r="95" spans="2:20" s="93" customFormat="1" ht="15" customHeight="1">
      <c r="B95" s="186"/>
      <c r="C95" s="425" t="s">
        <v>1203</v>
      </c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8"/>
    </row>
    <row r="96" spans="2:20" s="93" customFormat="1">
      <c r="B96" s="189"/>
      <c r="C96" s="167"/>
      <c r="D96" s="167"/>
      <c r="E96" s="167"/>
      <c r="F96" s="167"/>
      <c r="G96" s="167"/>
      <c r="H96" s="167"/>
      <c r="I96" s="167"/>
      <c r="J96" s="167"/>
      <c r="K96" s="167"/>
      <c r="L96" s="167"/>
      <c r="M96" s="167"/>
      <c r="N96" s="167"/>
      <c r="O96" s="167"/>
      <c r="P96" s="167"/>
      <c r="Q96" s="167"/>
      <c r="R96" s="167"/>
      <c r="S96" s="167"/>
      <c r="T96" s="190"/>
    </row>
    <row r="97" spans="1:20" s="93" customFormat="1">
      <c r="B97" s="189"/>
      <c r="C97" s="167"/>
      <c r="D97" s="167"/>
      <c r="E97" s="167"/>
      <c r="F97" s="167"/>
      <c r="G97" s="167"/>
      <c r="H97" s="167"/>
      <c r="I97" s="167"/>
      <c r="J97" s="167"/>
      <c r="K97" s="167"/>
      <c r="L97" s="167"/>
      <c r="M97" s="167"/>
      <c r="N97" s="167"/>
      <c r="O97" s="167"/>
      <c r="P97" s="167"/>
      <c r="Q97" s="167"/>
      <c r="R97" s="167"/>
      <c r="S97" s="167"/>
      <c r="T97" s="190"/>
    </row>
    <row r="98" spans="1:20" s="93" customFormat="1">
      <c r="B98" s="189"/>
      <c r="C98" s="167"/>
      <c r="D98" s="167"/>
      <c r="E98" s="167"/>
      <c r="F98" s="167"/>
      <c r="G98" s="167"/>
      <c r="H98" s="167"/>
      <c r="I98" s="167"/>
      <c r="J98" s="167"/>
      <c r="K98" s="167"/>
      <c r="L98" s="167"/>
      <c r="M98" s="167"/>
      <c r="N98" s="167"/>
      <c r="O98" s="167"/>
      <c r="P98" s="167"/>
      <c r="Q98" s="167"/>
      <c r="R98" s="167"/>
      <c r="S98" s="167"/>
      <c r="T98" s="190"/>
    </row>
    <row r="99" spans="1:20" s="93" customFormat="1">
      <c r="B99" s="189"/>
      <c r="C99" s="167"/>
      <c r="D99" s="167"/>
      <c r="E99" s="167"/>
      <c r="F99" s="167"/>
      <c r="G99" s="167"/>
      <c r="H99" s="167"/>
      <c r="I99" s="167"/>
      <c r="J99" s="167"/>
      <c r="K99" s="167"/>
      <c r="L99" s="167"/>
      <c r="M99" s="167"/>
      <c r="N99" s="167"/>
      <c r="O99" s="167"/>
      <c r="P99" s="167"/>
      <c r="Q99" s="167"/>
      <c r="R99" s="167"/>
      <c r="S99" s="167"/>
      <c r="T99" s="190"/>
    </row>
    <row r="100" spans="1:20" s="93" customFormat="1">
      <c r="B100" s="189"/>
      <c r="C100" s="167"/>
      <c r="D100" s="167"/>
      <c r="E100" s="167"/>
      <c r="F100" s="167"/>
      <c r="G100" s="167"/>
      <c r="H100" s="167"/>
      <c r="I100" s="167"/>
      <c r="J100" s="167"/>
      <c r="K100" s="167"/>
      <c r="L100" s="167"/>
      <c r="M100" s="167"/>
      <c r="N100" s="167"/>
      <c r="O100" s="167"/>
      <c r="P100" s="167"/>
      <c r="Q100" s="167"/>
      <c r="R100" s="167"/>
      <c r="S100" s="167"/>
      <c r="T100" s="190"/>
    </row>
    <row r="101" spans="1:20" s="93" customFormat="1">
      <c r="B101" s="189"/>
      <c r="C101" s="167"/>
      <c r="D101" s="167"/>
      <c r="E101" s="167"/>
      <c r="F101" s="167"/>
      <c r="G101" s="167"/>
      <c r="H101" s="167"/>
      <c r="I101" s="167"/>
      <c r="J101" s="167"/>
      <c r="K101" s="167"/>
      <c r="L101" s="167"/>
      <c r="M101" s="167"/>
      <c r="N101" s="167"/>
      <c r="O101" s="167"/>
      <c r="P101" s="167"/>
      <c r="Q101" s="167"/>
      <c r="R101" s="167"/>
      <c r="S101" s="167"/>
      <c r="T101" s="190"/>
    </row>
    <row r="102" spans="1:20" s="93" customFormat="1">
      <c r="B102" s="189"/>
      <c r="C102" s="167"/>
      <c r="D102" s="167"/>
      <c r="E102" s="167"/>
      <c r="F102" s="167"/>
      <c r="G102" s="167"/>
      <c r="H102" s="167"/>
      <c r="I102" s="167"/>
      <c r="J102" s="167"/>
      <c r="K102" s="167"/>
      <c r="L102" s="167"/>
      <c r="M102" s="167"/>
      <c r="N102" s="167"/>
      <c r="O102" s="167"/>
      <c r="P102" s="167"/>
      <c r="Q102" s="167"/>
      <c r="R102" s="167"/>
      <c r="S102" s="167"/>
      <c r="T102" s="190"/>
    </row>
    <row r="103" spans="1:20" s="93" customFormat="1">
      <c r="B103" s="189"/>
      <c r="C103" s="167"/>
      <c r="D103" s="167"/>
      <c r="E103" s="167"/>
      <c r="F103" s="167"/>
      <c r="G103" s="167"/>
      <c r="H103" s="167"/>
      <c r="I103" s="167"/>
      <c r="J103" s="167"/>
      <c r="K103" s="167"/>
      <c r="L103" s="167"/>
      <c r="M103" s="167"/>
      <c r="N103" s="167"/>
      <c r="O103" s="167"/>
      <c r="P103" s="167"/>
      <c r="Q103" s="167"/>
      <c r="R103" s="167"/>
      <c r="S103" s="167"/>
      <c r="T103" s="190"/>
    </row>
    <row r="104" spans="1:20" s="93" customFormat="1">
      <c r="B104" s="189"/>
      <c r="C104" s="167"/>
      <c r="D104" s="167"/>
      <c r="E104" s="167"/>
      <c r="F104" s="167"/>
      <c r="G104" s="167"/>
      <c r="H104" s="167"/>
      <c r="I104" s="167"/>
      <c r="J104" s="167"/>
      <c r="K104" s="167"/>
      <c r="L104" s="167"/>
      <c r="M104" s="167"/>
      <c r="N104" s="167"/>
      <c r="O104" s="167"/>
      <c r="P104" s="167"/>
      <c r="Q104" s="167"/>
      <c r="R104" s="167"/>
      <c r="S104" s="167"/>
      <c r="T104" s="190"/>
    </row>
    <row r="105" spans="1:20" s="93" customFormat="1">
      <c r="B105" s="189"/>
      <c r="C105" s="167"/>
      <c r="D105" s="167"/>
      <c r="E105" s="167"/>
      <c r="F105" s="167"/>
      <c r="G105" s="167"/>
      <c r="H105" s="167"/>
      <c r="I105" s="167"/>
      <c r="J105" s="167"/>
      <c r="K105" s="167"/>
      <c r="L105" s="167"/>
      <c r="M105" s="167"/>
      <c r="N105" s="167"/>
      <c r="O105" s="167"/>
      <c r="P105" s="167"/>
      <c r="Q105" s="167"/>
      <c r="R105" s="167"/>
      <c r="S105" s="167"/>
      <c r="T105" s="190"/>
    </row>
    <row r="106" spans="1:20" s="93" customFormat="1">
      <c r="B106" s="189"/>
      <c r="C106" s="167"/>
      <c r="D106" s="167"/>
      <c r="E106" s="167"/>
      <c r="F106" s="167"/>
      <c r="G106" s="167"/>
      <c r="H106" s="167"/>
      <c r="I106" s="167"/>
      <c r="J106" s="167"/>
      <c r="K106" s="167"/>
      <c r="L106" s="167"/>
      <c r="M106" s="167"/>
      <c r="N106" s="167"/>
      <c r="O106" s="167"/>
      <c r="P106" s="167"/>
      <c r="Q106" s="167"/>
      <c r="R106" s="167"/>
      <c r="S106" s="167"/>
      <c r="T106" s="190"/>
    </row>
    <row r="107" spans="1:20" s="93" customFormat="1">
      <c r="B107" s="189"/>
      <c r="C107" s="167"/>
      <c r="D107" s="167"/>
      <c r="E107" s="167"/>
      <c r="F107" s="167"/>
      <c r="G107" s="167"/>
      <c r="H107" s="167"/>
      <c r="I107" s="167"/>
      <c r="J107" s="167"/>
      <c r="K107" s="167"/>
      <c r="L107" s="167"/>
      <c r="M107" s="167"/>
      <c r="N107" s="167"/>
      <c r="O107" s="167"/>
      <c r="P107" s="167"/>
      <c r="Q107" s="167"/>
      <c r="R107" s="167"/>
      <c r="S107" s="167"/>
      <c r="T107" s="190"/>
    </row>
    <row r="108" spans="1:20" s="93" customFormat="1">
      <c r="B108" s="189"/>
      <c r="C108" s="167"/>
      <c r="D108" s="167"/>
      <c r="E108" s="167"/>
      <c r="F108" s="167"/>
      <c r="G108" s="167"/>
      <c r="H108" s="167"/>
      <c r="I108" s="167"/>
      <c r="J108" s="167"/>
      <c r="K108" s="167"/>
      <c r="L108" s="167"/>
      <c r="M108" s="167"/>
      <c r="N108" s="167"/>
      <c r="O108" s="167"/>
      <c r="P108" s="167"/>
      <c r="Q108" s="167"/>
      <c r="R108" s="167"/>
      <c r="S108" s="167"/>
      <c r="T108" s="190"/>
    </row>
    <row r="109" spans="1:20" s="93" customFormat="1" ht="15.75" thickBot="1">
      <c r="B109" s="191"/>
      <c r="C109" s="192"/>
      <c r="D109" s="192"/>
      <c r="E109" s="192"/>
      <c r="F109" s="192"/>
      <c r="G109" s="192"/>
      <c r="H109" s="192"/>
      <c r="I109" s="192"/>
      <c r="J109" s="192"/>
      <c r="K109" s="192"/>
      <c r="L109" s="192"/>
      <c r="M109" s="192"/>
      <c r="N109" s="192"/>
      <c r="O109" s="192"/>
      <c r="P109" s="192"/>
      <c r="Q109" s="192"/>
      <c r="R109" s="192"/>
      <c r="S109" s="192"/>
      <c r="T109" s="193"/>
    </row>
    <row r="110" spans="1:20" s="93" customFormat="1">
      <c r="A110" s="167"/>
    </row>
    <row r="111" spans="1:20" s="197" customFormat="1"/>
    <row r="112" spans="1:20" s="93" customFormat="1"/>
    <row r="113" s="93" customFormat="1"/>
    <row r="114" s="93" customFormat="1"/>
    <row r="115" s="93" customFormat="1"/>
    <row r="116" s="93" customFormat="1"/>
    <row r="117" s="93" customFormat="1"/>
    <row r="118" s="93" customFormat="1"/>
    <row r="119" s="93" customFormat="1"/>
    <row r="120" s="93" customFormat="1"/>
    <row r="121" s="93" customFormat="1"/>
    <row r="122" s="93" customFormat="1"/>
    <row r="123" s="93" customFormat="1"/>
    <row r="124" s="93" customFormat="1"/>
    <row r="125" s="93" customFormat="1"/>
    <row r="126" s="93" customFormat="1"/>
    <row r="127" s="93" customFormat="1"/>
    <row r="128" s="93" customFormat="1"/>
  </sheetData>
  <sheetProtection selectLockedCells="1"/>
  <mergeCells count="7">
    <mergeCell ref="Q84:S84"/>
    <mergeCell ref="Q15:S15"/>
    <mergeCell ref="E15:F15"/>
    <mergeCell ref="G15:H15"/>
    <mergeCell ref="I15:J15"/>
    <mergeCell ref="Q28:S28"/>
    <mergeCell ref="Q56:S56"/>
  </mergeCell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4"/>
  </sheetPr>
  <dimension ref="A1:V98"/>
  <sheetViews>
    <sheetView zoomScale="80" zoomScaleNormal="80" workbookViewId="0">
      <selection activeCell="E8" sqref="E8"/>
    </sheetView>
  </sheetViews>
  <sheetFormatPr defaultColWidth="8.796875" defaultRowHeight="15"/>
  <cols>
    <col min="1" max="2" width="1.69921875" style="90" customWidth="1"/>
    <col min="3" max="3" width="12.8984375" style="90" customWidth="1"/>
    <col min="4" max="4" width="2.59765625" style="90" customWidth="1"/>
    <col min="5" max="5" width="12.8984375" style="90" customWidth="1"/>
    <col min="6" max="6" width="2.3984375" style="90" customWidth="1"/>
    <col min="7" max="7" width="14.69921875" style="90" customWidth="1"/>
    <col min="8" max="8" width="1.69921875" style="90" customWidth="1"/>
    <col min="9" max="9" width="12.8984375" style="90" customWidth="1"/>
    <col min="10" max="10" width="1.69921875" style="90" customWidth="1"/>
    <col min="11" max="11" width="13.3984375" style="90" customWidth="1"/>
    <col min="12" max="12" width="1.69921875" style="90" customWidth="1"/>
    <col min="13" max="13" width="12.8984375" style="90" customWidth="1"/>
    <col min="14" max="14" width="1.69921875" style="90" customWidth="1"/>
    <col min="15" max="15" width="12.8984375" style="90" customWidth="1"/>
    <col min="16" max="16" width="1.69921875" style="90" customWidth="1"/>
    <col min="17" max="17" width="12.8984375" style="90" customWidth="1"/>
    <col min="18" max="18" width="1.69921875" style="90" customWidth="1"/>
    <col min="19" max="19" width="12.8984375" style="90" customWidth="1"/>
    <col min="20" max="20" width="20.69921875" style="90" customWidth="1"/>
    <col min="21" max="16384" width="8.796875" style="90"/>
  </cols>
  <sheetData>
    <row r="1" spans="1:22" s="89" customFormat="1" ht="6" customHeight="1">
      <c r="C1" s="178"/>
    </row>
    <row r="2" spans="1:22" s="92" customFormat="1" ht="27.95" customHeight="1">
      <c r="C2" s="94" t="s">
        <v>499</v>
      </c>
      <c r="E2" s="173"/>
      <c r="F2" s="173"/>
      <c r="G2" s="173"/>
      <c r="H2" s="173"/>
      <c r="I2" s="173"/>
      <c r="J2" s="173"/>
      <c r="K2" s="173"/>
      <c r="L2" s="173"/>
      <c r="M2" s="173"/>
      <c r="N2" s="173"/>
      <c r="O2" s="173" t="s">
        <v>594</v>
      </c>
      <c r="P2" s="173"/>
      <c r="Q2" s="173" t="s">
        <v>463</v>
      </c>
      <c r="R2" s="173"/>
      <c r="S2" s="173" t="s">
        <v>508</v>
      </c>
    </row>
    <row r="3" spans="1:22" s="93" customFormat="1" ht="20.100000000000001" customHeight="1" thickBot="1">
      <c r="O3" s="182"/>
      <c r="Q3" s="207"/>
      <c r="S3" s="207"/>
    </row>
    <row r="4" spans="1:22" s="93" customFormat="1" ht="35.25" customHeight="1" thickBot="1">
      <c r="A4" s="167"/>
      <c r="B4" s="167"/>
      <c r="C4" s="265" t="s">
        <v>602</v>
      </c>
      <c r="D4" s="223"/>
      <c r="E4" s="373" t="str">
        <f>tlInputPlanProjectName</f>
        <v>-</v>
      </c>
      <c r="F4" s="223"/>
      <c r="G4" s="204" t="s">
        <v>598</v>
      </c>
      <c r="H4" s="223"/>
      <c r="I4" s="373" t="str">
        <f>tlInputPlanDiseaseArea</f>
        <v>FOTE</v>
      </c>
      <c r="J4" s="224"/>
      <c r="K4" s="204" t="s">
        <v>477</v>
      </c>
      <c r="M4" s="373" t="str">
        <f>tlInputPlanFormulation</f>
        <v>-</v>
      </c>
      <c r="N4" s="223"/>
      <c r="O4" s="204" t="s">
        <v>601</v>
      </c>
      <c r="Q4" s="372" t="str">
        <f>tlInputPlanCurrentStage</f>
        <v>Research</v>
      </c>
      <c r="R4" s="370"/>
      <c r="S4" s="370"/>
      <c r="T4" s="167"/>
      <c r="U4" s="167"/>
      <c r="V4" s="167"/>
    </row>
    <row r="5" spans="1:22" s="93" customFormat="1" ht="12.75" customHeight="1" thickBot="1">
      <c r="A5" s="167"/>
      <c r="B5" s="167"/>
      <c r="C5" s="204"/>
      <c r="D5" s="223"/>
      <c r="E5" s="223"/>
      <c r="F5" s="223"/>
      <c r="G5" s="204"/>
      <c r="H5" s="223"/>
      <c r="I5" s="223"/>
      <c r="J5" s="223"/>
      <c r="K5" s="204"/>
      <c r="L5" s="223"/>
      <c r="M5" s="223"/>
      <c r="N5" s="223"/>
      <c r="P5" s="199"/>
      <c r="Q5" s="370"/>
      <c r="R5" s="370"/>
      <c r="S5" s="370"/>
      <c r="T5" s="167"/>
      <c r="U5" s="167"/>
      <c r="V5" s="167"/>
    </row>
    <row r="6" spans="1:22" s="93" customFormat="1" ht="35.25" customHeight="1" thickBot="1">
      <c r="A6" s="167"/>
      <c r="B6" s="167"/>
      <c r="C6" s="204" t="s">
        <v>599</v>
      </c>
      <c r="E6" s="372" t="str">
        <f>tlInputPlanTargetIndication</f>
        <v>-</v>
      </c>
      <c r="G6" s="204" t="s">
        <v>600</v>
      </c>
      <c r="I6" s="374">
        <f>tlInputPlanProjectStartDate</f>
        <v>2017</v>
      </c>
      <c r="K6" s="204" t="s">
        <v>514</v>
      </c>
      <c r="M6" s="372">
        <f>tlInputPlanTargetLaunchDate</f>
        <v>2023</v>
      </c>
      <c r="O6" s="179" t="s">
        <v>461</v>
      </c>
      <c r="Q6" s="372">
        <f>tlInputPlanLOEDate</f>
        <v>2030</v>
      </c>
      <c r="R6" s="370"/>
      <c r="S6" s="370"/>
      <c r="T6" s="167"/>
      <c r="U6" s="167"/>
      <c r="V6" s="167"/>
    </row>
    <row r="7" spans="1:22" s="93" customFormat="1" ht="12.75" customHeight="1" thickBot="1">
      <c r="A7" s="167"/>
      <c r="B7" s="167"/>
      <c r="C7" s="179"/>
      <c r="G7" s="179"/>
      <c r="M7" s="317"/>
      <c r="O7" s="199"/>
      <c r="P7" s="199"/>
      <c r="Q7" s="370"/>
      <c r="R7" s="370"/>
      <c r="S7" s="370"/>
      <c r="T7" s="167"/>
      <c r="U7" s="167"/>
      <c r="V7" s="167"/>
    </row>
    <row r="8" spans="1:22" s="93" customFormat="1" ht="35.25" customHeight="1" thickBot="1">
      <c r="A8" s="167"/>
      <c r="B8" s="167"/>
      <c r="C8" s="93" t="s">
        <v>478</v>
      </c>
      <c r="E8" s="372" t="str">
        <f>decScenario1Administration</f>
        <v>Eye Drops</v>
      </c>
      <c r="G8" s="402" t="s">
        <v>547</v>
      </c>
      <c r="I8" s="372" t="str">
        <f>tlInputPlanInLicenseStage</f>
        <v>Research</v>
      </c>
      <c r="K8" s="402" t="s">
        <v>1184</v>
      </c>
      <c r="M8" s="372">
        <f>tlInputPlanInLicenseCost</f>
        <v>0</v>
      </c>
      <c r="O8" s="199"/>
      <c r="P8" s="199"/>
      <c r="Q8" s="370"/>
      <c r="R8" s="370"/>
      <c r="S8" s="370"/>
      <c r="T8" s="167"/>
      <c r="U8" s="167"/>
      <c r="V8" s="167"/>
    </row>
    <row r="9" spans="1:22" s="93" customFormat="1" ht="12.75" customHeight="1">
      <c r="A9" s="167"/>
      <c r="B9" s="167"/>
      <c r="G9" s="371"/>
      <c r="Q9" s="370"/>
      <c r="R9" s="370"/>
      <c r="S9" s="370"/>
      <c r="T9" s="167"/>
      <c r="U9" s="167"/>
      <c r="V9" s="167"/>
    </row>
    <row r="10" spans="1:22" s="165" customFormat="1" ht="15.75" customHeight="1">
      <c r="C10" s="166"/>
    </row>
    <row r="11" spans="1:22" s="93" customFormat="1" ht="21.95" customHeight="1">
      <c r="C11" s="182" t="s">
        <v>666</v>
      </c>
      <c r="D11" s="182"/>
      <c r="E11" s="182"/>
      <c r="F11" s="182"/>
      <c r="G11" s="183"/>
      <c r="H11" s="182"/>
      <c r="I11" s="183" t="s">
        <v>664</v>
      </c>
      <c r="J11" s="182"/>
      <c r="K11" s="597" t="s">
        <v>665</v>
      </c>
      <c r="L11" s="597"/>
      <c r="M11" s="597"/>
      <c r="N11" s="597"/>
      <c r="O11" s="597"/>
      <c r="P11" s="597"/>
      <c r="Q11" s="597"/>
      <c r="R11" s="597"/>
      <c r="S11" s="597"/>
    </row>
    <row r="12" spans="1:22" s="93" customFormat="1" ht="13.5" customHeight="1" thickBot="1">
      <c r="G12" s="164"/>
      <c r="I12" s="164"/>
      <c r="K12" s="180"/>
      <c r="M12" s="164"/>
      <c r="N12" s="164"/>
      <c r="O12" s="164"/>
      <c r="P12" s="164"/>
      <c r="Q12" s="164"/>
      <c r="R12" s="164"/>
      <c r="S12" s="164"/>
    </row>
    <row r="13" spans="1:22" s="93" customFormat="1" ht="48.75" customHeight="1">
      <c r="C13" s="595" t="str">
        <f>tlInputPlanQ1Metric1</f>
        <v>EPV</v>
      </c>
      <c r="D13" s="596"/>
      <c r="E13" s="596"/>
      <c r="F13" s="596"/>
      <c r="G13" s="596"/>
      <c r="I13" s="375" t="s">
        <v>530</v>
      </c>
      <c r="K13" s="181"/>
      <c r="L13" s="181"/>
      <c r="M13" s="198"/>
      <c r="N13" s="198"/>
      <c r="O13" s="198"/>
      <c r="P13" s="198"/>
      <c r="Q13" s="198"/>
      <c r="R13" s="198"/>
      <c r="S13" s="198"/>
      <c r="T13" s="170"/>
    </row>
    <row r="14" spans="1:22" s="93" customFormat="1" ht="17.25" customHeight="1" thickBot="1">
      <c r="A14" s="93" t="s">
        <v>469</v>
      </c>
    </row>
    <row r="15" spans="1:22" s="93" customFormat="1" ht="48.75" customHeight="1">
      <c r="C15" s="595" t="str">
        <f>tlInputPlanQ1Metric2</f>
        <v>Select Metric</v>
      </c>
      <c r="D15" s="596"/>
      <c r="E15" s="596"/>
      <c r="F15" s="596"/>
      <c r="G15" s="596"/>
      <c r="I15" s="375" t="s">
        <v>530</v>
      </c>
      <c r="K15" s="181"/>
      <c r="L15" s="181"/>
      <c r="M15" s="198"/>
      <c r="N15" s="198"/>
      <c r="O15" s="198"/>
      <c r="P15" s="198"/>
      <c r="Q15" s="198"/>
      <c r="R15" s="198"/>
      <c r="S15" s="198"/>
      <c r="T15" s="170"/>
    </row>
    <row r="16" spans="1:22" s="93" customFormat="1" ht="17.25" customHeight="1" thickBot="1">
      <c r="A16" s="93" t="s">
        <v>469</v>
      </c>
    </row>
    <row r="17" spans="1:20" s="93" customFormat="1" ht="48.75" customHeight="1">
      <c r="C17" s="595" t="str">
        <f>tlInputPlanQ1Metric3</f>
        <v>Select Metric</v>
      </c>
      <c r="D17" s="596"/>
      <c r="E17" s="596"/>
      <c r="F17" s="596"/>
      <c r="G17" s="596"/>
      <c r="I17" s="375" t="s">
        <v>530</v>
      </c>
      <c r="K17" s="181"/>
      <c r="L17" s="181"/>
      <c r="M17" s="198"/>
      <c r="N17" s="198"/>
      <c r="O17" s="198"/>
      <c r="P17" s="198"/>
      <c r="Q17" s="198"/>
      <c r="R17" s="198"/>
      <c r="S17" s="198"/>
      <c r="T17" s="170"/>
    </row>
    <row r="18" spans="1:20" s="93" customFormat="1" ht="17.25" customHeight="1" thickBot="1">
      <c r="A18" s="93" t="s">
        <v>469</v>
      </c>
    </row>
    <row r="19" spans="1:20" s="93" customFormat="1" ht="48.75" customHeight="1">
      <c r="C19" s="595" t="str">
        <f>tlInputPlanQ4Assumption1</f>
        <v>Enter Text Here</v>
      </c>
      <c r="D19" s="596"/>
      <c r="E19" s="596"/>
      <c r="F19" s="596"/>
      <c r="G19" s="596"/>
      <c r="I19" s="375" t="s">
        <v>530</v>
      </c>
      <c r="K19" s="181"/>
      <c r="L19" s="181"/>
      <c r="M19" s="198"/>
      <c r="N19" s="198"/>
      <c r="O19" s="198"/>
      <c r="P19" s="198"/>
      <c r="Q19" s="198"/>
      <c r="R19" s="198"/>
      <c r="S19" s="198"/>
      <c r="T19" s="170"/>
    </row>
    <row r="20" spans="1:20" s="93" customFormat="1" ht="17.25" customHeight="1" thickBot="1">
      <c r="A20" s="93" t="s">
        <v>469</v>
      </c>
    </row>
    <row r="21" spans="1:20" s="93" customFormat="1" ht="48.75" customHeight="1">
      <c r="C21" s="595" t="str">
        <f>tlInputPlanQ4Assumption2</f>
        <v>Enter Text Here</v>
      </c>
      <c r="D21" s="596"/>
      <c r="E21" s="596"/>
      <c r="F21" s="596"/>
      <c r="G21" s="596"/>
      <c r="I21" s="375" t="s">
        <v>530</v>
      </c>
      <c r="K21" s="181"/>
      <c r="L21" s="181"/>
      <c r="M21" s="198"/>
      <c r="N21" s="198"/>
      <c r="O21" s="198"/>
      <c r="P21" s="198"/>
      <c r="Q21" s="198"/>
      <c r="R21" s="198"/>
      <c r="S21" s="198"/>
      <c r="T21" s="170"/>
    </row>
    <row r="22" spans="1:20" s="93" customFormat="1" ht="17.25" customHeight="1" thickBot="1">
      <c r="A22" s="93" t="s">
        <v>469</v>
      </c>
    </row>
    <row r="23" spans="1:20" s="93" customFormat="1" ht="48.75" customHeight="1">
      <c r="C23" s="595" t="str">
        <f>tlInputPlanQ4Assumption3</f>
        <v>Enter Text Here</v>
      </c>
      <c r="D23" s="596"/>
      <c r="E23" s="596"/>
      <c r="F23" s="596"/>
      <c r="G23" s="596"/>
      <c r="I23" s="375" t="s">
        <v>530</v>
      </c>
      <c r="K23" s="181"/>
      <c r="L23" s="181"/>
      <c r="M23" s="198"/>
      <c r="N23" s="198"/>
      <c r="O23" s="198"/>
      <c r="P23" s="198"/>
      <c r="Q23" s="198"/>
      <c r="R23" s="198"/>
      <c r="S23" s="198"/>
      <c r="T23" s="170"/>
    </row>
    <row r="24" spans="1:20" s="93" customFormat="1" ht="17.25" customHeight="1">
      <c r="A24" s="93" t="s">
        <v>469</v>
      </c>
    </row>
    <row r="25" spans="1:20" s="165" customFormat="1" ht="51.75" customHeight="1">
      <c r="C25" s="166" t="s">
        <v>500</v>
      </c>
      <c r="D25" s="166"/>
      <c r="E25" s="166"/>
      <c r="F25" s="166"/>
      <c r="G25" s="184"/>
      <c r="H25" s="166"/>
      <c r="I25" s="185" t="s">
        <v>501</v>
      </c>
      <c r="J25" s="166"/>
      <c r="K25" s="185" t="s">
        <v>667</v>
      </c>
      <c r="L25" s="166"/>
      <c r="M25" s="600" t="s">
        <v>502</v>
      </c>
      <c r="N25" s="600"/>
      <c r="O25" s="600"/>
      <c r="P25" s="600"/>
      <c r="Q25" s="600"/>
      <c r="R25" s="600"/>
      <c r="S25" s="600"/>
      <c r="T25" s="400" t="s">
        <v>1180</v>
      </c>
    </row>
    <row r="26" spans="1:20" s="93" customFormat="1" ht="10.5" customHeight="1">
      <c r="A26" s="93" t="s">
        <v>469</v>
      </c>
    </row>
    <row r="27" spans="1:20" s="93" customFormat="1" ht="48.75" customHeight="1">
      <c r="C27" s="598" t="s">
        <v>807</v>
      </c>
      <c r="D27" s="598"/>
      <c r="E27" s="598"/>
      <c r="F27" s="598"/>
      <c r="G27" s="598"/>
      <c r="I27" s="181"/>
      <c r="K27" s="181"/>
      <c r="M27" s="601" t="s">
        <v>1496</v>
      </c>
      <c r="N27" s="601"/>
      <c r="O27" s="601"/>
      <c r="P27" s="601"/>
      <c r="Q27" s="601"/>
      <c r="R27" s="601"/>
      <c r="S27" s="601"/>
      <c r="T27" s="376"/>
    </row>
    <row r="28" spans="1:20" s="93" customFormat="1" ht="17.25" customHeight="1">
      <c r="A28" s="93" t="s">
        <v>469</v>
      </c>
      <c r="T28" s="377"/>
    </row>
    <row r="29" spans="1:20" s="93" customFormat="1" ht="48.75" customHeight="1">
      <c r="C29" s="598" t="s">
        <v>503</v>
      </c>
      <c r="D29" s="598"/>
      <c r="E29" s="598"/>
      <c r="F29" s="598"/>
      <c r="G29" s="598"/>
      <c r="I29" s="181"/>
      <c r="K29" s="181"/>
      <c r="M29" s="599"/>
      <c r="N29" s="599"/>
      <c r="O29" s="599"/>
      <c r="P29" s="599"/>
      <c r="Q29" s="599"/>
      <c r="R29" s="599"/>
      <c r="S29" s="599"/>
      <c r="T29" s="376"/>
    </row>
    <row r="30" spans="1:20" s="93" customFormat="1" ht="17.25" customHeight="1">
      <c r="A30" s="93" t="s">
        <v>469</v>
      </c>
      <c r="T30" s="377"/>
    </row>
    <row r="31" spans="1:20" s="93" customFormat="1" ht="48.75" customHeight="1">
      <c r="C31" s="598" t="s">
        <v>504</v>
      </c>
      <c r="D31" s="598"/>
      <c r="E31" s="598"/>
      <c r="F31" s="598"/>
      <c r="G31" s="598"/>
      <c r="I31" s="181"/>
      <c r="K31" s="181"/>
      <c r="M31" s="599"/>
      <c r="N31" s="599"/>
      <c r="O31" s="599"/>
      <c r="P31" s="599"/>
      <c r="Q31" s="599"/>
      <c r="R31" s="599"/>
      <c r="S31" s="599"/>
      <c r="T31" s="376"/>
    </row>
    <row r="32" spans="1:20" s="93" customFormat="1" ht="17.25" customHeight="1">
      <c r="A32" s="93" t="s">
        <v>469</v>
      </c>
      <c r="T32" s="377"/>
    </row>
    <row r="33" spans="1:20" s="93" customFormat="1" ht="48.75" customHeight="1">
      <c r="C33" s="598" t="s">
        <v>505</v>
      </c>
      <c r="D33" s="598"/>
      <c r="E33" s="598"/>
      <c r="F33" s="598"/>
      <c r="G33" s="598"/>
      <c r="I33" s="181"/>
      <c r="K33" s="181"/>
      <c r="M33" s="599"/>
      <c r="N33" s="599"/>
      <c r="O33" s="599"/>
      <c r="P33" s="599"/>
      <c r="Q33" s="599"/>
      <c r="R33" s="599"/>
      <c r="S33" s="599"/>
      <c r="T33" s="376"/>
    </row>
    <row r="34" spans="1:20" s="93" customFormat="1" ht="17.25" customHeight="1">
      <c r="A34" s="93" t="s">
        <v>469</v>
      </c>
      <c r="T34" s="377"/>
    </row>
    <row r="35" spans="1:20" s="93" customFormat="1" ht="48.75" customHeight="1">
      <c r="C35" s="598" t="s">
        <v>506</v>
      </c>
      <c r="D35" s="598"/>
      <c r="E35" s="598"/>
      <c r="F35" s="598"/>
      <c r="G35" s="598"/>
      <c r="I35" s="181"/>
      <c r="K35" s="181"/>
      <c r="M35" s="599"/>
      <c r="N35" s="599"/>
      <c r="O35" s="599"/>
      <c r="P35" s="599"/>
      <c r="Q35" s="599"/>
      <c r="R35" s="599"/>
      <c r="S35" s="599"/>
      <c r="T35" s="376"/>
    </row>
    <row r="36" spans="1:20" s="93" customFormat="1" ht="17.25" customHeight="1">
      <c r="A36" s="93" t="s">
        <v>469</v>
      </c>
    </row>
    <row r="37" spans="1:20" s="197" customFormat="1" ht="18" customHeight="1"/>
    <row r="38" spans="1:20" s="93" customFormat="1"/>
    <row r="39" spans="1:20" s="93" customFormat="1"/>
    <row r="40" spans="1:20" s="93" customFormat="1"/>
    <row r="41" spans="1:20" s="93" customFormat="1"/>
    <row r="42" spans="1:20" s="93" customFormat="1"/>
    <row r="43" spans="1:20" s="93" customFormat="1"/>
    <row r="44" spans="1:20" s="93" customFormat="1"/>
    <row r="45" spans="1:20" s="93" customFormat="1"/>
    <row r="46" spans="1:20" s="93" customFormat="1"/>
    <row r="47" spans="1:20" s="93" customFormat="1"/>
    <row r="48" spans="1:20" s="93" customFormat="1"/>
    <row r="49" s="93" customFormat="1"/>
    <row r="50" s="93" customFormat="1"/>
    <row r="51" s="93" customFormat="1"/>
    <row r="52" s="93" customFormat="1"/>
    <row r="53" s="93" customFormat="1"/>
    <row r="54" s="93" customFormat="1"/>
    <row r="55" s="93" customFormat="1"/>
    <row r="56" s="93" customFormat="1"/>
    <row r="57" s="93" customFormat="1"/>
    <row r="58" s="93" customFormat="1"/>
    <row r="59" s="93" customFormat="1"/>
    <row r="60" s="93" customFormat="1"/>
    <row r="61" s="93" customFormat="1"/>
    <row r="62" s="93" customFormat="1"/>
    <row r="63" s="93" customFormat="1"/>
    <row r="64" s="93" customFormat="1"/>
    <row r="65" s="93" customFormat="1"/>
    <row r="66" s="93" customFormat="1"/>
    <row r="67" s="93" customFormat="1"/>
    <row r="68" s="93" customFormat="1"/>
    <row r="69" s="93" customFormat="1"/>
    <row r="70" s="93" customFormat="1"/>
    <row r="71" s="93" customFormat="1"/>
    <row r="72" s="93" customFormat="1"/>
    <row r="73" s="93" customFormat="1"/>
    <row r="74" s="93" customFormat="1"/>
    <row r="75" s="93" customFormat="1"/>
    <row r="76" s="93" customFormat="1"/>
    <row r="77" s="93" customFormat="1"/>
    <row r="78" s="93" customFormat="1"/>
    <row r="79" s="93" customFormat="1"/>
    <row r="80" s="93" customFormat="1"/>
    <row r="81" s="93" customFormat="1"/>
    <row r="82" s="93" customFormat="1"/>
    <row r="83" s="93" customFormat="1"/>
    <row r="84" s="93" customFormat="1"/>
    <row r="85" s="93" customFormat="1"/>
    <row r="86" s="93" customFormat="1"/>
    <row r="87" s="93" customFormat="1"/>
    <row r="88" s="93" customFormat="1"/>
    <row r="89" s="93" customFormat="1"/>
    <row r="90" s="93" customFormat="1"/>
    <row r="91" s="93" customFormat="1"/>
    <row r="92" s="93" customFormat="1"/>
    <row r="93" s="93" customFormat="1"/>
    <row r="94" s="93" customFormat="1"/>
    <row r="95" s="93" customFormat="1"/>
    <row r="96" s="93" customFormat="1"/>
    <row r="97" s="93" customFormat="1"/>
    <row r="98" s="93" customFormat="1"/>
  </sheetData>
  <sheetProtection selectLockedCells="1"/>
  <mergeCells count="18">
    <mergeCell ref="M25:S25"/>
    <mergeCell ref="C27:G27"/>
    <mergeCell ref="M27:S27"/>
    <mergeCell ref="C19:G19"/>
    <mergeCell ref="C13:G13"/>
    <mergeCell ref="C35:G35"/>
    <mergeCell ref="M35:S35"/>
    <mergeCell ref="C29:G29"/>
    <mergeCell ref="M29:S29"/>
    <mergeCell ref="C31:G31"/>
    <mergeCell ref="M31:S31"/>
    <mergeCell ref="C33:G33"/>
    <mergeCell ref="M33:S33"/>
    <mergeCell ref="C15:G15"/>
    <mergeCell ref="C17:G17"/>
    <mergeCell ref="C21:G21"/>
    <mergeCell ref="C23:G23"/>
    <mergeCell ref="K11:S11"/>
  </mergeCells>
  <dataValidations count="1">
    <dataValidation type="list" allowBlank="1" showInputMessage="1" showErrorMessage="1" sqref="I19 I21 I23 I13 I15 I17">
      <formula1>datalistYesNo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</sheetPr>
  <dimension ref="A1:U27"/>
  <sheetViews>
    <sheetView zoomScaleNormal="100" workbookViewId="0">
      <selection activeCell="G19" sqref="G19"/>
    </sheetView>
  </sheetViews>
  <sheetFormatPr defaultColWidth="8.796875" defaultRowHeight="15"/>
  <cols>
    <col min="1" max="2" width="1.69921875" style="90" customWidth="1"/>
    <col min="3" max="3" width="24.69921875" style="90" customWidth="1"/>
    <col min="4" max="4" width="1.69921875" style="90" customWidth="1"/>
    <col min="5" max="5" width="10.69921875" style="90" customWidth="1"/>
    <col min="6" max="6" width="1.69921875" style="90" customWidth="1"/>
    <col min="7" max="7" width="10.69921875" style="90" customWidth="1"/>
    <col min="8" max="8" width="1.69921875" style="90" customWidth="1"/>
    <col min="9" max="9" width="10.69921875" style="90" customWidth="1"/>
    <col min="10" max="10" width="1.69921875" style="90" customWidth="1"/>
    <col min="11" max="11" width="10.69921875" style="90" customWidth="1"/>
    <col min="12" max="12" width="1.69921875" style="90" customWidth="1"/>
    <col min="13" max="13" width="10.69921875" style="90" customWidth="1"/>
    <col min="14" max="14" width="1.69921875" style="90" customWidth="1"/>
    <col min="15" max="15" width="10.69921875" style="90" customWidth="1"/>
    <col min="16" max="17" width="1.69921875" style="90" customWidth="1"/>
    <col min="18" max="18" width="20.69921875" style="90" customWidth="1"/>
    <col min="19" max="20" width="8.796875" style="90"/>
    <col min="21" max="16384" width="8.796875" style="41"/>
  </cols>
  <sheetData>
    <row r="1" spans="1:21" s="95" customFormat="1" ht="6" customHeight="1">
      <c r="A1" s="89"/>
      <c r="B1" s="89"/>
      <c r="C1" s="603" t="str">
        <f>nmProgramTitle</f>
        <v>Forecasting &amp; Planning Tool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</row>
    <row r="2" spans="1:21" s="95" customFormat="1" ht="38.1" customHeight="1">
      <c r="A2" s="89"/>
      <c r="B2" s="89"/>
      <c r="C2" s="603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89"/>
      <c r="S2" s="89"/>
      <c r="T2" s="91" t="s">
        <v>131</v>
      </c>
      <c r="U2" s="89" t="s">
        <v>130</v>
      </c>
    </row>
    <row r="3" spans="1:21" s="92" customFormat="1" ht="27.95" customHeight="1">
      <c r="C3" s="94" t="str">
        <f>DB_Dashboard1</f>
        <v xml:space="preserve">EPV  -$6348717.2,,M  </v>
      </c>
    </row>
    <row r="4" spans="1:21" s="96" customFormat="1" ht="20.100000000000001" customHeight="1">
      <c r="A4" s="93"/>
      <c r="B4" s="93"/>
      <c r="C4" s="93"/>
      <c r="D4" s="93"/>
      <c r="E4" s="93"/>
      <c r="F4" s="93"/>
      <c r="G4" s="93"/>
      <c r="H4" s="93"/>
      <c r="I4" s="93"/>
      <c r="J4" s="93"/>
      <c r="K4" s="93"/>
      <c r="L4" s="93"/>
      <c r="M4" s="93"/>
      <c r="N4" s="93"/>
      <c r="O4" s="93"/>
      <c r="P4" s="93"/>
      <c r="Q4" s="93"/>
      <c r="R4" s="93"/>
      <c r="S4" s="93"/>
      <c r="T4" s="93"/>
    </row>
    <row r="5" spans="1:21" s="96" customFormat="1" ht="21.95" customHeight="1">
      <c r="A5" s="93"/>
      <c r="B5" s="93"/>
      <c r="C5" s="88" t="str">
        <f>nmInitiatives</f>
        <v>Strategic Initiatives</v>
      </c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93"/>
      <c r="R5" s="93"/>
      <c r="S5" s="93"/>
      <c r="T5" s="93"/>
    </row>
    <row r="6" spans="1:21" s="96" customFormat="1" ht="21.95" customHeight="1">
      <c r="A6" s="93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</row>
    <row r="7" spans="1:21" s="96" customFormat="1" ht="21.95" customHeight="1">
      <c r="A7" s="93"/>
      <c r="B7" s="93"/>
      <c r="C7" s="602" t="s">
        <v>156</v>
      </c>
      <c r="D7" s="602"/>
      <c r="E7" s="602"/>
      <c r="F7" s="602"/>
      <c r="G7" s="602"/>
      <c r="H7" s="93"/>
      <c r="I7" s="93"/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</row>
    <row r="8" spans="1:21" s="96" customFormat="1" ht="9.9499999999999993" customHeight="1">
      <c r="A8" s="93"/>
      <c r="B8" s="93"/>
      <c r="C8" s="97"/>
      <c r="D8" s="97"/>
      <c r="E8" s="97"/>
      <c r="F8" s="97"/>
      <c r="G8" s="97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</row>
    <row r="9" spans="1:21" s="96" customFormat="1" ht="21.95" customHeight="1">
      <c r="A9" s="93"/>
      <c r="B9" s="93"/>
      <c r="C9" s="602" t="s">
        <v>156</v>
      </c>
      <c r="D9" s="602"/>
      <c r="E9" s="602"/>
      <c r="F9" s="602"/>
      <c r="G9" s="602"/>
      <c r="H9" s="93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</row>
    <row r="10" spans="1:21" s="96" customFormat="1" ht="9.9499999999999993" customHeight="1">
      <c r="A10" s="93"/>
      <c r="B10" s="93"/>
      <c r="C10" s="97"/>
      <c r="D10" s="97"/>
      <c r="E10" s="97"/>
      <c r="F10" s="97"/>
      <c r="G10" s="97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</row>
    <row r="11" spans="1:21" s="96" customFormat="1" ht="21.95" customHeight="1">
      <c r="A11" s="93"/>
      <c r="B11" s="93"/>
      <c r="C11" s="602" t="s">
        <v>156</v>
      </c>
      <c r="D11" s="602"/>
      <c r="E11" s="602"/>
      <c r="F11" s="602"/>
      <c r="G11" s="602"/>
      <c r="H11" s="93"/>
      <c r="I11" s="93"/>
      <c r="J11" s="93"/>
      <c r="K11" s="93"/>
      <c r="L11" s="93"/>
      <c r="M11" s="93"/>
      <c r="N11" s="93"/>
      <c r="O11" s="93"/>
      <c r="P11" s="93"/>
      <c r="Q11" s="93"/>
      <c r="R11" s="93"/>
      <c r="S11" s="93"/>
      <c r="T11" s="93"/>
    </row>
    <row r="12" spans="1:21" s="96" customFormat="1" ht="9.9499999999999993" customHeight="1">
      <c r="A12" s="93"/>
      <c r="B12" s="93"/>
      <c r="C12" s="97"/>
      <c r="D12" s="97"/>
      <c r="E12" s="97"/>
      <c r="F12" s="97"/>
      <c r="G12" s="97"/>
      <c r="H12" s="93"/>
      <c r="I12" s="93"/>
      <c r="J12" s="93"/>
      <c r="K12" s="93"/>
      <c r="L12" s="93"/>
      <c r="M12" s="93"/>
      <c r="N12" s="93"/>
      <c r="O12" s="93"/>
      <c r="P12" s="93"/>
      <c r="Q12" s="93"/>
      <c r="R12" s="93"/>
      <c r="S12" s="93"/>
      <c r="T12" s="93"/>
    </row>
    <row r="13" spans="1:21" s="96" customFormat="1" ht="21.95" customHeight="1">
      <c r="A13" s="93"/>
      <c r="B13" s="93"/>
      <c r="C13" s="602" t="s">
        <v>156</v>
      </c>
      <c r="D13" s="602"/>
      <c r="E13" s="602"/>
      <c r="F13" s="602"/>
      <c r="G13" s="602"/>
      <c r="H13" s="93"/>
      <c r="I13" s="93"/>
      <c r="J13" s="93"/>
      <c r="K13" s="93"/>
      <c r="L13" s="93"/>
      <c r="M13" s="93"/>
      <c r="N13" s="93"/>
      <c r="O13" s="93"/>
      <c r="P13" s="93"/>
      <c r="Q13" s="93"/>
      <c r="R13" s="93"/>
      <c r="S13" s="93"/>
      <c r="T13" s="93"/>
    </row>
    <row r="14" spans="1:21" s="96" customFormat="1" ht="9.9499999999999993" customHeight="1">
      <c r="A14" s="93"/>
      <c r="B14" s="93"/>
      <c r="C14" s="97"/>
      <c r="D14" s="97"/>
      <c r="E14" s="97"/>
      <c r="F14" s="97"/>
      <c r="G14" s="97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3"/>
      <c r="T14" s="93"/>
    </row>
    <row r="15" spans="1:21" s="96" customFormat="1" ht="21.95" customHeight="1">
      <c r="A15" s="93"/>
      <c r="B15" s="93"/>
      <c r="C15" s="602" t="s">
        <v>156</v>
      </c>
      <c r="D15" s="602"/>
      <c r="E15" s="602"/>
      <c r="F15" s="602"/>
      <c r="G15" s="602"/>
      <c r="H15" s="93"/>
      <c r="I15" s="93"/>
      <c r="J15" s="93"/>
      <c r="K15" s="93"/>
      <c r="L15" s="93"/>
      <c r="M15" s="93"/>
      <c r="N15" s="93"/>
      <c r="O15" s="93"/>
      <c r="P15" s="93"/>
      <c r="Q15" s="93"/>
      <c r="R15" s="93"/>
      <c r="S15" s="93"/>
      <c r="T15" s="93"/>
    </row>
    <row r="16" spans="1:21" s="96" customFormat="1" ht="21.95" customHeight="1">
      <c r="A16" s="93"/>
      <c r="B16" s="93"/>
      <c r="C16" s="93"/>
      <c r="D16" s="93"/>
      <c r="E16" s="93"/>
      <c r="F16" s="93"/>
      <c r="G16" s="93"/>
      <c r="H16" s="93"/>
      <c r="I16" s="93"/>
      <c r="J16" s="93"/>
      <c r="K16" s="93"/>
      <c r="L16" s="93"/>
      <c r="M16" s="93"/>
      <c r="N16" s="93"/>
      <c r="O16" s="93"/>
      <c r="P16" s="93"/>
      <c r="Q16" s="93"/>
      <c r="R16" s="93"/>
      <c r="S16" s="93"/>
      <c r="T16" s="93"/>
    </row>
    <row r="17" spans="1:20" s="96" customFormat="1" ht="21.95" customHeight="1">
      <c r="A17" s="93"/>
      <c r="B17" s="93"/>
      <c r="C17" s="93"/>
      <c r="D17" s="93"/>
      <c r="E17" s="93"/>
      <c r="F17" s="93"/>
      <c r="G17" s="93"/>
      <c r="H17" s="93"/>
      <c r="I17" s="93"/>
      <c r="J17" s="93"/>
      <c r="K17" s="93"/>
      <c r="L17" s="93"/>
      <c r="M17" s="93"/>
      <c r="N17" s="93"/>
      <c r="O17" s="93"/>
      <c r="P17" s="93"/>
      <c r="Q17" s="93"/>
      <c r="R17" s="93"/>
      <c r="S17" s="93"/>
      <c r="T17" s="93"/>
    </row>
    <row r="18" spans="1:20" s="96" customFormat="1" ht="21.95" customHeight="1">
      <c r="A18" s="93"/>
      <c r="B18" s="93"/>
      <c r="C18" s="93"/>
      <c r="D18" s="93"/>
      <c r="E18" s="93"/>
      <c r="F18" s="93"/>
      <c r="G18" s="93"/>
      <c r="H18" s="93"/>
      <c r="I18" s="93"/>
      <c r="J18" s="93"/>
      <c r="K18" s="93"/>
      <c r="L18" s="93"/>
      <c r="M18" s="93"/>
      <c r="N18" s="93"/>
      <c r="O18" s="93"/>
      <c r="P18" s="93"/>
      <c r="Q18" s="93"/>
      <c r="R18" s="93"/>
      <c r="S18" s="93"/>
      <c r="T18" s="93"/>
    </row>
    <row r="19" spans="1:20" s="96" customFormat="1" ht="21.95" customHeight="1">
      <c r="A19" s="93"/>
      <c r="B19" s="93"/>
      <c r="C19" s="93"/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</row>
    <row r="20" spans="1:20" s="96" customFormat="1" ht="21.95" customHeight="1">
      <c r="A20" s="93"/>
      <c r="B20" s="93"/>
      <c r="C20" s="93"/>
      <c r="D20" s="93"/>
      <c r="E20" s="93"/>
      <c r="F20" s="93"/>
      <c r="G20" s="93"/>
      <c r="H20" s="93"/>
      <c r="I20" s="93"/>
      <c r="J20" s="93"/>
      <c r="K20" s="93"/>
      <c r="L20" s="93"/>
      <c r="M20" s="93"/>
      <c r="N20" s="93"/>
      <c r="O20" s="93"/>
      <c r="P20" s="93"/>
      <c r="Q20" s="93"/>
      <c r="R20" s="93"/>
      <c r="S20" s="93"/>
      <c r="T20" s="93"/>
    </row>
    <row r="21" spans="1:20" s="96" customFormat="1" ht="21.95" customHeight="1">
      <c r="A21" s="93"/>
      <c r="B21" s="93"/>
      <c r="C21" s="93"/>
      <c r="D21" s="93"/>
      <c r="E21" s="93"/>
      <c r="F21" s="93"/>
      <c r="G21" s="93"/>
      <c r="H21" s="93"/>
      <c r="I21" s="93"/>
      <c r="J21" s="93"/>
      <c r="K21" s="93"/>
      <c r="L21" s="93"/>
      <c r="M21" s="93"/>
      <c r="N21" s="93"/>
      <c r="O21" s="93"/>
      <c r="P21" s="93"/>
      <c r="Q21" s="93"/>
      <c r="R21" s="93"/>
      <c r="S21" s="93"/>
      <c r="T21" s="93"/>
    </row>
    <row r="22" spans="1:20" s="96" customFormat="1" ht="21.95" customHeight="1">
      <c r="A22" s="93"/>
      <c r="B22" s="93"/>
      <c r="C22" s="93"/>
      <c r="D22" s="93"/>
      <c r="E22" s="93"/>
      <c r="F22" s="93"/>
      <c r="G22" s="93"/>
      <c r="H22" s="93"/>
      <c r="I22" s="93"/>
      <c r="J22" s="93"/>
      <c r="K22" s="93"/>
      <c r="L22" s="93"/>
      <c r="M22" s="93"/>
      <c r="N22" s="93"/>
      <c r="O22" s="93"/>
      <c r="P22" s="93"/>
      <c r="Q22" s="93"/>
      <c r="R22" s="93"/>
      <c r="S22" s="93"/>
      <c r="T22" s="93"/>
    </row>
    <row r="23" spans="1:20" s="96" customFormat="1" ht="21.95" customHeight="1">
      <c r="A23" s="93"/>
      <c r="B23" s="93"/>
      <c r="C23" s="93"/>
      <c r="D23" s="93"/>
      <c r="E23" s="93"/>
      <c r="F23" s="93"/>
      <c r="G23" s="93"/>
      <c r="H23" s="93"/>
      <c r="I23" s="93"/>
      <c r="J23" s="93"/>
      <c r="K23" s="93"/>
      <c r="L23" s="93"/>
      <c r="M23" s="93"/>
      <c r="N23" s="93"/>
      <c r="O23" s="93"/>
      <c r="P23" s="93"/>
      <c r="Q23" s="93"/>
      <c r="R23" s="93"/>
      <c r="S23" s="93"/>
      <c r="T23" s="93"/>
    </row>
    <row r="24" spans="1:20" s="96" customFormat="1" ht="21.95" customHeight="1">
      <c r="A24" s="93"/>
      <c r="B24" s="93"/>
      <c r="C24" s="93"/>
      <c r="D24" s="93"/>
      <c r="E24" s="93"/>
      <c r="F24" s="93"/>
      <c r="G24" s="93"/>
      <c r="H24" s="93"/>
      <c r="I24" s="93"/>
      <c r="J24" s="93"/>
      <c r="K24" s="93"/>
      <c r="L24" s="93"/>
      <c r="M24" s="93"/>
      <c r="N24" s="93"/>
      <c r="O24" s="93"/>
      <c r="P24" s="93"/>
      <c r="Q24" s="93"/>
      <c r="R24" s="93"/>
      <c r="S24" s="93"/>
      <c r="T24" s="93"/>
    </row>
    <row r="25" spans="1:20" s="96" customFormat="1" ht="21.95" customHeight="1">
      <c r="A25" s="93"/>
      <c r="B25" s="93"/>
      <c r="C25" s="93"/>
      <c r="D25" s="93"/>
      <c r="E25" s="93"/>
      <c r="F25" s="93"/>
      <c r="G25" s="93"/>
      <c r="H25" s="93"/>
      <c r="I25" s="93"/>
      <c r="J25" s="93"/>
      <c r="K25" s="93"/>
      <c r="L25" s="93"/>
      <c r="M25" s="93"/>
      <c r="N25" s="93"/>
      <c r="O25" s="93"/>
      <c r="P25" s="93"/>
      <c r="Q25" s="93"/>
      <c r="R25" s="93"/>
      <c r="S25" s="93"/>
      <c r="T25" s="93"/>
    </row>
    <row r="26" spans="1:20" s="96" customFormat="1">
      <c r="A26" s="93"/>
      <c r="B26" s="93"/>
      <c r="C26" s="93"/>
      <c r="D26" s="93"/>
      <c r="E26" s="93"/>
      <c r="F26" s="93"/>
      <c r="G26" s="93"/>
      <c r="H26" s="93"/>
      <c r="I26" s="93"/>
      <c r="J26" s="93"/>
      <c r="K26" s="93"/>
      <c r="L26" s="93"/>
      <c r="M26" s="93"/>
      <c r="N26" s="93"/>
      <c r="O26" s="93"/>
      <c r="P26" s="93"/>
      <c r="Q26" s="93"/>
      <c r="R26" s="93"/>
      <c r="S26" s="93"/>
      <c r="T26" s="93"/>
    </row>
    <row r="27" spans="1:20" s="96" customFormat="1">
      <c r="A27" s="93"/>
      <c r="B27" s="93"/>
      <c r="C27" s="93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</row>
  </sheetData>
  <sheetProtection selectLockedCells="1"/>
  <mergeCells count="6">
    <mergeCell ref="C15:G15"/>
    <mergeCell ref="C1:C2"/>
    <mergeCell ref="C7:G7"/>
    <mergeCell ref="C9:G9"/>
    <mergeCell ref="C11:G11"/>
    <mergeCell ref="C13:G13"/>
  </mergeCells>
  <dataValidations count="1">
    <dataValidation type="list" allowBlank="1" showInputMessage="1" showErrorMessage="1" sqref="C7 C9 C11 C13 C15">
      <formula1>INDIRECT(SI_AvailableProgramDropDown)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</sheetPr>
  <dimension ref="A1:AC303"/>
  <sheetViews>
    <sheetView topLeftCell="A21" zoomScale="85" zoomScaleNormal="85" workbookViewId="0">
      <selection activeCell="E47" sqref="E47"/>
    </sheetView>
  </sheetViews>
  <sheetFormatPr defaultColWidth="8.796875" defaultRowHeight="14.25"/>
  <cols>
    <col min="1" max="1" width="8.19921875" style="10" customWidth="1"/>
    <col min="2" max="2" width="4.69921875" style="11" customWidth="1"/>
    <col min="3" max="3" width="4.69921875" style="10" customWidth="1"/>
    <col min="4" max="4" width="18.69921875" style="10" customWidth="1"/>
    <col min="5" max="5" width="12.69921875" style="10" customWidth="1"/>
    <col min="6" max="6" width="22" style="10" customWidth="1"/>
    <col min="7" max="9" width="12.69921875" style="10" customWidth="1"/>
    <col min="10" max="10" width="15.09765625" style="10" customWidth="1"/>
    <col min="11" max="16" width="8.796875" style="10"/>
    <col min="17" max="17" width="10.5" style="10" bestFit="1" customWidth="1"/>
    <col min="18" max="22" width="8.796875" style="10"/>
    <col min="23" max="23" width="10.5" style="10" bestFit="1" customWidth="1"/>
    <col min="24" max="28" width="8.796875" style="10"/>
    <col min="29" max="29" width="10.5" style="10" bestFit="1" customWidth="1"/>
    <col min="30" max="16384" width="8.796875" style="10"/>
  </cols>
  <sheetData>
    <row r="1" spans="1:29" s="4" customFormat="1" ht="30">
      <c r="A1" s="3" t="s">
        <v>7</v>
      </c>
      <c r="B1" s="3"/>
      <c r="E1" s="4" t="s">
        <v>8</v>
      </c>
      <c r="G1" s="5" t="s">
        <v>13</v>
      </c>
      <c r="H1" s="5" t="s">
        <v>14</v>
      </c>
      <c r="I1" s="5" t="s">
        <v>264</v>
      </c>
      <c r="J1" s="5" t="s">
        <v>15</v>
      </c>
      <c r="L1" s="3" t="s">
        <v>16</v>
      </c>
    </row>
    <row r="2" spans="1:29" s="6" customFormat="1" ht="18">
      <c r="B2" s="7"/>
      <c r="F2" s="8" t="s">
        <v>17</v>
      </c>
      <c r="G2" s="8" t="s">
        <v>18</v>
      </c>
      <c r="H2" s="8" t="s">
        <v>19</v>
      </c>
      <c r="I2" s="8" t="s">
        <v>103</v>
      </c>
      <c r="J2" s="8" t="s">
        <v>20</v>
      </c>
      <c r="L2" s="9" t="s">
        <v>21</v>
      </c>
      <c r="M2" s="9" t="s">
        <v>22</v>
      </c>
      <c r="N2" s="9" t="s">
        <v>23</v>
      </c>
      <c r="O2" s="9" t="s">
        <v>24</v>
      </c>
      <c r="P2" s="9" t="s">
        <v>25</v>
      </c>
      <c r="R2" s="9" t="s">
        <v>26</v>
      </c>
      <c r="S2" s="9" t="s">
        <v>27</v>
      </c>
      <c r="T2" s="9" t="s">
        <v>28</v>
      </c>
      <c r="U2" s="9" t="s">
        <v>29</v>
      </c>
      <c r="V2" s="9" t="s">
        <v>30</v>
      </c>
      <c r="X2" s="9" t="s">
        <v>31</v>
      </c>
      <c r="Y2" s="9" t="s">
        <v>32</v>
      </c>
      <c r="Z2" s="9" t="s">
        <v>33</v>
      </c>
      <c r="AA2" s="9" t="s">
        <v>34</v>
      </c>
      <c r="AB2" s="9" t="s">
        <v>35</v>
      </c>
    </row>
    <row r="3" spans="1:29">
      <c r="B3" s="11" t="s">
        <v>36</v>
      </c>
      <c r="F3" s="11" t="s">
        <v>37</v>
      </c>
      <c r="G3" s="12"/>
      <c r="H3" s="12"/>
      <c r="I3" s="12"/>
      <c r="J3" s="12"/>
      <c r="L3" s="12"/>
      <c r="M3" s="12"/>
      <c r="N3" s="12"/>
      <c r="O3" s="12"/>
      <c r="P3" s="12"/>
      <c r="Q3" s="10" t="s">
        <v>38</v>
      </c>
      <c r="R3" s="12"/>
      <c r="S3" s="12"/>
      <c r="T3" s="12"/>
      <c r="U3" s="12"/>
      <c r="V3" s="12"/>
      <c r="W3" s="11" t="s">
        <v>39</v>
      </c>
      <c r="X3" s="12"/>
      <c r="Y3" s="12"/>
      <c r="Z3" s="12"/>
      <c r="AA3" s="12"/>
      <c r="AB3" s="12"/>
      <c r="AC3" s="11" t="s">
        <v>40</v>
      </c>
    </row>
    <row r="4" spans="1:29">
      <c r="B4" s="11" t="s">
        <v>41</v>
      </c>
      <c r="E4" s="10" t="str">
        <f>dec_TeamName</f>
        <v>Enter Name</v>
      </c>
      <c r="F4" s="11" t="s">
        <v>42</v>
      </c>
      <c r="G4" s="12" t="str">
        <f>dec_TeamName</f>
        <v>Enter Name</v>
      </c>
      <c r="H4" s="12" t="b">
        <v>0</v>
      </c>
      <c r="I4" s="12" t="b">
        <v>1</v>
      </c>
      <c r="J4" s="13" t="s">
        <v>43</v>
      </c>
      <c r="L4" s="12"/>
      <c r="M4" s="12"/>
      <c r="N4" s="12"/>
      <c r="O4" s="12"/>
      <c r="P4" s="12"/>
      <c r="R4" s="12"/>
      <c r="S4" s="12"/>
      <c r="T4" s="12"/>
      <c r="U4" s="12"/>
      <c r="V4" s="12"/>
      <c r="X4" s="12"/>
      <c r="Y4" s="12"/>
      <c r="Z4" s="12"/>
      <c r="AA4" s="12"/>
      <c r="AB4" s="12"/>
    </row>
    <row r="5" spans="1:29">
      <c r="B5" s="11" t="s">
        <v>92</v>
      </c>
      <c r="E5" s="10">
        <f>dec_TeamNumber</f>
        <v>0</v>
      </c>
      <c r="F5" s="11" t="s">
        <v>93</v>
      </c>
      <c r="G5" s="12">
        <f>dec_TeamNumber</f>
        <v>0</v>
      </c>
      <c r="H5" s="12" t="b">
        <v>0</v>
      </c>
      <c r="I5" s="12" t="b">
        <v>1</v>
      </c>
      <c r="J5" s="13">
        <v>1</v>
      </c>
      <c r="L5" s="12"/>
      <c r="M5" s="12"/>
      <c r="N5" s="12"/>
      <c r="O5" s="12"/>
      <c r="P5" s="12"/>
      <c r="R5" s="12"/>
      <c r="S5" s="12"/>
      <c r="T5" s="12"/>
      <c r="U5" s="12"/>
      <c r="V5" s="12"/>
      <c r="X5" s="12"/>
      <c r="Y5" s="12"/>
      <c r="Z5" s="12"/>
      <c r="AA5" s="12"/>
      <c r="AB5" s="12"/>
    </row>
    <row r="6" spans="1:29">
      <c r="B6" s="11" t="s">
        <v>44</v>
      </c>
      <c r="E6" s="10">
        <f>dec_Round</f>
        <v>0</v>
      </c>
      <c r="F6" s="11" t="s">
        <v>45</v>
      </c>
      <c r="G6" s="12">
        <f>dec_Round</f>
        <v>0</v>
      </c>
      <c r="H6" s="12" t="b">
        <v>0</v>
      </c>
      <c r="I6" s="12" t="b">
        <v>0</v>
      </c>
      <c r="J6" s="13">
        <v>0</v>
      </c>
      <c r="L6" s="12"/>
      <c r="M6" s="12"/>
      <c r="N6" s="12"/>
      <c r="O6" s="12"/>
      <c r="P6" s="12"/>
      <c r="R6" s="12"/>
      <c r="S6" s="12"/>
      <c r="T6" s="12"/>
      <c r="U6" s="12"/>
      <c r="V6" s="12"/>
      <c r="X6" s="12"/>
      <c r="Y6" s="12"/>
      <c r="Z6" s="12"/>
      <c r="AA6" s="12"/>
      <c r="AB6" s="12"/>
    </row>
    <row r="7" spans="1:29">
      <c r="F7" s="11"/>
      <c r="G7" s="12"/>
      <c r="H7" s="12"/>
      <c r="I7" s="12"/>
      <c r="J7" s="12"/>
      <c r="L7" s="12"/>
      <c r="M7" s="12"/>
      <c r="N7" s="12"/>
      <c r="O7" s="12"/>
      <c r="P7" s="12"/>
      <c r="R7" s="12"/>
      <c r="S7" s="12"/>
      <c r="T7" s="12"/>
      <c r="U7" s="12"/>
      <c r="V7" s="12"/>
      <c r="X7" s="12"/>
      <c r="Y7" s="12"/>
      <c r="Z7" s="12"/>
      <c r="AA7" s="12"/>
      <c r="AB7" s="12"/>
    </row>
    <row r="8" spans="1:29">
      <c r="B8" s="11" t="s">
        <v>670</v>
      </c>
      <c r="F8" s="11"/>
      <c r="G8" s="12"/>
      <c r="H8" s="12"/>
      <c r="I8" s="12"/>
      <c r="J8" s="13"/>
      <c r="L8" s="12"/>
      <c r="M8" s="12"/>
      <c r="N8" s="12"/>
      <c r="O8" s="12"/>
      <c r="P8" s="12"/>
      <c r="R8" s="12"/>
      <c r="S8" s="12"/>
      <c r="T8" s="12"/>
      <c r="U8" s="12"/>
      <c r="V8" s="12"/>
      <c r="X8" s="12"/>
      <c r="Y8" s="12"/>
      <c r="Z8" s="12"/>
      <c r="AA8" s="12"/>
      <c r="AB8" s="12"/>
    </row>
    <row r="9" spans="1:29">
      <c r="B9" s="11" t="s">
        <v>602</v>
      </c>
      <c r="E9" s="10" t="str">
        <f>tlInputPlanProjectName</f>
        <v>-</v>
      </c>
      <c r="F9" s="11" t="s">
        <v>764</v>
      </c>
      <c r="G9" s="12">
        <f t="shared" ref="G9:G32" si="0">dec_Round</f>
        <v>0</v>
      </c>
      <c r="H9" s="12" t="b">
        <v>0</v>
      </c>
      <c r="I9" s="12" t="b">
        <v>0</v>
      </c>
      <c r="J9" s="13">
        <v>0</v>
      </c>
      <c r="L9" s="12"/>
      <c r="M9" s="12"/>
      <c r="N9" s="12"/>
      <c r="O9" s="12"/>
      <c r="P9" s="12"/>
      <c r="R9" s="12"/>
      <c r="S9" s="12"/>
      <c r="T9" s="12"/>
      <c r="U9" s="12"/>
      <c r="V9" s="12"/>
      <c r="X9" s="12"/>
      <c r="Y9" s="12"/>
      <c r="Z9" s="12"/>
      <c r="AA9" s="12"/>
      <c r="AB9" s="12"/>
    </row>
    <row r="10" spans="1:29">
      <c r="B10" s="11" t="s">
        <v>599</v>
      </c>
      <c r="E10" s="10" t="str">
        <f>tlInputPlanTargetIndication</f>
        <v>-</v>
      </c>
      <c r="F10" s="11" t="s">
        <v>765</v>
      </c>
      <c r="G10" s="12">
        <f t="shared" si="0"/>
        <v>0</v>
      </c>
      <c r="H10" s="12" t="b">
        <v>0</v>
      </c>
      <c r="I10" s="12" t="b">
        <v>0</v>
      </c>
      <c r="J10" s="13">
        <v>0</v>
      </c>
      <c r="L10" s="12"/>
      <c r="M10" s="12"/>
      <c r="N10" s="12"/>
      <c r="O10" s="12"/>
      <c r="P10" s="12"/>
      <c r="R10" s="12"/>
      <c r="S10" s="12"/>
      <c r="T10" s="12"/>
      <c r="U10" s="12"/>
      <c r="V10" s="12"/>
      <c r="X10" s="12"/>
      <c r="Y10" s="12"/>
      <c r="Z10" s="12"/>
      <c r="AA10" s="12"/>
      <c r="AB10" s="12"/>
    </row>
    <row r="11" spans="1:29">
      <c r="B11" s="11" t="s">
        <v>601</v>
      </c>
      <c r="E11" s="10" t="str">
        <f>tlInputPlanCurrentStage</f>
        <v>Research</v>
      </c>
      <c r="F11" s="11" t="s">
        <v>766</v>
      </c>
      <c r="G11" s="12">
        <f t="shared" si="0"/>
        <v>0</v>
      </c>
      <c r="H11" s="12" t="b">
        <v>0</v>
      </c>
      <c r="I11" s="12" t="b">
        <v>0</v>
      </c>
      <c r="J11" s="13">
        <v>0</v>
      </c>
      <c r="L11" s="12"/>
      <c r="M11" s="12"/>
      <c r="N11" s="12"/>
      <c r="O11" s="12"/>
      <c r="P11" s="12"/>
      <c r="R11" s="12"/>
      <c r="S11" s="12"/>
      <c r="T11" s="12"/>
      <c r="U11" s="12"/>
      <c r="V11" s="12"/>
      <c r="X11" s="12"/>
      <c r="Y11" s="12"/>
      <c r="Z11" s="12"/>
      <c r="AA11" s="12"/>
      <c r="AB11" s="12"/>
    </row>
    <row r="12" spans="1:29">
      <c r="B12" s="11" t="s">
        <v>598</v>
      </c>
      <c r="E12" s="10" t="str">
        <f>tlInputPlanDiseaseArea</f>
        <v>FOTE</v>
      </c>
      <c r="F12" s="11" t="s">
        <v>767</v>
      </c>
      <c r="G12" s="12">
        <f t="shared" si="0"/>
        <v>0</v>
      </c>
      <c r="H12" s="12" t="b">
        <v>0</v>
      </c>
      <c r="I12" s="12" t="b">
        <v>0</v>
      </c>
      <c r="J12" s="13">
        <v>0</v>
      </c>
      <c r="L12" s="12"/>
      <c r="M12" s="12"/>
      <c r="N12" s="12"/>
      <c r="O12" s="12"/>
      <c r="P12" s="12"/>
      <c r="R12" s="12"/>
      <c r="S12" s="12"/>
      <c r="T12" s="12"/>
      <c r="U12" s="12"/>
      <c r="V12" s="12"/>
      <c r="X12" s="12"/>
      <c r="Y12" s="12"/>
      <c r="Z12" s="12"/>
      <c r="AA12" s="12"/>
      <c r="AB12" s="12"/>
    </row>
    <row r="13" spans="1:29">
      <c r="B13" s="11" t="s">
        <v>600</v>
      </c>
      <c r="E13" s="10">
        <f>tlInputPlanProjectStartDate</f>
        <v>2017</v>
      </c>
      <c r="F13" s="11" t="s">
        <v>768</v>
      </c>
      <c r="G13" s="12">
        <f t="shared" si="0"/>
        <v>0</v>
      </c>
      <c r="H13" s="12" t="b">
        <v>0</v>
      </c>
      <c r="I13" s="12" t="b">
        <v>0</v>
      </c>
      <c r="J13" s="13">
        <v>0</v>
      </c>
      <c r="L13" s="12"/>
      <c r="M13" s="12"/>
      <c r="N13" s="12"/>
      <c r="O13" s="12"/>
      <c r="P13" s="12"/>
      <c r="R13" s="12"/>
      <c r="S13" s="12"/>
      <c r="T13" s="12"/>
      <c r="U13" s="12"/>
      <c r="V13" s="12"/>
      <c r="X13" s="12"/>
      <c r="Y13" s="12"/>
      <c r="Z13" s="12"/>
      <c r="AA13" s="12"/>
      <c r="AB13" s="12"/>
    </row>
    <row r="14" spans="1:29">
      <c r="B14" s="11" t="s">
        <v>461</v>
      </c>
      <c r="E14" s="10">
        <f>tlInputPlanLOEDate</f>
        <v>2030</v>
      </c>
      <c r="F14" s="11" t="s">
        <v>769</v>
      </c>
      <c r="G14" s="12">
        <f t="shared" si="0"/>
        <v>0</v>
      </c>
      <c r="H14" s="12" t="b">
        <v>0</v>
      </c>
      <c r="I14" s="12" t="b">
        <v>0</v>
      </c>
      <c r="J14" s="13">
        <v>0</v>
      </c>
      <c r="L14" s="12"/>
      <c r="M14" s="12"/>
      <c r="N14" s="12"/>
      <c r="O14" s="12"/>
      <c r="P14" s="12"/>
      <c r="R14" s="12"/>
      <c r="S14" s="12"/>
      <c r="T14" s="12"/>
      <c r="U14" s="12"/>
      <c r="V14" s="12"/>
      <c r="X14" s="12"/>
      <c r="Y14" s="12"/>
      <c r="Z14" s="12"/>
      <c r="AA14" s="12"/>
      <c r="AB14" s="12"/>
    </row>
    <row r="15" spans="1:29">
      <c r="B15" s="11" t="s">
        <v>477</v>
      </c>
      <c r="E15" s="10" t="str">
        <f>tlInputPlanFormulation</f>
        <v>-</v>
      </c>
      <c r="F15" s="11" t="s">
        <v>770</v>
      </c>
      <c r="G15" s="12">
        <f t="shared" si="0"/>
        <v>0</v>
      </c>
      <c r="H15" s="12" t="b">
        <v>0</v>
      </c>
      <c r="I15" s="12" t="b">
        <v>0</v>
      </c>
      <c r="J15" s="13">
        <v>0</v>
      </c>
      <c r="L15" s="12"/>
      <c r="M15" s="12"/>
      <c r="N15" s="12"/>
      <c r="O15" s="12"/>
      <c r="P15" s="12"/>
      <c r="R15" s="12"/>
      <c r="S15" s="12"/>
      <c r="T15" s="12"/>
      <c r="U15" s="12"/>
      <c r="V15" s="12"/>
      <c r="X15" s="12"/>
      <c r="Y15" s="12"/>
      <c r="Z15" s="12"/>
      <c r="AA15" s="12"/>
      <c r="AB15" s="12"/>
    </row>
    <row r="16" spans="1:29">
      <c r="B16" s="11" t="s">
        <v>514</v>
      </c>
      <c r="E16" s="10">
        <f>tlInputPlanTargetLaunchDate</f>
        <v>2023</v>
      </c>
      <c r="F16" s="11" t="s">
        <v>771</v>
      </c>
      <c r="G16" s="12">
        <f t="shared" si="0"/>
        <v>0</v>
      </c>
      <c r="H16" s="12" t="b">
        <v>0</v>
      </c>
      <c r="I16" s="12" t="b">
        <v>0</v>
      </c>
      <c r="J16" s="13">
        <v>0</v>
      </c>
      <c r="L16" s="12"/>
      <c r="M16" s="12"/>
      <c r="N16" s="12"/>
      <c r="O16" s="12"/>
      <c r="P16" s="12"/>
      <c r="R16" s="12"/>
      <c r="S16" s="12"/>
      <c r="T16" s="12"/>
      <c r="U16" s="12"/>
      <c r="V16" s="12"/>
      <c r="X16" s="12"/>
      <c r="Y16" s="12"/>
      <c r="Z16" s="12"/>
      <c r="AA16" s="12"/>
      <c r="AB16" s="12"/>
    </row>
    <row r="17" spans="2:28">
      <c r="B17" s="11" t="s">
        <v>478</v>
      </c>
      <c r="E17" s="10">
        <f>tlInputPlanDrugAdministration</f>
        <v>0</v>
      </c>
      <c r="F17" s="11" t="s">
        <v>772</v>
      </c>
      <c r="G17" s="12">
        <f t="shared" si="0"/>
        <v>0</v>
      </c>
      <c r="H17" s="12" t="b">
        <v>0</v>
      </c>
      <c r="I17" s="12" t="b">
        <v>0</v>
      </c>
      <c r="J17" s="13">
        <v>0</v>
      </c>
      <c r="L17" s="12"/>
      <c r="M17" s="12"/>
      <c r="N17" s="12"/>
      <c r="O17" s="12"/>
      <c r="P17" s="12"/>
      <c r="R17" s="12"/>
      <c r="S17" s="12"/>
      <c r="T17" s="12"/>
      <c r="U17" s="12"/>
      <c r="V17" s="12"/>
      <c r="X17" s="12"/>
      <c r="Y17" s="12"/>
      <c r="Z17" s="12"/>
      <c r="AA17" s="12"/>
      <c r="AB17" s="12"/>
    </row>
    <row r="18" spans="2:28">
      <c r="B18" s="11" t="s">
        <v>547</v>
      </c>
      <c r="E18" s="10" t="str">
        <f>tlInputPlanInLicenseStage</f>
        <v>Research</v>
      </c>
      <c r="F18" s="11" t="s">
        <v>773</v>
      </c>
      <c r="G18" s="12">
        <f t="shared" si="0"/>
        <v>0</v>
      </c>
      <c r="H18" s="12" t="b">
        <v>0</v>
      </c>
      <c r="I18" s="12" t="b">
        <v>0</v>
      </c>
      <c r="J18" s="13">
        <v>0</v>
      </c>
      <c r="L18" s="12"/>
      <c r="M18" s="12"/>
      <c r="N18" s="12"/>
      <c r="O18" s="12"/>
      <c r="P18" s="12"/>
      <c r="R18" s="12"/>
      <c r="S18" s="12"/>
      <c r="T18" s="12"/>
      <c r="U18" s="12"/>
      <c r="V18" s="12"/>
      <c r="X18" s="12"/>
      <c r="Y18" s="12"/>
      <c r="Z18" s="12"/>
      <c r="AA18" s="12"/>
      <c r="AB18" s="12"/>
    </row>
    <row r="19" spans="2:28">
      <c r="B19" s="11" t="s">
        <v>1182</v>
      </c>
      <c r="E19" s="10">
        <f>tlInputPlanInLicenseCost</f>
        <v>0</v>
      </c>
      <c r="F19" s="11" t="s">
        <v>1183</v>
      </c>
      <c r="G19" s="12">
        <f t="shared" si="0"/>
        <v>0</v>
      </c>
      <c r="H19" s="12" t="b">
        <v>0</v>
      </c>
      <c r="I19" s="12" t="b">
        <v>0</v>
      </c>
      <c r="J19" s="13">
        <v>0</v>
      </c>
      <c r="L19" s="12"/>
      <c r="M19" s="12"/>
      <c r="N19" s="12"/>
      <c r="O19" s="12"/>
      <c r="P19" s="12"/>
      <c r="R19" s="12"/>
      <c r="S19" s="12"/>
      <c r="T19" s="12"/>
      <c r="U19" s="12"/>
      <c r="V19" s="12"/>
      <c r="X19" s="12"/>
      <c r="Y19" s="12"/>
      <c r="Z19" s="12"/>
      <c r="AA19" s="12"/>
      <c r="AB19" s="12"/>
    </row>
    <row r="20" spans="2:28">
      <c r="F20" s="11"/>
      <c r="G20" s="12"/>
      <c r="H20" s="12"/>
      <c r="I20" s="12"/>
      <c r="J20" s="12"/>
      <c r="L20" s="12"/>
      <c r="M20" s="12"/>
      <c r="N20" s="12"/>
      <c r="O20" s="12"/>
      <c r="P20" s="12"/>
      <c r="R20" s="12"/>
      <c r="S20" s="12"/>
      <c r="T20" s="12"/>
      <c r="U20" s="12"/>
      <c r="V20" s="12"/>
      <c r="X20" s="12"/>
      <c r="Y20" s="12"/>
      <c r="Z20" s="12"/>
      <c r="AA20" s="12"/>
      <c r="AB20" s="12"/>
    </row>
    <row r="21" spans="2:28">
      <c r="B21" s="11" t="s">
        <v>496</v>
      </c>
      <c r="E21" s="10" t="str">
        <f>tlInputPlanQ1Metric1</f>
        <v>EPV</v>
      </c>
      <c r="F21" s="11" t="s">
        <v>1433</v>
      </c>
      <c r="G21" s="12">
        <f t="shared" si="0"/>
        <v>0</v>
      </c>
      <c r="H21" s="12" t="b">
        <v>0</v>
      </c>
      <c r="I21" s="12" t="b">
        <v>0</v>
      </c>
      <c r="J21" s="13">
        <v>0</v>
      </c>
      <c r="L21" s="12"/>
      <c r="M21" s="12"/>
      <c r="N21" s="12"/>
      <c r="O21" s="12"/>
      <c r="P21" s="12"/>
      <c r="R21" s="12"/>
      <c r="S21" s="12"/>
      <c r="T21" s="12"/>
      <c r="U21" s="12"/>
      <c r="V21" s="12"/>
      <c r="X21" s="12"/>
      <c r="Y21" s="12"/>
      <c r="Z21" s="12"/>
      <c r="AA21" s="12"/>
      <c r="AB21" s="12"/>
    </row>
    <row r="22" spans="2:28">
      <c r="B22" s="11" t="s">
        <v>497</v>
      </c>
      <c r="E22" s="10" t="str">
        <f>tlInputPlanQ1Metric2</f>
        <v>Select Metric</v>
      </c>
      <c r="F22" s="11" t="s">
        <v>1434</v>
      </c>
      <c r="G22" s="12">
        <f t="shared" si="0"/>
        <v>0</v>
      </c>
      <c r="H22" s="12" t="b">
        <v>0</v>
      </c>
      <c r="I22" s="12" t="b">
        <v>0</v>
      </c>
      <c r="J22" s="13">
        <v>0</v>
      </c>
      <c r="L22" s="12"/>
      <c r="M22" s="12"/>
      <c r="N22" s="12"/>
      <c r="O22" s="12"/>
      <c r="P22" s="12"/>
      <c r="R22" s="12"/>
      <c r="S22" s="12"/>
      <c r="T22" s="12"/>
      <c r="U22" s="12"/>
      <c r="V22" s="12"/>
      <c r="X22" s="12"/>
      <c r="Y22" s="12"/>
      <c r="Z22" s="12"/>
      <c r="AA22" s="12"/>
      <c r="AB22" s="12"/>
    </row>
    <row r="23" spans="2:28">
      <c r="B23" s="11" t="s">
        <v>498</v>
      </c>
      <c r="E23" s="10" t="str">
        <f>tlInputPlanQ1Metric3</f>
        <v>Select Metric</v>
      </c>
      <c r="F23" s="11" t="s">
        <v>1435</v>
      </c>
      <c r="G23" s="12">
        <f t="shared" si="0"/>
        <v>0</v>
      </c>
      <c r="H23" s="12" t="b">
        <v>0</v>
      </c>
      <c r="I23" s="12" t="b">
        <v>0</v>
      </c>
      <c r="J23" s="13">
        <v>0</v>
      </c>
      <c r="L23" s="12"/>
      <c r="M23" s="12"/>
      <c r="N23" s="12"/>
      <c r="O23" s="12"/>
      <c r="P23" s="12"/>
      <c r="R23" s="12"/>
      <c r="S23" s="12"/>
      <c r="T23" s="12"/>
      <c r="U23" s="12"/>
      <c r="V23" s="12"/>
      <c r="X23" s="12"/>
      <c r="Y23" s="12"/>
      <c r="Z23" s="12"/>
      <c r="AA23" s="12"/>
      <c r="AB23" s="12"/>
    </row>
    <row r="24" spans="2:28">
      <c r="B24" s="11" t="s">
        <v>1427</v>
      </c>
      <c r="E24" s="11">
        <f>tlInputPlanQ1Notes</f>
        <v>0</v>
      </c>
      <c r="F24" s="11" t="s">
        <v>1436</v>
      </c>
      <c r="G24" s="12">
        <f t="shared" si="0"/>
        <v>0</v>
      </c>
      <c r="H24" s="12" t="b">
        <v>0</v>
      </c>
      <c r="I24" s="12" t="b">
        <v>0</v>
      </c>
      <c r="J24" s="13">
        <v>0</v>
      </c>
      <c r="L24" s="12"/>
      <c r="M24" s="12"/>
      <c r="N24" s="12"/>
      <c r="O24" s="12"/>
      <c r="P24" s="12"/>
      <c r="R24" s="12"/>
      <c r="S24" s="12"/>
      <c r="T24" s="12"/>
      <c r="U24" s="12"/>
      <c r="V24" s="12"/>
      <c r="X24" s="12"/>
      <c r="Y24" s="12"/>
      <c r="Z24" s="12"/>
      <c r="AA24" s="12"/>
      <c r="AB24" s="12"/>
    </row>
    <row r="25" spans="2:28">
      <c r="B25" s="11" t="s">
        <v>1428</v>
      </c>
      <c r="E25" s="11" t="str">
        <f>tlInputPlanQ2Notes</f>
        <v>Enter Text Here</v>
      </c>
      <c r="F25" s="11" t="s">
        <v>1437</v>
      </c>
      <c r="G25" s="12">
        <f t="shared" si="0"/>
        <v>0</v>
      </c>
      <c r="H25" s="12" t="b">
        <v>0</v>
      </c>
      <c r="I25" s="12" t="b">
        <v>0</v>
      </c>
      <c r="J25" s="13">
        <v>0</v>
      </c>
      <c r="L25" s="12"/>
      <c r="M25" s="12"/>
      <c r="N25" s="12"/>
      <c r="O25" s="12"/>
      <c r="P25" s="12"/>
      <c r="R25" s="12"/>
      <c r="S25" s="12"/>
      <c r="T25" s="12"/>
      <c r="U25" s="12"/>
      <c r="V25" s="12"/>
      <c r="X25" s="12"/>
      <c r="Y25" s="12"/>
      <c r="Z25" s="12"/>
      <c r="AA25" s="12"/>
      <c r="AB25" s="12"/>
    </row>
    <row r="26" spans="2:28">
      <c r="B26" s="11" t="s">
        <v>1429</v>
      </c>
      <c r="E26" s="11" t="str">
        <f>tlInputPlanQ3Notes</f>
        <v>Enter Text Here</v>
      </c>
      <c r="F26" s="11" t="s">
        <v>1438</v>
      </c>
      <c r="G26" s="12">
        <f t="shared" si="0"/>
        <v>0</v>
      </c>
      <c r="H26" s="12" t="b">
        <v>0</v>
      </c>
      <c r="I26" s="12" t="b">
        <v>0</v>
      </c>
      <c r="J26" s="13">
        <v>0</v>
      </c>
      <c r="L26" s="12"/>
      <c r="M26" s="12"/>
      <c r="N26" s="12"/>
      <c r="O26" s="12"/>
      <c r="P26" s="12"/>
      <c r="R26" s="12"/>
      <c r="S26" s="12"/>
      <c r="T26" s="12"/>
      <c r="U26" s="12"/>
      <c r="V26" s="12"/>
      <c r="X26" s="12"/>
      <c r="Y26" s="12"/>
      <c r="Z26" s="12"/>
      <c r="AA26" s="12"/>
      <c r="AB26" s="12"/>
    </row>
    <row r="27" spans="2:28">
      <c r="B27" s="11" t="s">
        <v>522</v>
      </c>
      <c r="E27" s="11" t="str">
        <f>tlInputPlanQ4Assumption1</f>
        <v>Enter Text Here</v>
      </c>
      <c r="F27" s="11" t="s">
        <v>1439</v>
      </c>
      <c r="G27" s="12">
        <f t="shared" si="0"/>
        <v>0</v>
      </c>
      <c r="H27" s="12" t="b">
        <v>0</v>
      </c>
      <c r="I27" s="12" t="b">
        <v>0</v>
      </c>
      <c r="J27" s="13">
        <v>0</v>
      </c>
      <c r="L27" s="12"/>
      <c r="M27" s="12"/>
      <c r="N27" s="12"/>
      <c r="O27" s="12"/>
      <c r="P27" s="12"/>
      <c r="R27" s="12"/>
      <c r="S27" s="12"/>
      <c r="T27" s="12"/>
      <c r="U27" s="12"/>
      <c r="V27" s="12"/>
      <c r="X27" s="12"/>
      <c r="Y27" s="12"/>
      <c r="Z27" s="12"/>
      <c r="AA27" s="12"/>
      <c r="AB27" s="12"/>
    </row>
    <row r="28" spans="2:28">
      <c r="B28" s="11" t="s">
        <v>524</v>
      </c>
      <c r="E28" s="11" t="str">
        <f>tlInputPlanQ4Assumption2</f>
        <v>Enter Text Here</v>
      </c>
      <c r="F28" s="11" t="s">
        <v>1440</v>
      </c>
      <c r="G28" s="12">
        <f t="shared" si="0"/>
        <v>0</v>
      </c>
      <c r="H28" s="12" t="b">
        <v>0</v>
      </c>
      <c r="I28" s="12" t="b">
        <v>0</v>
      </c>
      <c r="J28" s="13">
        <v>0</v>
      </c>
      <c r="L28" s="12"/>
      <c r="M28" s="12"/>
      <c r="N28" s="12"/>
      <c r="O28" s="12"/>
      <c r="P28" s="12"/>
      <c r="R28" s="12"/>
      <c r="S28" s="12"/>
      <c r="T28" s="12"/>
      <c r="U28" s="12"/>
      <c r="V28" s="12"/>
      <c r="X28" s="12"/>
      <c r="Y28" s="12"/>
      <c r="Z28" s="12"/>
      <c r="AA28" s="12"/>
      <c r="AB28" s="12"/>
    </row>
    <row r="29" spans="2:28">
      <c r="B29" s="11" t="s">
        <v>523</v>
      </c>
      <c r="E29" s="11" t="str">
        <f>tlInputPlanQ4Assumption3</f>
        <v>Enter Text Here</v>
      </c>
      <c r="F29" s="11" t="s">
        <v>1441</v>
      </c>
      <c r="G29" s="12">
        <f t="shared" si="0"/>
        <v>0</v>
      </c>
      <c r="H29" s="12" t="b">
        <v>0</v>
      </c>
      <c r="I29" s="12" t="b">
        <v>0</v>
      </c>
      <c r="J29" s="13">
        <v>0</v>
      </c>
      <c r="L29" s="12"/>
      <c r="M29" s="12"/>
      <c r="N29" s="12"/>
      <c r="O29" s="12"/>
      <c r="P29" s="12"/>
      <c r="R29" s="12"/>
      <c r="S29" s="12"/>
      <c r="T29" s="12"/>
      <c r="U29" s="12"/>
      <c r="V29" s="12"/>
      <c r="X29" s="12"/>
      <c r="Y29" s="12"/>
      <c r="Z29" s="12"/>
      <c r="AA29" s="12"/>
      <c r="AB29" s="12"/>
    </row>
    <row r="30" spans="2:28">
      <c r="B30" s="11" t="s">
        <v>1430</v>
      </c>
      <c r="E30" s="11">
        <f>tlInputPlanQ4Notes</f>
        <v>0</v>
      </c>
      <c r="F30" s="11" t="s">
        <v>1442</v>
      </c>
      <c r="G30" s="12">
        <f t="shared" si="0"/>
        <v>0</v>
      </c>
      <c r="H30" s="12" t="b">
        <v>0</v>
      </c>
      <c r="I30" s="12" t="b">
        <v>0</v>
      </c>
      <c r="J30" s="13">
        <v>0</v>
      </c>
      <c r="L30" s="12"/>
      <c r="M30" s="12"/>
      <c r="N30" s="12"/>
      <c r="O30" s="12"/>
      <c r="P30" s="12"/>
      <c r="R30" s="12"/>
      <c r="S30" s="12"/>
      <c r="T30" s="12"/>
      <c r="U30" s="12"/>
      <c r="V30" s="12"/>
      <c r="X30" s="12"/>
      <c r="Y30" s="12"/>
      <c r="Z30" s="12"/>
      <c r="AA30" s="12"/>
      <c r="AB30" s="12"/>
    </row>
    <row r="31" spans="2:28">
      <c r="B31" s="11" t="s">
        <v>1431</v>
      </c>
      <c r="E31" s="11" t="str">
        <f>tlInputPlanQ5</f>
        <v>Enter Text Here</v>
      </c>
      <c r="F31" s="11" t="s">
        <v>1443</v>
      </c>
      <c r="G31" s="12">
        <f t="shared" si="0"/>
        <v>0</v>
      </c>
      <c r="H31" s="12" t="b">
        <v>0</v>
      </c>
      <c r="I31" s="12" t="b">
        <v>0</v>
      </c>
      <c r="J31" s="13">
        <v>0</v>
      </c>
      <c r="L31" s="12"/>
      <c r="M31" s="12"/>
      <c r="N31" s="12"/>
      <c r="O31" s="12"/>
      <c r="P31" s="12"/>
      <c r="R31" s="12"/>
      <c r="S31" s="12"/>
      <c r="T31" s="12"/>
      <c r="U31" s="12"/>
      <c r="V31" s="12"/>
      <c r="X31" s="12"/>
      <c r="Y31" s="12"/>
      <c r="Z31" s="12"/>
      <c r="AA31" s="12"/>
      <c r="AB31" s="12"/>
    </row>
    <row r="32" spans="2:28">
      <c r="B32" s="11" t="s">
        <v>1432</v>
      </c>
      <c r="E32" s="11" t="str">
        <f>tlInputPlanQ6</f>
        <v>Enter Text Here</v>
      </c>
      <c r="F32" s="11" t="s">
        <v>1444</v>
      </c>
      <c r="G32" s="12">
        <f t="shared" si="0"/>
        <v>0</v>
      </c>
      <c r="H32" s="12" t="b">
        <v>0</v>
      </c>
      <c r="I32" s="12" t="b">
        <v>0</v>
      </c>
      <c r="J32" s="13">
        <v>0</v>
      </c>
      <c r="L32" s="12"/>
      <c r="M32" s="12"/>
      <c r="N32" s="12"/>
      <c r="O32" s="12"/>
      <c r="P32" s="12"/>
      <c r="R32" s="12"/>
      <c r="S32" s="12"/>
      <c r="T32" s="12"/>
      <c r="U32" s="12"/>
      <c r="V32" s="12"/>
      <c r="X32" s="12"/>
      <c r="Y32" s="12"/>
      <c r="Z32" s="12"/>
      <c r="AA32" s="12"/>
      <c r="AB32" s="12"/>
    </row>
    <row r="33" spans="2:28">
      <c r="F33" s="11"/>
      <c r="G33" s="12"/>
      <c r="H33" s="12"/>
      <c r="I33" s="12"/>
      <c r="J33" s="13"/>
      <c r="L33" s="12"/>
      <c r="M33" s="12"/>
      <c r="N33" s="12"/>
      <c r="O33" s="12"/>
      <c r="P33" s="12"/>
      <c r="R33" s="12"/>
      <c r="S33" s="12"/>
      <c r="T33" s="12"/>
      <c r="U33" s="12"/>
      <c r="V33" s="12"/>
      <c r="X33" s="12"/>
      <c r="Y33" s="12"/>
      <c r="Z33" s="12"/>
      <c r="AA33" s="12"/>
      <c r="AB33" s="12"/>
    </row>
    <row r="34" spans="2:28">
      <c r="B34" s="11" t="s">
        <v>509</v>
      </c>
      <c r="F34" s="11"/>
      <c r="G34" s="12"/>
      <c r="H34" s="12"/>
      <c r="I34" s="12"/>
      <c r="J34" s="13"/>
      <c r="L34" s="12"/>
      <c r="M34" s="12"/>
      <c r="N34" s="12"/>
      <c r="O34" s="12"/>
      <c r="P34" s="12"/>
      <c r="R34" s="12"/>
      <c r="S34" s="12"/>
      <c r="T34" s="12"/>
      <c r="U34" s="12"/>
      <c r="V34" s="12"/>
      <c r="X34" s="12"/>
      <c r="Y34" s="12"/>
      <c r="Z34" s="12"/>
      <c r="AA34" s="12"/>
      <c r="AB34" s="12"/>
    </row>
    <row r="35" spans="2:28">
      <c r="B35" s="10" t="s">
        <v>484</v>
      </c>
      <c r="C35" s="11"/>
      <c r="F35" s="11"/>
      <c r="G35" s="12"/>
      <c r="H35" s="12"/>
      <c r="I35" s="12"/>
      <c r="J35" s="13"/>
      <c r="L35" s="12"/>
      <c r="M35" s="12"/>
      <c r="N35" s="12"/>
      <c r="O35" s="12"/>
      <c r="P35" s="12"/>
      <c r="R35" s="12"/>
      <c r="S35" s="12"/>
      <c r="T35" s="12"/>
      <c r="U35" s="12"/>
      <c r="V35" s="12"/>
      <c r="X35" s="12"/>
      <c r="Y35" s="12"/>
      <c r="Z35" s="12"/>
      <c r="AA35" s="12"/>
      <c r="AB35" s="12"/>
    </row>
    <row r="36" spans="2:28">
      <c r="B36" s="10"/>
      <c r="C36" s="11" t="s">
        <v>585</v>
      </c>
      <c r="E36" s="10">
        <f>tlInputScenario1AddBiomarker</f>
        <v>0</v>
      </c>
      <c r="F36" s="32" t="s">
        <v>703</v>
      </c>
      <c r="G36" s="12">
        <f t="shared" ref="G36:G53" si="1">dec_Round</f>
        <v>0</v>
      </c>
      <c r="H36" s="12" t="b">
        <v>0</v>
      </c>
      <c r="I36" s="12" t="b">
        <v>0</v>
      </c>
      <c r="J36" s="13">
        <v>0</v>
      </c>
      <c r="L36" s="12"/>
      <c r="M36" s="12"/>
      <c r="N36" s="12"/>
      <c r="O36" s="12"/>
      <c r="P36" s="12"/>
      <c r="R36" s="12"/>
      <c r="S36" s="12"/>
      <c r="T36" s="12"/>
      <c r="U36" s="12"/>
      <c r="V36" s="12"/>
      <c r="X36" s="12"/>
      <c r="Y36" s="12"/>
      <c r="Z36" s="12"/>
      <c r="AA36" s="12"/>
      <c r="AB36" s="12"/>
    </row>
    <row r="37" spans="2:28">
      <c r="B37" s="10"/>
      <c r="C37" s="11" t="s">
        <v>587</v>
      </c>
      <c r="E37" s="10" t="str">
        <f>tlInputScenario1Administration</f>
        <v>Eye Drops</v>
      </c>
      <c r="F37" s="32" t="s">
        <v>704</v>
      </c>
      <c r="G37" s="12">
        <f t="shared" si="1"/>
        <v>0</v>
      </c>
      <c r="H37" s="12" t="b">
        <v>0</v>
      </c>
      <c r="I37" s="12" t="b">
        <v>0</v>
      </c>
      <c r="J37" s="13">
        <v>0</v>
      </c>
      <c r="L37" s="12"/>
      <c r="M37" s="12"/>
      <c r="N37" s="12"/>
      <c r="O37" s="12"/>
      <c r="P37" s="12"/>
      <c r="R37" s="12"/>
      <c r="S37" s="12"/>
      <c r="T37" s="12"/>
      <c r="U37" s="12"/>
      <c r="V37" s="12"/>
      <c r="X37" s="12"/>
      <c r="Y37" s="12"/>
      <c r="Z37" s="12"/>
      <c r="AA37" s="12"/>
      <c r="AB37" s="12"/>
    </row>
    <row r="38" spans="2:28">
      <c r="B38" s="10" t="s">
        <v>465</v>
      </c>
      <c r="C38" s="11" t="s">
        <v>495</v>
      </c>
      <c r="E38" s="10">
        <f>tlInputScenario1TrialSizePh1</f>
        <v>50</v>
      </c>
      <c r="F38" s="32" t="s">
        <v>705</v>
      </c>
      <c r="G38" s="12">
        <f t="shared" si="1"/>
        <v>0</v>
      </c>
      <c r="H38" s="12" t="b">
        <v>0</v>
      </c>
      <c r="I38" s="12" t="b">
        <v>0</v>
      </c>
      <c r="J38" s="13">
        <v>0</v>
      </c>
      <c r="L38" s="12"/>
      <c r="M38" s="12"/>
      <c r="N38" s="12"/>
      <c r="O38" s="12"/>
      <c r="P38" s="12"/>
      <c r="R38" s="12"/>
      <c r="S38" s="12"/>
      <c r="T38" s="12"/>
      <c r="U38" s="12"/>
      <c r="V38" s="12"/>
      <c r="X38" s="12"/>
      <c r="Y38" s="12"/>
      <c r="Z38" s="12"/>
      <c r="AA38" s="12"/>
      <c r="AB38" s="12"/>
    </row>
    <row r="39" spans="2:28">
      <c r="B39" s="10" t="s">
        <v>466</v>
      </c>
      <c r="C39" s="11" t="s">
        <v>495</v>
      </c>
      <c r="E39" s="10">
        <f>tlInputScenario1TrialSizePh2</f>
        <v>250</v>
      </c>
      <c r="F39" s="32" t="s">
        <v>706</v>
      </c>
      <c r="G39" s="12">
        <f t="shared" si="1"/>
        <v>0</v>
      </c>
      <c r="H39" s="12" t="b">
        <v>0</v>
      </c>
      <c r="I39" s="12" t="b">
        <v>0</v>
      </c>
      <c r="J39" s="13">
        <v>0</v>
      </c>
      <c r="L39" s="12"/>
      <c r="M39" s="12"/>
      <c r="N39" s="12"/>
      <c r="O39" s="12"/>
      <c r="P39" s="12"/>
      <c r="R39" s="12"/>
      <c r="S39" s="12"/>
      <c r="T39" s="12"/>
      <c r="U39" s="12"/>
      <c r="V39" s="12"/>
      <c r="X39" s="12"/>
      <c r="Y39" s="12"/>
      <c r="Z39" s="12"/>
      <c r="AA39" s="12"/>
      <c r="AB39" s="12"/>
    </row>
    <row r="40" spans="2:28">
      <c r="B40" s="10" t="s">
        <v>467</v>
      </c>
      <c r="C40" s="11" t="s">
        <v>495</v>
      </c>
      <c r="E40" s="10">
        <f>tlInputScenario1TrialSizePh3</f>
        <v>1500</v>
      </c>
      <c r="F40" s="32" t="s">
        <v>707</v>
      </c>
      <c r="G40" s="12">
        <f t="shared" si="1"/>
        <v>0</v>
      </c>
      <c r="H40" s="12" t="b">
        <v>0</v>
      </c>
      <c r="I40" s="12" t="b">
        <v>0</v>
      </c>
      <c r="J40" s="13">
        <v>0</v>
      </c>
      <c r="L40" s="12"/>
      <c r="M40" s="12"/>
      <c r="N40" s="12"/>
      <c r="O40" s="12"/>
      <c r="P40" s="12"/>
      <c r="R40" s="12"/>
      <c r="S40" s="12"/>
      <c r="T40" s="12"/>
      <c r="U40" s="12"/>
      <c r="V40" s="12"/>
      <c r="X40" s="12"/>
      <c r="Y40" s="12"/>
      <c r="Z40" s="12"/>
      <c r="AA40" s="12"/>
      <c r="AB40" s="12"/>
    </row>
    <row r="41" spans="2:28">
      <c r="B41" s="10" t="s">
        <v>465</v>
      </c>
      <c r="C41" s="11" t="s">
        <v>611</v>
      </c>
      <c r="E41" s="10" t="str">
        <f>tlInputScenario1ObservationPh1</f>
        <v>0 months</v>
      </c>
      <c r="F41" s="32" t="s">
        <v>708</v>
      </c>
      <c r="G41" s="12">
        <f t="shared" si="1"/>
        <v>0</v>
      </c>
      <c r="H41" s="12" t="b">
        <v>0</v>
      </c>
      <c r="I41" s="12" t="b">
        <v>0</v>
      </c>
      <c r="J41" s="13">
        <v>0</v>
      </c>
      <c r="L41" s="12"/>
      <c r="M41" s="12"/>
      <c r="N41" s="12"/>
      <c r="O41" s="12"/>
      <c r="P41" s="12"/>
      <c r="R41" s="12"/>
      <c r="S41" s="12"/>
      <c r="T41" s="12"/>
      <c r="U41" s="12"/>
      <c r="V41" s="12"/>
      <c r="X41" s="12"/>
      <c r="Y41" s="12"/>
      <c r="Z41" s="12"/>
      <c r="AA41" s="12"/>
      <c r="AB41" s="12"/>
    </row>
    <row r="42" spans="2:28">
      <c r="B42" s="10" t="s">
        <v>466</v>
      </c>
      <c r="C42" s="11" t="s">
        <v>611</v>
      </c>
      <c r="E42" s="10" t="str">
        <f>tlInputScenario1ObservationPh2</f>
        <v>0 months</v>
      </c>
      <c r="F42" s="32" t="s">
        <v>709</v>
      </c>
      <c r="G42" s="12">
        <f t="shared" si="1"/>
        <v>0</v>
      </c>
      <c r="H42" s="12" t="b">
        <v>0</v>
      </c>
      <c r="I42" s="12" t="b">
        <v>0</v>
      </c>
      <c r="J42" s="13">
        <v>0</v>
      </c>
      <c r="L42" s="12"/>
      <c r="M42" s="12"/>
      <c r="N42" s="12"/>
      <c r="O42" s="12"/>
      <c r="P42" s="12"/>
      <c r="R42" s="12"/>
      <c r="S42" s="12"/>
      <c r="T42" s="12"/>
      <c r="U42" s="12"/>
      <c r="V42" s="12"/>
      <c r="X42" s="12"/>
      <c r="Y42" s="12"/>
      <c r="Z42" s="12"/>
      <c r="AA42" s="12"/>
      <c r="AB42" s="12"/>
    </row>
    <row r="43" spans="2:28">
      <c r="B43" s="10" t="s">
        <v>467</v>
      </c>
      <c r="C43" s="11" t="s">
        <v>611</v>
      </c>
      <c r="E43" s="10" t="str">
        <f>tlInputScenario1ObservationPh3</f>
        <v>0 months</v>
      </c>
      <c r="F43" s="32" t="s">
        <v>710</v>
      </c>
      <c r="G43" s="12">
        <f t="shared" si="1"/>
        <v>0</v>
      </c>
      <c r="H43" s="12" t="b">
        <v>0</v>
      </c>
      <c r="I43" s="12" t="b">
        <v>0</v>
      </c>
      <c r="J43" s="13">
        <v>0</v>
      </c>
      <c r="L43" s="12"/>
      <c r="M43" s="12"/>
      <c r="N43" s="12"/>
      <c r="O43" s="12"/>
      <c r="P43" s="12"/>
      <c r="R43" s="12"/>
      <c r="S43" s="12"/>
      <c r="T43" s="12"/>
      <c r="U43" s="12"/>
      <c r="V43" s="12"/>
      <c r="X43" s="12"/>
      <c r="Y43" s="12"/>
      <c r="Z43" s="12"/>
      <c r="AA43" s="12"/>
      <c r="AB43" s="12"/>
    </row>
    <row r="44" spans="2:28">
      <c r="B44" s="10" t="s">
        <v>466</v>
      </c>
      <c r="C44" s="11" t="s">
        <v>554</v>
      </c>
      <c r="E44" s="10" t="str">
        <f>tlInputScenario1MNTrialsPh2</f>
        <v>Local</v>
      </c>
      <c r="F44" s="32" t="s">
        <v>711</v>
      </c>
      <c r="G44" s="12">
        <f t="shared" si="1"/>
        <v>0</v>
      </c>
      <c r="H44" s="12" t="b">
        <v>0</v>
      </c>
      <c r="I44" s="12" t="b">
        <v>0</v>
      </c>
      <c r="J44" s="13">
        <v>0</v>
      </c>
      <c r="L44" s="12"/>
      <c r="M44" s="12"/>
      <c r="N44" s="12"/>
      <c r="O44" s="12"/>
      <c r="P44" s="12"/>
      <c r="R44" s="12"/>
      <c r="S44" s="12"/>
      <c r="T44" s="12"/>
      <c r="U44" s="12"/>
      <c r="V44" s="12"/>
      <c r="X44" s="12"/>
      <c r="Y44" s="12"/>
      <c r="Z44" s="12"/>
      <c r="AA44" s="12"/>
      <c r="AB44" s="12"/>
    </row>
    <row r="45" spans="2:28">
      <c r="B45" s="10" t="s">
        <v>467</v>
      </c>
      <c r="C45" s="11" t="s">
        <v>554</v>
      </c>
      <c r="E45" s="10" t="str">
        <f>tlInputScenario1MNTrialsPh3</f>
        <v>Local</v>
      </c>
      <c r="F45" s="32" t="s">
        <v>712</v>
      </c>
      <c r="G45" s="12">
        <f t="shared" si="1"/>
        <v>0</v>
      </c>
      <c r="H45" s="12" t="b">
        <v>0</v>
      </c>
      <c r="I45" s="12" t="b">
        <v>0</v>
      </c>
      <c r="J45" s="13">
        <v>0</v>
      </c>
      <c r="L45" s="12"/>
      <c r="M45" s="12"/>
      <c r="N45" s="12"/>
      <c r="O45" s="12"/>
      <c r="P45" s="12"/>
      <c r="R45" s="12"/>
      <c r="S45" s="12"/>
      <c r="T45" s="12"/>
      <c r="U45" s="12"/>
      <c r="V45" s="12"/>
      <c r="X45" s="12"/>
      <c r="Y45" s="12"/>
      <c r="Z45" s="12"/>
      <c r="AA45" s="12"/>
      <c r="AB45" s="12"/>
    </row>
    <row r="46" spans="2:28">
      <c r="B46" s="10"/>
      <c r="C46" s="11" t="s">
        <v>513</v>
      </c>
      <c r="E46" s="10" t="str">
        <f>tlInputScenario1AddIndication</f>
        <v>No</v>
      </c>
      <c r="F46" s="32" t="s">
        <v>713</v>
      </c>
      <c r="G46" s="12">
        <f t="shared" si="1"/>
        <v>0</v>
      </c>
      <c r="H46" s="12" t="b">
        <v>0</v>
      </c>
      <c r="I46" s="12" t="b">
        <v>0</v>
      </c>
      <c r="J46" s="13">
        <v>0</v>
      </c>
      <c r="L46" s="12"/>
      <c r="M46" s="12"/>
      <c r="N46" s="12"/>
      <c r="O46" s="12"/>
      <c r="P46" s="12"/>
      <c r="R46" s="12"/>
      <c r="S46" s="12"/>
      <c r="T46" s="12"/>
      <c r="U46" s="12"/>
      <c r="V46" s="12"/>
      <c r="X46" s="12"/>
      <c r="Y46" s="12"/>
      <c r="Z46" s="12"/>
      <c r="AA46" s="12"/>
      <c r="AB46" s="12"/>
    </row>
    <row r="47" spans="2:28">
      <c r="B47" s="10"/>
      <c r="C47" s="11" t="s">
        <v>560</v>
      </c>
      <c r="E47" s="10" t="str">
        <f>tlInputScenario1Ph2bStudy</f>
        <v>Multiple Arms</v>
      </c>
      <c r="F47" s="32" t="s">
        <v>714</v>
      </c>
      <c r="G47" s="12">
        <f t="shared" si="1"/>
        <v>0</v>
      </c>
      <c r="H47" s="12" t="b">
        <v>0</v>
      </c>
      <c r="I47" s="12" t="b">
        <v>0</v>
      </c>
      <c r="J47" s="13">
        <v>0</v>
      </c>
      <c r="L47" s="12"/>
      <c r="M47" s="12"/>
      <c r="N47" s="12"/>
      <c r="O47" s="12"/>
      <c r="P47" s="12"/>
      <c r="R47" s="12"/>
      <c r="S47" s="12"/>
      <c r="T47" s="12"/>
      <c r="U47" s="12"/>
      <c r="V47" s="12"/>
      <c r="X47" s="12"/>
      <c r="Y47" s="12"/>
      <c r="Z47" s="12"/>
      <c r="AA47" s="12"/>
      <c r="AB47" s="12"/>
    </row>
    <row r="48" spans="2:28">
      <c r="B48" s="10"/>
      <c r="C48" s="11" t="s">
        <v>563</v>
      </c>
      <c r="E48" s="10" t="str">
        <f>tlInputScenario1DDFrequency</f>
        <v>Medium</v>
      </c>
      <c r="F48" s="32" t="s">
        <v>715</v>
      </c>
      <c r="G48" s="12">
        <f t="shared" si="1"/>
        <v>0</v>
      </c>
      <c r="H48" s="12" t="b">
        <v>0</v>
      </c>
      <c r="I48" s="12" t="b">
        <v>0</v>
      </c>
      <c r="J48" s="13">
        <v>0</v>
      </c>
      <c r="L48" s="12"/>
      <c r="M48" s="12"/>
      <c r="N48" s="12"/>
      <c r="O48" s="12"/>
      <c r="P48" s="12"/>
      <c r="R48" s="12"/>
      <c r="S48" s="12"/>
      <c r="T48" s="12"/>
      <c r="U48" s="12"/>
      <c r="V48" s="12"/>
      <c r="X48" s="12"/>
      <c r="Y48" s="12"/>
      <c r="Z48" s="12"/>
      <c r="AA48" s="12"/>
      <c r="AB48" s="12"/>
    </row>
    <row r="49" spans="1:28">
      <c r="B49" s="10"/>
      <c r="C49" s="11" t="s">
        <v>572</v>
      </c>
      <c r="E49" s="10">
        <f>tlInputScenario1PrimaryEndpoint</f>
        <v>1</v>
      </c>
      <c r="F49" s="32" t="s">
        <v>716</v>
      </c>
      <c r="G49" s="12">
        <f t="shared" si="1"/>
        <v>0</v>
      </c>
      <c r="H49" s="12" t="b">
        <v>0</v>
      </c>
      <c r="I49" s="12" t="b">
        <v>0</v>
      </c>
      <c r="J49" s="13">
        <v>0</v>
      </c>
      <c r="L49" s="12"/>
      <c r="M49" s="12"/>
      <c r="N49" s="12"/>
      <c r="O49" s="12"/>
      <c r="P49" s="12"/>
      <c r="R49" s="12"/>
      <c r="S49" s="12"/>
      <c r="T49" s="12"/>
      <c r="U49" s="12"/>
      <c r="V49" s="12"/>
      <c r="X49" s="12"/>
      <c r="Y49" s="12"/>
      <c r="Z49" s="12"/>
      <c r="AA49" s="12"/>
      <c r="AB49" s="12"/>
    </row>
    <row r="50" spans="1:28">
      <c r="B50" s="10"/>
      <c r="C50" s="11" t="s">
        <v>573</v>
      </c>
      <c r="E50" s="10">
        <f>tlInputScenario1SecondaryEndpoint</f>
        <v>1</v>
      </c>
      <c r="F50" s="32" t="s">
        <v>717</v>
      </c>
      <c r="G50" s="12">
        <f t="shared" si="1"/>
        <v>0</v>
      </c>
      <c r="H50" s="12" t="b">
        <v>0</v>
      </c>
      <c r="I50" s="12" t="b">
        <v>0</v>
      </c>
      <c r="J50" s="13">
        <v>0</v>
      </c>
      <c r="L50" s="12"/>
      <c r="M50" s="12"/>
      <c r="N50" s="12"/>
      <c r="O50" s="12"/>
      <c r="P50" s="12"/>
      <c r="R50" s="12"/>
      <c r="S50" s="12"/>
      <c r="T50" s="12"/>
      <c r="U50" s="12"/>
      <c r="V50" s="12"/>
      <c r="X50" s="12"/>
      <c r="Y50" s="12"/>
      <c r="Z50" s="12"/>
      <c r="AA50" s="12"/>
      <c r="AB50" s="12"/>
    </row>
    <row r="51" spans="1:28">
      <c r="B51" s="10"/>
      <c r="C51" s="11" t="s">
        <v>489</v>
      </c>
      <c r="E51" s="10" t="str">
        <f>tlInputScenario1Comparator</f>
        <v>Active</v>
      </c>
      <c r="F51" s="32" t="s">
        <v>718</v>
      </c>
      <c r="G51" s="12">
        <f t="shared" si="1"/>
        <v>0</v>
      </c>
      <c r="H51" s="12" t="b">
        <v>0</v>
      </c>
      <c r="I51" s="12" t="b">
        <v>0</v>
      </c>
      <c r="J51" s="13">
        <v>0</v>
      </c>
      <c r="L51" s="12"/>
      <c r="M51" s="12"/>
      <c r="N51" s="12"/>
      <c r="O51" s="12"/>
      <c r="P51" s="12"/>
      <c r="R51" s="12"/>
      <c r="S51" s="12"/>
      <c r="T51" s="12"/>
      <c r="U51" s="12"/>
      <c r="V51" s="12"/>
      <c r="X51" s="12"/>
      <c r="Y51" s="12"/>
      <c r="Z51" s="12"/>
      <c r="AA51" s="12"/>
      <c r="AB51" s="12"/>
    </row>
    <row r="52" spans="1:28">
      <c r="B52" s="10"/>
      <c r="C52" s="11" t="s">
        <v>613</v>
      </c>
      <c r="E52" s="10" t="str">
        <f>tlInputScenario1MAEffort</f>
        <v>Late Stage</v>
      </c>
      <c r="F52" s="32" t="s">
        <v>719</v>
      </c>
      <c r="G52" s="12">
        <f t="shared" si="1"/>
        <v>0</v>
      </c>
      <c r="H52" s="12" t="b">
        <v>0</v>
      </c>
      <c r="I52" s="12" t="b">
        <v>0</v>
      </c>
      <c r="J52" s="13">
        <v>0</v>
      </c>
      <c r="L52" s="12"/>
      <c r="M52" s="12"/>
      <c r="N52" s="12"/>
      <c r="O52" s="12"/>
      <c r="P52" s="12"/>
      <c r="R52" s="12"/>
      <c r="S52" s="12"/>
      <c r="T52" s="12"/>
      <c r="U52" s="12"/>
      <c r="V52" s="12"/>
      <c r="X52" s="12"/>
      <c r="Y52" s="12"/>
      <c r="Z52" s="12"/>
      <c r="AA52" s="12"/>
      <c r="AB52" s="12"/>
    </row>
    <row r="53" spans="1:28">
      <c r="B53" s="10"/>
      <c r="C53" s="11" t="s">
        <v>592</v>
      </c>
      <c r="E53" s="10">
        <f>tlInputScenario1RegulatorySuccess</f>
        <v>0.9</v>
      </c>
      <c r="F53" s="32" t="s">
        <v>720</v>
      </c>
      <c r="G53" s="12">
        <f t="shared" si="1"/>
        <v>0</v>
      </c>
      <c r="H53" s="12" t="b">
        <v>0</v>
      </c>
      <c r="I53" s="12" t="b">
        <v>0</v>
      </c>
      <c r="J53" s="13">
        <v>0</v>
      </c>
      <c r="L53" s="12"/>
      <c r="M53" s="12"/>
      <c r="N53" s="12"/>
      <c r="O53" s="12"/>
      <c r="P53" s="12"/>
      <c r="R53" s="12"/>
      <c r="S53" s="12"/>
      <c r="T53" s="12"/>
      <c r="U53" s="12"/>
      <c r="V53" s="12"/>
      <c r="X53" s="12"/>
      <c r="Y53" s="12"/>
      <c r="Z53" s="12"/>
      <c r="AA53" s="12"/>
      <c r="AB53" s="12"/>
    </row>
    <row r="54" spans="1:28">
      <c r="B54" s="10"/>
      <c r="C54" s="11"/>
      <c r="F54" s="32"/>
      <c r="G54" s="12"/>
      <c r="H54" s="12"/>
      <c r="I54" s="12"/>
      <c r="J54" s="13"/>
      <c r="L54" s="12"/>
      <c r="M54" s="12"/>
      <c r="N54" s="12"/>
      <c r="O54" s="12"/>
      <c r="P54" s="12"/>
      <c r="R54" s="12"/>
      <c r="S54" s="12"/>
      <c r="T54" s="12"/>
      <c r="U54" s="12"/>
      <c r="V54" s="12"/>
      <c r="X54" s="12"/>
      <c r="Y54" s="12"/>
      <c r="Z54" s="12"/>
      <c r="AA54" s="12"/>
      <c r="AB54" s="12"/>
    </row>
    <row r="55" spans="1:28">
      <c r="A55" s="11" t="s">
        <v>540</v>
      </c>
      <c r="B55" s="378">
        <v>0</v>
      </c>
      <c r="C55" s="11" t="s">
        <v>673</v>
      </c>
      <c r="D55" s="10" t="s">
        <v>571</v>
      </c>
      <c r="E55" s="10">
        <f>tlInputScenario1ResearchPTS</f>
        <v>0</v>
      </c>
      <c r="F55" s="32" t="s">
        <v>721</v>
      </c>
      <c r="G55" s="12">
        <f>dec_Round</f>
        <v>0</v>
      </c>
      <c r="H55" s="12" t="b">
        <v>0</v>
      </c>
      <c r="I55" s="12" t="b">
        <v>0</v>
      </c>
      <c r="J55" s="13">
        <v>0</v>
      </c>
      <c r="L55" s="12"/>
      <c r="M55" s="12"/>
      <c r="N55" s="12"/>
      <c r="O55" s="12"/>
      <c r="P55" s="12"/>
      <c r="R55" s="12"/>
      <c r="S55" s="12"/>
      <c r="T55" s="12"/>
      <c r="U55" s="12"/>
      <c r="V55" s="12"/>
      <c r="X55" s="12"/>
      <c r="Y55" s="12"/>
      <c r="Z55" s="12"/>
      <c r="AA55" s="12"/>
      <c r="AB55" s="12"/>
    </row>
    <row r="56" spans="1:28">
      <c r="A56" s="11" t="s">
        <v>465</v>
      </c>
      <c r="B56" s="378">
        <v>0</v>
      </c>
      <c r="C56" s="11" t="s">
        <v>674</v>
      </c>
      <c r="D56" s="10" t="s">
        <v>571</v>
      </c>
      <c r="E56" s="10">
        <f>tlInputScenario1Ph1PTS</f>
        <v>0</v>
      </c>
      <c r="F56" s="32" t="s">
        <v>722</v>
      </c>
      <c r="G56" s="12">
        <f>dec_Round</f>
        <v>0</v>
      </c>
      <c r="H56" s="12" t="b">
        <v>0</v>
      </c>
      <c r="I56" s="12" t="b">
        <v>0</v>
      </c>
      <c r="J56" s="13">
        <v>0</v>
      </c>
      <c r="L56" s="12"/>
      <c r="M56" s="12"/>
      <c r="N56" s="12"/>
      <c r="O56" s="12"/>
      <c r="P56" s="12"/>
      <c r="R56" s="12"/>
      <c r="S56" s="12"/>
      <c r="T56" s="12"/>
      <c r="U56" s="12"/>
      <c r="V56" s="12"/>
      <c r="X56" s="12"/>
      <c r="Y56" s="12"/>
      <c r="Z56" s="12"/>
      <c r="AA56" s="12"/>
      <c r="AB56" s="12"/>
    </row>
    <row r="57" spans="1:28">
      <c r="A57" s="11" t="s">
        <v>466</v>
      </c>
      <c r="B57" s="378">
        <v>0</v>
      </c>
      <c r="C57" s="11" t="s">
        <v>675</v>
      </c>
      <c r="D57" s="10" t="s">
        <v>571</v>
      </c>
      <c r="E57" s="10">
        <f>tlInputScenario1Ph2PTS</f>
        <v>0</v>
      </c>
      <c r="F57" s="32" t="s">
        <v>723</v>
      </c>
      <c r="G57" s="12">
        <f>dec_Round</f>
        <v>0</v>
      </c>
      <c r="H57" s="12" t="b">
        <v>0</v>
      </c>
      <c r="I57" s="12" t="b">
        <v>0</v>
      </c>
      <c r="J57" s="13">
        <v>0</v>
      </c>
      <c r="L57" s="12"/>
      <c r="M57" s="12"/>
      <c r="N57" s="12"/>
      <c r="O57" s="12"/>
      <c r="P57" s="12"/>
      <c r="R57" s="12"/>
      <c r="S57" s="12"/>
      <c r="T57" s="12"/>
      <c r="U57" s="12"/>
      <c r="V57" s="12"/>
      <c r="X57" s="12"/>
      <c r="Y57" s="12"/>
      <c r="Z57" s="12"/>
      <c r="AA57" s="12"/>
      <c r="AB57" s="12"/>
    </row>
    <row r="58" spans="1:28">
      <c r="A58" s="11" t="s">
        <v>467</v>
      </c>
      <c r="B58" s="378">
        <v>0</v>
      </c>
      <c r="C58" s="11" t="s">
        <v>676</v>
      </c>
      <c r="D58" s="10" t="s">
        <v>571</v>
      </c>
      <c r="E58" s="10">
        <f>tlInputScenario1Ph3PTS</f>
        <v>0</v>
      </c>
      <c r="F58" s="32" t="s">
        <v>724</v>
      </c>
      <c r="G58" s="12">
        <f>dec_Round</f>
        <v>0</v>
      </c>
      <c r="H58" s="12" t="b">
        <v>0</v>
      </c>
      <c r="I58" s="12" t="b">
        <v>0</v>
      </c>
      <c r="J58" s="13">
        <v>0</v>
      </c>
      <c r="L58" s="12"/>
      <c r="M58" s="12"/>
      <c r="N58" s="12"/>
      <c r="O58" s="12"/>
      <c r="P58" s="12"/>
      <c r="R58" s="12"/>
      <c r="S58" s="12"/>
      <c r="T58" s="12"/>
      <c r="U58" s="12"/>
      <c r="V58" s="12"/>
      <c r="X58" s="12"/>
      <c r="Y58" s="12"/>
      <c r="Z58" s="12"/>
      <c r="AA58" s="12"/>
      <c r="AB58" s="12"/>
    </row>
    <row r="59" spans="1:28">
      <c r="B59" s="10"/>
      <c r="C59" s="11"/>
      <c r="F59" s="32"/>
      <c r="G59" s="12"/>
      <c r="H59" s="12"/>
      <c r="I59" s="12"/>
      <c r="J59" s="13"/>
      <c r="L59" s="12"/>
      <c r="M59" s="12"/>
      <c r="N59" s="12"/>
      <c r="O59" s="12"/>
      <c r="P59" s="12"/>
      <c r="R59" s="12"/>
      <c r="S59" s="12"/>
      <c r="T59" s="12"/>
      <c r="U59" s="12"/>
      <c r="V59" s="12"/>
      <c r="X59" s="12"/>
      <c r="Y59" s="12"/>
      <c r="Z59" s="12"/>
      <c r="AA59" s="12"/>
      <c r="AB59" s="12"/>
    </row>
    <row r="60" spans="1:28">
      <c r="A60" s="11" t="s">
        <v>540</v>
      </c>
      <c r="B60" s="378">
        <v>0</v>
      </c>
      <c r="C60" s="11" t="s">
        <v>677</v>
      </c>
      <c r="D60" s="10" t="s">
        <v>681</v>
      </c>
      <c r="E60" s="10">
        <f>tlInputScenario1ResearchTimeReq</f>
        <v>0</v>
      </c>
      <c r="F60" s="32" t="s">
        <v>725</v>
      </c>
      <c r="G60" s="12">
        <f>dec_Round</f>
        <v>0</v>
      </c>
      <c r="H60" s="12" t="b">
        <v>0</v>
      </c>
      <c r="I60" s="12" t="b">
        <v>0</v>
      </c>
      <c r="J60" s="13">
        <v>0</v>
      </c>
      <c r="L60" s="12"/>
      <c r="M60" s="12"/>
      <c r="N60" s="12"/>
      <c r="O60" s="12"/>
      <c r="P60" s="12"/>
      <c r="R60" s="12"/>
      <c r="S60" s="12"/>
      <c r="T60" s="12"/>
      <c r="U60" s="12"/>
      <c r="V60" s="12"/>
      <c r="X60" s="12"/>
      <c r="Y60" s="12"/>
      <c r="Z60" s="12"/>
      <c r="AA60" s="12"/>
      <c r="AB60" s="12"/>
    </row>
    <row r="61" spans="1:28">
      <c r="A61" s="11" t="s">
        <v>465</v>
      </c>
      <c r="B61" s="378">
        <v>0</v>
      </c>
      <c r="C61" s="11" t="s">
        <v>678</v>
      </c>
      <c r="D61" s="10" t="s">
        <v>681</v>
      </c>
      <c r="E61" s="10">
        <f>tlInputScenario1Ph1TimeReq</f>
        <v>0</v>
      </c>
      <c r="F61" s="32" t="s">
        <v>726</v>
      </c>
      <c r="G61" s="12">
        <f>dec_Round</f>
        <v>0</v>
      </c>
      <c r="H61" s="12" t="b">
        <v>0</v>
      </c>
      <c r="I61" s="12" t="b">
        <v>0</v>
      </c>
      <c r="J61" s="13">
        <v>0</v>
      </c>
      <c r="L61" s="12"/>
      <c r="M61" s="12"/>
      <c r="N61" s="12"/>
      <c r="O61" s="12"/>
      <c r="P61" s="12"/>
      <c r="R61" s="12"/>
      <c r="S61" s="12"/>
      <c r="T61" s="12"/>
      <c r="U61" s="12"/>
      <c r="V61" s="12"/>
      <c r="X61" s="12"/>
      <c r="Y61" s="12"/>
      <c r="Z61" s="12"/>
      <c r="AA61" s="12"/>
      <c r="AB61" s="12"/>
    </row>
    <row r="62" spans="1:28">
      <c r="A62" s="11" t="s">
        <v>466</v>
      </c>
      <c r="B62" s="378">
        <v>0</v>
      </c>
      <c r="C62" s="11" t="s">
        <v>679</v>
      </c>
      <c r="D62" s="10" t="s">
        <v>681</v>
      </c>
      <c r="E62" s="10">
        <f>tlInputScenario1Ph2TimeReq</f>
        <v>0</v>
      </c>
      <c r="F62" s="32" t="s">
        <v>727</v>
      </c>
      <c r="G62" s="12">
        <f>dec_Round</f>
        <v>0</v>
      </c>
      <c r="H62" s="12" t="b">
        <v>0</v>
      </c>
      <c r="I62" s="12" t="b">
        <v>0</v>
      </c>
      <c r="J62" s="13">
        <v>0</v>
      </c>
      <c r="L62" s="12"/>
      <c r="M62" s="12"/>
      <c r="N62" s="12"/>
      <c r="O62" s="12"/>
      <c r="P62" s="12"/>
      <c r="R62" s="12"/>
      <c r="S62" s="12"/>
      <c r="T62" s="12"/>
      <c r="U62" s="12"/>
      <c r="V62" s="12"/>
      <c r="X62" s="12"/>
      <c r="Y62" s="12"/>
      <c r="Z62" s="12"/>
      <c r="AA62" s="12"/>
      <c r="AB62" s="12"/>
    </row>
    <row r="63" spans="1:28">
      <c r="A63" s="11" t="s">
        <v>467</v>
      </c>
      <c r="B63" s="378">
        <v>0</v>
      </c>
      <c r="C63" s="11" t="s">
        <v>680</v>
      </c>
      <c r="D63" s="10" t="s">
        <v>681</v>
      </c>
      <c r="E63" s="10">
        <f>tlInputScenario1Ph3TimeReq</f>
        <v>0</v>
      </c>
      <c r="F63" s="32" t="s">
        <v>728</v>
      </c>
      <c r="G63" s="12">
        <f>dec_Round</f>
        <v>0</v>
      </c>
      <c r="H63" s="12" t="b">
        <v>0</v>
      </c>
      <c r="I63" s="12" t="b">
        <v>0</v>
      </c>
      <c r="J63" s="13">
        <v>0</v>
      </c>
      <c r="L63" s="12"/>
      <c r="M63" s="12"/>
      <c r="N63" s="12"/>
      <c r="O63" s="12"/>
      <c r="P63" s="12"/>
      <c r="R63" s="12"/>
      <c r="S63" s="12"/>
      <c r="T63" s="12"/>
      <c r="U63" s="12"/>
      <c r="V63" s="12"/>
      <c r="X63" s="12"/>
      <c r="Y63" s="12"/>
      <c r="Z63" s="12"/>
      <c r="AA63" s="12"/>
      <c r="AB63" s="12"/>
    </row>
    <row r="64" spans="1:28">
      <c r="B64" s="10"/>
      <c r="C64" s="11"/>
      <c r="F64" s="32"/>
      <c r="G64" s="12"/>
      <c r="H64" s="12"/>
      <c r="I64" s="12"/>
      <c r="J64" s="13"/>
      <c r="L64" s="12"/>
      <c r="M64" s="12"/>
      <c r="N64" s="12"/>
      <c r="O64" s="12"/>
      <c r="P64" s="12"/>
      <c r="R64" s="12"/>
      <c r="S64" s="12"/>
      <c r="T64" s="12"/>
      <c r="U64" s="12"/>
      <c r="V64" s="12"/>
      <c r="X64" s="12"/>
      <c r="Y64" s="12"/>
      <c r="Z64" s="12"/>
      <c r="AA64" s="12"/>
      <c r="AB64" s="12"/>
    </row>
    <row r="65" spans="1:28">
      <c r="A65" s="11" t="s">
        <v>540</v>
      </c>
      <c r="B65" s="378">
        <v>0</v>
      </c>
      <c r="C65" s="11" t="s">
        <v>682</v>
      </c>
      <c r="D65" s="10" t="s">
        <v>460</v>
      </c>
      <c r="E65" s="10">
        <f>tlInputScenario1ResearchRnDCost</f>
        <v>0</v>
      </c>
      <c r="F65" s="32" t="s">
        <v>729</v>
      </c>
      <c r="G65" s="12">
        <f>dec_Round</f>
        <v>0</v>
      </c>
      <c r="H65" s="12" t="b">
        <v>0</v>
      </c>
      <c r="I65" s="12" t="b">
        <v>0</v>
      </c>
      <c r="J65" s="13">
        <v>0</v>
      </c>
      <c r="L65" s="12"/>
      <c r="M65" s="12"/>
      <c r="N65" s="12"/>
      <c r="O65" s="12"/>
      <c r="P65" s="12"/>
      <c r="R65" s="12"/>
      <c r="S65" s="12"/>
      <c r="T65" s="12"/>
      <c r="U65" s="12"/>
      <c r="V65" s="12"/>
      <c r="X65" s="12"/>
      <c r="Y65" s="12"/>
      <c r="Z65" s="12"/>
      <c r="AA65" s="12"/>
      <c r="AB65" s="12"/>
    </row>
    <row r="66" spans="1:28">
      <c r="A66" s="11" t="s">
        <v>465</v>
      </c>
      <c r="B66" s="378">
        <v>0</v>
      </c>
      <c r="C66" s="11" t="s">
        <v>683</v>
      </c>
      <c r="D66" s="10" t="s">
        <v>460</v>
      </c>
      <c r="E66" s="10">
        <f>tlInputScenario1Ph1RnDCost</f>
        <v>0</v>
      </c>
      <c r="F66" s="32" t="s">
        <v>730</v>
      </c>
      <c r="G66" s="12">
        <f>dec_Round</f>
        <v>0</v>
      </c>
      <c r="H66" s="12" t="b">
        <v>0</v>
      </c>
      <c r="I66" s="12" t="b">
        <v>0</v>
      </c>
      <c r="J66" s="13">
        <v>0</v>
      </c>
      <c r="L66" s="12"/>
      <c r="M66" s="12"/>
      <c r="N66" s="12"/>
      <c r="O66" s="12"/>
      <c r="P66" s="12"/>
      <c r="R66" s="12"/>
      <c r="S66" s="12"/>
      <c r="T66" s="12"/>
      <c r="U66" s="12"/>
      <c r="V66" s="12"/>
      <c r="X66" s="12"/>
      <c r="Y66" s="12"/>
      <c r="Z66" s="12"/>
      <c r="AA66" s="12"/>
      <c r="AB66" s="12"/>
    </row>
    <row r="67" spans="1:28">
      <c r="A67" s="11" t="s">
        <v>466</v>
      </c>
      <c r="B67" s="378">
        <v>0</v>
      </c>
      <c r="C67" s="11" t="s">
        <v>684</v>
      </c>
      <c r="D67" s="10" t="s">
        <v>460</v>
      </c>
      <c r="E67" s="10">
        <f>tlInputScenario1Ph2RnDCost</f>
        <v>0</v>
      </c>
      <c r="F67" s="32" t="s">
        <v>731</v>
      </c>
      <c r="G67" s="12">
        <f>dec_Round</f>
        <v>0</v>
      </c>
      <c r="H67" s="12" t="b">
        <v>0</v>
      </c>
      <c r="I67" s="12" t="b">
        <v>0</v>
      </c>
      <c r="J67" s="13">
        <v>0</v>
      </c>
      <c r="L67" s="12"/>
      <c r="M67" s="12"/>
      <c r="N67" s="12"/>
      <c r="O67" s="12"/>
      <c r="P67" s="12"/>
      <c r="R67" s="12"/>
      <c r="S67" s="12"/>
      <c r="T67" s="12"/>
      <c r="U67" s="12"/>
      <c r="V67" s="12"/>
      <c r="X67" s="12"/>
      <c r="Y67" s="12"/>
      <c r="Z67" s="12"/>
      <c r="AA67" s="12"/>
      <c r="AB67" s="12"/>
    </row>
    <row r="68" spans="1:28">
      <c r="A68" s="11" t="s">
        <v>467</v>
      </c>
      <c r="B68" s="378">
        <v>0</v>
      </c>
      <c r="C68" s="11" t="s">
        <v>685</v>
      </c>
      <c r="D68" s="10" t="s">
        <v>460</v>
      </c>
      <c r="E68" s="10">
        <f>tlInputScenario1Ph3RnDCost</f>
        <v>0</v>
      </c>
      <c r="F68" s="32" t="s">
        <v>732</v>
      </c>
      <c r="G68" s="12">
        <f>dec_Round</f>
        <v>0</v>
      </c>
      <c r="H68" s="12" t="b">
        <v>0</v>
      </c>
      <c r="I68" s="12" t="b">
        <v>0</v>
      </c>
      <c r="J68" s="13">
        <v>0</v>
      </c>
      <c r="L68" s="12"/>
      <c r="M68" s="12"/>
      <c r="N68" s="12"/>
      <c r="O68" s="12"/>
      <c r="P68" s="12"/>
      <c r="R68" s="12"/>
      <c r="S68" s="12"/>
      <c r="T68" s="12"/>
      <c r="U68" s="12"/>
      <c r="V68" s="12"/>
      <c r="X68" s="12"/>
      <c r="Y68" s="12"/>
      <c r="Z68" s="12"/>
      <c r="AA68" s="12"/>
      <c r="AB68" s="12"/>
    </row>
    <row r="69" spans="1:28">
      <c r="B69" s="10"/>
      <c r="C69" s="11"/>
      <c r="F69" s="32"/>
      <c r="G69" s="12"/>
      <c r="H69" s="12"/>
      <c r="I69" s="12"/>
      <c r="J69" s="13"/>
      <c r="L69" s="12"/>
      <c r="M69" s="12"/>
      <c r="N69" s="12"/>
      <c r="O69" s="12"/>
      <c r="P69" s="12"/>
      <c r="R69" s="12"/>
      <c r="S69" s="12"/>
      <c r="T69" s="12"/>
      <c r="U69" s="12"/>
      <c r="V69" s="12"/>
      <c r="X69" s="12"/>
      <c r="Y69" s="12"/>
      <c r="Z69" s="12"/>
      <c r="AA69" s="12"/>
      <c r="AB69" s="12"/>
    </row>
    <row r="70" spans="1:28">
      <c r="A70" s="11" t="s">
        <v>540</v>
      </c>
      <c r="B70" s="378">
        <v>0</v>
      </c>
      <c r="C70" s="11" t="s">
        <v>686</v>
      </c>
      <c r="D70" s="10" t="s">
        <v>690</v>
      </c>
      <c r="E70" s="10">
        <f>tlInputScenario1ResearchFTECost</f>
        <v>0</v>
      </c>
      <c r="F70" s="32" t="s">
        <v>733</v>
      </c>
      <c r="G70" s="12">
        <f>dec_Round</f>
        <v>0</v>
      </c>
      <c r="H70" s="12" t="b">
        <v>0</v>
      </c>
      <c r="I70" s="12" t="b">
        <v>0</v>
      </c>
      <c r="J70" s="13">
        <v>0</v>
      </c>
      <c r="L70" s="12"/>
      <c r="M70" s="12"/>
      <c r="N70" s="12"/>
      <c r="O70" s="12"/>
      <c r="P70" s="12"/>
      <c r="R70" s="12"/>
      <c r="S70" s="12"/>
      <c r="T70" s="12"/>
      <c r="U70" s="12"/>
      <c r="V70" s="12"/>
      <c r="X70" s="12"/>
      <c r="Y70" s="12"/>
      <c r="Z70" s="12"/>
      <c r="AA70" s="12"/>
      <c r="AB70" s="12"/>
    </row>
    <row r="71" spans="1:28">
      <c r="A71" s="11" t="s">
        <v>465</v>
      </c>
      <c r="B71" s="378">
        <v>0</v>
      </c>
      <c r="C71" s="11" t="s">
        <v>687</v>
      </c>
      <c r="D71" s="10" t="s">
        <v>690</v>
      </c>
      <c r="E71" s="10">
        <f>tlInputScenario1Ph1FTECost</f>
        <v>0</v>
      </c>
      <c r="F71" s="32" t="s">
        <v>734</v>
      </c>
      <c r="G71" s="12">
        <f>dec_Round</f>
        <v>0</v>
      </c>
      <c r="H71" s="12" t="b">
        <v>0</v>
      </c>
      <c r="I71" s="12" t="b">
        <v>0</v>
      </c>
      <c r="J71" s="13">
        <v>0</v>
      </c>
      <c r="L71" s="12"/>
      <c r="M71" s="12"/>
      <c r="N71" s="12"/>
      <c r="O71" s="12"/>
      <c r="P71" s="12"/>
      <c r="R71" s="12"/>
      <c r="S71" s="12"/>
      <c r="T71" s="12"/>
      <c r="U71" s="12"/>
      <c r="V71" s="12"/>
      <c r="X71" s="12"/>
      <c r="Y71" s="12"/>
      <c r="Z71" s="12"/>
      <c r="AA71" s="12"/>
      <c r="AB71" s="12"/>
    </row>
    <row r="72" spans="1:28">
      <c r="A72" s="11" t="s">
        <v>466</v>
      </c>
      <c r="B72" s="378">
        <v>0</v>
      </c>
      <c r="C72" s="11" t="s">
        <v>688</v>
      </c>
      <c r="D72" s="10" t="s">
        <v>690</v>
      </c>
      <c r="E72" s="10">
        <f>tlInputScenario1Ph2FTECost</f>
        <v>0</v>
      </c>
      <c r="F72" s="32" t="s">
        <v>735</v>
      </c>
      <c r="G72" s="12">
        <f>dec_Round</f>
        <v>0</v>
      </c>
      <c r="H72" s="12" t="b">
        <v>0</v>
      </c>
      <c r="I72" s="12" t="b">
        <v>0</v>
      </c>
      <c r="J72" s="13">
        <v>0</v>
      </c>
      <c r="L72" s="12"/>
      <c r="M72" s="12"/>
      <c r="N72" s="12"/>
      <c r="O72" s="12"/>
      <c r="P72" s="12"/>
      <c r="R72" s="12"/>
      <c r="S72" s="12"/>
      <c r="T72" s="12"/>
      <c r="U72" s="12"/>
      <c r="V72" s="12"/>
      <c r="X72" s="12"/>
      <c r="Y72" s="12"/>
      <c r="Z72" s="12"/>
      <c r="AA72" s="12"/>
      <c r="AB72" s="12"/>
    </row>
    <row r="73" spans="1:28">
      <c r="A73" s="11" t="s">
        <v>467</v>
      </c>
      <c r="B73" s="378">
        <v>0</v>
      </c>
      <c r="C73" s="11" t="s">
        <v>689</v>
      </c>
      <c r="D73" s="10" t="s">
        <v>690</v>
      </c>
      <c r="E73" s="10">
        <f>tlInputScenario1Ph3FTECost</f>
        <v>0</v>
      </c>
      <c r="F73" s="32" t="s">
        <v>736</v>
      </c>
      <c r="G73" s="12">
        <f>dec_Round</f>
        <v>0</v>
      </c>
      <c r="H73" s="12" t="b">
        <v>0</v>
      </c>
      <c r="I73" s="12" t="b">
        <v>0</v>
      </c>
      <c r="J73" s="13">
        <v>0</v>
      </c>
      <c r="L73" s="12"/>
      <c r="M73" s="12"/>
      <c r="N73" s="12"/>
      <c r="O73" s="12"/>
      <c r="P73" s="12"/>
      <c r="R73" s="12"/>
      <c r="S73" s="12"/>
      <c r="T73" s="12"/>
      <c r="U73" s="12"/>
      <c r="V73" s="12"/>
      <c r="X73" s="12"/>
      <c r="Y73" s="12"/>
      <c r="Z73" s="12"/>
      <c r="AA73" s="12"/>
      <c r="AB73" s="12"/>
    </row>
    <row r="74" spans="1:28">
      <c r="B74" s="10"/>
      <c r="C74" s="11"/>
      <c r="F74" s="32"/>
      <c r="G74" s="12"/>
      <c r="H74" s="12"/>
      <c r="I74" s="12"/>
      <c r="J74" s="13"/>
      <c r="L74" s="12"/>
      <c r="M74" s="12"/>
      <c r="N74" s="12"/>
      <c r="O74" s="12"/>
      <c r="P74" s="12"/>
      <c r="R74" s="12"/>
      <c r="S74" s="12"/>
      <c r="T74" s="12"/>
      <c r="U74" s="12"/>
      <c r="V74" s="12"/>
      <c r="X74" s="12"/>
      <c r="Y74" s="12"/>
      <c r="Z74" s="12"/>
      <c r="AA74" s="12"/>
      <c r="AB74" s="12"/>
    </row>
    <row r="75" spans="1:28">
      <c r="B75" s="84" t="s">
        <v>672</v>
      </c>
      <c r="C75" s="11"/>
      <c r="F75" s="32"/>
      <c r="G75" s="12"/>
      <c r="H75" s="12"/>
      <c r="I75" s="12"/>
      <c r="J75" s="13"/>
      <c r="L75" s="12"/>
      <c r="M75" s="12"/>
      <c r="N75" s="12"/>
      <c r="O75" s="12"/>
      <c r="P75" s="12"/>
      <c r="R75" s="12"/>
      <c r="S75" s="12"/>
      <c r="T75" s="12"/>
      <c r="U75" s="12"/>
      <c r="V75" s="12"/>
      <c r="X75" s="12"/>
      <c r="Y75" s="12"/>
      <c r="Z75" s="12"/>
      <c r="AA75" s="12"/>
      <c r="AB75" s="12"/>
    </row>
    <row r="76" spans="1:28">
      <c r="A76" s="10" t="s">
        <v>470</v>
      </c>
      <c r="B76" s="10"/>
      <c r="C76" s="11" t="s">
        <v>519</v>
      </c>
      <c r="E76" s="10" t="b">
        <f>tlInputScenario1EnterRegion1</f>
        <v>1</v>
      </c>
      <c r="F76" s="32" t="s">
        <v>737</v>
      </c>
      <c r="G76" s="12">
        <f>dec_Round</f>
        <v>0</v>
      </c>
      <c r="H76" s="12" t="b">
        <v>0</v>
      </c>
      <c r="I76" s="12" t="b">
        <v>0</v>
      </c>
      <c r="J76" s="13">
        <v>0</v>
      </c>
      <c r="L76" s="12"/>
      <c r="M76" s="12"/>
      <c r="N76" s="12"/>
      <c r="O76" s="12"/>
      <c r="P76" s="12"/>
      <c r="R76" s="12"/>
      <c r="S76" s="12"/>
      <c r="T76" s="12"/>
      <c r="U76" s="12"/>
      <c r="V76" s="12"/>
      <c r="X76" s="12"/>
      <c r="Y76" s="12"/>
      <c r="Z76" s="12"/>
      <c r="AA76" s="12"/>
      <c r="AB76" s="12"/>
    </row>
    <row r="77" spans="1:28">
      <c r="A77" s="10" t="s">
        <v>470</v>
      </c>
      <c r="B77" s="10"/>
      <c r="C77" s="11" t="s">
        <v>574</v>
      </c>
      <c r="E77" s="10">
        <f>tlInputScenario1PatPopRegion1</f>
        <v>1000</v>
      </c>
      <c r="F77" s="32" t="s">
        <v>738</v>
      </c>
      <c r="G77" s="12">
        <f>dec_Round</f>
        <v>0</v>
      </c>
      <c r="H77" s="12" t="b">
        <v>0</v>
      </c>
      <c r="I77" s="12" t="b">
        <v>0</v>
      </c>
      <c r="J77" s="13">
        <v>0</v>
      </c>
      <c r="L77" s="12"/>
      <c r="M77" s="12"/>
      <c r="N77" s="12"/>
      <c r="O77" s="12"/>
      <c r="P77" s="12"/>
      <c r="R77" s="12"/>
      <c r="S77" s="12"/>
      <c r="T77" s="12"/>
      <c r="U77" s="12"/>
      <c r="V77" s="12"/>
      <c r="X77" s="12"/>
      <c r="Y77" s="12"/>
      <c r="Z77" s="12"/>
      <c r="AA77" s="12"/>
      <c r="AB77" s="12"/>
    </row>
    <row r="78" spans="1:28">
      <c r="A78" s="10" t="s">
        <v>470</v>
      </c>
      <c r="B78" s="10"/>
      <c r="C78" s="11" t="s">
        <v>474</v>
      </c>
      <c r="E78" s="10">
        <f>tlInputScenario1PeakMSRegion1</f>
        <v>0.1</v>
      </c>
      <c r="F78" s="32" t="s">
        <v>739</v>
      </c>
      <c r="G78" s="12">
        <f>dec_Round</f>
        <v>0</v>
      </c>
      <c r="H78" s="12" t="b">
        <v>0</v>
      </c>
      <c r="I78" s="12" t="b">
        <v>0</v>
      </c>
      <c r="J78" s="13">
        <v>0</v>
      </c>
      <c r="L78" s="12"/>
      <c r="M78" s="12"/>
      <c r="N78" s="12"/>
      <c r="O78" s="12"/>
      <c r="P78" s="12"/>
      <c r="R78" s="12"/>
      <c r="S78" s="12"/>
      <c r="T78" s="12"/>
      <c r="U78" s="12"/>
      <c r="V78" s="12"/>
      <c r="X78" s="12"/>
      <c r="Y78" s="12"/>
      <c r="Z78" s="12"/>
      <c r="AA78" s="12"/>
      <c r="AB78" s="12"/>
    </row>
    <row r="79" spans="1:28">
      <c r="A79" s="10" t="s">
        <v>470</v>
      </c>
      <c r="B79" s="378">
        <v>0</v>
      </c>
      <c r="C79" s="11" t="s">
        <v>691</v>
      </c>
      <c r="D79" s="11" t="s">
        <v>593</v>
      </c>
      <c r="E79" s="10">
        <f>tlInputScenario1PriceRegion1</f>
        <v>0</v>
      </c>
      <c r="F79" s="32" t="s">
        <v>740</v>
      </c>
      <c r="G79" s="12">
        <f>dec_Round</f>
        <v>0</v>
      </c>
      <c r="H79" s="12" t="b">
        <v>0</v>
      </c>
      <c r="I79" s="12" t="b">
        <v>0</v>
      </c>
      <c r="J79" s="13">
        <v>0</v>
      </c>
      <c r="L79" s="12"/>
      <c r="M79" s="12"/>
      <c r="N79" s="12"/>
      <c r="O79" s="12"/>
      <c r="P79" s="12"/>
      <c r="R79" s="12"/>
      <c r="S79" s="12"/>
      <c r="T79" s="12"/>
      <c r="U79" s="12"/>
      <c r="V79" s="12"/>
      <c r="X79" s="12"/>
      <c r="Y79" s="12"/>
      <c r="Z79" s="12"/>
      <c r="AA79" s="12"/>
      <c r="AB79" s="12"/>
    </row>
    <row r="80" spans="1:28">
      <c r="A80" s="10" t="s">
        <v>470</v>
      </c>
      <c r="B80" s="378">
        <v>0</v>
      </c>
      <c r="C80" s="11" t="s">
        <v>692</v>
      </c>
      <c r="D80" s="11" t="s">
        <v>486</v>
      </c>
      <c r="E80" s="10">
        <f>tlInputScenario1Region1SnM</f>
        <v>0</v>
      </c>
      <c r="F80" s="32" t="s">
        <v>741</v>
      </c>
      <c r="G80" s="12">
        <f>dec_Round</f>
        <v>0</v>
      </c>
      <c r="H80" s="12" t="b">
        <v>0</v>
      </c>
      <c r="I80" s="12" t="b">
        <v>0</v>
      </c>
      <c r="J80" s="13">
        <v>0</v>
      </c>
      <c r="L80" s="12"/>
      <c r="M80" s="12"/>
      <c r="N80" s="12"/>
      <c r="O80" s="12"/>
      <c r="P80" s="12"/>
      <c r="R80" s="12"/>
      <c r="S80" s="12"/>
      <c r="T80" s="12"/>
      <c r="U80" s="12"/>
      <c r="V80" s="12"/>
      <c r="X80" s="12"/>
      <c r="Y80" s="12"/>
      <c r="Z80" s="12"/>
      <c r="AA80" s="12"/>
      <c r="AB80" s="12"/>
    </row>
    <row r="81" spans="1:28">
      <c r="F81" s="32"/>
      <c r="G81" s="12"/>
      <c r="H81" s="12"/>
      <c r="I81" s="12"/>
      <c r="J81" s="12"/>
      <c r="L81" s="12"/>
      <c r="M81" s="12"/>
      <c r="N81" s="12"/>
      <c r="O81" s="12"/>
      <c r="P81" s="12"/>
      <c r="R81" s="12"/>
      <c r="S81" s="12"/>
      <c r="T81" s="12"/>
      <c r="U81" s="12"/>
      <c r="V81" s="12"/>
      <c r="X81" s="12"/>
      <c r="Y81" s="12"/>
      <c r="Z81" s="12"/>
      <c r="AA81" s="12"/>
      <c r="AB81" s="12"/>
    </row>
    <row r="82" spans="1:28">
      <c r="A82" s="10" t="s">
        <v>471</v>
      </c>
      <c r="B82" s="10"/>
      <c r="C82" s="11" t="s">
        <v>519</v>
      </c>
      <c r="E82" s="10" t="b">
        <f>tlInputScenario1EnterRegion2</f>
        <v>0</v>
      </c>
      <c r="F82" s="32" t="s">
        <v>742</v>
      </c>
      <c r="G82" s="12">
        <f>dec_Round</f>
        <v>0</v>
      </c>
      <c r="H82" s="12" t="b">
        <v>0</v>
      </c>
      <c r="I82" s="12" t="b">
        <v>0</v>
      </c>
      <c r="J82" s="13">
        <v>0</v>
      </c>
      <c r="L82" s="12"/>
      <c r="M82" s="12"/>
      <c r="N82" s="12"/>
      <c r="O82" s="12"/>
      <c r="P82" s="12"/>
      <c r="R82" s="12"/>
      <c r="S82" s="12"/>
      <c r="T82" s="12"/>
      <c r="U82" s="12"/>
      <c r="V82" s="12"/>
      <c r="X82" s="12"/>
      <c r="Y82" s="12"/>
      <c r="Z82" s="12"/>
      <c r="AA82" s="12"/>
      <c r="AB82" s="12"/>
    </row>
    <row r="83" spans="1:28">
      <c r="A83" s="10" t="s">
        <v>471</v>
      </c>
      <c r="B83" s="10"/>
      <c r="C83" s="11" t="s">
        <v>574</v>
      </c>
      <c r="E83" s="10">
        <f>tlInputScenario1PatPopRegion2</f>
        <v>500</v>
      </c>
      <c r="F83" s="32" t="s">
        <v>743</v>
      </c>
      <c r="G83" s="12">
        <f>dec_Round</f>
        <v>0</v>
      </c>
      <c r="H83" s="12" t="b">
        <v>0</v>
      </c>
      <c r="I83" s="12" t="b">
        <v>0</v>
      </c>
      <c r="J83" s="13">
        <v>0</v>
      </c>
      <c r="L83" s="12"/>
      <c r="M83" s="12"/>
      <c r="N83" s="12"/>
      <c r="O83" s="12"/>
      <c r="P83" s="12"/>
      <c r="R83" s="12"/>
      <c r="S83" s="12"/>
      <c r="T83" s="12"/>
      <c r="U83" s="12"/>
      <c r="V83" s="12"/>
      <c r="X83" s="12"/>
      <c r="Y83" s="12"/>
      <c r="Z83" s="12"/>
      <c r="AA83" s="12"/>
      <c r="AB83" s="12"/>
    </row>
    <row r="84" spans="1:28">
      <c r="A84" s="10" t="s">
        <v>471</v>
      </c>
      <c r="B84" s="10"/>
      <c r="C84" s="11" t="s">
        <v>474</v>
      </c>
      <c r="E84" s="10">
        <f>tlInputScenario1PeakMSRegion2</f>
        <v>0.1</v>
      </c>
      <c r="F84" s="32" t="s">
        <v>744</v>
      </c>
      <c r="G84" s="12">
        <f>dec_Round</f>
        <v>0</v>
      </c>
      <c r="H84" s="12" t="b">
        <v>0</v>
      </c>
      <c r="I84" s="12" t="b">
        <v>0</v>
      </c>
      <c r="J84" s="13">
        <v>0</v>
      </c>
      <c r="L84" s="12"/>
      <c r="M84" s="12"/>
      <c r="N84" s="12"/>
      <c r="O84" s="12"/>
      <c r="P84" s="12"/>
      <c r="R84" s="12"/>
      <c r="S84" s="12"/>
      <c r="T84" s="12"/>
      <c r="U84" s="12"/>
      <c r="V84" s="12"/>
      <c r="X84" s="12"/>
      <c r="Y84" s="12"/>
      <c r="Z84" s="12"/>
      <c r="AA84" s="12"/>
      <c r="AB84" s="12"/>
    </row>
    <row r="85" spans="1:28">
      <c r="A85" s="10" t="s">
        <v>471</v>
      </c>
      <c r="B85" s="378">
        <v>0</v>
      </c>
      <c r="C85" s="11" t="s">
        <v>693</v>
      </c>
      <c r="D85" s="11" t="s">
        <v>593</v>
      </c>
      <c r="E85" s="10">
        <f>tlInputScenario1PriceRegion2</f>
        <v>0</v>
      </c>
      <c r="F85" s="32" t="s">
        <v>745</v>
      </c>
      <c r="G85" s="12">
        <f>dec_Round</f>
        <v>0</v>
      </c>
      <c r="H85" s="12" t="b">
        <v>0</v>
      </c>
      <c r="I85" s="12" t="b">
        <v>0</v>
      </c>
      <c r="J85" s="13">
        <v>0</v>
      </c>
      <c r="L85" s="12"/>
      <c r="M85" s="12"/>
      <c r="N85" s="12"/>
      <c r="O85" s="12"/>
      <c r="P85" s="12"/>
      <c r="R85" s="12"/>
      <c r="S85" s="12"/>
      <c r="T85" s="12"/>
      <c r="U85" s="12"/>
      <c r="V85" s="12"/>
      <c r="X85" s="12"/>
      <c r="Y85" s="12"/>
      <c r="Z85" s="12"/>
      <c r="AA85" s="12"/>
      <c r="AB85" s="12"/>
    </row>
    <row r="86" spans="1:28">
      <c r="A86" s="10" t="s">
        <v>471</v>
      </c>
      <c r="B86" s="378">
        <v>0</v>
      </c>
      <c r="C86" s="11" t="s">
        <v>694</v>
      </c>
      <c r="D86" s="11" t="s">
        <v>486</v>
      </c>
      <c r="E86" s="10">
        <f>tlInputScenario1Region2SnM</f>
        <v>0</v>
      </c>
      <c r="F86" s="32" t="s">
        <v>746</v>
      </c>
      <c r="G86" s="12">
        <f>dec_Round</f>
        <v>0</v>
      </c>
      <c r="H86" s="12" t="b">
        <v>0</v>
      </c>
      <c r="I86" s="12" t="b">
        <v>0</v>
      </c>
      <c r="J86" s="13">
        <v>0</v>
      </c>
      <c r="L86" s="12"/>
      <c r="M86" s="12"/>
      <c r="N86" s="12"/>
      <c r="O86" s="12"/>
      <c r="P86" s="12"/>
      <c r="R86" s="12"/>
      <c r="S86" s="12"/>
      <c r="T86" s="12"/>
      <c r="U86" s="12"/>
      <c r="V86" s="12"/>
      <c r="X86" s="12"/>
      <c r="Y86" s="12"/>
      <c r="Z86" s="12"/>
      <c r="AA86" s="12"/>
      <c r="AB86" s="12"/>
    </row>
    <row r="87" spans="1:28">
      <c r="F87" s="32"/>
      <c r="G87" s="12"/>
      <c r="H87" s="12"/>
      <c r="I87" s="12"/>
      <c r="J87" s="12"/>
      <c r="L87" s="12"/>
      <c r="M87" s="12"/>
      <c r="N87" s="12"/>
      <c r="O87" s="12"/>
      <c r="P87" s="12"/>
      <c r="R87" s="12"/>
      <c r="S87" s="12"/>
      <c r="T87" s="12"/>
      <c r="U87" s="12"/>
      <c r="V87" s="12"/>
      <c r="X87" s="12"/>
      <c r="Y87" s="12"/>
      <c r="Z87" s="12"/>
      <c r="AA87" s="12"/>
      <c r="AB87" s="12"/>
    </row>
    <row r="88" spans="1:28">
      <c r="A88" s="10" t="s">
        <v>472</v>
      </c>
      <c r="B88" s="10"/>
      <c r="C88" s="11" t="s">
        <v>519</v>
      </c>
      <c r="E88" s="10" t="b">
        <f>tlInputScenario1EnterRegion3</f>
        <v>0</v>
      </c>
      <c r="F88" s="32" t="s">
        <v>747</v>
      </c>
      <c r="G88" s="12">
        <f>dec_Round</f>
        <v>0</v>
      </c>
      <c r="H88" s="12" t="b">
        <v>0</v>
      </c>
      <c r="I88" s="12" t="b">
        <v>0</v>
      </c>
      <c r="J88" s="13">
        <v>0</v>
      </c>
      <c r="L88" s="12"/>
      <c r="M88" s="12"/>
      <c r="N88" s="12"/>
      <c r="O88" s="12"/>
      <c r="P88" s="12"/>
      <c r="R88" s="12"/>
      <c r="S88" s="12"/>
      <c r="T88" s="12"/>
      <c r="U88" s="12"/>
      <c r="V88" s="12"/>
      <c r="X88" s="12"/>
      <c r="Y88" s="12"/>
      <c r="Z88" s="12"/>
      <c r="AA88" s="12"/>
      <c r="AB88" s="12"/>
    </row>
    <row r="89" spans="1:28">
      <c r="A89" s="10" t="s">
        <v>472</v>
      </c>
      <c r="B89" s="10"/>
      <c r="C89" s="11" t="s">
        <v>574</v>
      </c>
      <c r="E89" s="10">
        <f>tlInputScenario1PatPopRegion3</f>
        <v>2000</v>
      </c>
      <c r="F89" s="32" t="s">
        <v>748</v>
      </c>
      <c r="G89" s="12">
        <f>dec_Round</f>
        <v>0</v>
      </c>
      <c r="H89" s="12" t="b">
        <v>0</v>
      </c>
      <c r="I89" s="12" t="b">
        <v>0</v>
      </c>
      <c r="J89" s="13">
        <v>0</v>
      </c>
      <c r="L89" s="12"/>
      <c r="M89" s="12"/>
      <c r="N89" s="12"/>
      <c r="O89" s="12"/>
      <c r="P89" s="12"/>
      <c r="R89" s="12"/>
      <c r="S89" s="12"/>
      <c r="T89" s="12"/>
      <c r="U89" s="12"/>
      <c r="V89" s="12"/>
      <c r="X89" s="12"/>
      <c r="Y89" s="12"/>
      <c r="Z89" s="12"/>
      <c r="AA89" s="12"/>
      <c r="AB89" s="12"/>
    </row>
    <row r="90" spans="1:28">
      <c r="A90" s="10" t="s">
        <v>472</v>
      </c>
      <c r="B90" s="10"/>
      <c r="C90" s="11" t="s">
        <v>474</v>
      </c>
      <c r="E90" s="10">
        <f>tlInputScenario1PeakMSRegion3</f>
        <v>0.1</v>
      </c>
      <c r="F90" s="32" t="s">
        <v>749</v>
      </c>
      <c r="G90" s="12">
        <f>dec_Round</f>
        <v>0</v>
      </c>
      <c r="H90" s="12" t="b">
        <v>0</v>
      </c>
      <c r="I90" s="12" t="b">
        <v>0</v>
      </c>
      <c r="J90" s="13">
        <v>0</v>
      </c>
      <c r="L90" s="12"/>
      <c r="M90" s="12"/>
      <c r="N90" s="12"/>
      <c r="O90" s="12"/>
      <c r="P90" s="12"/>
      <c r="R90" s="12"/>
      <c r="S90" s="12"/>
      <c r="T90" s="12"/>
      <c r="U90" s="12"/>
      <c r="V90" s="12"/>
      <c r="X90" s="12"/>
      <c r="Y90" s="12"/>
      <c r="Z90" s="12"/>
      <c r="AA90" s="12"/>
      <c r="AB90" s="12"/>
    </row>
    <row r="91" spans="1:28">
      <c r="A91" s="10" t="s">
        <v>472</v>
      </c>
      <c r="B91" s="378">
        <v>0</v>
      </c>
      <c r="C91" s="11" t="s">
        <v>695</v>
      </c>
      <c r="D91" s="11" t="s">
        <v>593</v>
      </c>
      <c r="E91" s="10">
        <f>tlInputScenario1PriceRegion3</f>
        <v>0</v>
      </c>
      <c r="F91" s="32" t="s">
        <v>750</v>
      </c>
      <c r="G91" s="12">
        <f>dec_Round</f>
        <v>0</v>
      </c>
      <c r="H91" s="12" t="b">
        <v>0</v>
      </c>
      <c r="I91" s="12" t="b">
        <v>0</v>
      </c>
      <c r="J91" s="13">
        <v>0</v>
      </c>
      <c r="L91" s="12"/>
      <c r="M91" s="12"/>
      <c r="N91" s="12"/>
      <c r="O91" s="12"/>
      <c r="P91" s="12"/>
      <c r="R91" s="12"/>
      <c r="S91" s="12"/>
      <c r="T91" s="12"/>
      <c r="U91" s="12"/>
      <c r="V91" s="12"/>
      <c r="X91" s="12"/>
      <c r="Y91" s="12"/>
      <c r="Z91" s="12"/>
      <c r="AA91" s="12"/>
      <c r="AB91" s="12"/>
    </row>
    <row r="92" spans="1:28">
      <c r="A92" s="10" t="s">
        <v>472</v>
      </c>
      <c r="B92" s="378">
        <v>0</v>
      </c>
      <c r="C92" s="11" t="s">
        <v>696</v>
      </c>
      <c r="D92" s="11" t="s">
        <v>486</v>
      </c>
      <c r="E92" s="10">
        <f>tlInputScenario1Region3SnM</f>
        <v>0</v>
      </c>
      <c r="F92" s="32" t="s">
        <v>751</v>
      </c>
      <c r="G92" s="12">
        <f>dec_Round</f>
        <v>0</v>
      </c>
      <c r="H92" s="12" t="b">
        <v>0</v>
      </c>
      <c r="I92" s="12" t="b">
        <v>0</v>
      </c>
      <c r="J92" s="13">
        <v>0</v>
      </c>
      <c r="L92" s="12"/>
      <c r="M92" s="12"/>
      <c r="N92" s="12"/>
      <c r="O92" s="12"/>
      <c r="P92" s="12"/>
      <c r="R92" s="12"/>
      <c r="S92" s="12"/>
      <c r="T92" s="12"/>
      <c r="U92" s="12"/>
      <c r="V92" s="12"/>
      <c r="X92" s="12"/>
      <c r="Y92" s="12"/>
      <c r="Z92" s="12"/>
      <c r="AA92" s="12"/>
      <c r="AB92" s="12"/>
    </row>
    <row r="93" spans="1:28">
      <c r="F93" s="32"/>
      <c r="G93" s="12"/>
      <c r="H93" s="12"/>
      <c r="I93" s="12"/>
      <c r="J93" s="12"/>
      <c r="L93" s="12"/>
      <c r="M93" s="12"/>
      <c r="N93" s="12"/>
      <c r="O93" s="12"/>
      <c r="P93" s="12"/>
      <c r="R93" s="12"/>
      <c r="S93" s="12"/>
      <c r="T93" s="12"/>
      <c r="U93" s="12"/>
      <c r="V93" s="12"/>
      <c r="X93" s="12"/>
      <c r="Y93" s="12"/>
      <c r="Z93" s="12"/>
      <c r="AA93" s="12"/>
      <c r="AB93" s="12"/>
    </row>
    <row r="94" spans="1:28">
      <c r="A94" s="10" t="s">
        <v>473</v>
      </c>
      <c r="B94" s="10"/>
      <c r="C94" s="11" t="s">
        <v>519</v>
      </c>
      <c r="E94" s="10" t="b">
        <f>tlInputScenario1EnterRegion4</f>
        <v>0</v>
      </c>
      <c r="F94" s="32" t="s">
        <v>752</v>
      </c>
      <c r="G94" s="12">
        <f>dec_Round</f>
        <v>0</v>
      </c>
      <c r="H94" s="12" t="b">
        <v>0</v>
      </c>
      <c r="I94" s="12" t="b">
        <v>0</v>
      </c>
      <c r="J94" s="13">
        <v>0</v>
      </c>
      <c r="L94" s="12"/>
      <c r="M94" s="12"/>
      <c r="N94" s="12"/>
      <c r="O94" s="12"/>
      <c r="P94" s="12"/>
      <c r="R94" s="12"/>
      <c r="S94" s="12"/>
      <c r="T94" s="12"/>
      <c r="U94" s="12"/>
      <c r="V94" s="12"/>
      <c r="X94" s="12"/>
      <c r="Y94" s="12"/>
      <c r="Z94" s="12"/>
      <c r="AA94" s="12"/>
      <c r="AB94" s="12"/>
    </row>
    <row r="95" spans="1:28">
      <c r="A95" s="10" t="s">
        <v>473</v>
      </c>
      <c r="B95" s="10"/>
      <c r="C95" s="11" t="s">
        <v>574</v>
      </c>
      <c r="E95" s="10">
        <f>tlInputScenario1PatPopRegion4</f>
        <v>3000</v>
      </c>
      <c r="F95" s="32" t="s">
        <v>753</v>
      </c>
      <c r="G95" s="12">
        <f>dec_Round</f>
        <v>0</v>
      </c>
      <c r="H95" s="12" t="b">
        <v>0</v>
      </c>
      <c r="I95" s="12" t="b">
        <v>0</v>
      </c>
      <c r="J95" s="13">
        <v>0</v>
      </c>
      <c r="L95" s="12"/>
      <c r="M95" s="12"/>
      <c r="N95" s="12"/>
      <c r="O95" s="12"/>
      <c r="P95" s="12"/>
      <c r="R95" s="12"/>
      <c r="S95" s="12"/>
      <c r="T95" s="12"/>
      <c r="U95" s="12"/>
      <c r="V95" s="12"/>
      <c r="X95" s="12"/>
      <c r="Y95" s="12"/>
      <c r="Z95" s="12"/>
      <c r="AA95" s="12"/>
      <c r="AB95" s="12"/>
    </row>
    <row r="96" spans="1:28">
      <c r="A96" s="10" t="s">
        <v>473</v>
      </c>
      <c r="B96" s="10"/>
      <c r="C96" s="11" t="s">
        <v>474</v>
      </c>
      <c r="E96" s="10">
        <f>tlInputScenario1PeakMSRegion4</f>
        <v>0.1</v>
      </c>
      <c r="F96" s="32" t="s">
        <v>754</v>
      </c>
      <c r="G96" s="12">
        <f>dec_Round</f>
        <v>0</v>
      </c>
      <c r="H96" s="12" t="b">
        <v>0</v>
      </c>
      <c r="I96" s="12" t="b">
        <v>0</v>
      </c>
      <c r="J96" s="13">
        <v>0</v>
      </c>
      <c r="L96" s="12"/>
      <c r="M96" s="12"/>
      <c r="N96" s="12"/>
      <c r="O96" s="12"/>
      <c r="P96" s="12"/>
      <c r="R96" s="12"/>
      <c r="S96" s="12"/>
      <c r="T96" s="12"/>
      <c r="U96" s="12"/>
      <c r="V96" s="12"/>
      <c r="X96" s="12"/>
      <c r="Y96" s="12"/>
      <c r="Z96" s="12"/>
      <c r="AA96" s="12"/>
      <c r="AB96" s="12"/>
    </row>
    <row r="97" spans="1:28">
      <c r="A97" s="10" t="s">
        <v>473</v>
      </c>
      <c r="B97" s="378">
        <v>0</v>
      </c>
      <c r="C97" s="11" t="s">
        <v>697</v>
      </c>
      <c r="D97" s="11" t="s">
        <v>593</v>
      </c>
      <c r="E97" s="10">
        <f>tlInputScenario1PriceRegion4</f>
        <v>0</v>
      </c>
      <c r="F97" s="32" t="s">
        <v>755</v>
      </c>
      <c r="G97" s="12">
        <f>dec_Round</f>
        <v>0</v>
      </c>
      <c r="H97" s="12" t="b">
        <v>0</v>
      </c>
      <c r="I97" s="12" t="b">
        <v>0</v>
      </c>
      <c r="J97" s="13">
        <v>0</v>
      </c>
      <c r="L97" s="12"/>
      <c r="M97" s="12"/>
      <c r="N97" s="12"/>
      <c r="O97" s="12"/>
      <c r="P97" s="12"/>
      <c r="R97" s="12"/>
      <c r="S97" s="12"/>
      <c r="T97" s="12"/>
      <c r="U97" s="12"/>
      <c r="V97" s="12"/>
      <c r="X97" s="12"/>
      <c r="Y97" s="12"/>
      <c r="Z97" s="12"/>
      <c r="AA97" s="12"/>
      <c r="AB97" s="12"/>
    </row>
    <row r="98" spans="1:28">
      <c r="A98" s="10" t="s">
        <v>473</v>
      </c>
      <c r="B98" s="378">
        <v>0</v>
      </c>
      <c r="C98" s="11" t="s">
        <v>698</v>
      </c>
      <c r="D98" s="11" t="s">
        <v>486</v>
      </c>
      <c r="E98" s="10">
        <f>tlInputScenario1Region4SnM</f>
        <v>0</v>
      </c>
      <c r="F98" s="32" t="s">
        <v>756</v>
      </c>
      <c r="G98" s="12">
        <f>dec_Round</f>
        <v>0</v>
      </c>
      <c r="H98" s="12" t="b">
        <v>0</v>
      </c>
      <c r="I98" s="12" t="b">
        <v>0</v>
      </c>
      <c r="J98" s="13">
        <v>0</v>
      </c>
      <c r="L98" s="12"/>
      <c r="M98" s="12"/>
      <c r="N98" s="12"/>
      <c r="O98" s="12"/>
      <c r="P98" s="12"/>
      <c r="R98" s="12"/>
      <c r="S98" s="12"/>
      <c r="T98" s="12"/>
      <c r="U98" s="12"/>
      <c r="V98" s="12"/>
      <c r="X98" s="12"/>
      <c r="Y98" s="12"/>
      <c r="Z98" s="12"/>
      <c r="AA98" s="12"/>
      <c r="AB98" s="12"/>
    </row>
    <row r="99" spans="1:28">
      <c r="F99" s="32"/>
      <c r="G99" s="12"/>
      <c r="H99" s="12"/>
      <c r="I99" s="12"/>
      <c r="J99" s="12"/>
      <c r="L99" s="12"/>
      <c r="M99" s="12"/>
      <c r="N99" s="12"/>
      <c r="O99" s="12"/>
      <c r="P99" s="12"/>
      <c r="R99" s="12"/>
      <c r="S99" s="12"/>
      <c r="T99" s="12"/>
      <c r="U99" s="12"/>
      <c r="V99" s="12"/>
      <c r="X99" s="12"/>
      <c r="Y99" s="12"/>
      <c r="Z99" s="12"/>
      <c r="AA99" s="12"/>
      <c r="AB99" s="12"/>
    </row>
    <row r="100" spans="1:28">
      <c r="A100" s="85" t="s">
        <v>699</v>
      </c>
      <c r="B100" s="378">
        <v>0</v>
      </c>
      <c r="C100" s="11" t="s">
        <v>493</v>
      </c>
      <c r="E100" s="10">
        <f>tlInputScenario1Penetration</f>
        <v>0</v>
      </c>
      <c r="F100" s="32" t="s">
        <v>757</v>
      </c>
      <c r="G100" s="12">
        <f t="shared" ref="G100:G106" si="2">dec_Round</f>
        <v>0</v>
      </c>
      <c r="H100" s="12" t="b">
        <v>0</v>
      </c>
      <c r="I100" s="12" t="b">
        <v>0</v>
      </c>
      <c r="J100" s="13">
        <v>0</v>
      </c>
      <c r="L100" s="12"/>
      <c r="M100" s="12"/>
      <c r="N100" s="12"/>
      <c r="O100" s="12"/>
      <c r="P100" s="12"/>
      <c r="R100" s="12"/>
      <c r="S100" s="12"/>
      <c r="T100" s="12"/>
      <c r="U100" s="12"/>
      <c r="V100" s="12"/>
      <c r="X100" s="12"/>
      <c r="Y100" s="12"/>
      <c r="Z100" s="12"/>
      <c r="AA100" s="12"/>
      <c r="AB100" s="12"/>
    </row>
    <row r="101" spans="1:28">
      <c r="A101" s="85" t="s">
        <v>700</v>
      </c>
      <c r="B101" s="378">
        <v>0</v>
      </c>
      <c r="C101" s="11" t="s">
        <v>494</v>
      </c>
      <c r="E101" s="10">
        <f>tlInputScenario1Compliance</f>
        <v>0</v>
      </c>
      <c r="F101" s="32" t="s">
        <v>758</v>
      </c>
      <c r="G101" s="12">
        <f t="shared" si="2"/>
        <v>0</v>
      </c>
      <c r="H101" s="12" t="b">
        <v>0</v>
      </c>
      <c r="I101" s="12" t="b">
        <v>0</v>
      </c>
      <c r="J101" s="13">
        <v>0</v>
      </c>
      <c r="L101" s="12"/>
      <c r="M101" s="12"/>
      <c r="N101" s="12"/>
      <c r="O101" s="12"/>
      <c r="P101" s="12"/>
      <c r="R101" s="12"/>
      <c r="S101" s="12"/>
      <c r="T101" s="12"/>
      <c r="U101" s="12"/>
      <c r="V101" s="12"/>
      <c r="X101" s="12"/>
      <c r="Y101" s="12"/>
      <c r="Z101" s="12"/>
      <c r="AA101" s="12"/>
      <c r="AB101" s="12"/>
    </row>
    <row r="102" spans="1:28">
      <c r="A102" s="85" t="s">
        <v>701</v>
      </c>
      <c r="B102" s="378">
        <v>0</v>
      </c>
      <c r="C102" s="11" t="s">
        <v>485</v>
      </c>
      <c r="E102" s="10">
        <f>tlInputScenario1DiscountRate</f>
        <v>0</v>
      </c>
      <c r="F102" s="32" t="s">
        <v>759</v>
      </c>
      <c r="G102" s="12">
        <f t="shared" si="2"/>
        <v>0</v>
      </c>
      <c r="H102" s="12" t="b">
        <v>0</v>
      </c>
      <c r="I102" s="12" t="b">
        <v>0</v>
      </c>
      <c r="J102" s="13">
        <v>0</v>
      </c>
      <c r="L102" s="12"/>
      <c r="M102" s="12"/>
      <c r="N102" s="12"/>
      <c r="O102" s="12"/>
      <c r="P102" s="12"/>
      <c r="R102" s="12"/>
      <c r="S102" s="12"/>
      <c r="T102" s="12"/>
      <c r="U102" s="12"/>
      <c r="V102" s="12"/>
      <c r="X102" s="12"/>
      <c r="Y102" s="12"/>
      <c r="Z102" s="12"/>
      <c r="AA102" s="12"/>
      <c r="AB102" s="12"/>
    </row>
    <row r="103" spans="1:28">
      <c r="A103" s="85" t="s">
        <v>702</v>
      </c>
      <c r="B103" s="378">
        <v>0</v>
      </c>
      <c r="C103" s="11" t="s">
        <v>558</v>
      </c>
      <c r="E103" s="10">
        <f>tlInputScenario1COGS</f>
        <v>0</v>
      </c>
      <c r="F103" s="32" t="s">
        <v>760</v>
      </c>
      <c r="G103" s="12">
        <f t="shared" si="2"/>
        <v>0</v>
      </c>
      <c r="H103" s="12" t="b">
        <v>0</v>
      </c>
      <c r="I103" s="12" t="b">
        <v>0</v>
      </c>
      <c r="J103" s="13">
        <v>0</v>
      </c>
      <c r="L103" s="12"/>
      <c r="M103" s="12"/>
      <c r="N103" s="12"/>
      <c r="O103" s="12"/>
      <c r="P103" s="12"/>
      <c r="R103" s="12"/>
      <c r="S103" s="12"/>
      <c r="T103" s="12"/>
      <c r="U103" s="12"/>
      <c r="V103" s="12"/>
      <c r="X103" s="12"/>
      <c r="Y103" s="12"/>
      <c r="Z103" s="12"/>
      <c r="AA103" s="12"/>
      <c r="AB103" s="12"/>
    </row>
    <row r="104" spans="1:28">
      <c r="B104" s="10"/>
      <c r="C104" s="11" t="s">
        <v>492</v>
      </c>
      <c r="E104" s="10">
        <f>tlInputScenario1Royalty</f>
        <v>0</v>
      </c>
      <c r="F104" s="32" t="s">
        <v>761</v>
      </c>
      <c r="G104" s="12">
        <f t="shared" si="2"/>
        <v>0</v>
      </c>
      <c r="H104" s="12" t="b">
        <v>0</v>
      </c>
      <c r="I104" s="12" t="b">
        <v>0</v>
      </c>
      <c r="J104" s="13">
        <v>0</v>
      </c>
      <c r="L104" s="12"/>
      <c r="M104" s="12"/>
      <c r="N104" s="12"/>
      <c r="O104" s="12"/>
      <c r="P104" s="12"/>
      <c r="R104" s="12"/>
      <c r="S104" s="12"/>
      <c r="T104" s="12"/>
      <c r="U104" s="12"/>
      <c r="V104" s="12"/>
      <c r="X104" s="12"/>
      <c r="Y104" s="12"/>
      <c r="Z104" s="12"/>
      <c r="AA104" s="12"/>
      <c r="AB104" s="12"/>
    </row>
    <row r="105" spans="1:28">
      <c r="B105" s="10"/>
      <c r="C105" s="11" t="s">
        <v>521</v>
      </c>
      <c r="E105" s="10">
        <f>tlInputScenario1EPVRate</f>
        <v>0.06</v>
      </c>
      <c r="F105" s="32" t="s">
        <v>762</v>
      </c>
      <c r="G105" s="12">
        <f t="shared" si="2"/>
        <v>0</v>
      </c>
      <c r="H105" s="12" t="b">
        <v>0</v>
      </c>
      <c r="I105" s="12" t="b">
        <v>0</v>
      </c>
      <c r="J105" s="13">
        <v>0</v>
      </c>
      <c r="L105" s="12"/>
      <c r="M105" s="12"/>
      <c r="N105" s="12"/>
      <c r="O105" s="12"/>
      <c r="P105" s="12"/>
      <c r="R105" s="12"/>
      <c r="S105" s="12"/>
      <c r="T105" s="12"/>
      <c r="U105" s="12"/>
      <c r="V105" s="12"/>
      <c r="X105" s="12"/>
      <c r="Y105" s="12"/>
      <c r="Z105" s="12"/>
      <c r="AA105" s="12"/>
      <c r="AB105" s="12"/>
    </row>
    <row r="106" spans="1:28">
      <c r="B106" s="10"/>
      <c r="C106" s="11" t="s">
        <v>520</v>
      </c>
      <c r="E106" s="10">
        <f>tlInputScenario1NPVRate</f>
        <v>0.12</v>
      </c>
      <c r="F106" s="32" t="s">
        <v>763</v>
      </c>
      <c r="G106" s="12">
        <f t="shared" si="2"/>
        <v>0</v>
      </c>
      <c r="H106" s="12" t="b">
        <v>0</v>
      </c>
      <c r="I106" s="12" t="b">
        <v>0</v>
      </c>
      <c r="J106" s="13">
        <v>0</v>
      </c>
      <c r="L106" s="12"/>
      <c r="M106" s="12"/>
      <c r="N106" s="12"/>
      <c r="O106" s="12"/>
      <c r="P106" s="12"/>
      <c r="R106" s="12"/>
      <c r="S106" s="12"/>
      <c r="T106" s="12"/>
      <c r="U106" s="12"/>
      <c r="V106" s="12"/>
      <c r="X106" s="12"/>
      <c r="Y106" s="12"/>
      <c r="Z106" s="12"/>
      <c r="AA106" s="12"/>
      <c r="AB106" s="12"/>
    </row>
    <row r="107" spans="1:28">
      <c r="B107" s="10"/>
      <c r="C107" s="11"/>
      <c r="G107" s="12"/>
      <c r="H107" s="12"/>
      <c r="I107" s="12"/>
      <c r="J107" s="13"/>
      <c r="L107" s="12"/>
      <c r="M107" s="12"/>
      <c r="N107" s="12"/>
      <c r="O107" s="12"/>
      <c r="P107" s="12"/>
      <c r="R107" s="12"/>
      <c r="S107" s="12"/>
      <c r="T107" s="12"/>
      <c r="U107" s="12"/>
      <c r="V107" s="12"/>
      <c r="X107" s="12"/>
      <c r="Y107" s="12"/>
      <c r="Z107" s="12"/>
      <c r="AA107" s="12"/>
      <c r="AB107" s="12"/>
    </row>
    <row r="108" spans="1:28">
      <c r="B108" s="11" t="s">
        <v>510</v>
      </c>
      <c r="F108" s="11"/>
      <c r="G108" s="12"/>
      <c r="H108" s="12"/>
      <c r="I108" s="12"/>
      <c r="J108" s="13"/>
      <c r="L108" s="12"/>
      <c r="M108" s="12"/>
      <c r="N108" s="12"/>
      <c r="O108" s="12"/>
      <c r="P108" s="12"/>
      <c r="R108" s="12"/>
      <c r="S108" s="12"/>
      <c r="T108" s="12"/>
      <c r="U108" s="12"/>
      <c r="V108" s="12"/>
      <c r="X108" s="12"/>
      <c r="Y108" s="12"/>
      <c r="Z108" s="12"/>
      <c r="AA108" s="12"/>
      <c r="AB108" s="12"/>
    </row>
    <row r="109" spans="1:28">
      <c r="B109" s="10" t="s">
        <v>484</v>
      </c>
      <c r="C109" s="11"/>
      <c r="F109" s="11"/>
      <c r="G109" s="12"/>
      <c r="H109" s="12"/>
      <c r="I109" s="12"/>
      <c r="J109" s="13"/>
      <c r="L109" s="12"/>
      <c r="M109" s="12"/>
      <c r="N109" s="12"/>
      <c r="O109" s="12"/>
      <c r="P109" s="12"/>
      <c r="R109" s="12"/>
      <c r="S109" s="12"/>
      <c r="T109" s="12"/>
      <c r="U109" s="12"/>
      <c r="V109" s="12"/>
      <c r="X109" s="12"/>
      <c r="Y109" s="12"/>
      <c r="Z109" s="12"/>
      <c r="AA109" s="12"/>
      <c r="AB109" s="12"/>
    </row>
    <row r="110" spans="1:28">
      <c r="B110" s="10"/>
      <c r="C110" s="11" t="s">
        <v>585</v>
      </c>
      <c r="E110" s="10">
        <f>tlInputScenario2AddBiomarker</f>
        <v>0</v>
      </c>
      <c r="F110" s="32" t="s">
        <v>944</v>
      </c>
      <c r="G110" s="12">
        <f t="shared" ref="G110:G127" si="3">dec_Round</f>
        <v>0</v>
      </c>
      <c r="H110" s="12" t="b">
        <v>0</v>
      </c>
      <c r="I110" s="12" t="b">
        <v>0</v>
      </c>
      <c r="J110" s="13">
        <v>0</v>
      </c>
      <c r="L110" s="12"/>
      <c r="M110" s="12"/>
      <c r="N110" s="12"/>
      <c r="O110" s="12"/>
      <c r="P110" s="12"/>
      <c r="R110" s="12"/>
      <c r="S110" s="12"/>
      <c r="T110" s="12"/>
      <c r="U110" s="12"/>
      <c r="V110" s="12"/>
      <c r="X110" s="12"/>
      <c r="Y110" s="12"/>
      <c r="Z110" s="12"/>
      <c r="AA110" s="12"/>
      <c r="AB110" s="12"/>
    </row>
    <row r="111" spans="1:28">
      <c r="B111" s="10"/>
      <c r="C111" s="11" t="s">
        <v>587</v>
      </c>
      <c r="E111" s="10" t="str">
        <f>tlInputScenario2Administration</f>
        <v>Eye Drops</v>
      </c>
      <c r="F111" s="32" t="s">
        <v>945</v>
      </c>
      <c r="G111" s="12">
        <f t="shared" si="3"/>
        <v>0</v>
      </c>
      <c r="H111" s="12" t="b">
        <v>0</v>
      </c>
      <c r="I111" s="12" t="b">
        <v>0</v>
      </c>
      <c r="J111" s="13">
        <v>0</v>
      </c>
      <c r="L111" s="12"/>
      <c r="M111" s="12"/>
      <c r="N111" s="12"/>
      <c r="O111" s="12"/>
      <c r="P111" s="12"/>
      <c r="R111" s="12"/>
      <c r="S111" s="12"/>
      <c r="T111" s="12"/>
      <c r="U111" s="12"/>
      <c r="V111" s="12"/>
      <c r="X111" s="12"/>
      <c r="Y111" s="12"/>
      <c r="Z111" s="12"/>
      <c r="AA111" s="12"/>
      <c r="AB111" s="12"/>
    </row>
    <row r="112" spans="1:28">
      <c r="B112" s="10" t="s">
        <v>465</v>
      </c>
      <c r="C112" s="11" t="s">
        <v>495</v>
      </c>
      <c r="E112" s="10">
        <f>tlInputScenario2TrialSizePh1</f>
        <v>50</v>
      </c>
      <c r="F112" s="32" t="s">
        <v>946</v>
      </c>
      <c r="G112" s="12">
        <f t="shared" si="3"/>
        <v>0</v>
      </c>
      <c r="H112" s="12" t="b">
        <v>0</v>
      </c>
      <c r="I112" s="12" t="b">
        <v>0</v>
      </c>
      <c r="J112" s="13">
        <v>0</v>
      </c>
      <c r="L112" s="12"/>
      <c r="M112" s="12"/>
      <c r="N112" s="12"/>
      <c r="O112" s="12"/>
      <c r="P112" s="12"/>
      <c r="R112" s="12"/>
      <c r="S112" s="12"/>
      <c r="T112" s="12"/>
      <c r="U112" s="12"/>
      <c r="V112" s="12"/>
      <c r="X112" s="12"/>
      <c r="Y112" s="12"/>
      <c r="Z112" s="12"/>
      <c r="AA112" s="12"/>
      <c r="AB112" s="12"/>
    </row>
    <row r="113" spans="2:28">
      <c r="B113" s="10" t="s">
        <v>466</v>
      </c>
      <c r="C113" s="11" t="s">
        <v>495</v>
      </c>
      <c r="E113" s="10">
        <f>tlInputScenario2TrialSizePh2</f>
        <v>250</v>
      </c>
      <c r="F113" s="32" t="s">
        <v>947</v>
      </c>
      <c r="G113" s="12">
        <f t="shared" si="3"/>
        <v>0</v>
      </c>
      <c r="H113" s="12" t="b">
        <v>0</v>
      </c>
      <c r="I113" s="12" t="b">
        <v>0</v>
      </c>
      <c r="J113" s="13">
        <v>0</v>
      </c>
      <c r="L113" s="12"/>
      <c r="M113" s="12"/>
      <c r="N113" s="12"/>
      <c r="O113" s="12"/>
      <c r="P113" s="12"/>
      <c r="R113" s="12"/>
      <c r="S113" s="12"/>
      <c r="T113" s="12"/>
      <c r="U113" s="12"/>
      <c r="V113" s="12"/>
      <c r="X113" s="12"/>
      <c r="Y113" s="12"/>
      <c r="Z113" s="12"/>
      <c r="AA113" s="12"/>
      <c r="AB113" s="12"/>
    </row>
    <row r="114" spans="2:28">
      <c r="B114" s="10" t="s">
        <v>467</v>
      </c>
      <c r="C114" s="11" t="s">
        <v>495</v>
      </c>
      <c r="E114" s="10">
        <f>tlInputScenario2TrialSizePh3</f>
        <v>1500</v>
      </c>
      <c r="F114" s="32" t="s">
        <v>948</v>
      </c>
      <c r="G114" s="12">
        <f t="shared" si="3"/>
        <v>0</v>
      </c>
      <c r="H114" s="12" t="b">
        <v>0</v>
      </c>
      <c r="I114" s="12" t="b">
        <v>0</v>
      </c>
      <c r="J114" s="13">
        <v>0</v>
      </c>
      <c r="L114" s="12"/>
      <c r="M114" s="12"/>
      <c r="N114" s="12"/>
      <c r="O114" s="12"/>
      <c r="P114" s="12"/>
      <c r="R114" s="12"/>
      <c r="S114" s="12"/>
      <c r="T114" s="12"/>
      <c r="U114" s="12"/>
      <c r="V114" s="12"/>
      <c r="X114" s="12"/>
      <c r="Y114" s="12"/>
      <c r="Z114" s="12"/>
      <c r="AA114" s="12"/>
      <c r="AB114" s="12"/>
    </row>
    <row r="115" spans="2:28">
      <c r="B115" s="10" t="s">
        <v>465</v>
      </c>
      <c r="C115" s="11" t="s">
        <v>611</v>
      </c>
      <c r="E115" s="10" t="str">
        <f>tlInputScenario2ObservationPh1</f>
        <v>0 months</v>
      </c>
      <c r="F115" s="32" t="s">
        <v>949</v>
      </c>
      <c r="G115" s="12">
        <f t="shared" si="3"/>
        <v>0</v>
      </c>
      <c r="H115" s="12" t="b">
        <v>0</v>
      </c>
      <c r="I115" s="12" t="b">
        <v>0</v>
      </c>
      <c r="J115" s="13">
        <v>0</v>
      </c>
      <c r="L115" s="12"/>
      <c r="M115" s="12"/>
      <c r="N115" s="12"/>
      <c r="O115" s="12"/>
      <c r="P115" s="12"/>
      <c r="R115" s="12"/>
      <c r="S115" s="12"/>
      <c r="T115" s="12"/>
      <c r="U115" s="12"/>
      <c r="V115" s="12"/>
      <c r="X115" s="12"/>
      <c r="Y115" s="12"/>
      <c r="Z115" s="12"/>
      <c r="AA115" s="12"/>
      <c r="AB115" s="12"/>
    </row>
    <row r="116" spans="2:28">
      <c r="B116" s="10" t="s">
        <v>466</v>
      </c>
      <c r="C116" s="11" t="s">
        <v>611</v>
      </c>
      <c r="E116" s="10" t="str">
        <f>tlInputScenario2ObservationPh2</f>
        <v>0 months</v>
      </c>
      <c r="F116" s="32" t="s">
        <v>950</v>
      </c>
      <c r="G116" s="12">
        <f t="shared" si="3"/>
        <v>0</v>
      </c>
      <c r="H116" s="12" t="b">
        <v>0</v>
      </c>
      <c r="I116" s="12" t="b">
        <v>0</v>
      </c>
      <c r="J116" s="13">
        <v>0</v>
      </c>
      <c r="L116" s="12"/>
      <c r="M116" s="12"/>
      <c r="N116" s="12"/>
      <c r="O116" s="12"/>
      <c r="P116" s="12"/>
      <c r="R116" s="12"/>
      <c r="S116" s="12"/>
      <c r="T116" s="12"/>
      <c r="U116" s="12"/>
      <c r="V116" s="12"/>
      <c r="X116" s="12"/>
      <c r="Y116" s="12"/>
      <c r="Z116" s="12"/>
      <c r="AA116" s="12"/>
      <c r="AB116" s="12"/>
    </row>
    <row r="117" spans="2:28">
      <c r="B117" s="10" t="s">
        <v>467</v>
      </c>
      <c r="C117" s="11" t="s">
        <v>611</v>
      </c>
      <c r="E117" s="10" t="str">
        <f>tlInputScenario2ObservationPh3</f>
        <v>0 months</v>
      </c>
      <c r="F117" s="32" t="s">
        <v>951</v>
      </c>
      <c r="G117" s="12">
        <f t="shared" si="3"/>
        <v>0</v>
      </c>
      <c r="H117" s="12" t="b">
        <v>0</v>
      </c>
      <c r="I117" s="12" t="b">
        <v>0</v>
      </c>
      <c r="J117" s="13">
        <v>0</v>
      </c>
      <c r="L117" s="12"/>
      <c r="M117" s="12"/>
      <c r="N117" s="12"/>
      <c r="O117" s="12"/>
      <c r="P117" s="12"/>
      <c r="R117" s="12"/>
      <c r="S117" s="12"/>
      <c r="T117" s="12"/>
      <c r="U117" s="12"/>
      <c r="V117" s="12"/>
      <c r="X117" s="12"/>
      <c r="Y117" s="12"/>
      <c r="Z117" s="12"/>
      <c r="AA117" s="12"/>
      <c r="AB117" s="12"/>
    </row>
    <row r="118" spans="2:28">
      <c r="B118" s="10" t="s">
        <v>466</v>
      </c>
      <c r="C118" s="11" t="s">
        <v>554</v>
      </c>
      <c r="E118" s="10" t="str">
        <f>tlInputScenario2MNTrialsPh2</f>
        <v>Local</v>
      </c>
      <c r="F118" s="32" t="s">
        <v>952</v>
      </c>
      <c r="G118" s="12">
        <f t="shared" si="3"/>
        <v>0</v>
      </c>
      <c r="H118" s="12" t="b">
        <v>0</v>
      </c>
      <c r="I118" s="12" t="b">
        <v>0</v>
      </c>
      <c r="J118" s="13">
        <v>0</v>
      </c>
      <c r="L118" s="12"/>
      <c r="M118" s="12"/>
      <c r="N118" s="12"/>
      <c r="O118" s="12"/>
      <c r="P118" s="12"/>
      <c r="R118" s="12"/>
      <c r="S118" s="12"/>
      <c r="T118" s="12"/>
      <c r="U118" s="12"/>
      <c r="V118" s="12"/>
      <c r="X118" s="12"/>
      <c r="Y118" s="12"/>
      <c r="Z118" s="12"/>
      <c r="AA118" s="12"/>
      <c r="AB118" s="12"/>
    </row>
    <row r="119" spans="2:28">
      <c r="B119" s="10" t="s">
        <v>467</v>
      </c>
      <c r="C119" s="11" t="s">
        <v>554</v>
      </c>
      <c r="E119" s="10" t="str">
        <f>tlInputScenario2MNTrialsPh3</f>
        <v>Local</v>
      </c>
      <c r="F119" s="32" t="s">
        <v>953</v>
      </c>
      <c r="G119" s="12">
        <f t="shared" si="3"/>
        <v>0</v>
      </c>
      <c r="H119" s="12" t="b">
        <v>0</v>
      </c>
      <c r="I119" s="12" t="b">
        <v>0</v>
      </c>
      <c r="J119" s="13">
        <v>0</v>
      </c>
      <c r="L119" s="12"/>
      <c r="M119" s="12"/>
      <c r="N119" s="12"/>
      <c r="O119" s="12"/>
      <c r="P119" s="12"/>
      <c r="R119" s="12"/>
      <c r="S119" s="12"/>
      <c r="T119" s="12"/>
      <c r="U119" s="12"/>
      <c r="V119" s="12"/>
      <c r="X119" s="12"/>
      <c r="Y119" s="12"/>
      <c r="Z119" s="12"/>
      <c r="AA119" s="12"/>
      <c r="AB119" s="12"/>
    </row>
    <row r="120" spans="2:28">
      <c r="B120" s="10"/>
      <c r="C120" s="11" t="s">
        <v>513</v>
      </c>
      <c r="E120" s="10" t="str">
        <f>tlInputScenario2AddIndication</f>
        <v>No</v>
      </c>
      <c r="F120" s="32" t="s">
        <v>954</v>
      </c>
      <c r="G120" s="12">
        <f t="shared" si="3"/>
        <v>0</v>
      </c>
      <c r="H120" s="12" t="b">
        <v>0</v>
      </c>
      <c r="I120" s="12" t="b">
        <v>0</v>
      </c>
      <c r="J120" s="13">
        <v>0</v>
      </c>
      <c r="L120" s="12"/>
      <c r="M120" s="12"/>
      <c r="N120" s="12"/>
      <c r="O120" s="12"/>
      <c r="P120" s="12"/>
      <c r="R120" s="12"/>
      <c r="S120" s="12"/>
      <c r="T120" s="12"/>
      <c r="U120" s="12"/>
      <c r="V120" s="12"/>
      <c r="X120" s="12"/>
      <c r="Y120" s="12"/>
      <c r="Z120" s="12"/>
      <c r="AA120" s="12"/>
      <c r="AB120" s="12"/>
    </row>
    <row r="121" spans="2:28">
      <c r="B121" s="10"/>
      <c r="C121" s="11" t="s">
        <v>560</v>
      </c>
      <c r="E121" s="10" t="str">
        <f>tlInputScenario2Ph2bStudy</f>
        <v>Multiple Arms</v>
      </c>
      <c r="F121" s="32" t="s">
        <v>955</v>
      </c>
      <c r="G121" s="12">
        <f t="shared" si="3"/>
        <v>0</v>
      </c>
      <c r="H121" s="12" t="b">
        <v>0</v>
      </c>
      <c r="I121" s="12" t="b">
        <v>0</v>
      </c>
      <c r="J121" s="13">
        <v>0</v>
      </c>
      <c r="L121" s="12"/>
      <c r="M121" s="12"/>
      <c r="N121" s="12"/>
      <c r="O121" s="12"/>
      <c r="P121" s="12"/>
      <c r="R121" s="12"/>
      <c r="S121" s="12"/>
      <c r="T121" s="12"/>
      <c r="U121" s="12"/>
      <c r="V121" s="12"/>
      <c r="X121" s="12"/>
      <c r="Y121" s="12"/>
      <c r="Z121" s="12"/>
      <c r="AA121" s="12"/>
      <c r="AB121" s="12"/>
    </row>
    <row r="122" spans="2:28">
      <c r="B122" s="10"/>
      <c r="C122" s="11" t="s">
        <v>563</v>
      </c>
      <c r="E122" s="10" t="str">
        <f>tlInputScenario2DDFrequency</f>
        <v>Medium</v>
      </c>
      <c r="F122" s="32" t="s">
        <v>956</v>
      </c>
      <c r="G122" s="12">
        <f t="shared" si="3"/>
        <v>0</v>
      </c>
      <c r="H122" s="12" t="b">
        <v>0</v>
      </c>
      <c r="I122" s="12" t="b">
        <v>0</v>
      </c>
      <c r="J122" s="13">
        <v>0</v>
      </c>
      <c r="L122" s="12"/>
      <c r="M122" s="12"/>
      <c r="N122" s="12"/>
      <c r="O122" s="12"/>
      <c r="P122" s="12"/>
      <c r="R122" s="12"/>
      <c r="S122" s="12"/>
      <c r="T122" s="12"/>
      <c r="U122" s="12"/>
      <c r="V122" s="12"/>
      <c r="X122" s="12"/>
      <c r="Y122" s="12"/>
      <c r="Z122" s="12"/>
      <c r="AA122" s="12"/>
      <c r="AB122" s="12"/>
    </row>
    <row r="123" spans="2:28">
      <c r="B123" s="10"/>
      <c r="C123" s="11" t="s">
        <v>572</v>
      </c>
      <c r="E123" s="10">
        <f>tlInputScenario2PrimaryEndpoint</f>
        <v>1</v>
      </c>
      <c r="F123" s="32" t="s">
        <v>957</v>
      </c>
      <c r="G123" s="12">
        <f t="shared" si="3"/>
        <v>0</v>
      </c>
      <c r="H123" s="12" t="b">
        <v>0</v>
      </c>
      <c r="I123" s="12" t="b">
        <v>0</v>
      </c>
      <c r="J123" s="13">
        <v>0</v>
      </c>
      <c r="L123" s="12"/>
      <c r="M123" s="12"/>
      <c r="N123" s="12"/>
      <c r="O123" s="12"/>
      <c r="P123" s="12"/>
      <c r="R123" s="12"/>
      <c r="S123" s="12"/>
      <c r="T123" s="12"/>
      <c r="U123" s="12"/>
      <c r="V123" s="12"/>
      <c r="X123" s="12"/>
      <c r="Y123" s="12"/>
      <c r="Z123" s="12"/>
      <c r="AA123" s="12"/>
      <c r="AB123" s="12"/>
    </row>
    <row r="124" spans="2:28">
      <c r="B124" s="10"/>
      <c r="C124" s="11" t="s">
        <v>573</v>
      </c>
      <c r="E124" s="10">
        <f>tlInputScenario2SecondaryEndpoint</f>
        <v>1</v>
      </c>
      <c r="F124" s="32" t="s">
        <v>958</v>
      </c>
      <c r="G124" s="12">
        <f t="shared" si="3"/>
        <v>0</v>
      </c>
      <c r="H124" s="12" t="b">
        <v>0</v>
      </c>
      <c r="I124" s="12" t="b">
        <v>0</v>
      </c>
      <c r="J124" s="13">
        <v>0</v>
      </c>
      <c r="L124" s="12"/>
      <c r="M124" s="12"/>
      <c r="N124" s="12"/>
      <c r="O124" s="12"/>
      <c r="P124" s="12"/>
      <c r="R124" s="12"/>
      <c r="S124" s="12"/>
      <c r="T124" s="12"/>
      <c r="U124" s="12"/>
      <c r="V124" s="12"/>
      <c r="X124" s="12"/>
      <c r="Y124" s="12"/>
      <c r="Z124" s="12"/>
      <c r="AA124" s="12"/>
      <c r="AB124" s="12"/>
    </row>
    <row r="125" spans="2:28">
      <c r="B125" s="10"/>
      <c r="C125" s="11" t="s">
        <v>489</v>
      </c>
      <c r="E125" s="10" t="str">
        <f>tlInputScenario2Comparator</f>
        <v>Active</v>
      </c>
      <c r="F125" s="32" t="s">
        <v>959</v>
      </c>
      <c r="G125" s="12">
        <f t="shared" si="3"/>
        <v>0</v>
      </c>
      <c r="H125" s="12" t="b">
        <v>0</v>
      </c>
      <c r="I125" s="12" t="b">
        <v>0</v>
      </c>
      <c r="J125" s="13">
        <v>0</v>
      </c>
      <c r="L125" s="12"/>
      <c r="M125" s="12"/>
      <c r="N125" s="12"/>
      <c r="O125" s="12"/>
      <c r="P125" s="12"/>
      <c r="R125" s="12"/>
      <c r="S125" s="12"/>
      <c r="T125" s="12"/>
      <c r="U125" s="12"/>
      <c r="V125" s="12"/>
      <c r="X125" s="12"/>
      <c r="Y125" s="12"/>
      <c r="Z125" s="12"/>
      <c r="AA125" s="12"/>
      <c r="AB125" s="12"/>
    </row>
    <row r="126" spans="2:28">
      <c r="B126" s="10"/>
      <c r="C126" s="11" t="s">
        <v>613</v>
      </c>
      <c r="E126" s="10" t="str">
        <f>tlInputScenario2MAEffort</f>
        <v>Late Stage</v>
      </c>
      <c r="F126" s="32" t="s">
        <v>960</v>
      </c>
      <c r="G126" s="12">
        <f t="shared" si="3"/>
        <v>0</v>
      </c>
      <c r="H126" s="12" t="b">
        <v>0</v>
      </c>
      <c r="I126" s="12" t="b">
        <v>0</v>
      </c>
      <c r="J126" s="13">
        <v>0</v>
      </c>
      <c r="L126" s="12"/>
      <c r="M126" s="12"/>
      <c r="N126" s="12"/>
      <c r="O126" s="12"/>
      <c r="P126" s="12"/>
      <c r="R126" s="12"/>
      <c r="S126" s="12"/>
      <c r="T126" s="12"/>
      <c r="U126" s="12"/>
      <c r="V126" s="12"/>
      <c r="X126" s="12"/>
      <c r="Y126" s="12"/>
      <c r="Z126" s="12"/>
      <c r="AA126" s="12"/>
      <c r="AB126" s="12"/>
    </row>
    <row r="127" spans="2:28">
      <c r="B127" s="10"/>
      <c r="C127" s="11" t="s">
        <v>592</v>
      </c>
      <c r="E127" s="10">
        <f>tlInputScenario2RegulatorySuccess</f>
        <v>0.9</v>
      </c>
      <c r="F127" s="32" t="s">
        <v>961</v>
      </c>
      <c r="G127" s="12">
        <f t="shared" si="3"/>
        <v>0</v>
      </c>
      <c r="H127" s="12" t="b">
        <v>0</v>
      </c>
      <c r="I127" s="12" t="b">
        <v>0</v>
      </c>
      <c r="J127" s="13">
        <v>0</v>
      </c>
      <c r="L127" s="12"/>
      <c r="M127" s="12"/>
      <c r="N127" s="12"/>
      <c r="O127" s="12"/>
      <c r="P127" s="12"/>
      <c r="R127" s="12"/>
      <c r="S127" s="12"/>
      <c r="T127" s="12"/>
      <c r="U127" s="12"/>
      <c r="V127" s="12"/>
      <c r="X127" s="12"/>
      <c r="Y127" s="12"/>
      <c r="Z127" s="12"/>
      <c r="AA127" s="12"/>
      <c r="AB127" s="12"/>
    </row>
    <row r="128" spans="2:28">
      <c r="B128" s="10"/>
      <c r="C128" s="11"/>
      <c r="F128" s="32"/>
      <c r="G128" s="12"/>
      <c r="H128" s="12"/>
      <c r="I128" s="12"/>
      <c r="J128" s="13"/>
      <c r="L128" s="12"/>
      <c r="M128" s="12"/>
      <c r="N128" s="12"/>
      <c r="O128" s="12"/>
      <c r="P128" s="12"/>
      <c r="R128" s="12"/>
      <c r="S128" s="12"/>
      <c r="T128" s="12"/>
      <c r="U128" s="12"/>
      <c r="V128" s="12"/>
      <c r="X128" s="12"/>
      <c r="Y128" s="12"/>
      <c r="Z128" s="12"/>
      <c r="AA128" s="12"/>
      <c r="AB128" s="12"/>
    </row>
    <row r="129" spans="1:28">
      <c r="A129" s="11" t="s">
        <v>540</v>
      </c>
      <c r="B129" s="378">
        <v>0</v>
      </c>
      <c r="C129" s="11" t="s">
        <v>962</v>
      </c>
      <c r="D129" s="10" t="s">
        <v>571</v>
      </c>
      <c r="E129" s="10">
        <f>tlInputScenario2ResearchPTS</f>
        <v>0</v>
      </c>
      <c r="F129" s="32" t="s">
        <v>963</v>
      </c>
      <c r="G129" s="12">
        <f>dec_Round</f>
        <v>0</v>
      </c>
      <c r="H129" s="12" t="b">
        <v>0</v>
      </c>
      <c r="I129" s="12" t="b">
        <v>0</v>
      </c>
      <c r="J129" s="13">
        <v>0</v>
      </c>
      <c r="L129" s="12"/>
      <c r="M129" s="12"/>
      <c r="N129" s="12"/>
      <c r="O129" s="12"/>
      <c r="P129" s="12"/>
      <c r="R129" s="12"/>
      <c r="S129" s="12"/>
      <c r="T129" s="12"/>
      <c r="U129" s="12"/>
      <c r="V129" s="12"/>
      <c r="X129" s="12"/>
      <c r="Y129" s="12"/>
      <c r="Z129" s="12"/>
      <c r="AA129" s="12"/>
      <c r="AB129" s="12"/>
    </row>
    <row r="130" spans="1:28">
      <c r="A130" s="11" t="s">
        <v>465</v>
      </c>
      <c r="B130" s="378">
        <v>0</v>
      </c>
      <c r="C130" s="11" t="s">
        <v>964</v>
      </c>
      <c r="D130" s="10" t="s">
        <v>571</v>
      </c>
      <c r="E130" s="10">
        <f>tlInputScenario2Ph1PTS</f>
        <v>0</v>
      </c>
      <c r="F130" s="32" t="s">
        <v>965</v>
      </c>
      <c r="G130" s="12">
        <f>dec_Round</f>
        <v>0</v>
      </c>
      <c r="H130" s="12" t="b">
        <v>0</v>
      </c>
      <c r="I130" s="12" t="b">
        <v>0</v>
      </c>
      <c r="J130" s="13">
        <v>0</v>
      </c>
      <c r="L130" s="12"/>
      <c r="M130" s="12"/>
      <c r="N130" s="12"/>
      <c r="O130" s="12"/>
      <c r="P130" s="12"/>
      <c r="R130" s="12"/>
      <c r="S130" s="12"/>
      <c r="T130" s="12"/>
      <c r="U130" s="12"/>
      <c r="V130" s="12"/>
      <c r="X130" s="12"/>
      <c r="Y130" s="12"/>
      <c r="Z130" s="12"/>
      <c r="AA130" s="12"/>
      <c r="AB130" s="12"/>
    </row>
    <row r="131" spans="1:28">
      <c r="A131" s="11" t="s">
        <v>466</v>
      </c>
      <c r="B131" s="378">
        <v>0</v>
      </c>
      <c r="C131" s="11" t="s">
        <v>966</v>
      </c>
      <c r="D131" s="10" t="s">
        <v>571</v>
      </c>
      <c r="E131" s="10">
        <f>tlInputScenario2Ph2PTS</f>
        <v>0</v>
      </c>
      <c r="F131" s="32" t="s">
        <v>967</v>
      </c>
      <c r="G131" s="12">
        <f>dec_Round</f>
        <v>0</v>
      </c>
      <c r="H131" s="12" t="b">
        <v>0</v>
      </c>
      <c r="I131" s="12" t="b">
        <v>0</v>
      </c>
      <c r="J131" s="13">
        <v>0</v>
      </c>
      <c r="L131" s="12"/>
      <c r="M131" s="12"/>
      <c r="N131" s="12"/>
      <c r="O131" s="12"/>
      <c r="P131" s="12"/>
      <c r="R131" s="12"/>
      <c r="S131" s="12"/>
      <c r="T131" s="12"/>
      <c r="U131" s="12"/>
      <c r="V131" s="12"/>
      <c r="X131" s="12"/>
      <c r="Y131" s="12"/>
      <c r="Z131" s="12"/>
      <c r="AA131" s="12"/>
      <c r="AB131" s="12"/>
    </row>
    <row r="132" spans="1:28">
      <c r="A132" s="11" t="s">
        <v>467</v>
      </c>
      <c r="B132" s="378">
        <v>0</v>
      </c>
      <c r="C132" s="11" t="s">
        <v>968</v>
      </c>
      <c r="D132" s="10" t="s">
        <v>571</v>
      </c>
      <c r="E132" s="10">
        <f>tlInputScenario2Ph3PTS</f>
        <v>0</v>
      </c>
      <c r="F132" s="32" t="s">
        <v>969</v>
      </c>
      <c r="G132" s="12">
        <f>dec_Round</f>
        <v>0</v>
      </c>
      <c r="H132" s="12" t="b">
        <v>0</v>
      </c>
      <c r="I132" s="12" t="b">
        <v>0</v>
      </c>
      <c r="J132" s="13">
        <v>0</v>
      </c>
      <c r="L132" s="12"/>
      <c r="M132" s="12"/>
      <c r="N132" s="12"/>
      <c r="O132" s="12"/>
      <c r="P132" s="12"/>
      <c r="R132" s="12"/>
      <c r="S132" s="12"/>
      <c r="T132" s="12"/>
      <c r="U132" s="12"/>
      <c r="V132" s="12"/>
      <c r="X132" s="12"/>
      <c r="Y132" s="12"/>
      <c r="Z132" s="12"/>
      <c r="AA132" s="12"/>
      <c r="AB132" s="12"/>
    </row>
    <row r="133" spans="1:28">
      <c r="B133" s="10"/>
      <c r="C133" s="11"/>
      <c r="F133" s="32"/>
      <c r="G133" s="12"/>
      <c r="H133" s="12"/>
      <c r="I133" s="12"/>
      <c r="J133" s="13"/>
      <c r="L133" s="12"/>
      <c r="M133" s="12"/>
      <c r="N133" s="12"/>
      <c r="O133" s="12"/>
      <c r="P133" s="12"/>
      <c r="R133" s="12"/>
      <c r="S133" s="12"/>
      <c r="T133" s="12"/>
      <c r="U133" s="12"/>
      <c r="V133" s="12"/>
      <c r="X133" s="12"/>
      <c r="Y133" s="12"/>
      <c r="Z133" s="12"/>
      <c r="AA133" s="12"/>
      <c r="AB133" s="12"/>
    </row>
    <row r="134" spans="1:28">
      <c r="A134" s="11" t="s">
        <v>540</v>
      </c>
      <c r="B134" s="378">
        <v>0</v>
      </c>
      <c r="C134" s="11" t="s">
        <v>970</v>
      </c>
      <c r="D134" s="10" t="s">
        <v>681</v>
      </c>
      <c r="E134" s="10">
        <f>tlInputScenario2ResearchTimeReq</f>
        <v>0</v>
      </c>
      <c r="F134" s="32" t="s">
        <v>971</v>
      </c>
      <c r="G134" s="12">
        <f>dec_Round</f>
        <v>0</v>
      </c>
      <c r="H134" s="12" t="b">
        <v>0</v>
      </c>
      <c r="I134" s="12" t="b">
        <v>0</v>
      </c>
      <c r="J134" s="13">
        <v>0</v>
      </c>
      <c r="L134" s="12"/>
      <c r="M134" s="12"/>
      <c r="N134" s="12"/>
      <c r="O134" s="12"/>
      <c r="P134" s="12"/>
      <c r="R134" s="12"/>
      <c r="S134" s="12"/>
      <c r="T134" s="12"/>
      <c r="U134" s="12"/>
      <c r="V134" s="12"/>
      <c r="X134" s="12"/>
      <c r="Y134" s="12"/>
      <c r="Z134" s="12"/>
      <c r="AA134" s="12"/>
      <c r="AB134" s="12"/>
    </row>
    <row r="135" spans="1:28">
      <c r="A135" s="11" t="s">
        <v>465</v>
      </c>
      <c r="B135" s="378">
        <v>0</v>
      </c>
      <c r="C135" s="11" t="s">
        <v>972</v>
      </c>
      <c r="D135" s="10" t="s">
        <v>681</v>
      </c>
      <c r="E135" s="10">
        <f>tlInputScenario2Ph1TimeReq</f>
        <v>0</v>
      </c>
      <c r="F135" s="32" t="s">
        <v>973</v>
      </c>
      <c r="G135" s="12">
        <f>dec_Round</f>
        <v>0</v>
      </c>
      <c r="H135" s="12" t="b">
        <v>0</v>
      </c>
      <c r="I135" s="12" t="b">
        <v>0</v>
      </c>
      <c r="J135" s="13">
        <v>0</v>
      </c>
      <c r="L135" s="12"/>
      <c r="M135" s="12"/>
      <c r="N135" s="12"/>
      <c r="O135" s="12"/>
      <c r="P135" s="12"/>
      <c r="R135" s="12"/>
      <c r="S135" s="12"/>
      <c r="T135" s="12"/>
      <c r="U135" s="12"/>
      <c r="V135" s="12"/>
      <c r="X135" s="12"/>
      <c r="Y135" s="12"/>
      <c r="Z135" s="12"/>
      <c r="AA135" s="12"/>
      <c r="AB135" s="12"/>
    </row>
    <row r="136" spans="1:28">
      <c r="A136" s="11" t="s">
        <v>466</v>
      </c>
      <c r="B136" s="378">
        <v>0</v>
      </c>
      <c r="C136" s="11" t="s">
        <v>974</v>
      </c>
      <c r="D136" s="10" t="s">
        <v>681</v>
      </c>
      <c r="E136" s="10">
        <f>tlInputScenario2Ph2TimeReq</f>
        <v>0</v>
      </c>
      <c r="F136" s="32" t="s">
        <v>975</v>
      </c>
      <c r="G136" s="12">
        <f>dec_Round</f>
        <v>0</v>
      </c>
      <c r="H136" s="12" t="b">
        <v>0</v>
      </c>
      <c r="I136" s="12" t="b">
        <v>0</v>
      </c>
      <c r="J136" s="13">
        <v>0</v>
      </c>
      <c r="L136" s="12"/>
      <c r="M136" s="12"/>
      <c r="N136" s="12"/>
      <c r="O136" s="12"/>
      <c r="P136" s="12"/>
      <c r="R136" s="12"/>
      <c r="S136" s="12"/>
      <c r="T136" s="12"/>
      <c r="U136" s="12"/>
      <c r="V136" s="12"/>
      <c r="X136" s="12"/>
      <c r="Y136" s="12"/>
      <c r="Z136" s="12"/>
      <c r="AA136" s="12"/>
      <c r="AB136" s="12"/>
    </row>
    <row r="137" spans="1:28">
      <c r="A137" s="11" t="s">
        <v>467</v>
      </c>
      <c r="B137" s="378">
        <v>0</v>
      </c>
      <c r="C137" s="11" t="s">
        <v>976</v>
      </c>
      <c r="D137" s="10" t="s">
        <v>681</v>
      </c>
      <c r="E137" s="10">
        <f>tlInputScenario2Ph3TimeReq</f>
        <v>0</v>
      </c>
      <c r="F137" s="32" t="s">
        <v>977</v>
      </c>
      <c r="G137" s="12">
        <f>dec_Round</f>
        <v>0</v>
      </c>
      <c r="H137" s="12" t="b">
        <v>0</v>
      </c>
      <c r="I137" s="12" t="b">
        <v>0</v>
      </c>
      <c r="J137" s="13">
        <v>0</v>
      </c>
      <c r="L137" s="12"/>
      <c r="M137" s="12"/>
      <c r="N137" s="12"/>
      <c r="O137" s="12"/>
      <c r="P137" s="12"/>
      <c r="R137" s="12"/>
      <c r="S137" s="12"/>
      <c r="T137" s="12"/>
      <c r="U137" s="12"/>
      <c r="V137" s="12"/>
      <c r="X137" s="12"/>
      <c r="Y137" s="12"/>
      <c r="Z137" s="12"/>
      <c r="AA137" s="12"/>
      <c r="AB137" s="12"/>
    </row>
    <row r="138" spans="1:28">
      <c r="B138" s="10"/>
      <c r="C138" s="11"/>
      <c r="F138" s="32"/>
      <c r="G138" s="12"/>
      <c r="H138" s="12"/>
      <c r="I138" s="12"/>
      <c r="J138" s="13"/>
      <c r="L138" s="12"/>
      <c r="M138" s="12"/>
      <c r="N138" s="12"/>
      <c r="O138" s="12"/>
      <c r="P138" s="12"/>
      <c r="R138" s="12"/>
      <c r="S138" s="12"/>
      <c r="T138" s="12"/>
      <c r="U138" s="12"/>
      <c r="V138" s="12"/>
      <c r="X138" s="12"/>
      <c r="Y138" s="12"/>
      <c r="Z138" s="12"/>
      <c r="AA138" s="12"/>
      <c r="AB138" s="12"/>
    </row>
    <row r="139" spans="1:28">
      <c r="A139" s="11" t="s">
        <v>540</v>
      </c>
      <c r="B139" s="378">
        <v>0</v>
      </c>
      <c r="C139" s="11" t="s">
        <v>978</v>
      </c>
      <c r="D139" s="10" t="s">
        <v>460</v>
      </c>
      <c r="E139" s="10">
        <f>tlInputScenario2ResearchRnDCost</f>
        <v>0</v>
      </c>
      <c r="F139" s="32" t="s">
        <v>979</v>
      </c>
      <c r="G139" s="12">
        <f>dec_Round</f>
        <v>0</v>
      </c>
      <c r="H139" s="12" t="b">
        <v>0</v>
      </c>
      <c r="I139" s="12" t="b">
        <v>0</v>
      </c>
      <c r="J139" s="13">
        <v>0</v>
      </c>
      <c r="L139" s="12"/>
      <c r="M139" s="12"/>
      <c r="N139" s="12"/>
      <c r="O139" s="12"/>
      <c r="P139" s="12"/>
      <c r="R139" s="12"/>
      <c r="S139" s="12"/>
      <c r="T139" s="12"/>
      <c r="U139" s="12"/>
      <c r="V139" s="12"/>
      <c r="X139" s="12"/>
      <c r="Y139" s="12"/>
      <c r="Z139" s="12"/>
      <c r="AA139" s="12"/>
      <c r="AB139" s="12"/>
    </row>
    <row r="140" spans="1:28">
      <c r="A140" s="11" t="s">
        <v>465</v>
      </c>
      <c r="B140" s="378">
        <v>0</v>
      </c>
      <c r="C140" s="11" t="s">
        <v>980</v>
      </c>
      <c r="D140" s="10" t="s">
        <v>460</v>
      </c>
      <c r="E140" s="10">
        <f>tlInputScenario2Ph1RnDCost</f>
        <v>0</v>
      </c>
      <c r="F140" s="32" t="s">
        <v>981</v>
      </c>
      <c r="G140" s="12">
        <f>dec_Round</f>
        <v>0</v>
      </c>
      <c r="H140" s="12" t="b">
        <v>0</v>
      </c>
      <c r="I140" s="12" t="b">
        <v>0</v>
      </c>
      <c r="J140" s="13">
        <v>0</v>
      </c>
      <c r="L140" s="12"/>
      <c r="M140" s="12"/>
      <c r="N140" s="12"/>
      <c r="O140" s="12"/>
      <c r="P140" s="12"/>
      <c r="R140" s="12"/>
      <c r="S140" s="12"/>
      <c r="T140" s="12"/>
      <c r="U140" s="12"/>
      <c r="V140" s="12"/>
      <c r="X140" s="12"/>
      <c r="Y140" s="12"/>
      <c r="Z140" s="12"/>
      <c r="AA140" s="12"/>
      <c r="AB140" s="12"/>
    </row>
    <row r="141" spans="1:28">
      <c r="A141" s="11" t="s">
        <v>466</v>
      </c>
      <c r="B141" s="378">
        <v>0</v>
      </c>
      <c r="C141" s="11" t="s">
        <v>982</v>
      </c>
      <c r="D141" s="10" t="s">
        <v>460</v>
      </c>
      <c r="E141" s="10">
        <f>tlInputScenario2Ph2RnDCost</f>
        <v>0</v>
      </c>
      <c r="F141" s="32" t="s">
        <v>983</v>
      </c>
      <c r="G141" s="12">
        <f>dec_Round</f>
        <v>0</v>
      </c>
      <c r="H141" s="12" t="b">
        <v>0</v>
      </c>
      <c r="I141" s="12" t="b">
        <v>0</v>
      </c>
      <c r="J141" s="13">
        <v>0</v>
      </c>
      <c r="L141" s="12"/>
      <c r="M141" s="12"/>
      <c r="N141" s="12"/>
      <c r="O141" s="12"/>
      <c r="P141" s="12"/>
      <c r="R141" s="12"/>
      <c r="S141" s="12"/>
      <c r="T141" s="12"/>
      <c r="U141" s="12"/>
      <c r="V141" s="12"/>
      <c r="X141" s="12"/>
      <c r="Y141" s="12"/>
      <c r="Z141" s="12"/>
      <c r="AA141" s="12"/>
      <c r="AB141" s="12"/>
    </row>
    <row r="142" spans="1:28">
      <c r="A142" s="11" t="s">
        <v>467</v>
      </c>
      <c r="B142" s="378">
        <v>0</v>
      </c>
      <c r="C142" s="11" t="s">
        <v>984</v>
      </c>
      <c r="D142" s="10" t="s">
        <v>460</v>
      </c>
      <c r="E142" s="10">
        <f>tlInputScenario2Ph3RnDCost</f>
        <v>0</v>
      </c>
      <c r="F142" s="32" t="s">
        <v>985</v>
      </c>
      <c r="G142" s="12">
        <f>dec_Round</f>
        <v>0</v>
      </c>
      <c r="H142" s="12" t="b">
        <v>0</v>
      </c>
      <c r="I142" s="12" t="b">
        <v>0</v>
      </c>
      <c r="J142" s="13">
        <v>0</v>
      </c>
      <c r="L142" s="12"/>
      <c r="M142" s="12"/>
      <c r="N142" s="12"/>
      <c r="O142" s="12"/>
      <c r="P142" s="12"/>
      <c r="R142" s="12"/>
      <c r="S142" s="12"/>
      <c r="T142" s="12"/>
      <c r="U142" s="12"/>
      <c r="V142" s="12"/>
      <c r="X142" s="12"/>
      <c r="Y142" s="12"/>
      <c r="Z142" s="12"/>
      <c r="AA142" s="12"/>
      <c r="AB142" s="12"/>
    </row>
    <row r="143" spans="1:28">
      <c r="B143" s="10"/>
      <c r="C143" s="11"/>
      <c r="F143" s="32"/>
      <c r="G143" s="12"/>
      <c r="H143" s="12"/>
      <c r="I143" s="12"/>
      <c r="J143" s="13"/>
      <c r="L143" s="12"/>
      <c r="M143" s="12"/>
      <c r="N143" s="12"/>
      <c r="O143" s="12"/>
      <c r="P143" s="12"/>
      <c r="R143" s="12"/>
      <c r="S143" s="12"/>
      <c r="T143" s="12"/>
      <c r="U143" s="12"/>
      <c r="V143" s="12"/>
      <c r="X143" s="12"/>
      <c r="Y143" s="12"/>
      <c r="Z143" s="12"/>
      <c r="AA143" s="12"/>
      <c r="AB143" s="12"/>
    </row>
    <row r="144" spans="1:28">
      <c r="A144" s="11" t="s">
        <v>540</v>
      </c>
      <c r="B144" s="378">
        <v>0</v>
      </c>
      <c r="C144" s="11" t="s">
        <v>986</v>
      </c>
      <c r="D144" s="10" t="s">
        <v>690</v>
      </c>
      <c r="E144" s="10">
        <f>tlInputScenario2ResearchFTECost</f>
        <v>0</v>
      </c>
      <c r="F144" s="32" t="s">
        <v>987</v>
      </c>
      <c r="G144" s="12">
        <f>dec_Round</f>
        <v>0</v>
      </c>
      <c r="H144" s="12" t="b">
        <v>0</v>
      </c>
      <c r="I144" s="12" t="b">
        <v>0</v>
      </c>
      <c r="J144" s="13">
        <v>0</v>
      </c>
      <c r="L144" s="12"/>
      <c r="M144" s="12"/>
      <c r="N144" s="12"/>
      <c r="O144" s="12"/>
      <c r="P144" s="12"/>
      <c r="R144" s="12"/>
      <c r="S144" s="12"/>
      <c r="T144" s="12"/>
      <c r="U144" s="12"/>
      <c r="V144" s="12"/>
      <c r="X144" s="12"/>
      <c r="Y144" s="12"/>
      <c r="Z144" s="12"/>
      <c r="AA144" s="12"/>
      <c r="AB144" s="12"/>
    </row>
    <row r="145" spans="1:28">
      <c r="A145" s="11" t="s">
        <v>465</v>
      </c>
      <c r="B145" s="378">
        <v>0</v>
      </c>
      <c r="C145" s="11" t="s">
        <v>988</v>
      </c>
      <c r="D145" s="10" t="s">
        <v>690</v>
      </c>
      <c r="E145" s="10">
        <f>tlInputScenario2Ph1FTECost</f>
        <v>0</v>
      </c>
      <c r="F145" s="32" t="s">
        <v>989</v>
      </c>
      <c r="G145" s="12">
        <f>dec_Round</f>
        <v>0</v>
      </c>
      <c r="H145" s="12" t="b">
        <v>0</v>
      </c>
      <c r="I145" s="12" t="b">
        <v>0</v>
      </c>
      <c r="J145" s="13">
        <v>0</v>
      </c>
      <c r="L145" s="12"/>
      <c r="M145" s="12"/>
      <c r="N145" s="12"/>
      <c r="O145" s="12"/>
      <c r="P145" s="12"/>
      <c r="R145" s="12"/>
      <c r="S145" s="12"/>
      <c r="T145" s="12"/>
      <c r="U145" s="12"/>
      <c r="V145" s="12"/>
      <c r="X145" s="12"/>
      <c r="Y145" s="12"/>
      <c r="Z145" s="12"/>
      <c r="AA145" s="12"/>
      <c r="AB145" s="12"/>
    </row>
    <row r="146" spans="1:28">
      <c r="A146" s="11" t="s">
        <v>466</v>
      </c>
      <c r="B146" s="378">
        <v>0</v>
      </c>
      <c r="C146" s="11" t="s">
        <v>990</v>
      </c>
      <c r="D146" s="10" t="s">
        <v>690</v>
      </c>
      <c r="E146" s="10">
        <f>tlInputScenario2Ph2FTECost</f>
        <v>0</v>
      </c>
      <c r="F146" s="32" t="s">
        <v>991</v>
      </c>
      <c r="G146" s="12">
        <f>dec_Round</f>
        <v>0</v>
      </c>
      <c r="H146" s="12" t="b">
        <v>0</v>
      </c>
      <c r="I146" s="12" t="b">
        <v>0</v>
      </c>
      <c r="J146" s="13">
        <v>0</v>
      </c>
      <c r="L146" s="12"/>
      <c r="M146" s="12"/>
      <c r="N146" s="12"/>
      <c r="O146" s="12"/>
      <c r="P146" s="12"/>
      <c r="R146" s="12"/>
      <c r="S146" s="12"/>
      <c r="T146" s="12"/>
      <c r="U146" s="12"/>
      <c r="V146" s="12"/>
      <c r="X146" s="12"/>
      <c r="Y146" s="12"/>
      <c r="Z146" s="12"/>
      <c r="AA146" s="12"/>
      <c r="AB146" s="12"/>
    </row>
    <row r="147" spans="1:28">
      <c r="A147" s="11" t="s">
        <v>467</v>
      </c>
      <c r="B147" s="378">
        <v>0</v>
      </c>
      <c r="C147" s="11" t="s">
        <v>992</v>
      </c>
      <c r="D147" s="10" t="s">
        <v>690</v>
      </c>
      <c r="E147" s="10">
        <f>tlInputScenario2Ph3FTECost</f>
        <v>0</v>
      </c>
      <c r="F147" s="32" t="s">
        <v>993</v>
      </c>
      <c r="G147" s="12">
        <f>dec_Round</f>
        <v>0</v>
      </c>
      <c r="H147" s="12" t="b">
        <v>0</v>
      </c>
      <c r="I147" s="12" t="b">
        <v>0</v>
      </c>
      <c r="J147" s="13">
        <v>0</v>
      </c>
      <c r="L147" s="12"/>
      <c r="M147" s="12"/>
      <c r="N147" s="12"/>
      <c r="O147" s="12"/>
      <c r="P147" s="12"/>
      <c r="R147" s="12"/>
      <c r="S147" s="12"/>
      <c r="T147" s="12"/>
      <c r="U147" s="12"/>
      <c r="V147" s="12"/>
      <c r="X147" s="12"/>
      <c r="Y147" s="12"/>
      <c r="Z147" s="12"/>
      <c r="AA147" s="12"/>
      <c r="AB147" s="12"/>
    </row>
    <row r="148" spans="1:28">
      <c r="B148" s="10"/>
      <c r="C148" s="11"/>
      <c r="F148" s="32"/>
      <c r="G148" s="12"/>
      <c r="H148" s="12"/>
      <c r="I148" s="12"/>
      <c r="J148" s="13"/>
      <c r="L148" s="12"/>
      <c r="M148" s="12"/>
      <c r="N148" s="12"/>
      <c r="O148" s="12"/>
      <c r="P148" s="12"/>
      <c r="R148" s="12"/>
      <c r="S148" s="12"/>
      <c r="T148" s="12"/>
      <c r="U148" s="12"/>
      <c r="V148" s="12"/>
      <c r="X148" s="12"/>
      <c r="Y148" s="12"/>
      <c r="Z148" s="12"/>
      <c r="AA148" s="12"/>
      <c r="AB148" s="12"/>
    </row>
    <row r="149" spans="1:28">
      <c r="B149" s="84" t="s">
        <v>672</v>
      </c>
      <c r="C149" s="11"/>
      <c r="F149" s="32"/>
      <c r="G149" s="12"/>
      <c r="H149" s="12"/>
      <c r="I149" s="12"/>
      <c r="J149" s="13"/>
      <c r="L149" s="12"/>
      <c r="M149" s="12"/>
      <c r="N149" s="12"/>
      <c r="O149" s="12"/>
      <c r="P149" s="12"/>
      <c r="R149" s="12"/>
      <c r="S149" s="12"/>
      <c r="T149" s="12"/>
      <c r="U149" s="12"/>
      <c r="V149" s="12"/>
      <c r="X149" s="12"/>
      <c r="Y149" s="12"/>
      <c r="Z149" s="12"/>
      <c r="AA149" s="12"/>
      <c r="AB149" s="12"/>
    </row>
    <row r="150" spans="1:28">
      <c r="A150" s="10" t="s">
        <v>470</v>
      </c>
      <c r="B150" s="10"/>
      <c r="C150" s="11" t="s">
        <v>519</v>
      </c>
      <c r="E150" s="10" t="b">
        <f>tlInputScenario2EnterRegion1</f>
        <v>1</v>
      </c>
      <c r="F150" s="32" t="s">
        <v>994</v>
      </c>
      <c r="G150" s="12">
        <f>dec_Round</f>
        <v>0</v>
      </c>
      <c r="H150" s="12" t="b">
        <v>0</v>
      </c>
      <c r="I150" s="12" t="b">
        <v>0</v>
      </c>
      <c r="J150" s="13">
        <v>0</v>
      </c>
      <c r="L150" s="12"/>
      <c r="M150" s="12"/>
      <c r="N150" s="12"/>
      <c r="O150" s="12"/>
      <c r="P150" s="12"/>
      <c r="R150" s="12"/>
      <c r="S150" s="12"/>
      <c r="T150" s="12"/>
      <c r="U150" s="12"/>
      <c r="V150" s="12"/>
      <c r="X150" s="12"/>
      <c r="Y150" s="12"/>
      <c r="Z150" s="12"/>
      <c r="AA150" s="12"/>
      <c r="AB150" s="12"/>
    </row>
    <row r="151" spans="1:28">
      <c r="A151" s="10" t="s">
        <v>470</v>
      </c>
      <c r="B151" s="10"/>
      <c r="C151" s="11" t="s">
        <v>574</v>
      </c>
      <c r="E151" s="10">
        <f>tlInputScenario2PatPopRegion1</f>
        <v>1000</v>
      </c>
      <c r="F151" s="32" t="s">
        <v>995</v>
      </c>
      <c r="G151" s="12">
        <f>dec_Round</f>
        <v>0</v>
      </c>
      <c r="H151" s="12" t="b">
        <v>0</v>
      </c>
      <c r="I151" s="12" t="b">
        <v>0</v>
      </c>
      <c r="J151" s="13">
        <v>0</v>
      </c>
      <c r="L151" s="12"/>
      <c r="M151" s="12"/>
      <c r="N151" s="12"/>
      <c r="O151" s="12"/>
      <c r="P151" s="12"/>
      <c r="R151" s="12"/>
      <c r="S151" s="12"/>
      <c r="T151" s="12"/>
      <c r="U151" s="12"/>
      <c r="V151" s="12"/>
      <c r="X151" s="12"/>
      <c r="Y151" s="12"/>
      <c r="Z151" s="12"/>
      <c r="AA151" s="12"/>
      <c r="AB151" s="12"/>
    </row>
    <row r="152" spans="1:28">
      <c r="A152" s="10" t="s">
        <v>470</v>
      </c>
      <c r="B152" s="10"/>
      <c r="C152" s="11" t="s">
        <v>474</v>
      </c>
      <c r="E152" s="10">
        <f>tlInputScenario2PeakMSRegion1</f>
        <v>0.1</v>
      </c>
      <c r="F152" s="32" t="s">
        <v>996</v>
      </c>
      <c r="G152" s="12">
        <f>dec_Round</f>
        <v>0</v>
      </c>
      <c r="H152" s="12" t="b">
        <v>0</v>
      </c>
      <c r="I152" s="12" t="b">
        <v>0</v>
      </c>
      <c r="J152" s="13">
        <v>0</v>
      </c>
      <c r="L152" s="12"/>
      <c r="M152" s="12"/>
      <c r="N152" s="12"/>
      <c r="O152" s="12"/>
      <c r="P152" s="12"/>
      <c r="R152" s="12"/>
      <c r="S152" s="12"/>
      <c r="T152" s="12"/>
      <c r="U152" s="12"/>
      <c r="V152" s="12"/>
      <c r="X152" s="12"/>
      <c r="Y152" s="12"/>
      <c r="Z152" s="12"/>
      <c r="AA152" s="12"/>
      <c r="AB152" s="12"/>
    </row>
    <row r="153" spans="1:28">
      <c r="A153" s="10" t="s">
        <v>470</v>
      </c>
      <c r="B153" s="378">
        <v>0</v>
      </c>
      <c r="C153" s="11" t="s">
        <v>997</v>
      </c>
      <c r="D153" s="11" t="s">
        <v>593</v>
      </c>
      <c r="E153" s="10">
        <f>tlInputScenario2PriceRegion1</f>
        <v>0</v>
      </c>
      <c r="F153" s="32" t="s">
        <v>998</v>
      </c>
      <c r="G153" s="12">
        <f>dec_Round</f>
        <v>0</v>
      </c>
      <c r="H153" s="12" t="b">
        <v>0</v>
      </c>
      <c r="I153" s="12" t="b">
        <v>0</v>
      </c>
      <c r="J153" s="13">
        <v>0</v>
      </c>
      <c r="L153" s="12"/>
      <c r="M153" s="12"/>
      <c r="N153" s="12"/>
      <c r="O153" s="12"/>
      <c r="P153" s="12"/>
      <c r="R153" s="12"/>
      <c r="S153" s="12"/>
      <c r="T153" s="12"/>
      <c r="U153" s="12"/>
      <c r="V153" s="12"/>
      <c r="X153" s="12"/>
      <c r="Y153" s="12"/>
      <c r="Z153" s="12"/>
      <c r="AA153" s="12"/>
      <c r="AB153" s="12"/>
    </row>
    <row r="154" spans="1:28">
      <c r="A154" s="10" t="s">
        <v>470</v>
      </c>
      <c r="B154" s="378">
        <v>0</v>
      </c>
      <c r="C154" s="11" t="s">
        <v>999</v>
      </c>
      <c r="D154" s="11" t="s">
        <v>486</v>
      </c>
      <c r="E154" s="10">
        <f>tlInputScenario2Region1SnM</f>
        <v>0</v>
      </c>
      <c r="F154" s="32" t="s">
        <v>1000</v>
      </c>
      <c r="G154" s="12">
        <f>dec_Round</f>
        <v>0</v>
      </c>
      <c r="H154" s="12" t="b">
        <v>0</v>
      </c>
      <c r="I154" s="12" t="b">
        <v>0</v>
      </c>
      <c r="J154" s="13">
        <v>0</v>
      </c>
      <c r="L154" s="12"/>
      <c r="M154" s="12"/>
      <c r="N154" s="12"/>
      <c r="O154" s="12"/>
      <c r="P154" s="12"/>
      <c r="R154" s="12"/>
      <c r="S154" s="12"/>
      <c r="T154" s="12"/>
      <c r="U154" s="12"/>
      <c r="V154" s="12"/>
      <c r="X154" s="12"/>
      <c r="Y154" s="12"/>
      <c r="Z154" s="12"/>
      <c r="AA154" s="12"/>
      <c r="AB154" s="12"/>
    </row>
    <row r="155" spans="1:28">
      <c r="F155" s="32"/>
      <c r="G155" s="12"/>
      <c r="H155" s="12"/>
      <c r="I155" s="12"/>
      <c r="J155" s="12"/>
      <c r="L155" s="12"/>
      <c r="M155" s="12"/>
      <c r="N155" s="12"/>
      <c r="O155" s="12"/>
      <c r="P155" s="12"/>
      <c r="R155" s="12"/>
      <c r="S155" s="12"/>
      <c r="T155" s="12"/>
      <c r="U155" s="12"/>
      <c r="V155" s="12"/>
      <c r="X155" s="12"/>
      <c r="Y155" s="12"/>
      <c r="Z155" s="12"/>
      <c r="AA155" s="12"/>
      <c r="AB155" s="12"/>
    </row>
    <row r="156" spans="1:28">
      <c r="A156" s="10" t="s">
        <v>471</v>
      </c>
      <c r="B156" s="10"/>
      <c r="C156" s="11" t="s">
        <v>519</v>
      </c>
      <c r="E156" s="10" t="b">
        <f>tlInputScenario2EnterRegion2</f>
        <v>0</v>
      </c>
      <c r="F156" s="32" t="s">
        <v>1001</v>
      </c>
      <c r="G156" s="12">
        <f>dec_Round</f>
        <v>0</v>
      </c>
      <c r="H156" s="12" t="b">
        <v>0</v>
      </c>
      <c r="I156" s="12" t="b">
        <v>0</v>
      </c>
      <c r="J156" s="13">
        <v>0</v>
      </c>
      <c r="L156" s="12"/>
      <c r="M156" s="12"/>
      <c r="N156" s="12"/>
      <c r="O156" s="12"/>
      <c r="P156" s="12"/>
      <c r="R156" s="12"/>
      <c r="S156" s="12"/>
      <c r="T156" s="12"/>
      <c r="U156" s="12"/>
      <c r="V156" s="12"/>
      <c r="X156" s="12"/>
      <c r="Y156" s="12"/>
      <c r="Z156" s="12"/>
      <c r="AA156" s="12"/>
      <c r="AB156" s="12"/>
    </row>
    <row r="157" spans="1:28">
      <c r="A157" s="10" t="s">
        <v>471</v>
      </c>
      <c r="B157" s="10"/>
      <c r="C157" s="11" t="s">
        <v>574</v>
      </c>
      <c r="E157" s="10">
        <f>tlInputScenario2PatPopRegion2</f>
        <v>500</v>
      </c>
      <c r="F157" s="32" t="s">
        <v>1002</v>
      </c>
      <c r="G157" s="12">
        <f>dec_Round</f>
        <v>0</v>
      </c>
      <c r="H157" s="12" t="b">
        <v>0</v>
      </c>
      <c r="I157" s="12" t="b">
        <v>0</v>
      </c>
      <c r="J157" s="13">
        <v>0</v>
      </c>
      <c r="L157" s="12"/>
      <c r="M157" s="12"/>
      <c r="N157" s="12"/>
      <c r="O157" s="12"/>
      <c r="P157" s="12"/>
      <c r="R157" s="12"/>
      <c r="S157" s="12"/>
      <c r="T157" s="12"/>
      <c r="U157" s="12"/>
      <c r="V157" s="12"/>
      <c r="X157" s="12"/>
      <c r="Y157" s="12"/>
      <c r="Z157" s="12"/>
      <c r="AA157" s="12"/>
      <c r="AB157" s="12"/>
    </row>
    <row r="158" spans="1:28">
      <c r="A158" s="10" t="s">
        <v>471</v>
      </c>
      <c r="B158" s="10"/>
      <c r="C158" s="11" t="s">
        <v>474</v>
      </c>
      <c r="E158" s="10">
        <f>tlInputScenario2PeakMSRegion2</f>
        <v>0.1</v>
      </c>
      <c r="F158" s="32" t="s">
        <v>1003</v>
      </c>
      <c r="G158" s="12">
        <f>dec_Round</f>
        <v>0</v>
      </c>
      <c r="H158" s="12" t="b">
        <v>0</v>
      </c>
      <c r="I158" s="12" t="b">
        <v>0</v>
      </c>
      <c r="J158" s="13">
        <v>0</v>
      </c>
      <c r="L158" s="12"/>
      <c r="M158" s="12"/>
      <c r="N158" s="12"/>
      <c r="O158" s="12"/>
      <c r="P158" s="12"/>
      <c r="R158" s="12"/>
      <c r="S158" s="12"/>
      <c r="T158" s="12"/>
      <c r="U158" s="12"/>
      <c r="V158" s="12"/>
      <c r="X158" s="12"/>
      <c r="Y158" s="12"/>
      <c r="Z158" s="12"/>
      <c r="AA158" s="12"/>
      <c r="AB158" s="12"/>
    </row>
    <row r="159" spans="1:28">
      <c r="A159" s="10" t="s">
        <v>471</v>
      </c>
      <c r="B159" s="378">
        <v>0</v>
      </c>
      <c r="C159" s="11" t="s">
        <v>1004</v>
      </c>
      <c r="D159" s="11" t="s">
        <v>593</v>
      </c>
      <c r="E159" s="10">
        <f>tlInputScenario2PriceRegion2</f>
        <v>0</v>
      </c>
      <c r="F159" s="32" t="s">
        <v>1005</v>
      </c>
      <c r="G159" s="12">
        <f>dec_Round</f>
        <v>0</v>
      </c>
      <c r="H159" s="12" t="b">
        <v>0</v>
      </c>
      <c r="I159" s="12" t="b">
        <v>0</v>
      </c>
      <c r="J159" s="13">
        <v>0</v>
      </c>
      <c r="L159" s="12"/>
      <c r="M159" s="12"/>
      <c r="N159" s="12"/>
      <c r="O159" s="12"/>
      <c r="P159" s="12"/>
      <c r="R159" s="12"/>
      <c r="S159" s="12"/>
      <c r="T159" s="12"/>
      <c r="U159" s="12"/>
      <c r="V159" s="12"/>
      <c r="X159" s="12"/>
      <c r="Y159" s="12"/>
      <c r="Z159" s="12"/>
      <c r="AA159" s="12"/>
      <c r="AB159" s="12"/>
    </row>
    <row r="160" spans="1:28">
      <c r="A160" s="10" t="s">
        <v>471</v>
      </c>
      <c r="B160" s="378">
        <v>0</v>
      </c>
      <c r="C160" s="11" t="s">
        <v>1006</v>
      </c>
      <c r="D160" s="11" t="s">
        <v>486</v>
      </c>
      <c r="E160" s="10">
        <f>tlInputScenario2Region2SnM</f>
        <v>0</v>
      </c>
      <c r="F160" s="32" t="s">
        <v>1007</v>
      </c>
      <c r="G160" s="12">
        <f>dec_Round</f>
        <v>0</v>
      </c>
      <c r="H160" s="12" t="b">
        <v>0</v>
      </c>
      <c r="I160" s="12" t="b">
        <v>0</v>
      </c>
      <c r="J160" s="13">
        <v>0</v>
      </c>
      <c r="L160" s="12"/>
      <c r="M160" s="12"/>
      <c r="N160" s="12"/>
      <c r="O160" s="12"/>
      <c r="P160" s="12"/>
      <c r="R160" s="12"/>
      <c r="S160" s="12"/>
      <c r="T160" s="12"/>
      <c r="U160" s="12"/>
      <c r="V160" s="12"/>
      <c r="X160" s="12"/>
      <c r="Y160" s="12"/>
      <c r="Z160" s="12"/>
      <c r="AA160" s="12"/>
      <c r="AB160" s="12"/>
    </row>
    <row r="161" spans="1:28">
      <c r="F161" s="32"/>
      <c r="G161" s="12"/>
      <c r="H161" s="12"/>
      <c r="I161" s="12"/>
      <c r="J161" s="12"/>
      <c r="L161" s="12"/>
      <c r="M161" s="12"/>
      <c r="N161" s="12"/>
      <c r="O161" s="12"/>
      <c r="P161" s="12"/>
      <c r="R161" s="12"/>
      <c r="S161" s="12"/>
      <c r="T161" s="12"/>
      <c r="U161" s="12"/>
      <c r="V161" s="12"/>
      <c r="X161" s="12"/>
      <c r="Y161" s="12"/>
      <c r="Z161" s="12"/>
      <c r="AA161" s="12"/>
      <c r="AB161" s="12"/>
    </row>
    <row r="162" spans="1:28">
      <c r="A162" s="10" t="s">
        <v>472</v>
      </c>
      <c r="B162" s="10"/>
      <c r="C162" s="11" t="s">
        <v>519</v>
      </c>
      <c r="E162" s="10" t="b">
        <f>tlInputScenario2EnterRegion3</f>
        <v>0</v>
      </c>
      <c r="F162" s="32" t="s">
        <v>1008</v>
      </c>
      <c r="G162" s="12">
        <f>dec_Round</f>
        <v>0</v>
      </c>
      <c r="H162" s="12" t="b">
        <v>0</v>
      </c>
      <c r="I162" s="12" t="b">
        <v>0</v>
      </c>
      <c r="J162" s="13">
        <v>0</v>
      </c>
      <c r="L162" s="12"/>
      <c r="M162" s="12"/>
      <c r="N162" s="12"/>
      <c r="O162" s="12"/>
      <c r="P162" s="12"/>
      <c r="R162" s="12"/>
      <c r="S162" s="12"/>
      <c r="T162" s="12"/>
      <c r="U162" s="12"/>
      <c r="V162" s="12"/>
      <c r="X162" s="12"/>
      <c r="Y162" s="12"/>
      <c r="Z162" s="12"/>
      <c r="AA162" s="12"/>
      <c r="AB162" s="12"/>
    </row>
    <row r="163" spans="1:28">
      <c r="A163" s="10" t="s">
        <v>472</v>
      </c>
      <c r="B163" s="10"/>
      <c r="C163" s="11" t="s">
        <v>574</v>
      </c>
      <c r="E163" s="10">
        <f>tlInputScenario2PatPopRegion3</f>
        <v>2000</v>
      </c>
      <c r="F163" s="32" t="s">
        <v>1009</v>
      </c>
      <c r="G163" s="12">
        <f>dec_Round</f>
        <v>0</v>
      </c>
      <c r="H163" s="12" t="b">
        <v>0</v>
      </c>
      <c r="I163" s="12" t="b">
        <v>0</v>
      </c>
      <c r="J163" s="13">
        <v>0</v>
      </c>
      <c r="L163" s="12"/>
      <c r="M163" s="12"/>
      <c r="N163" s="12"/>
      <c r="O163" s="12"/>
      <c r="P163" s="12"/>
      <c r="R163" s="12"/>
      <c r="S163" s="12"/>
      <c r="T163" s="12"/>
      <c r="U163" s="12"/>
      <c r="V163" s="12"/>
      <c r="X163" s="12"/>
      <c r="Y163" s="12"/>
      <c r="Z163" s="12"/>
      <c r="AA163" s="12"/>
      <c r="AB163" s="12"/>
    </row>
    <row r="164" spans="1:28">
      <c r="A164" s="10" t="s">
        <v>472</v>
      </c>
      <c r="B164" s="10"/>
      <c r="C164" s="11" t="s">
        <v>474</v>
      </c>
      <c r="E164" s="10">
        <f>tlInputScenario2PeakMSRegion3</f>
        <v>0.1</v>
      </c>
      <c r="F164" s="32" t="s">
        <v>1010</v>
      </c>
      <c r="G164" s="12">
        <f>dec_Round</f>
        <v>0</v>
      </c>
      <c r="H164" s="12" t="b">
        <v>0</v>
      </c>
      <c r="I164" s="12" t="b">
        <v>0</v>
      </c>
      <c r="J164" s="13">
        <v>0</v>
      </c>
      <c r="L164" s="12"/>
      <c r="M164" s="12"/>
      <c r="N164" s="12"/>
      <c r="O164" s="12"/>
      <c r="P164" s="12"/>
      <c r="R164" s="12"/>
      <c r="S164" s="12"/>
      <c r="T164" s="12"/>
      <c r="U164" s="12"/>
      <c r="V164" s="12"/>
      <c r="X164" s="12"/>
      <c r="Y164" s="12"/>
      <c r="Z164" s="12"/>
      <c r="AA164" s="12"/>
      <c r="AB164" s="12"/>
    </row>
    <row r="165" spans="1:28">
      <c r="A165" s="10" t="s">
        <v>472</v>
      </c>
      <c r="B165" s="378">
        <v>0</v>
      </c>
      <c r="C165" s="11" t="s">
        <v>1011</v>
      </c>
      <c r="D165" s="11" t="s">
        <v>593</v>
      </c>
      <c r="E165" s="10">
        <f>tlInputScenario2PriceRegion3</f>
        <v>0</v>
      </c>
      <c r="F165" s="32" t="s">
        <v>1012</v>
      </c>
      <c r="G165" s="12">
        <f>dec_Round</f>
        <v>0</v>
      </c>
      <c r="H165" s="12" t="b">
        <v>0</v>
      </c>
      <c r="I165" s="12" t="b">
        <v>0</v>
      </c>
      <c r="J165" s="13">
        <v>0</v>
      </c>
      <c r="L165" s="12"/>
      <c r="M165" s="12"/>
      <c r="N165" s="12"/>
      <c r="O165" s="12"/>
      <c r="P165" s="12"/>
      <c r="R165" s="12"/>
      <c r="S165" s="12"/>
      <c r="T165" s="12"/>
      <c r="U165" s="12"/>
      <c r="V165" s="12"/>
      <c r="X165" s="12"/>
      <c r="Y165" s="12"/>
      <c r="Z165" s="12"/>
      <c r="AA165" s="12"/>
      <c r="AB165" s="12"/>
    </row>
    <row r="166" spans="1:28">
      <c r="A166" s="10" t="s">
        <v>472</v>
      </c>
      <c r="B166" s="378">
        <v>0</v>
      </c>
      <c r="C166" s="11" t="s">
        <v>1013</v>
      </c>
      <c r="D166" s="11" t="s">
        <v>486</v>
      </c>
      <c r="E166" s="10">
        <f>tlInputScenario2Region3SnM</f>
        <v>0</v>
      </c>
      <c r="F166" s="32" t="s">
        <v>1014</v>
      </c>
      <c r="G166" s="12">
        <f>dec_Round</f>
        <v>0</v>
      </c>
      <c r="H166" s="12" t="b">
        <v>0</v>
      </c>
      <c r="I166" s="12" t="b">
        <v>0</v>
      </c>
      <c r="J166" s="13">
        <v>0</v>
      </c>
      <c r="L166" s="12"/>
      <c r="M166" s="12"/>
      <c r="N166" s="12"/>
      <c r="O166" s="12"/>
      <c r="P166" s="12"/>
      <c r="R166" s="12"/>
      <c r="S166" s="12"/>
      <c r="T166" s="12"/>
      <c r="U166" s="12"/>
      <c r="V166" s="12"/>
      <c r="X166" s="12"/>
      <c r="Y166" s="12"/>
      <c r="Z166" s="12"/>
      <c r="AA166" s="12"/>
      <c r="AB166" s="12"/>
    </row>
    <row r="167" spans="1:28">
      <c r="F167" s="32"/>
      <c r="G167" s="12"/>
      <c r="H167" s="12"/>
      <c r="I167" s="12"/>
      <c r="J167" s="12"/>
      <c r="L167" s="12"/>
      <c r="M167" s="12"/>
      <c r="N167" s="12"/>
      <c r="O167" s="12"/>
      <c r="P167" s="12"/>
      <c r="R167" s="12"/>
      <c r="S167" s="12"/>
      <c r="T167" s="12"/>
      <c r="U167" s="12"/>
      <c r="V167" s="12"/>
      <c r="X167" s="12"/>
      <c r="Y167" s="12"/>
      <c r="Z167" s="12"/>
      <c r="AA167" s="12"/>
      <c r="AB167" s="12"/>
    </row>
    <row r="168" spans="1:28">
      <c r="A168" s="10" t="s">
        <v>473</v>
      </c>
      <c r="B168" s="10"/>
      <c r="C168" s="11" t="s">
        <v>519</v>
      </c>
      <c r="E168" s="10" t="b">
        <f>tlInputScenario2EnterRegion4</f>
        <v>0</v>
      </c>
      <c r="F168" s="32" t="s">
        <v>1015</v>
      </c>
      <c r="G168" s="12">
        <f>dec_Round</f>
        <v>0</v>
      </c>
      <c r="H168" s="12" t="b">
        <v>0</v>
      </c>
      <c r="I168" s="12" t="b">
        <v>0</v>
      </c>
      <c r="J168" s="13">
        <v>0</v>
      </c>
      <c r="L168" s="12"/>
      <c r="M168" s="12"/>
      <c r="N168" s="12"/>
      <c r="O168" s="12"/>
      <c r="P168" s="12"/>
      <c r="R168" s="12"/>
      <c r="S168" s="12"/>
      <c r="T168" s="12"/>
      <c r="U168" s="12"/>
      <c r="V168" s="12"/>
      <c r="X168" s="12"/>
      <c r="Y168" s="12"/>
      <c r="Z168" s="12"/>
      <c r="AA168" s="12"/>
      <c r="AB168" s="12"/>
    </row>
    <row r="169" spans="1:28">
      <c r="A169" s="10" t="s">
        <v>473</v>
      </c>
      <c r="B169" s="10"/>
      <c r="C169" s="11" t="s">
        <v>574</v>
      </c>
      <c r="E169" s="10">
        <f>tlInputScenario2PatPopRegion4</f>
        <v>3000</v>
      </c>
      <c r="F169" s="32" t="s">
        <v>1016</v>
      </c>
      <c r="G169" s="12">
        <f>dec_Round</f>
        <v>0</v>
      </c>
      <c r="H169" s="12" t="b">
        <v>0</v>
      </c>
      <c r="I169" s="12" t="b">
        <v>0</v>
      </c>
      <c r="J169" s="13">
        <v>0</v>
      </c>
      <c r="L169" s="12"/>
      <c r="M169" s="12"/>
      <c r="N169" s="12"/>
      <c r="O169" s="12"/>
      <c r="P169" s="12"/>
      <c r="R169" s="12"/>
      <c r="S169" s="12"/>
      <c r="T169" s="12"/>
      <c r="U169" s="12"/>
      <c r="V169" s="12"/>
      <c r="X169" s="12"/>
      <c r="Y169" s="12"/>
      <c r="Z169" s="12"/>
      <c r="AA169" s="12"/>
      <c r="AB169" s="12"/>
    </row>
    <row r="170" spans="1:28">
      <c r="A170" s="10" t="s">
        <v>473</v>
      </c>
      <c r="B170" s="10"/>
      <c r="C170" s="11" t="s">
        <v>474</v>
      </c>
      <c r="E170" s="10">
        <f>tlInputScenario2PeakMSRegion4</f>
        <v>0.1</v>
      </c>
      <c r="F170" s="32" t="s">
        <v>1017</v>
      </c>
      <c r="G170" s="12">
        <f>dec_Round</f>
        <v>0</v>
      </c>
      <c r="H170" s="12" t="b">
        <v>0</v>
      </c>
      <c r="I170" s="12" t="b">
        <v>0</v>
      </c>
      <c r="J170" s="13">
        <v>0</v>
      </c>
      <c r="L170" s="12"/>
      <c r="M170" s="12"/>
      <c r="N170" s="12"/>
      <c r="O170" s="12"/>
      <c r="P170" s="12"/>
      <c r="R170" s="12"/>
      <c r="S170" s="12"/>
      <c r="T170" s="12"/>
      <c r="U170" s="12"/>
      <c r="V170" s="12"/>
      <c r="X170" s="12"/>
      <c r="Y170" s="12"/>
      <c r="Z170" s="12"/>
      <c r="AA170" s="12"/>
      <c r="AB170" s="12"/>
    </row>
    <row r="171" spans="1:28">
      <c r="A171" s="10" t="s">
        <v>473</v>
      </c>
      <c r="B171" s="378">
        <v>0</v>
      </c>
      <c r="C171" s="11" t="s">
        <v>1018</v>
      </c>
      <c r="D171" s="11" t="s">
        <v>593</v>
      </c>
      <c r="E171" s="10">
        <f>tlInputScenario2PriceRegion4</f>
        <v>0</v>
      </c>
      <c r="F171" s="32" t="s">
        <v>1019</v>
      </c>
      <c r="G171" s="12">
        <f>dec_Round</f>
        <v>0</v>
      </c>
      <c r="H171" s="12" t="b">
        <v>0</v>
      </c>
      <c r="I171" s="12" t="b">
        <v>0</v>
      </c>
      <c r="J171" s="13">
        <v>0</v>
      </c>
      <c r="L171" s="12"/>
      <c r="M171" s="12"/>
      <c r="N171" s="12"/>
      <c r="O171" s="12"/>
      <c r="P171" s="12"/>
      <c r="R171" s="12"/>
      <c r="S171" s="12"/>
      <c r="T171" s="12"/>
      <c r="U171" s="12"/>
      <c r="V171" s="12"/>
      <c r="X171" s="12"/>
      <c r="Y171" s="12"/>
      <c r="Z171" s="12"/>
      <c r="AA171" s="12"/>
      <c r="AB171" s="12"/>
    </row>
    <row r="172" spans="1:28">
      <c r="A172" s="10" t="s">
        <v>473</v>
      </c>
      <c r="B172" s="378">
        <v>0</v>
      </c>
      <c r="C172" s="11" t="s">
        <v>1020</v>
      </c>
      <c r="D172" s="11" t="s">
        <v>486</v>
      </c>
      <c r="E172" s="10">
        <f>tlInputScenario2Region4SnM</f>
        <v>0</v>
      </c>
      <c r="F172" s="32" t="s">
        <v>1021</v>
      </c>
      <c r="G172" s="12">
        <f>dec_Round</f>
        <v>0</v>
      </c>
      <c r="H172" s="12" t="b">
        <v>0</v>
      </c>
      <c r="I172" s="12" t="b">
        <v>0</v>
      </c>
      <c r="J172" s="13">
        <v>0</v>
      </c>
      <c r="L172" s="12"/>
      <c r="M172" s="12"/>
      <c r="N172" s="12"/>
      <c r="O172" s="12"/>
      <c r="P172" s="12"/>
      <c r="R172" s="12"/>
      <c r="S172" s="12"/>
      <c r="T172" s="12"/>
      <c r="U172" s="12"/>
      <c r="V172" s="12"/>
      <c r="X172" s="12"/>
      <c r="Y172" s="12"/>
      <c r="Z172" s="12"/>
      <c r="AA172" s="12"/>
      <c r="AB172" s="12"/>
    </row>
    <row r="173" spans="1:28">
      <c r="F173" s="32"/>
      <c r="G173" s="12"/>
      <c r="H173" s="12"/>
      <c r="I173" s="12"/>
      <c r="J173" s="12"/>
      <c r="L173" s="12"/>
      <c r="M173" s="12"/>
      <c r="N173" s="12"/>
      <c r="O173" s="12"/>
      <c r="P173" s="12"/>
      <c r="R173" s="12"/>
      <c r="S173" s="12"/>
      <c r="T173" s="12"/>
      <c r="U173" s="12"/>
      <c r="V173" s="12"/>
      <c r="X173" s="12"/>
      <c r="Y173" s="12"/>
      <c r="Z173" s="12"/>
      <c r="AA173" s="12"/>
      <c r="AB173" s="12"/>
    </row>
    <row r="174" spans="1:28">
      <c r="A174" s="85" t="s">
        <v>1022</v>
      </c>
      <c r="B174" s="378">
        <v>0</v>
      </c>
      <c r="C174" s="11" t="s">
        <v>493</v>
      </c>
      <c r="E174" s="10">
        <f>tlInputScenario2Penetration</f>
        <v>0</v>
      </c>
      <c r="F174" s="32" t="s">
        <v>1023</v>
      </c>
      <c r="G174" s="12">
        <f t="shared" ref="G174:G180" si="4">dec_Round</f>
        <v>0</v>
      </c>
      <c r="H174" s="12" t="b">
        <v>0</v>
      </c>
      <c r="I174" s="12" t="b">
        <v>0</v>
      </c>
      <c r="J174" s="13">
        <v>0</v>
      </c>
      <c r="L174" s="12"/>
      <c r="M174" s="12"/>
      <c r="N174" s="12"/>
      <c r="O174" s="12"/>
      <c r="P174" s="12"/>
      <c r="R174" s="12"/>
      <c r="S174" s="12"/>
      <c r="T174" s="12"/>
      <c r="U174" s="12"/>
      <c r="V174" s="12"/>
      <c r="X174" s="12"/>
      <c r="Y174" s="12"/>
      <c r="Z174" s="12"/>
      <c r="AA174" s="12"/>
      <c r="AB174" s="12"/>
    </row>
    <row r="175" spans="1:28">
      <c r="A175" s="85" t="s">
        <v>1024</v>
      </c>
      <c r="B175" s="378">
        <v>0</v>
      </c>
      <c r="C175" s="11" t="s">
        <v>494</v>
      </c>
      <c r="E175" s="10">
        <f>tlInputScenario2Compliance</f>
        <v>0</v>
      </c>
      <c r="F175" s="32" t="s">
        <v>1025</v>
      </c>
      <c r="G175" s="12">
        <f t="shared" si="4"/>
        <v>0</v>
      </c>
      <c r="H175" s="12" t="b">
        <v>0</v>
      </c>
      <c r="I175" s="12" t="b">
        <v>0</v>
      </c>
      <c r="J175" s="13">
        <v>0</v>
      </c>
      <c r="L175" s="12"/>
      <c r="M175" s="12"/>
      <c r="N175" s="12"/>
      <c r="O175" s="12"/>
      <c r="P175" s="12"/>
      <c r="R175" s="12"/>
      <c r="S175" s="12"/>
      <c r="T175" s="12"/>
      <c r="U175" s="12"/>
      <c r="V175" s="12"/>
      <c r="X175" s="12"/>
      <c r="Y175" s="12"/>
      <c r="Z175" s="12"/>
      <c r="AA175" s="12"/>
      <c r="AB175" s="12"/>
    </row>
    <row r="176" spans="1:28">
      <c r="A176" s="85" t="s">
        <v>1026</v>
      </c>
      <c r="B176" s="378">
        <v>0</v>
      </c>
      <c r="C176" s="11" t="s">
        <v>485</v>
      </c>
      <c r="E176" s="10">
        <f>tlInputScenario2DiscountRate</f>
        <v>0</v>
      </c>
      <c r="F176" s="32" t="s">
        <v>1027</v>
      </c>
      <c r="G176" s="12">
        <f t="shared" si="4"/>
        <v>0</v>
      </c>
      <c r="H176" s="12" t="b">
        <v>0</v>
      </c>
      <c r="I176" s="12" t="b">
        <v>0</v>
      </c>
      <c r="J176" s="13">
        <v>0</v>
      </c>
      <c r="L176" s="12"/>
      <c r="M176" s="12"/>
      <c r="N176" s="12"/>
      <c r="O176" s="12"/>
      <c r="P176" s="12"/>
      <c r="R176" s="12"/>
      <c r="S176" s="12"/>
      <c r="T176" s="12"/>
      <c r="U176" s="12"/>
      <c r="V176" s="12"/>
      <c r="X176" s="12"/>
      <c r="Y176" s="12"/>
      <c r="Z176" s="12"/>
      <c r="AA176" s="12"/>
      <c r="AB176" s="12"/>
    </row>
    <row r="177" spans="1:28">
      <c r="A177" s="85" t="s">
        <v>1028</v>
      </c>
      <c r="B177" s="378">
        <v>0</v>
      </c>
      <c r="C177" s="11" t="s">
        <v>558</v>
      </c>
      <c r="E177" s="10">
        <f>tlInputScenario2COGS</f>
        <v>0</v>
      </c>
      <c r="F177" s="32" t="s">
        <v>1029</v>
      </c>
      <c r="G177" s="12">
        <f t="shared" si="4"/>
        <v>0</v>
      </c>
      <c r="H177" s="12" t="b">
        <v>0</v>
      </c>
      <c r="I177" s="12" t="b">
        <v>0</v>
      </c>
      <c r="J177" s="13">
        <v>0</v>
      </c>
      <c r="L177" s="12"/>
      <c r="M177" s="12"/>
      <c r="N177" s="12"/>
      <c r="O177" s="12"/>
      <c r="P177" s="12"/>
      <c r="R177" s="12"/>
      <c r="S177" s="12"/>
      <c r="T177" s="12"/>
      <c r="U177" s="12"/>
      <c r="V177" s="12"/>
      <c r="X177" s="12"/>
      <c r="Y177" s="12"/>
      <c r="Z177" s="12"/>
      <c r="AA177" s="12"/>
      <c r="AB177" s="12"/>
    </row>
    <row r="178" spans="1:28">
      <c r="B178" s="10"/>
      <c r="C178" s="11" t="s">
        <v>492</v>
      </c>
      <c r="E178" s="10">
        <f>tlInputScenario2Royalty</f>
        <v>0</v>
      </c>
      <c r="F178" s="32" t="s">
        <v>1030</v>
      </c>
      <c r="G178" s="12">
        <f t="shared" si="4"/>
        <v>0</v>
      </c>
      <c r="H178" s="12" t="b">
        <v>0</v>
      </c>
      <c r="I178" s="12" t="b">
        <v>0</v>
      </c>
      <c r="J178" s="13">
        <v>0</v>
      </c>
      <c r="L178" s="12"/>
      <c r="M178" s="12"/>
      <c r="N178" s="12"/>
      <c r="O178" s="12"/>
      <c r="P178" s="12"/>
      <c r="R178" s="12"/>
      <c r="S178" s="12"/>
      <c r="T178" s="12"/>
      <c r="U178" s="12"/>
      <c r="V178" s="12"/>
      <c r="X178" s="12"/>
      <c r="Y178" s="12"/>
      <c r="Z178" s="12"/>
      <c r="AA178" s="12"/>
      <c r="AB178" s="12"/>
    </row>
    <row r="179" spans="1:28">
      <c r="B179" s="10"/>
      <c r="C179" s="11" t="s">
        <v>521</v>
      </c>
      <c r="E179" s="10">
        <f>tlInputScenario2EPVRate</f>
        <v>0.06</v>
      </c>
      <c r="F179" s="32" t="s">
        <v>1031</v>
      </c>
      <c r="G179" s="12">
        <f t="shared" si="4"/>
        <v>0</v>
      </c>
      <c r="H179" s="12" t="b">
        <v>0</v>
      </c>
      <c r="I179" s="12" t="b">
        <v>0</v>
      </c>
      <c r="J179" s="13">
        <v>0</v>
      </c>
      <c r="L179" s="12"/>
      <c r="M179" s="12"/>
      <c r="N179" s="12"/>
      <c r="O179" s="12"/>
      <c r="P179" s="12"/>
      <c r="R179" s="12"/>
      <c r="S179" s="12"/>
      <c r="T179" s="12"/>
      <c r="U179" s="12"/>
      <c r="V179" s="12"/>
      <c r="X179" s="12"/>
      <c r="Y179" s="12"/>
      <c r="Z179" s="12"/>
      <c r="AA179" s="12"/>
      <c r="AB179" s="12"/>
    </row>
    <row r="180" spans="1:28">
      <c r="B180" s="10"/>
      <c r="C180" s="11" t="s">
        <v>520</v>
      </c>
      <c r="E180" s="10">
        <f>tlInputScenario2NPVRate</f>
        <v>0.12</v>
      </c>
      <c r="F180" s="32" t="s">
        <v>1032</v>
      </c>
      <c r="G180" s="12">
        <f t="shared" si="4"/>
        <v>0</v>
      </c>
      <c r="H180" s="12" t="b">
        <v>0</v>
      </c>
      <c r="I180" s="12" t="b">
        <v>0</v>
      </c>
      <c r="J180" s="13">
        <v>0</v>
      </c>
      <c r="L180" s="12"/>
      <c r="M180" s="12"/>
      <c r="N180" s="12"/>
      <c r="O180" s="12"/>
      <c r="P180" s="12"/>
      <c r="R180" s="12"/>
      <c r="S180" s="12"/>
      <c r="T180" s="12"/>
      <c r="U180" s="12"/>
      <c r="V180" s="12"/>
      <c r="X180" s="12"/>
      <c r="Y180" s="12"/>
      <c r="Z180" s="12"/>
      <c r="AA180" s="12"/>
      <c r="AB180" s="12"/>
    </row>
    <row r="181" spans="1:28">
      <c r="B181" s="10"/>
      <c r="C181" s="11"/>
      <c r="G181" s="12"/>
      <c r="H181" s="12"/>
      <c r="I181" s="12"/>
      <c r="J181" s="13"/>
      <c r="L181" s="12"/>
      <c r="M181" s="12"/>
      <c r="N181" s="12"/>
      <c r="O181" s="12"/>
      <c r="P181" s="12"/>
      <c r="R181" s="12"/>
      <c r="S181" s="12"/>
      <c r="T181" s="12"/>
      <c r="U181" s="12"/>
      <c r="V181" s="12"/>
      <c r="X181" s="12"/>
      <c r="Y181" s="12"/>
      <c r="Z181" s="12"/>
      <c r="AA181" s="12"/>
      <c r="AB181" s="12"/>
    </row>
    <row r="182" spans="1:28">
      <c r="B182" s="11" t="s">
        <v>511</v>
      </c>
      <c r="F182" s="11"/>
      <c r="G182" s="12"/>
      <c r="H182" s="12"/>
      <c r="I182" s="12"/>
      <c r="J182" s="13"/>
      <c r="L182" s="12"/>
      <c r="M182" s="12"/>
      <c r="N182" s="12"/>
      <c r="O182" s="12"/>
      <c r="P182" s="12"/>
      <c r="R182" s="12"/>
      <c r="S182" s="12"/>
      <c r="T182" s="12"/>
      <c r="U182" s="12"/>
      <c r="V182" s="12"/>
      <c r="X182" s="12"/>
      <c r="Y182" s="12"/>
      <c r="Z182" s="12"/>
      <c r="AA182" s="12"/>
      <c r="AB182" s="12"/>
    </row>
    <row r="183" spans="1:28">
      <c r="B183" s="10" t="s">
        <v>484</v>
      </c>
      <c r="C183" s="11"/>
      <c r="F183" s="11"/>
      <c r="G183" s="12"/>
      <c r="H183" s="12"/>
      <c r="I183" s="12"/>
      <c r="J183" s="13"/>
      <c r="L183" s="12"/>
      <c r="M183" s="12"/>
      <c r="N183" s="12"/>
      <c r="O183" s="12"/>
      <c r="P183" s="12"/>
      <c r="R183" s="12"/>
      <c r="S183" s="12"/>
      <c r="T183" s="12"/>
      <c r="U183" s="12"/>
      <c r="V183" s="12"/>
      <c r="X183" s="12"/>
      <c r="Y183" s="12"/>
      <c r="Z183" s="12"/>
      <c r="AA183" s="12"/>
      <c r="AB183" s="12"/>
    </row>
    <row r="184" spans="1:28">
      <c r="B184" s="10"/>
      <c r="C184" s="11" t="s">
        <v>585</v>
      </c>
      <c r="E184" s="10">
        <f>tlInputScenario3AddBiomarker</f>
        <v>0</v>
      </c>
      <c r="F184" s="32" t="s">
        <v>855</v>
      </c>
      <c r="G184" s="12">
        <f t="shared" ref="G184:G201" si="5">dec_Round</f>
        <v>0</v>
      </c>
      <c r="H184" s="12" t="b">
        <v>0</v>
      </c>
      <c r="I184" s="12" t="b">
        <v>0</v>
      </c>
      <c r="J184" s="13">
        <v>0</v>
      </c>
      <c r="L184" s="12"/>
      <c r="M184" s="12"/>
      <c r="N184" s="12"/>
      <c r="O184" s="12"/>
      <c r="P184" s="12"/>
      <c r="R184" s="12"/>
      <c r="S184" s="12"/>
      <c r="T184" s="12"/>
      <c r="U184" s="12"/>
      <c r="V184" s="12"/>
      <c r="X184" s="12"/>
      <c r="Y184" s="12"/>
      <c r="Z184" s="12"/>
      <c r="AA184" s="12"/>
      <c r="AB184" s="12"/>
    </row>
    <row r="185" spans="1:28">
      <c r="B185" s="10"/>
      <c r="C185" s="11" t="s">
        <v>587</v>
      </c>
      <c r="E185" s="10" t="str">
        <f>tlInputScenario3Administration</f>
        <v>Eye Drops</v>
      </c>
      <c r="F185" s="32" t="s">
        <v>856</v>
      </c>
      <c r="G185" s="12">
        <f t="shared" si="5"/>
        <v>0</v>
      </c>
      <c r="H185" s="12" t="b">
        <v>0</v>
      </c>
      <c r="I185" s="12" t="b">
        <v>0</v>
      </c>
      <c r="J185" s="13">
        <v>0</v>
      </c>
      <c r="L185" s="12"/>
      <c r="M185" s="12"/>
      <c r="N185" s="12"/>
      <c r="O185" s="12"/>
      <c r="P185" s="12"/>
      <c r="R185" s="12"/>
      <c r="S185" s="12"/>
      <c r="T185" s="12"/>
      <c r="U185" s="12"/>
      <c r="V185" s="12"/>
      <c r="X185" s="12"/>
      <c r="Y185" s="12"/>
      <c r="Z185" s="12"/>
      <c r="AA185" s="12"/>
      <c r="AB185" s="12"/>
    </row>
    <row r="186" spans="1:28">
      <c r="B186" s="10" t="s">
        <v>465</v>
      </c>
      <c r="C186" s="11" t="s">
        <v>495</v>
      </c>
      <c r="E186" s="10">
        <f>tlInputScenario3TrialSizePh1</f>
        <v>50</v>
      </c>
      <c r="F186" s="32" t="s">
        <v>857</v>
      </c>
      <c r="G186" s="12">
        <f t="shared" si="5"/>
        <v>0</v>
      </c>
      <c r="H186" s="12" t="b">
        <v>0</v>
      </c>
      <c r="I186" s="12" t="b">
        <v>0</v>
      </c>
      <c r="J186" s="13">
        <v>0</v>
      </c>
      <c r="L186" s="12"/>
      <c r="M186" s="12"/>
      <c r="N186" s="12"/>
      <c r="O186" s="12"/>
      <c r="P186" s="12"/>
      <c r="R186" s="12"/>
      <c r="S186" s="12"/>
      <c r="T186" s="12"/>
      <c r="U186" s="12"/>
      <c r="V186" s="12"/>
      <c r="X186" s="12"/>
      <c r="Y186" s="12"/>
      <c r="Z186" s="12"/>
      <c r="AA186" s="12"/>
      <c r="AB186" s="12"/>
    </row>
    <row r="187" spans="1:28">
      <c r="B187" s="10" t="s">
        <v>466</v>
      </c>
      <c r="C187" s="11" t="s">
        <v>495</v>
      </c>
      <c r="E187" s="10">
        <f>tlInputScenario3TrialSizePh2</f>
        <v>250</v>
      </c>
      <c r="F187" s="32" t="s">
        <v>858</v>
      </c>
      <c r="G187" s="12">
        <f t="shared" si="5"/>
        <v>0</v>
      </c>
      <c r="H187" s="12" t="b">
        <v>0</v>
      </c>
      <c r="I187" s="12" t="b">
        <v>0</v>
      </c>
      <c r="J187" s="13">
        <v>0</v>
      </c>
      <c r="L187" s="12"/>
      <c r="M187" s="12"/>
      <c r="N187" s="12"/>
      <c r="O187" s="12"/>
      <c r="P187" s="12"/>
      <c r="R187" s="12"/>
      <c r="S187" s="12"/>
      <c r="T187" s="12"/>
      <c r="U187" s="12"/>
      <c r="V187" s="12"/>
      <c r="X187" s="12"/>
      <c r="Y187" s="12"/>
      <c r="Z187" s="12"/>
      <c r="AA187" s="12"/>
      <c r="AB187" s="12"/>
    </row>
    <row r="188" spans="1:28">
      <c r="B188" s="10" t="s">
        <v>467</v>
      </c>
      <c r="C188" s="11" t="s">
        <v>495</v>
      </c>
      <c r="E188" s="10">
        <f>tlInputScenario3TrialSizePh3</f>
        <v>1500</v>
      </c>
      <c r="F188" s="32" t="s">
        <v>859</v>
      </c>
      <c r="G188" s="12">
        <f t="shared" si="5"/>
        <v>0</v>
      </c>
      <c r="H188" s="12" t="b">
        <v>0</v>
      </c>
      <c r="I188" s="12" t="b">
        <v>0</v>
      </c>
      <c r="J188" s="13">
        <v>0</v>
      </c>
      <c r="L188" s="12"/>
      <c r="M188" s="12"/>
      <c r="N188" s="12"/>
      <c r="O188" s="12"/>
      <c r="P188" s="12"/>
      <c r="R188" s="12"/>
      <c r="S188" s="12"/>
      <c r="T188" s="12"/>
      <c r="U188" s="12"/>
      <c r="V188" s="12"/>
      <c r="X188" s="12"/>
      <c r="Y188" s="12"/>
      <c r="Z188" s="12"/>
      <c r="AA188" s="12"/>
      <c r="AB188" s="12"/>
    </row>
    <row r="189" spans="1:28">
      <c r="B189" s="10" t="s">
        <v>465</v>
      </c>
      <c r="C189" s="11" t="s">
        <v>611</v>
      </c>
      <c r="E189" s="10" t="str">
        <f>tlInputScenario3ObservationPh1</f>
        <v>0 months</v>
      </c>
      <c r="F189" s="32" t="s">
        <v>860</v>
      </c>
      <c r="G189" s="12">
        <f t="shared" si="5"/>
        <v>0</v>
      </c>
      <c r="H189" s="12" t="b">
        <v>0</v>
      </c>
      <c r="I189" s="12" t="b">
        <v>0</v>
      </c>
      <c r="J189" s="13">
        <v>0</v>
      </c>
      <c r="L189" s="12"/>
      <c r="M189" s="12"/>
      <c r="N189" s="12"/>
      <c r="O189" s="12"/>
      <c r="P189" s="12"/>
      <c r="R189" s="12"/>
      <c r="S189" s="12"/>
      <c r="T189" s="12"/>
      <c r="U189" s="12"/>
      <c r="V189" s="12"/>
      <c r="X189" s="12"/>
      <c r="Y189" s="12"/>
      <c r="Z189" s="12"/>
      <c r="AA189" s="12"/>
      <c r="AB189" s="12"/>
    </row>
    <row r="190" spans="1:28">
      <c r="B190" s="10" t="s">
        <v>466</v>
      </c>
      <c r="C190" s="11" t="s">
        <v>611</v>
      </c>
      <c r="E190" s="10" t="str">
        <f>tlInputScenario3ObservationPh2</f>
        <v>0 months</v>
      </c>
      <c r="F190" s="32" t="s">
        <v>861</v>
      </c>
      <c r="G190" s="12">
        <f t="shared" si="5"/>
        <v>0</v>
      </c>
      <c r="H190" s="12" t="b">
        <v>0</v>
      </c>
      <c r="I190" s="12" t="b">
        <v>0</v>
      </c>
      <c r="J190" s="13">
        <v>0</v>
      </c>
      <c r="L190" s="12"/>
      <c r="M190" s="12"/>
      <c r="N190" s="12"/>
      <c r="O190" s="12"/>
      <c r="P190" s="12"/>
      <c r="R190" s="12"/>
      <c r="S190" s="12"/>
      <c r="T190" s="12"/>
      <c r="U190" s="12"/>
      <c r="V190" s="12"/>
      <c r="X190" s="12"/>
      <c r="Y190" s="12"/>
      <c r="Z190" s="12"/>
      <c r="AA190" s="12"/>
      <c r="AB190" s="12"/>
    </row>
    <row r="191" spans="1:28">
      <c r="B191" s="10" t="s">
        <v>467</v>
      </c>
      <c r="C191" s="11" t="s">
        <v>611</v>
      </c>
      <c r="E191" s="10" t="str">
        <f>tlInputScenario3ObservationPh3</f>
        <v>0 months</v>
      </c>
      <c r="F191" s="32" t="s">
        <v>862</v>
      </c>
      <c r="G191" s="12">
        <f t="shared" si="5"/>
        <v>0</v>
      </c>
      <c r="H191" s="12" t="b">
        <v>0</v>
      </c>
      <c r="I191" s="12" t="b">
        <v>0</v>
      </c>
      <c r="J191" s="13">
        <v>0</v>
      </c>
      <c r="L191" s="12"/>
      <c r="M191" s="12"/>
      <c r="N191" s="12"/>
      <c r="O191" s="12"/>
      <c r="P191" s="12"/>
      <c r="R191" s="12"/>
      <c r="S191" s="12"/>
      <c r="T191" s="12"/>
      <c r="U191" s="12"/>
      <c r="V191" s="12"/>
      <c r="X191" s="12"/>
      <c r="Y191" s="12"/>
      <c r="Z191" s="12"/>
      <c r="AA191" s="12"/>
      <c r="AB191" s="12"/>
    </row>
    <row r="192" spans="1:28">
      <c r="B192" s="10" t="s">
        <v>466</v>
      </c>
      <c r="C192" s="11" t="s">
        <v>554</v>
      </c>
      <c r="E192" s="10" t="str">
        <f>tlInputScenario3MNTrialsPh2</f>
        <v>Local</v>
      </c>
      <c r="F192" s="32" t="s">
        <v>863</v>
      </c>
      <c r="G192" s="12">
        <f t="shared" si="5"/>
        <v>0</v>
      </c>
      <c r="H192" s="12" t="b">
        <v>0</v>
      </c>
      <c r="I192" s="12" t="b">
        <v>0</v>
      </c>
      <c r="J192" s="13">
        <v>0</v>
      </c>
      <c r="L192" s="12"/>
      <c r="M192" s="12"/>
      <c r="N192" s="12"/>
      <c r="O192" s="12"/>
      <c r="P192" s="12"/>
      <c r="R192" s="12"/>
      <c r="S192" s="12"/>
      <c r="T192" s="12"/>
      <c r="U192" s="12"/>
      <c r="V192" s="12"/>
      <c r="X192" s="12"/>
      <c r="Y192" s="12"/>
      <c r="Z192" s="12"/>
      <c r="AA192" s="12"/>
      <c r="AB192" s="12"/>
    </row>
    <row r="193" spans="1:28">
      <c r="B193" s="10" t="s">
        <v>467</v>
      </c>
      <c r="C193" s="11" t="s">
        <v>554</v>
      </c>
      <c r="E193" s="10" t="str">
        <f>tlInputScenario3MNTrialsPh3</f>
        <v>Local</v>
      </c>
      <c r="F193" s="32" t="s">
        <v>864</v>
      </c>
      <c r="G193" s="12">
        <f t="shared" si="5"/>
        <v>0</v>
      </c>
      <c r="H193" s="12" t="b">
        <v>0</v>
      </c>
      <c r="I193" s="12" t="b">
        <v>0</v>
      </c>
      <c r="J193" s="13">
        <v>0</v>
      </c>
      <c r="L193" s="12"/>
      <c r="M193" s="12"/>
      <c r="N193" s="12"/>
      <c r="O193" s="12"/>
      <c r="P193" s="12"/>
      <c r="R193" s="12"/>
      <c r="S193" s="12"/>
      <c r="T193" s="12"/>
      <c r="U193" s="12"/>
      <c r="V193" s="12"/>
      <c r="X193" s="12"/>
      <c r="Y193" s="12"/>
      <c r="Z193" s="12"/>
      <c r="AA193" s="12"/>
      <c r="AB193" s="12"/>
    </row>
    <row r="194" spans="1:28">
      <c r="B194" s="10"/>
      <c r="C194" s="11" t="s">
        <v>513</v>
      </c>
      <c r="E194" s="10" t="str">
        <f>tlInputScenario3AddIndication</f>
        <v>No</v>
      </c>
      <c r="F194" s="32" t="s">
        <v>865</v>
      </c>
      <c r="G194" s="12">
        <f t="shared" si="5"/>
        <v>0</v>
      </c>
      <c r="H194" s="12" t="b">
        <v>0</v>
      </c>
      <c r="I194" s="12" t="b">
        <v>0</v>
      </c>
      <c r="J194" s="13">
        <v>0</v>
      </c>
      <c r="L194" s="12"/>
      <c r="M194" s="12"/>
      <c r="N194" s="12"/>
      <c r="O194" s="12"/>
      <c r="P194" s="12"/>
      <c r="R194" s="12"/>
      <c r="S194" s="12"/>
      <c r="T194" s="12"/>
      <c r="U194" s="12"/>
      <c r="V194" s="12"/>
      <c r="X194" s="12"/>
      <c r="Y194" s="12"/>
      <c r="Z194" s="12"/>
      <c r="AA194" s="12"/>
      <c r="AB194" s="12"/>
    </row>
    <row r="195" spans="1:28">
      <c r="B195" s="10"/>
      <c r="C195" s="11" t="s">
        <v>560</v>
      </c>
      <c r="E195" s="10" t="str">
        <f>tlInputScenario3Ph2bStudy</f>
        <v>Multiple Arms</v>
      </c>
      <c r="F195" s="32" t="s">
        <v>866</v>
      </c>
      <c r="G195" s="12">
        <f t="shared" si="5"/>
        <v>0</v>
      </c>
      <c r="H195" s="12" t="b">
        <v>0</v>
      </c>
      <c r="I195" s="12" t="b">
        <v>0</v>
      </c>
      <c r="J195" s="13">
        <v>0</v>
      </c>
      <c r="L195" s="12"/>
      <c r="M195" s="12"/>
      <c r="N195" s="12"/>
      <c r="O195" s="12"/>
      <c r="P195" s="12"/>
      <c r="R195" s="12"/>
      <c r="S195" s="12"/>
      <c r="T195" s="12"/>
      <c r="U195" s="12"/>
      <c r="V195" s="12"/>
      <c r="X195" s="12"/>
      <c r="Y195" s="12"/>
      <c r="Z195" s="12"/>
      <c r="AA195" s="12"/>
      <c r="AB195" s="12"/>
    </row>
    <row r="196" spans="1:28">
      <c r="B196" s="10"/>
      <c r="C196" s="11" t="s">
        <v>563</v>
      </c>
      <c r="E196" s="10" t="str">
        <f>tlInputScenario3DDFrequency</f>
        <v>Medium</v>
      </c>
      <c r="F196" s="32" t="s">
        <v>867</v>
      </c>
      <c r="G196" s="12">
        <f t="shared" si="5"/>
        <v>0</v>
      </c>
      <c r="H196" s="12" t="b">
        <v>0</v>
      </c>
      <c r="I196" s="12" t="b">
        <v>0</v>
      </c>
      <c r="J196" s="13">
        <v>0</v>
      </c>
      <c r="L196" s="12"/>
      <c r="M196" s="12"/>
      <c r="N196" s="12"/>
      <c r="O196" s="12"/>
      <c r="P196" s="12"/>
      <c r="R196" s="12"/>
      <c r="S196" s="12"/>
      <c r="T196" s="12"/>
      <c r="U196" s="12"/>
      <c r="V196" s="12"/>
      <c r="X196" s="12"/>
      <c r="Y196" s="12"/>
      <c r="Z196" s="12"/>
      <c r="AA196" s="12"/>
      <c r="AB196" s="12"/>
    </row>
    <row r="197" spans="1:28">
      <c r="B197" s="10"/>
      <c r="C197" s="11" t="s">
        <v>572</v>
      </c>
      <c r="E197" s="10">
        <f>tlInputScenario3PrimaryEndpoint</f>
        <v>1</v>
      </c>
      <c r="F197" s="32" t="s">
        <v>868</v>
      </c>
      <c r="G197" s="12">
        <f t="shared" si="5"/>
        <v>0</v>
      </c>
      <c r="H197" s="12" t="b">
        <v>0</v>
      </c>
      <c r="I197" s="12" t="b">
        <v>0</v>
      </c>
      <c r="J197" s="13">
        <v>0</v>
      </c>
      <c r="L197" s="12"/>
      <c r="M197" s="12"/>
      <c r="N197" s="12"/>
      <c r="O197" s="12"/>
      <c r="P197" s="12"/>
      <c r="R197" s="12"/>
      <c r="S197" s="12"/>
      <c r="T197" s="12"/>
      <c r="U197" s="12"/>
      <c r="V197" s="12"/>
      <c r="X197" s="12"/>
      <c r="Y197" s="12"/>
      <c r="Z197" s="12"/>
      <c r="AA197" s="12"/>
      <c r="AB197" s="12"/>
    </row>
    <row r="198" spans="1:28">
      <c r="B198" s="10"/>
      <c r="C198" s="11" t="s">
        <v>573</v>
      </c>
      <c r="E198" s="10">
        <f>tlInputScenario3SecondaryEndpoint</f>
        <v>1</v>
      </c>
      <c r="F198" s="32" t="s">
        <v>869</v>
      </c>
      <c r="G198" s="12">
        <f t="shared" si="5"/>
        <v>0</v>
      </c>
      <c r="H198" s="12" t="b">
        <v>0</v>
      </c>
      <c r="I198" s="12" t="b">
        <v>0</v>
      </c>
      <c r="J198" s="13">
        <v>0</v>
      </c>
      <c r="L198" s="12"/>
      <c r="M198" s="12"/>
      <c r="N198" s="12"/>
      <c r="O198" s="12"/>
      <c r="P198" s="12"/>
      <c r="R198" s="12"/>
      <c r="S198" s="12"/>
      <c r="T198" s="12"/>
      <c r="U198" s="12"/>
      <c r="V198" s="12"/>
      <c r="X198" s="12"/>
      <c r="Y198" s="12"/>
      <c r="Z198" s="12"/>
      <c r="AA198" s="12"/>
      <c r="AB198" s="12"/>
    </row>
    <row r="199" spans="1:28">
      <c r="B199" s="10"/>
      <c r="C199" s="11" t="s">
        <v>489</v>
      </c>
      <c r="E199" s="10" t="str">
        <f>tlInputScenario3Comparator</f>
        <v>Active</v>
      </c>
      <c r="F199" s="32" t="s">
        <v>870</v>
      </c>
      <c r="G199" s="12">
        <f t="shared" si="5"/>
        <v>0</v>
      </c>
      <c r="H199" s="12" t="b">
        <v>0</v>
      </c>
      <c r="I199" s="12" t="b">
        <v>0</v>
      </c>
      <c r="J199" s="13">
        <v>0</v>
      </c>
      <c r="L199" s="12"/>
      <c r="M199" s="12"/>
      <c r="N199" s="12"/>
      <c r="O199" s="12"/>
      <c r="P199" s="12"/>
      <c r="R199" s="12"/>
      <c r="S199" s="12"/>
      <c r="T199" s="12"/>
      <c r="U199" s="12"/>
      <c r="V199" s="12"/>
      <c r="X199" s="12"/>
      <c r="Y199" s="12"/>
      <c r="Z199" s="12"/>
      <c r="AA199" s="12"/>
      <c r="AB199" s="12"/>
    </row>
    <row r="200" spans="1:28">
      <c r="B200" s="10"/>
      <c r="C200" s="11" t="s">
        <v>613</v>
      </c>
      <c r="E200" s="10" t="str">
        <f>tlInputScenario3MAEffort</f>
        <v>Late Stage</v>
      </c>
      <c r="F200" s="32" t="s">
        <v>871</v>
      </c>
      <c r="G200" s="12">
        <f t="shared" si="5"/>
        <v>0</v>
      </c>
      <c r="H200" s="12" t="b">
        <v>0</v>
      </c>
      <c r="I200" s="12" t="b">
        <v>0</v>
      </c>
      <c r="J200" s="13">
        <v>0</v>
      </c>
      <c r="L200" s="12"/>
      <c r="M200" s="12"/>
      <c r="N200" s="12"/>
      <c r="O200" s="12"/>
      <c r="P200" s="12"/>
      <c r="R200" s="12"/>
      <c r="S200" s="12"/>
      <c r="T200" s="12"/>
      <c r="U200" s="12"/>
      <c r="V200" s="12"/>
      <c r="X200" s="12"/>
      <c r="Y200" s="12"/>
      <c r="Z200" s="12"/>
      <c r="AA200" s="12"/>
      <c r="AB200" s="12"/>
    </row>
    <row r="201" spans="1:28">
      <c r="B201" s="10"/>
      <c r="C201" s="11" t="s">
        <v>592</v>
      </c>
      <c r="E201" s="10">
        <f>tlInputScenario3RegulatorySuccess</f>
        <v>0.9</v>
      </c>
      <c r="F201" s="32" t="s">
        <v>872</v>
      </c>
      <c r="G201" s="12">
        <f t="shared" si="5"/>
        <v>0</v>
      </c>
      <c r="H201" s="12" t="b">
        <v>0</v>
      </c>
      <c r="I201" s="12" t="b">
        <v>0</v>
      </c>
      <c r="J201" s="13">
        <v>0</v>
      </c>
      <c r="L201" s="12"/>
      <c r="M201" s="12"/>
      <c r="N201" s="12"/>
      <c r="O201" s="12"/>
      <c r="P201" s="12"/>
      <c r="R201" s="12"/>
      <c r="S201" s="12"/>
      <c r="T201" s="12"/>
      <c r="U201" s="12"/>
      <c r="V201" s="12"/>
      <c r="X201" s="12"/>
      <c r="Y201" s="12"/>
      <c r="Z201" s="12"/>
      <c r="AA201" s="12"/>
      <c r="AB201" s="12"/>
    </row>
    <row r="202" spans="1:28">
      <c r="B202" s="10"/>
      <c r="C202" s="11"/>
      <c r="F202" s="32"/>
      <c r="G202" s="12"/>
      <c r="H202" s="12"/>
      <c r="I202" s="12"/>
      <c r="J202" s="13"/>
      <c r="L202" s="12"/>
      <c r="M202" s="12"/>
      <c r="N202" s="12"/>
      <c r="O202" s="12"/>
      <c r="P202" s="12"/>
      <c r="R202" s="12"/>
      <c r="S202" s="12"/>
      <c r="T202" s="12"/>
      <c r="U202" s="12"/>
      <c r="V202" s="12"/>
      <c r="X202" s="12"/>
      <c r="Y202" s="12"/>
      <c r="Z202" s="12"/>
      <c r="AA202" s="12"/>
      <c r="AB202" s="12"/>
    </row>
    <row r="203" spans="1:28">
      <c r="A203" s="11" t="s">
        <v>540</v>
      </c>
      <c r="B203" s="378">
        <v>0</v>
      </c>
      <c r="C203" s="11" t="s">
        <v>873</v>
      </c>
      <c r="D203" s="10" t="s">
        <v>571</v>
      </c>
      <c r="E203" s="10">
        <f>tlInputScenario3ResearchPTS</f>
        <v>0</v>
      </c>
      <c r="F203" s="32" t="s">
        <v>874</v>
      </c>
      <c r="G203" s="12">
        <f>dec_Round</f>
        <v>0</v>
      </c>
      <c r="H203" s="12" t="b">
        <v>0</v>
      </c>
      <c r="I203" s="12" t="b">
        <v>0</v>
      </c>
      <c r="J203" s="13">
        <v>0</v>
      </c>
      <c r="L203" s="12"/>
      <c r="M203" s="12"/>
      <c r="N203" s="12"/>
      <c r="O203" s="12"/>
      <c r="P203" s="12"/>
      <c r="R203" s="12"/>
      <c r="S203" s="12"/>
      <c r="T203" s="12"/>
      <c r="U203" s="12"/>
      <c r="V203" s="12"/>
      <c r="X203" s="12"/>
      <c r="Y203" s="12"/>
      <c r="Z203" s="12"/>
      <c r="AA203" s="12"/>
      <c r="AB203" s="12"/>
    </row>
    <row r="204" spans="1:28">
      <c r="A204" s="11" t="s">
        <v>465</v>
      </c>
      <c r="B204" s="378">
        <v>0</v>
      </c>
      <c r="C204" s="11" t="s">
        <v>875</v>
      </c>
      <c r="D204" s="10" t="s">
        <v>571</v>
      </c>
      <c r="E204" s="10">
        <f>tlInputScenario3Ph1PTS</f>
        <v>0</v>
      </c>
      <c r="F204" s="32" t="s">
        <v>876</v>
      </c>
      <c r="G204" s="12">
        <f>dec_Round</f>
        <v>0</v>
      </c>
      <c r="H204" s="12" t="b">
        <v>0</v>
      </c>
      <c r="I204" s="12" t="b">
        <v>0</v>
      </c>
      <c r="J204" s="13">
        <v>0</v>
      </c>
      <c r="L204" s="12"/>
      <c r="M204" s="12"/>
      <c r="N204" s="12"/>
      <c r="O204" s="12"/>
      <c r="P204" s="12"/>
      <c r="R204" s="12"/>
      <c r="S204" s="12"/>
      <c r="T204" s="12"/>
      <c r="U204" s="12"/>
      <c r="V204" s="12"/>
      <c r="X204" s="12"/>
      <c r="Y204" s="12"/>
      <c r="Z204" s="12"/>
      <c r="AA204" s="12"/>
      <c r="AB204" s="12"/>
    </row>
    <row r="205" spans="1:28">
      <c r="A205" s="11" t="s">
        <v>466</v>
      </c>
      <c r="B205" s="378">
        <v>0</v>
      </c>
      <c r="C205" s="11" t="s">
        <v>877</v>
      </c>
      <c r="D205" s="10" t="s">
        <v>571</v>
      </c>
      <c r="E205" s="10">
        <f>tlInputScenario3Ph2PTS</f>
        <v>0</v>
      </c>
      <c r="F205" s="32" t="s">
        <v>878</v>
      </c>
      <c r="G205" s="12">
        <f>dec_Round</f>
        <v>0</v>
      </c>
      <c r="H205" s="12" t="b">
        <v>0</v>
      </c>
      <c r="I205" s="12" t="b">
        <v>0</v>
      </c>
      <c r="J205" s="13">
        <v>0</v>
      </c>
      <c r="L205" s="12"/>
      <c r="M205" s="12"/>
      <c r="N205" s="12"/>
      <c r="O205" s="12"/>
      <c r="P205" s="12"/>
      <c r="R205" s="12"/>
      <c r="S205" s="12"/>
      <c r="T205" s="12"/>
      <c r="U205" s="12"/>
      <c r="V205" s="12"/>
      <c r="X205" s="12"/>
      <c r="Y205" s="12"/>
      <c r="Z205" s="12"/>
      <c r="AA205" s="12"/>
      <c r="AB205" s="12"/>
    </row>
    <row r="206" spans="1:28">
      <c r="A206" s="11" t="s">
        <v>467</v>
      </c>
      <c r="B206" s="378">
        <v>0</v>
      </c>
      <c r="C206" s="11" t="s">
        <v>879</v>
      </c>
      <c r="D206" s="10" t="s">
        <v>571</v>
      </c>
      <c r="E206" s="10">
        <f>tlInputScenario3Ph3PTS</f>
        <v>0</v>
      </c>
      <c r="F206" s="32" t="s">
        <v>880</v>
      </c>
      <c r="G206" s="12">
        <f>dec_Round</f>
        <v>0</v>
      </c>
      <c r="H206" s="12" t="b">
        <v>0</v>
      </c>
      <c r="I206" s="12" t="b">
        <v>0</v>
      </c>
      <c r="J206" s="13">
        <v>0</v>
      </c>
      <c r="L206" s="12"/>
      <c r="M206" s="12"/>
      <c r="N206" s="12"/>
      <c r="O206" s="12"/>
      <c r="P206" s="12"/>
      <c r="R206" s="12"/>
      <c r="S206" s="12"/>
      <c r="T206" s="12"/>
      <c r="U206" s="12"/>
      <c r="V206" s="12"/>
      <c r="X206" s="12"/>
      <c r="Y206" s="12"/>
      <c r="Z206" s="12"/>
      <c r="AA206" s="12"/>
      <c r="AB206" s="12"/>
    </row>
    <row r="207" spans="1:28">
      <c r="B207" s="10"/>
      <c r="C207" s="11"/>
      <c r="F207" s="32"/>
      <c r="G207" s="12"/>
      <c r="H207" s="12"/>
      <c r="I207" s="12"/>
      <c r="J207" s="13"/>
      <c r="L207" s="12"/>
      <c r="M207" s="12"/>
      <c r="N207" s="12"/>
      <c r="O207" s="12"/>
      <c r="P207" s="12"/>
      <c r="R207" s="12"/>
      <c r="S207" s="12"/>
      <c r="T207" s="12"/>
      <c r="U207" s="12"/>
      <c r="V207" s="12"/>
      <c r="X207" s="12"/>
      <c r="Y207" s="12"/>
      <c r="Z207" s="12"/>
      <c r="AA207" s="12"/>
      <c r="AB207" s="12"/>
    </row>
    <row r="208" spans="1:28">
      <c r="A208" s="11" t="s">
        <v>540</v>
      </c>
      <c r="B208" s="378">
        <v>0</v>
      </c>
      <c r="C208" s="11" t="s">
        <v>881</v>
      </c>
      <c r="D208" s="10" t="s">
        <v>681</v>
      </c>
      <c r="E208" s="10">
        <f>tlInputScenario3ResearchTimeReq</f>
        <v>0</v>
      </c>
      <c r="F208" s="32" t="s">
        <v>882</v>
      </c>
      <c r="G208" s="12">
        <f>dec_Round</f>
        <v>0</v>
      </c>
      <c r="H208" s="12" t="b">
        <v>0</v>
      </c>
      <c r="I208" s="12" t="b">
        <v>0</v>
      </c>
      <c r="J208" s="13">
        <v>0</v>
      </c>
      <c r="L208" s="12"/>
      <c r="M208" s="12"/>
      <c r="N208" s="12"/>
      <c r="O208" s="12"/>
      <c r="P208" s="12"/>
      <c r="R208" s="12"/>
      <c r="S208" s="12"/>
      <c r="T208" s="12"/>
      <c r="U208" s="12"/>
      <c r="V208" s="12"/>
      <c r="X208" s="12"/>
      <c r="Y208" s="12"/>
      <c r="Z208" s="12"/>
      <c r="AA208" s="12"/>
      <c r="AB208" s="12"/>
    </row>
    <row r="209" spans="1:28">
      <c r="A209" s="11" t="s">
        <v>465</v>
      </c>
      <c r="B209" s="378">
        <v>0</v>
      </c>
      <c r="C209" s="11" t="s">
        <v>883</v>
      </c>
      <c r="D209" s="10" t="s">
        <v>681</v>
      </c>
      <c r="E209" s="10">
        <f>tlInputScenario3Ph1TimeReq</f>
        <v>0</v>
      </c>
      <c r="F209" s="32" t="s">
        <v>884</v>
      </c>
      <c r="G209" s="12">
        <f>dec_Round</f>
        <v>0</v>
      </c>
      <c r="H209" s="12" t="b">
        <v>0</v>
      </c>
      <c r="I209" s="12" t="b">
        <v>0</v>
      </c>
      <c r="J209" s="13">
        <v>0</v>
      </c>
      <c r="L209" s="12"/>
      <c r="M209" s="12"/>
      <c r="N209" s="12"/>
      <c r="O209" s="12"/>
      <c r="P209" s="12"/>
      <c r="R209" s="12"/>
      <c r="S209" s="12"/>
      <c r="T209" s="12"/>
      <c r="U209" s="12"/>
      <c r="V209" s="12"/>
      <c r="X209" s="12"/>
      <c r="Y209" s="12"/>
      <c r="Z209" s="12"/>
      <c r="AA209" s="12"/>
      <c r="AB209" s="12"/>
    </row>
    <row r="210" spans="1:28">
      <c r="A210" s="11" t="s">
        <v>466</v>
      </c>
      <c r="B210" s="378">
        <v>0</v>
      </c>
      <c r="C210" s="11" t="s">
        <v>885</v>
      </c>
      <c r="D210" s="10" t="s">
        <v>681</v>
      </c>
      <c r="E210" s="10">
        <f>tlInputScenario3Ph2TimeReq</f>
        <v>0</v>
      </c>
      <c r="F210" s="32" t="s">
        <v>886</v>
      </c>
      <c r="G210" s="12">
        <f>dec_Round</f>
        <v>0</v>
      </c>
      <c r="H210" s="12" t="b">
        <v>0</v>
      </c>
      <c r="I210" s="12" t="b">
        <v>0</v>
      </c>
      <c r="J210" s="13">
        <v>0</v>
      </c>
      <c r="L210" s="12"/>
      <c r="M210" s="12"/>
      <c r="N210" s="12"/>
      <c r="O210" s="12"/>
      <c r="P210" s="12"/>
      <c r="R210" s="12"/>
      <c r="S210" s="12"/>
      <c r="T210" s="12"/>
      <c r="U210" s="12"/>
      <c r="V210" s="12"/>
      <c r="X210" s="12"/>
      <c r="Y210" s="12"/>
      <c r="Z210" s="12"/>
      <c r="AA210" s="12"/>
      <c r="AB210" s="12"/>
    </row>
    <row r="211" spans="1:28">
      <c r="A211" s="11" t="s">
        <v>467</v>
      </c>
      <c r="B211" s="378">
        <v>0</v>
      </c>
      <c r="C211" s="11" t="s">
        <v>887</v>
      </c>
      <c r="D211" s="10" t="s">
        <v>681</v>
      </c>
      <c r="E211" s="10">
        <f>tlInputScenario3Ph3TimeReq</f>
        <v>0</v>
      </c>
      <c r="F211" s="32" t="s">
        <v>888</v>
      </c>
      <c r="G211" s="12">
        <f>dec_Round</f>
        <v>0</v>
      </c>
      <c r="H211" s="12" t="b">
        <v>0</v>
      </c>
      <c r="I211" s="12" t="b">
        <v>0</v>
      </c>
      <c r="J211" s="13">
        <v>0</v>
      </c>
      <c r="L211" s="12"/>
      <c r="M211" s="12"/>
      <c r="N211" s="12"/>
      <c r="O211" s="12"/>
      <c r="P211" s="12"/>
      <c r="R211" s="12"/>
      <c r="S211" s="12"/>
      <c r="T211" s="12"/>
      <c r="U211" s="12"/>
      <c r="V211" s="12"/>
      <c r="X211" s="12"/>
      <c r="Y211" s="12"/>
      <c r="Z211" s="12"/>
      <c r="AA211" s="12"/>
      <c r="AB211" s="12"/>
    </row>
    <row r="212" spans="1:28">
      <c r="B212" s="10"/>
      <c r="C212" s="11"/>
      <c r="F212" s="32"/>
      <c r="G212" s="12"/>
      <c r="H212" s="12"/>
      <c r="I212" s="12"/>
      <c r="J212" s="13"/>
      <c r="L212" s="12"/>
      <c r="M212" s="12"/>
      <c r="N212" s="12"/>
      <c r="O212" s="12"/>
      <c r="P212" s="12"/>
      <c r="R212" s="12"/>
      <c r="S212" s="12"/>
      <c r="T212" s="12"/>
      <c r="U212" s="12"/>
      <c r="V212" s="12"/>
      <c r="X212" s="12"/>
      <c r="Y212" s="12"/>
      <c r="Z212" s="12"/>
      <c r="AA212" s="12"/>
      <c r="AB212" s="12"/>
    </row>
    <row r="213" spans="1:28">
      <c r="A213" s="11" t="s">
        <v>540</v>
      </c>
      <c r="B213" s="378">
        <v>0</v>
      </c>
      <c r="C213" s="11" t="s">
        <v>889</v>
      </c>
      <c r="D213" s="10" t="s">
        <v>460</v>
      </c>
      <c r="E213" s="10">
        <f>tlInputScenario3ResearchRnDCost</f>
        <v>0</v>
      </c>
      <c r="F213" s="32" t="s">
        <v>890</v>
      </c>
      <c r="G213" s="12">
        <f>dec_Round</f>
        <v>0</v>
      </c>
      <c r="H213" s="12" t="b">
        <v>0</v>
      </c>
      <c r="I213" s="12" t="b">
        <v>0</v>
      </c>
      <c r="J213" s="13">
        <v>0</v>
      </c>
      <c r="L213" s="12"/>
      <c r="M213" s="12"/>
      <c r="N213" s="12"/>
      <c r="O213" s="12"/>
      <c r="P213" s="12"/>
      <c r="R213" s="12"/>
      <c r="S213" s="12"/>
      <c r="T213" s="12"/>
      <c r="U213" s="12"/>
      <c r="V213" s="12"/>
      <c r="X213" s="12"/>
      <c r="Y213" s="12"/>
      <c r="Z213" s="12"/>
      <c r="AA213" s="12"/>
      <c r="AB213" s="12"/>
    </row>
    <row r="214" spans="1:28">
      <c r="A214" s="11" t="s">
        <v>465</v>
      </c>
      <c r="B214" s="378">
        <v>0</v>
      </c>
      <c r="C214" s="11" t="s">
        <v>891</v>
      </c>
      <c r="D214" s="10" t="s">
        <v>460</v>
      </c>
      <c r="E214" s="10">
        <f>tlInputScenario3Ph1RnDCost</f>
        <v>0</v>
      </c>
      <c r="F214" s="32" t="s">
        <v>892</v>
      </c>
      <c r="G214" s="12">
        <f>dec_Round</f>
        <v>0</v>
      </c>
      <c r="H214" s="12" t="b">
        <v>0</v>
      </c>
      <c r="I214" s="12" t="b">
        <v>0</v>
      </c>
      <c r="J214" s="13">
        <v>0</v>
      </c>
      <c r="L214" s="12"/>
      <c r="M214" s="12"/>
      <c r="N214" s="12"/>
      <c r="O214" s="12"/>
      <c r="P214" s="12"/>
      <c r="R214" s="12"/>
      <c r="S214" s="12"/>
      <c r="T214" s="12"/>
      <c r="U214" s="12"/>
      <c r="V214" s="12"/>
      <c r="X214" s="12"/>
      <c r="Y214" s="12"/>
      <c r="Z214" s="12"/>
      <c r="AA214" s="12"/>
      <c r="AB214" s="12"/>
    </row>
    <row r="215" spans="1:28">
      <c r="A215" s="11" t="s">
        <v>466</v>
      </c>
      <c r="B215" s="378">
        <v>0</v>
      </c>
      <c r="C215" s="11" t="s">
        <v>893</v>
      </c>
      <c r="D215" s="10" t="s">
        <v>460</v>
      </c>
      <c r="E215" s="10">
        <f>tlInputScenario3Ph2RnDCost</f>
        <v>0</v>
      </c>
      <c r="F215" s="32" t="s">
        <v>894</v>
      </c>
      <c r="G215" s="12">
        <f>dec_Round</f>
        <v>0</v>
      </c>
      <c r="H215" s="12" t="b">
        <v>0</v>
      </c>
      <c r="I215" s="12" t="b">
        <v>0</v>
      </c>
      <c r="J215" s="13">
        <v>0</v>
      </c>
      <c r="L215" s="12"/>
      <c r="M215" s="12"/>
      <c r="N215" s="12"/>
      <c r="O215" s="12"/>
      <c r="P215" s="12"/>
      <c r="R215" s="12"/>
      <c r="S215" s="12"/>
      <c r="T215" s="12"/>
      <c r="U215" s="12"/>
      <c r="V215" s="12"/>
      <c r="X215" s="12"/>
      <c r="Y215" s="12"/>
      <c r="Z215" s="12"/>
      <c r="AA215" s="12"/>
      <c r="AB215" s="12"/>
    </row>
    <row r="216" spans="1:28">
      <c r="A216" s="11" t="s">
        <v>467</v>
      </c>
      <c r="B216" s="378">
        <v>0</v>
      </c>
      <c r="C216" s="11" t="s">
        <v>895</v>
      </c>
      <c r="D216" s="10" t="s">
        <v>460</v>
      </c>
      <c r="E216" s="10">
        <f>tlInputScenario3Ph3RnDCost</f>
        <v>0</v>
      </c>
      <c r="F216" s="32" t="s">
        <v>896</v>
      </c>
      <c r="G216" s="12">
        <f>dec_Round</f>
        <v>0</v>
      </c>
      <c r="H216" s="12" t="b">
        <v>0</v>
      </c>
      <c r="I216" s="12" t="b">
        <v>0</v>
      </c>
      <c r="J216" s="13">
        <v>0</v>
      </c>
      <c r="L216" s="12"/>
      <c r="M216" s="12"/>
      <c r="N216" s="12"/>
      <c r="O216" s="12"/>
      <c r="P216" s="12"/>
      <c r="R216" s="12"/>
      <c r="S216" s="12"/>
      <c r="T216" s="12"/>
      <c r="U216" s="12"/>
      <c r="V216" s="12"/>
      <c r="X216" s="12"/>
      <c r="Y216" s="12"/>
      <c r="Z216" s="12"/>
      <c r="AA216" s="12"/>
      <c r="AB216" s="12"/>
    </row>
    <row r="217" spans="1:28">
      <c r="B217" s="10"/>
      <c r="C217" s="11"/>
      <c r="F217" s="32"/>
      <c r="G217" s="12"/>
      <c r="H217" s="12"/>
      <c r="I217" s="12"/>
      <c r="J217" s="13"/>
      <c r="L217" s="12"/>
      <c r="M217" s="12"/>
      <c r="N217" s="12"/>
      <c r="O217" s="12"/>
      <c r="P217" s="12"/>
      <c r="R217" s="12"/>
      <c r="S217" s="12"/>
      <c r="T217" s="12"/>
      <c r="U217" s="12"/>
      <c r="V217" s="12"/>
      <c r="X217" s="12"/>
      <c r="Y217" s="12"/>
      <c r="Z217" s="12"/>
      <c r="AA217" s="12"/>
      <c r="AB217" s="12"/>
    </row>
    <row r="218" spans="1:28">
      <c r="A218" s="11" t="s">
        <v>540</v>
      </c>
      <c r="B218" s="378">
        <v>0</v>
      </c>
      <c r="C218" s="11" t="s">
        <v>897</v>
      </c>
      <c r="D218" s="10" t="s">
        <v>690</v>
      </c>
      <c r="E218" s="10">
        <f>tlInputScenario3ResearchFTECost</f>
        <v>0</v>
      </c>
      <c r="F218" s="32" t="s">
        <v>898</v>
      </c>
      <c r="G218" s="12">
        <f>dec_Round</f>
        <v>0</v>
      </c>
      <c r="H218" s="12" t="b">
        <v>0</v>
      </c>
      <c r="I218" s="12" t="b">
        <v>0</v>
      </c>
      <c r="J218" s="13">
        <v>0</v>
      </c>
      <c r="L218" s="12"/>
      <c r="M218" s="12"/>
      <c r="N218" s="12"/>
      <c r="O218" s="12"/>
      <c r="P218" s="12"/>
      <c r="R218" s="12"/>
      <c r="S218" s="12"/>
      <c r="T218" s="12"/>
      <c r="U218" s="12"/>
      <c r="V218" s="12"/>
      <c r="X218" s="12"/>
      <c r="Y218" s="12"/>
      <c r="Z218" s="12"/>
      <c r="AA218" s="12"/>
      <c r="AB218" s="12"/>
    </row>
    <row r="219" spans="1:28">
      <c r="A219" s="11" t="s">
        <v>465</v>
      </c>
      <c r="B219" s="378">
        <v>0</v>
      </c>
      <c r="C219" s="11" t="s">
        <v>899</v>
      </c>
      <c r="D219" s="10" t="s">
        <v>690</v>
      </c>
      <c r="E219" s="10">
        <f>tlInputScenario3Ph1FTECost</f>
        <v>0</v>
      </c>
      <c r="F219" s="32" t="s">
        <v>900</v>
      </c>
      <c r="G219" s="12">
        <f>dec_Round</f>
        <v>0</v>
      </c>
      <c r="H219" s="12" t="b">
        <v>0</v>
      </c>
      <c r="I219" s="12" t="b">
        <v>0</v>
      </c>
      <c r="J219" s="13">
        <v>0</v>
      </c>
      <c r="L219" s="12"/>
      <c r="M219" s="12"/>
      <c r="N219" s="12"/>
      <c r="O219" s="12"/>
      <c r="P219" s="12"/>
      <c r="R219" s="12"/>
      <c r="S219" s="12"/>
      <c r="T219" s="12"/>
      <c r="U219" s="12"/>
      <c r="V219" s="12"/>
      <c r="X219" s="12"/>
      <c r="Y219" s="12"/>
      <c r="Z219" s="12"/>
      <c r="AA219" s="12"/>
      <c r="AB219" s="12"/>
    </row>
    <row r="220" spans="1:28">
      <c r="A220" s="11" t="s">
        <v>466</v>
      </c>
      <c r="B220" s="378">
        <v>0</v>
      </c>
      <c r="C220" s="11" t="s">
        <v>901</v>
      </c>
      <c r="D220" s="10" t="s">
        <v>690</v>
      </c>
      <c r="E220" s="10">
        <f>tlInputScenario3Ph2FTECost</f>
        <v>0</v>
      </c>
      <c r="F220" s="32" t="s">
        <v>902</v>
      </c>
      <c r="G220" s="12">
        <f>dec_Round</f>
        <v>0</v>
      </c>
      <c r="H220" s="12" t="b">
        <v>0</v>
      </c>
      <c r="I220" s="12" t="b">
        <v>0</v>
      </c>
      <c r="J220" s="13">
        <v>0</v>
      </c>
      <c r="L220" s="12"/>
      <c r="M220" s="12"/>
      <c r="N220" s="12"/>
      <c r="O220" s="12"/>
      <c r="P220" s="12"/>
      <c r="R220" s="12"/>
      <c r="S220" s="12"/>
      <c r="T220" s="12"/>
      <c r="U220" s="12"/>
      <c r="V220" s="12"/>
      <c r="X220" s="12"/>
      <c r="Y220" s="12"/>
      <c r="Z220" s="12"/>
      <c r="AA220" s="12"/>
      <c r="AB220" s="12"/>
    </row>
    <row r="221" spans="1:28">
      <c r="A221" s="11" t="s">
        <v>467</v>
      </c>
      <c r="B221" s="378">
        <v>0</v>
      </c>
      <c r="C221" s="11" t="s">
        <v>903</v>
      </c>
      <c r="D221" s="10" t="s">
        <v>690</v>
      </c>
      <c r="E221" s="10">
        <f>tlInputScenario3Ph3FTECost</f>
        <v>0</v>
      </c>
      <c r="F221" s="32" t="s">
        <v>904</v>
      </c>
      <c r="G221" s="12">
        <f>dec_Round</f>
        <v>0</v>
      </c>
      <c r="H221" s="12" t="b">
        <v>0</v>
      </c>
      <c r="I221" s="12" t="b">
        <v>0</v>
      </c>
      <c r="J221" s="13">
        <v>0</v>
      </c>
      <c r="L221" s="12"/>
      <c r="M221" s="12"/>
      <c r="N221" s="12"/>
      <c r="O221" s="12"/>
      <c r="P221" s="12"/>
      <c r="R221" s="12"/>
      <c r="S221" s="12"/>
      <c r="T221" s="12"/>
      <c r="U221" s="12"/>
      <c r="V221" s="12"/>
      <c r="X221" s="12"/>
      <c r="Y221" s="12"/>
      <c r="Z221" s="12"/>
      <c r="AA221" s="12"/>
      <c r="AB221" s="12"/>
    </row>
    <row r="222" spans="1:28">
      <c r="B222" s="10"/>
      <c r="C222" s="11"/>
      <c r="F222" s="32"/>
      <c r="G222" s="12"/>
      <c r="H222" s="12"/>
      <c r="I222" s="12"/>
      <c r="J222" s="13"/>
      <c r="L222" s="12"/>
      <c r="M222" s="12"/>
      <c r="N222" s="12"/>
      <c r="O222" s="12"/>
      <c r="P222" s="12"/>
      <c r="R222" s="12"/>
      <c r="S222" s="12"/>
      <c r="T222" s="12"/>
      <c r="U222" s="12"/>
      <c r="V222" s="12"/>
      <c r="X222" s="12"/>
      <c r="Y222" s="12"/>
      <c r="Z222" s="12"/>
      <c r="AA222" s="12"/>
      <c r="AB222" s="12"/>
    </row>
    <row r="223" spans="1:28">
      <c r="B223" s="84" t="s">
        <v>672</v>
      </c>
      <c r="C223" s="11"/>
      <c r="F223" s="32"/>
      <c r="G223" s="12"/>
      <c r="H223" s="12"/>
      <c r="I223" s="12"/>
      <c r="J223" s="13"/>
      <c r="L223" s="12"/>
      <c r="M223" s="12"/>
      <c r="N223" s="12"/>
      <c r="O223" s="12"/>
      <c r="P223" s="12"/>
      <c r="R223" s="12"/>
      <c r="S223" s="12"/>
      <c r="T223" s="12"/>
      <c r="U223" s="12"/>
      <c r="V223" s="12"/>
      <c r="X223" s="12"/>
      <c r="Y223" s="12"/>
      <c r="Z223" s="12"/>
      <c r="AA223" s="12"/>
      <c r="AB223" s="12"/>
    </row>
    <row r="224" spans="1:28">
      <c r="A224" s="10" t="s">
        <v>470</v>
      </c>
      <c r="B224" s="10"/>
      <c r="C224" s="11" t="s">
        <v>519</v>
      </c>
      <c r="E224" s="10" t="b">
        <f>tlInputScenario3EnterRegion1</f>
        <v>1</v>
      </c>
      <c r="F224" s="32" t="s">
        <v>905</v>
      </c>
      <c r="G224" s="12">
        <f>dec_Round</f>
        <v>0</v>
      </c>
      <c r="H224" s="12" t="b">
        <v>0</v>
      </c>
      <c r="I224" s="12" t="b">
        <v>0</v>
      </c>
      <c r="J224" s="13">
        <v>0</v>
      </c>
      <c r="L224" s="12"/>
      <c r="M224" s="12"/>
      <c r="N224" s="12"/>
      <c r="O224" s="12"/>
      <c r="P224" s="12"/>
      <c r="R224" s="12"/>
      <c r="S224" s="12"/>
      <c r="T224" s="12"/>
      <c r="U224" s="12"/>
      <c r="V224" s="12"/>
      <c r="X224" s="12"/>
      <c r="Y224" s="12"/>
      <c r="Z224" s="12"/>
      <c r="AA224" s="12"/>
      <c r="AB224" s="12"/>
    </row>
    <row r="225" spans="1:28">
      <c r="A225" s="10" t="s">
        <v>470</v>
      </c>
      <c r="B225" s="10"/>
      <c r="C225" s="11" t="s">
        <v>574</v>
      </c>
      <c r="E225" s="10">
        <f>tlInputScenario3PatPopRegion1</f>
        <v>1000</v>
      </c>
      <c r="F225" s="32" t="s">
        <v>906</v>
      </c>
      <c r="G225" s="12">
        <f>dec_Round</f>
        <v>0</v>
      </c>
      <c r="H225" s="12" t="b">
        <v>0</v>
      </c>
      <c r="I225" s="12" t="b">
        <v>0</v>
      </c>
      <c r="J225" s="13">
        <v>0</v>
      </c>
      <c r="L225" s="12"/>
      <c r="M225" s="12"/>
      <c r="N225" s="12"/>
      <c r="O225" s="12"/>
      <c r="P225" s="12"/>
      <c r="R225" s="12"/>
      <c r="S225" s="12"/>
      <c r="T225" s="12"/>
      <c r="U225" s="12"/>
      <c r="V225" s="12"/>
      <c r="X225" s="12"/>
      <c r="Y225" s="12"/>
      <c r="Z225" s="12"/>
      <c r="AA225" s="12"/>
      <c r="AB225" s="12"/>
    </row>
    <row r="226" spans="1:28">
      <c r="A226" s="10" t="s">
        <v>470</v>
      </c>
      <c r="B226" s="10"/>
      <c r="C226" s="11" t="s">
        <v>474</v>
      </c>
      <c r="E226" s="10">
        <f>tlInputScenario3PeakMSRegion1</f>
        <v>0.1</v>
      </c>
      <c r="F226" s="32" t="s">
        <v>907</v>
      </c>
      <c r="G226" s="12">
        <f>dec_Round</f>
        <v>0</v>
      </c>
      <c r="H226" s="12" t="b">
        <v>0</v>
      </c>
      <c r="I226" s="12" t="b">
        <v>0</v>
      </c>
      <c r="J226" s="13">
        <v>0</v>
      </c>
      <c r="L226" s="12"/>
      <c r="M226" s="12"/>
      <c r="N226" s="12"/>
      <c r="O226" s="12"/>
      <c r="P226" s="12"/>
      <c r="R226" s="12"/>
      <c r="S226" s="12"/>
      <c r="T226" s="12"/>
      <c r="U226" s="12"/>
      <c r="V226" s="12"/>
      <c r="X226" s="12"/>
      <c r="Y226" s="12"/>
      <c r="Z226" s="12"/>
      <c r="AA226" s="12"/>
      <c r="AB226" s="12"/>
    </row>
    <row r="227" spans="1:28">
      <c r="A227" s="10" t="s">
        <v>470</v>
      </c>
      <c r="B227" s="378">
        <v>0</v>
      </c>
      <c r="C227" s="11" t="s">
        <v>908</v>
      </c>
      <c r="D227" s="11" t="s">
        <v>593</v>
      </c>
      <c r="E227" s="10">
        <f>tlInputScenario3PriceRegion1</f>
        <v>0</v>
      </c>
      <c r="F227" s="32" t="s">
        <v>909</v>
      </c>
      <c r="G227" s="12">
        <f>dec_Round</f>
        <v>0</v>
      </c>
      <c r="H227" s="12" t="b">
        <v>0</v>
      </c>
      <c r="I227" s="12" t="b">
        <v>0</v>
      </c>
      <c r="J227" s="13">
        <v>0</v>
      </c>
      <c r="L227" s="12"/>
      <c r="M227" s="12"/>
      <c r="N227" s="12"/>
      <c r="O227" s="12"/>
      <c r="P227" s="12"/>
      <c r="R227" s="12"/>
      <c r="S227" s="12"/>
      <c r="T227" s="12"/>
      <c r="U227" s="12"/>
      <c r="V227" s="12"/>
      <c r="X227" s="12"/>
      <c r="Y227" s="12"/>
      <c r="Z227" s="12"/>
      <c r="AA227" s="12"/>
      <c r="AB227" s="12"/>
    </row>
    <row r="228" spans="1:28">
      <c r="A228" s="10" t="s">
        <v>470</v>
      </c>
      <c r="B228" s="378">
        <v>0</v>
      </c>
      <c r="C228" s="11" t="s">
        <v>910</v>
      </c>
      <c r="D228" s="11" t="s">
        <v>486</v>
      </c>
      <c r="E228" s="10">
        <f>tlInputScenario3Region1SnM</f>
        <v>0</v>
      </c>
      <c r="F228" s="32" t="s">
        <v>911</v>
      </c>
      <c r="G228" s="12">
        <f>dec_Round</f>
        <v>0</v>
      </c>
      <c r="H228" s="12" t="b">
        <v>0</v>
      </c>
      <c r="I228" s="12" t="b">
        <v>0</v>
      </c>
      <c r="J228" s="13">
        <v>0</v>
      </c>
      <c r="L228" s="12"/>
      <c r="M228" s="12"/>
      <c r="N228" s="12"/>
      <c r="O228" s="12"/>
      <c r="P228" s="12"/>
      <c r="R228" s="12"/>
      <c r="S228" s="12"/>
      <c r="T228" s="12"/>
      <c r="U228" s="12"/>
      <c r="V228" s="12"/>
      <c r="X228" s="12"/>
      <c r="Y228" s="12"/>
      <c r="Z228" s="12"/>
      <c r="AA228" s="12"/>
      <c r="AB228" s="12"/>
    </row>
    <row r="229" spans="1:28">
      <c r="F229" s="32"/>
      <c r="G229" s="12"/>
      <c r="H229" s="12"/>
      <c r="I229" s="12"/>
      <c r="J229" s="12"/>
      <c r="L229" s="12"/>
      <c r="M229" s="12"/>
      <c r="N229" s="12"/>
      <c r="O229" s="12"/>
      <c r="P229" s="12"/>
      <c r="R229" s="12"/>
      <c r="S229" s="12"/>
      <c r="T229" s="12"/>
      <c r="U229" s="12"/>
      <c r="V229" s="12"/>
      <c r="X229" s="12"/>
      <c r="Y229" s="12"/>
      <c r="Z229" s="12"/>
      <c r="AA229" s="12"/>
      <c r="AB229" s="12"/>
    </row>
    <row r="230" spans="1:28">
      <c r="A230" s="10" t="s">
        <v>471</v>
      </c>
      <c r="B230" s="10"/>
      <c r="C230" s="11" t="s">
        <v>519</v>
      </c>
      <c r="E230" s="10" t="b">
        <f>tlInputScenario3EnterRegion2</f>
        <v>0</v>
      </c>
      <c r="F230" s="32" t="s">
        <v>912</v>
      </c>
      <c r="G230" s="12">
        <f>dec_Round</f>
        <v>0</v>
      </c>
      <c r="H230" s="12" t="b">
        <v>0</v>
      </c>
      <c r="I230" s="12" t="b">
        <v>0</v>
      </c>
      <c r="J230" s="13">
        <v>0</v>
      </c>
      <c r="L230" s="12"/>
      <c r="M230" s="12"/>
      <c r="N230" s="12"/>
      <c r="O230" s="12"/>
      <c r="P230" s="12"/>
      <c r="R230" s="12"/>
      <c r="S230" s="12"/>
      <c r="T230" s="12"/>
      <c r="U230" s="12"/>
      <c r="V230" s="12"/>
      <c r="X230" s="12"/>
      <c r="Y230" s="12"/>
      <c r="Z230" s="12"/>
      <c r="AA230" s="12"/>
      <c r="AB230" s="12"/>
    </row>
    <row r="231" spans="1:28">
      <c r="A231" s="10" t="s">
        <v>471</v>
      </c>
      <c r="B231" s="10"/>
      <c r="C231" s="11" t="s">
        <v>574</v>
      </c>
      <c r="E231" s="10">
        <f>tlInputScenario3PatPopRegion2</f>
        <v>500</v>
      </c>
      <c r="F231" s="32" t="s">
        <v>913</v>
      </c>
      <c r="G231" s="12">
        <f>dec_Round</f>
        <v>0</v>
      </c>
      <c r="H231" s="12" t="b">
        <v>0</v>
      </c>
      <c r="I231" s="12" t="b">
        <v>0</v>
      </c>
      <c r="J231" s="13">
        <v>0</v>
      </c>
      <c r="L231" s="12"/>
      <c r="M231" s="12"/>
      <c r="N231" s="12"/>
      <c r="O231" s="12"/>
      <c r="P231" s="12"/>
      <c r="R231" s="12"/>
      <c r="S231" s="12"/>
      <c r="T231" s="12"/>
      <c r="U231" s="12"/>
      <c r="V231" s="12"/>
      <c r="X231" s="12"/>
      <c r="Y231" s="12"/>
      <c r="Z231" s="12"/>
      <c r="AA231" s="12"/>
      <c r="AB231" s="12"/>
    </row>
    <row r="232" spans="1:28">
      <c r="A232" s="10" t="s">
        <v>471</v>
      </c>
      <c r="B232" s="10"/>
      <c r="C232" s="11" t="s">
        <v>474</v>
      </c>
      <c r="E232" s="10">
        <f>tlInputScenario3PeakMSRegion2</f>
        <v>0.1</v>
      </c>
      <c r="F232" s="32" t="s">
        <v>914</v>
      </c>
      <c r="G232" s="12">
        <f>dec_Round</f>
        <v>0</v>
      </c>
      <c r="H232" s="12" t="b">
        <v>0</v>
      </c>
      <c r="I232" s="12" t="b">
        <v>0</v>
      </c>
      <c r="J232" s="13">
        <v>0</v>
      </c>
      <c r="L232" s="12"/>
      <c r="M232" s="12"/>
      <c r="N232" s="12"/>
      <c r="O232" s="12"/>
      <c r="P232" s="12"/>
      <c r="R232" s="12"/>
      <c r="S232" s="12"/>
      <c r="T232" s="12"/>
      <c r="U232" s="12"/>
      <c r="V232" s="12"/>
      <c r="X232" s="12"/>
      <c r="Y232" s="12"/>
      <c r="Z232" s="12"/>
      <c r="AA232" s="12"/>
      <c r="AB232" s="12"/>
    </row>
    <row r="233" spans="1:28">
      <c r="A233" s="10" t="s">
        <v>471</v>
      </c>
      <c r="B233" s="378">
        <v>0</v>
      </c>
      <c r="C233" s="11" t="s">
        <v>915</v>
      </c>
      <c r="D233" s="11" t="s">
        <v>593</v>
      </c>
      <c r="E233" s="10">
        <f>tlInputScenario3PriceRegion2</f>
        <v>0</v>
      </c>
      <c r="F233" s="32" t="s">
        <v>916</v>
      </c>
      <c r="G233" s="12">
        <f>dec_Round</f>
        <v>0</v>
      </c>
      <c r="H233" s="12" t="b">
        <v>0</v>
      </c>
      <c r="I233" s="12" t="b">
        <v>0</v>
      </c>
      <c r="J233" s="13">
        <v>0</v>
      </c>
      <c r="L233" s="12"/>
      <c r="M233" s="12"/>
      <c r="N233" s="12"/>
      <c r="O233" s="12"/>
      <c r="P233" s="12"/>
      <c r="R233" s="12"/>
      <c r="S233" s="12"/>
      <c r="T233" s="12"/>
      <c r="U233" s="12"/>
      <c r="V233" s="12"/>
      <c r="X233" s="12"/>
      <c r="Y233" s="12"/>
      <c r="Z233" s="12"/>
      <c r="AA233" s="12"/>
      <c r="AB233" s="12"/>
    </row>
    <row r="234" spans="1:28">
      <c r="A234" s="10" t="s">
        <v>471</v>
      </c>
      <c r="B234" s="378">
        <v>0</v>
      </c>
      <c r="C234" s="11" t="s">
        <v>917</v>
      </c>
      <c r="D234" s="11" t="s">
        <v>486</v>
      </c>
      <c r="E234" s="10">
        <f>tlInputScenario3Region2SnM</f>
        <v>0</v>
      </c>
      <c r="F234" s="32" t="s">
        <v>918</v>
      </c>
      <c r="G234" s="12">
        <f>dec_Round</f>
        <v>0</v>
      </c>
      <c r="H234" s="12" t="b">
        <v>0</v>
      </c>
      <c r="I234" s="12" t="b">
        <v>0</v>
      </c>
      <c r="J234" s="13">
        <v>0</v>
      </c>
      <c r="L234" s="12"/>
      <c r="M234" s="12"/>
      <c r="N234" s="12"/>
      <c r="O234" s="12"/>
      <c r="P234" s="12"/>
      <c r="R234" s="12"/>
      <c r="S234" s="12"/>
      <c r="T234" s="12"/>
      <c r="U234" s="12"/>
      <c r="V234" s="12"/>
      <c r="X234" s="12"/>
      <c r="Y234" s="12"/>
      <c r="Z234" s="12"/>
      <c r="AA234" s="12"/>
      <c r="AB234" s="12"/>
    </row>
    <row r="235" spans="1:28">
      <c r="F235" s="32"/>
      <c r="G235" s="12"/>
      <c r="H235" s="12"/>
      <c r="I235" s="12"/>
      <c r="J235" s="12"/>
      <c r="L235" s="12"/>
      <c r="M235" s="12"/>
      <c r="N235" s="12"/>
      <c r="O235" s="12"/>
      <c r="P235" s="12"/>
      <c r="R235" s="12"/>
      <c r="S235" s="12"/>
      <c r="T235" s="12"/>
      <c r="U235" s="12"/>
      <c r="V235" s="12"/>
      <c r="X235" s="12"/>
      <c r="Y235" s="12"/>
      <c r="Z235" s="12"/>
      <c r="AA235" s="12"/>
      <c r="AB235" s="12"/>
    </row>
    <row r="236" spans="1:28">
      <c r="A236" s="10" t="s">
        <v>472</v>
      </c>
      <c r="B236" s="10"/>
      <c r="C236" s="11" t="s">
        <v>519</v>
      </c>
      <c r="E236" s="10" t="b">
        <f>tlInputScenario3EnterRegion3</f>
        <v>0</v>
      </c>
      <c r="F236" s="32" t="s">
        <v>919</v>
      </c>
      <c r="G236" s="12">
        <f>dec_Round</f>
        <v>0</v>
      </c>
      <c r="H236" s="12" t="b">
        <v>0</v>
      </c>
      <c r="I236" s="12" t="b">
        <v>0</v>
      </c>
      <c r="J236" s="13">
        <v>0</v>
      </c>
      <c r="L236" s="12"/>
      <c r="M236" s="12"/>
      <c r="N236" s="12"/>
      <c r="O236" s="12"/>
      <c r="P236" s="12"/>
      <c r="R236" s="12"/>
      <c r="S236" s="12"/>
      <c r="T236" s="12"/>
      <c r="U236" s="12"/>
      <c r="V236" s="12"/>
      <c r="X236" s="12"/>
      <c r="Y236" s="12"/>
      <c r="Z236" s="12"/>
      <c r="AA236" s="12"/>
      <c r="AB236" s="12"/>
    </row>
    <row r="237" spans="1:28">
      <c r="A237" s="10" t="s">
        <v>472</v>
      </c>
      <c r="B237" s="10"/>
      <c r="C237" s="11" t="s">
        <v>574</v>
      </c>
      <c r="E237" s="10">
        <f>tlInputScenario3PatPopRegion3</f>
        <v>2000</v>
      </c>
      <c r="F237" s="32" t="s">
        <v>920</v>
      </c>
      <c r="G237" s="12">
        <f>dec_Round</f>
        <v>0</v>
      </c>
      <c r="H237" s="12" t="b">
        <v>0</v>
      </c>
      <c r="I237" s="12" t="b">
        <v>0</v>
      </c>
      <c r="J237" s="13">
        <v>0</v>
      </c>
      <c r="L237" s="12"/>
      <c r="M237" s="12"/>
      <c r="N237" s="12"/>
      <c r="O237" s="12"/>
      <c r="P237" s="12"/>
      <c r="R237" s="12"/>
      <c r="S237" s="12"/>
      <c r="T237" s="12"/>
      <c r="U237" s="12"/>
      <c r="V237" s="12"/>
      <c r="X237" s="12"/>
      <c r="Y237" s="12"/>
      <c r="Z237" s="12"/>
      <c r="AA237" s="12"/>
      <c r="AB237" s="12"/>
    </row>
    <row r="238" spans="1:28">
      <c r="A238" s="10" t="s">
        <v>472</v>
      </c>
      <c r="B238" s="10"/>
      <c r="C238" s="11" t="s">
        <v>474</v>
      </c>
      <c r="E238" s="10">
        <f>tlInputScenario3PeakMSRegion3</f>
        <v>0.1</v>
      </c>
      <c r="F238" s="32" t="s">
        <v>921</v>
      </c>
      <c r="G238" s="12">
        <f>dec_Round</f>
        <v>0</v>
      </c>
      <c r="H238" s="12" t="b">
        <v>0</v>
      </c>
      <c r="I238" s="12" t="b">
        <v>0</v>
      </c>
      <c r="J238" s="13">
        <v>0</v>
      </c>
      <c r="L238" s="12"/>
      <c r="M238" s="12"/>
      <c r="N238" s="12"/>
      <c r="O238" s="12"/>
      <c r="P238" s="12"/>
      <c r="R238" s="12"/>
      <c r="S238" s="12"/>
      <c r="T238" s="12"/>
      <c r="U238" s="12"/>
      <c r="V238" s="12"/>
      <c r="X238" s="12"/>
      <c r="Y238" s="12"/>
      <c r="Z238" s="12"/>
      <c r="AA238" s="12"/>
      <c r="AB238" s="12"/>
    </row>
    <row r="239" spans="1:28">
      <c r="A239" s="10" t="s">
        <v>472</v>
      </c>
      <c r="B239" s="378">
        <v>0</v>
      </c>
      <c r="C239" s="11" t="s">
        <v>922</v>
      </c>
      <c r="D239" s="11" t="s">
        <v>593</v>
      </c>
      <c r="E239" s="10">
        <f>tlInputScenario3PriceRegion3</f>
        <v>0</v>
      </c>
      <c r="F239" s="32" t="s">
        <v>923</v>
      </c>
      <c r="G239" s="12">
        <f>dec_Round</f>
        <v>0</v>
      </c>
      <c r="H239" s="12" t="b">
        <v>0</v>
      </c>
      <c r="I239" s="12" t="b">
        <v>0</v>
      </c>
      <c r="J239" s="13">
        <v>0</v>
      </c>
      <c r="L239" s="12"/>
      <c r="M239" s="12"/>
      <c r="N239" s="12"/>
      <c r="O239" s="12"/>
      <c r="P239" s="12"/>
      <c r="R239" s="12"/>
      <c r="S239" s="12"/>
      <c r="T239" s="12"/>
      <c r="U239" s="12"/>
      <c r="V239" s="12"/>
      <c r="X239" s="12"/>
      <c r="Y239" s="12"/>
      <c r="Z239" s="12"/>
      <c r="AA239" s="12"/>
      <c r="AB239" s="12"/>
    </row>
    <row r="240" spans="1:28">
      <c r="A240" s="10" t="s">
        <v>472</v>
      </c>
      <c r="B240" s="378">
        <v>0</v>
      </c>
      <c r="C240" s="11" t="s">
        <v>924</v>
      </c>
      <c r="D240" s="11" t="s">
        <v>486</v>
      </c>
      <c r="E240" s="10">
        <f>tlInputScenario3Region3SnM</f>
        <v>0</v>
      </c>
      <c r="F240" s="32" t="s">
        <v>925</v>
      </c>
      <c r="G240" s="12">
        <f>dec_Round</f>
        <v>0</v>
      </c>
      <c r="H240" s="12" t="b">
        <v>0</v>
      </c>
      <c r="I240" s="12" t="b">
        <v>0</v>
      </c>
      <c r="J240" s="13">
        <v>0</v>
      </c>
      <c r="L240" s="12"/>
      <c r="M240" s="12"/>
      <c r="N240" s="12"/>
      <c r="O240" s="12"/>
      <c r="P240" s="12"/>
      <c r="R240" s="12"/>
      <c r="S240" s="12"/>
      <c r="T240" s="12"/>
      <c r="U240" s="12"/>
      <c r="V240" s="12"/>
      <c r="X240" s="12"/>
      <c r="Y240" s="12"/>
      <c r="Z240" s="12"/>
      <c r="AA240" s="12"/>
      <c r="AB240" s="12"/>
    </row>
    <row r="241" spans="1:28">
      <c r="F241" s="32"/>
      <c r="G241" s="12"/>
      <c r="H241" s="12"/>
      <c r="I241" s="12"/>
      <c r="J241" s="12"/>
      <c r="L241" s="12"/>
      <c r="M241" s="12"/>
      <c r="N241" s="12"/>
      <c r="O241" s="12"/>
      <c r="P241" s="12"/>
      <c r="R241" s="12"/>
      <c r="S241" s="12"/>
      <c r="T241" s="12"/>
      <c r="U241" s="12"/>
      <c r="V241" s="12"/>
      <c r="X241" s="12"/>
      <c r="Y241" s="12"/>
      <c r="Z241" s="12"/>
      <c r="AA241" s="12"/>
      <c r="AB241" s="12"/>
    </row>
    <row r="242" spans="1:28">
      <c r="A242" s="10" t="s">
        <v>473</v>
      </c>
      <c r="B242" s="10"/>
      <c r="C242" s="11" t="s">
        <v>519</v>
      </c>
      <c r="E242" s="10" t="b">
        <f>tlInputScenario3EnterRegion4</f>
        <v>0</v>
      </c>
      <c r="F242" s="32" t="s">
        <v>926</v>
      </c>
      <c r="G242" s="12">
        <f>dec_Round</f>
        <v>0</v>
      </c>
      <c r="H242" s="12" t="b">
        <v>0</v>
      </c>
      <c r="I242" s="12" t="b">
        <v>0</v>
      </c>
      <c r="J242" s="13">
        <v>0</v>
      </c>
      <c r="L242" s="12"/>
      <c r="M242" s="12"/>
      <c r="N242" s="12"/>
      <c r="O242" s="12"/>
      <c r="P242" s="12"/>
      <c r="R242" s="12"/>
      <c r="S242" s="12"/>
      <c r="T242" s="12"/>
      <c r="U242" s="12"/>
      <c r="V242" s="12"/>
      <c r="X242" s="12"/>
      <c r="Y242" s="12"/>
      <c r="Z242" s="12"/>
      <c r="AA242" s="12"/>
      <c r="AB242" s="12"/>
    </row>
    <row r="243" spans="1:28">
      <c r="A243" s="10" t="s">
        <v>473</v>
      </c>
      <c r="B243" s="10"/>
      <c r="C243" s="11" t="s">
        <v>574</v>
      </c>
      <c r="E243" s="10">
        <f>tlInputScenario3PatPopRegion4</f>
        <v>3000</v>
      </c>
      <c r="F243" s="32" t="s">
        <v>927</v>
      </c>
      <c r="G243" s="12">
        <f>dec_Round</f>
        <v>0</v>
      </c>
      <c r="H243" s="12" t="b">
        <v>0</v>
      </c>
      <c r="I243" s="12" t="b">
        <v>0</v>
      </c>
      <c r="J243" s="13">
        <v>0</v>
      </c>
      <c r="L243" s="12"/>
      <c r="M243" s="12"/>
      <c r="N243" s="12"/>
      <c r="O243" s="12"/>
      <c r="P243" s="12"/>
      <c r="R243" s="12"/>
      <c r="S243" s="12"/>
      <c r="T243" s="12"/>
      <c r="U243" s="12"/>
      <c r="V243" s="12"/>
      <c r="X243" s="12"/>
      <c r="Y243" s="12"/>
      <c r="Z243" s="12"/>
      <c r="AA243" s="12"/>
      <c r="AB243" s="12"/>
    </row>
    <row r="244" spans="1:28">
      <c r="A244" s="10" t="s">
        <v>473</v>
      </c>
      <c r="B244" s="10"/>
      <c r="C244" s="11" t="s">
        <v>474</v>
      </c>
      <c r="E244" s="10">
        <f>tlInputScenario3PeakMSRegion4</f>
        <v>0.1</v>
      </c>
      <c r="F244" s="32" t="s">
        <v>928</v>
      </c>
      <c r="G244" s="12">
        <f>dec_Round</f>
        <v>0</v>
      </c>
      <c r="H244" s="12" t="b">
        <v>0</v>
      </c>
      <c r="I244" s="12" t="b">
        <v>0</v>
      </c>
      <c r="J244" s="13">
        <v>0</v>
      </c>
      <c r="L244" s="12"/>
      <c r="M244" s="12"/>
      <c r="N244" s="12"/>
      <c r="O244" s="12"/>
      <c r="P244" s="12"/>
      <c r="R244" s="12"/>
      <c r="S244" s="12"/>
      <c r="T244" s="12"/>
      <c r="U244" s="12"/>
      <c r="V244" s="12"/>
      <c r="X244" s="12"/>
      <c r="Y244" s="12"/>
      <c r="Z244" s="12"/>
      <c r="AA244" s="12"/>
      <c r="AB244" s="12"/>
    </row>
    <row r="245" spans="1:28">
      <c r="A245" s="10" t="s">
        <v>473</v>
      </c>
      <c r="B245" s="378">
        <v>0</v>
      </c>
      <c r="C245" s="11" t="s">
        <v>929</v>
      </c>
      <c r="D245" s="11" t="s">
        <v>593</v>
      </c>
      <c r="E245" s="10">
        <f>tlInputScenario3PriceRegion4</f>
        <v>0</v>
      </c>
      <c r="F245" s="32" t="s">
        <v>930</v>
      </c>
      <c r="G245" s="12">
        <f>dec_Round</f>
        <v>0</v>
      </c>
      <c r="H245" s="12" t="b">
        <v>0</v>
      </c>
      <c r="I245" s="12" t="b">
        <v>0</v>
      </c>
      <c r="J245" s="13">
        <v>0</v>
      </c>
      <c r="L245" s="12"/>
      <c r="M245" s="12"/>
      <c r="N245" s="12"/>
      <c r="O245" s="12"/>
      <c r="P245" s="12"/>
      <c r="R245" s="12"/>
      <c r="S245" s="12"/>
      <c r="T245" s="12"/>
      <c r="U245" s="12"/>
      <c r="V245" s="12"/>
      <c r="X245" s="12"/>
      <c r="Y245" s="12"/>
      <c r="Z245" s="12"/>
      <c r="AA245" s="12"/>
      <c r="AB245" s="12"/>
    </row>
    <row r="246" spans="1:28">
      <c r="A246" s="10" t="s">
        <v>473</v>
      </c>
      <c r="B246" s="378">
        <v>0</v>
      </c>
      <c r="C246" s="11" t="s">
        <v>931</v>
      </c>
      <c r="D246" s="11" t="s">
        <v>486</v>
      </c>
      <c r="E246" s="10">
        <f>tlInputScenario3Region4SnM</f>
        <v>0</v>
      </c>
      <c r="F246" s="32" t="s">
        <v>932</v>
      </c>
      <c r="G246" s="12">
        <f>dec_Round</f>
        <v>0</v>
      </c>
      <c r="H246" s="12" t="b">
        <v>0</v>
      </c>
      <c r="I246" s="12" t="b">
        <v>0</v>
      </c>
      <c r="J246" s="13">
        <v>0</v>
      </c>
      <c r="L246" s="12"/>
      <c r="M246" s="12"/>
      <c r="N246" s="12"/>
      <c r="O246" s="12"/>
      <c r="P246" s="12"/>
      <c r="R246" s="12"/>
      <c r="S246" s="12"/>
      <c r="T246" s="12"/>
      <c r="U246" s="12"/>
      <c r="V246" s="12"/>
      <c r="X246" s="12"/>
      <c r="Y246" s="12"/>
      <c r="Z246" s="12"/>
      <c r="AA246" s="12"/>
      <c r="AB246" s="12"/>
    </row>
    <row r="247" spans="1:28">
      <c r="F247" s="32"/>
      <c r="G247" s="12"/>
      <c r="H247" s="12"/>
      <c r="I247" s="12"/>
      <c r="J247" s="12"/>
      <c r="L247" s="12"/>
      <c r="M247" s="12"/>
      <c r="N247" s="12"/>
      <c r="O247" s="12"/>
      <c r="P247" s="12"/>
      <c r="R247" s="12"/>
      <c r="S247" s="12"/>
      <c r="T247" s="12"/>
      <c r="U247" s="12"/>
      <c r="V247" s="12"/>
      <c r="X247" s="12"/>
      <c r="Y247" s="12"/>
      <c r="Z247" s="12"/>
      <c r="AA247" s="12"/>
      <c r="AB247" s="12"/>
    </row>
    <row r="248" spans="1:28">
      <c r="A248" s="85" t="s">
        <v>933</v>
      </c>
      <c r="B248" s="378">
        <v>0</v>
      </c>
      <c r="C248" s="11" t="s">
        <v>493</v>
      </c>
      <c r="E248" s="10">
        <f>tlInputScenario3Penetration</f>
        <v>0</v>
      </c>
      <c r="F248" s="32" t="s">
        <v>934</v>
      </c>
      <c r="G248" s="12">
        <f t="shared" ref="G248:G254" si="6">dec_Round</f>
        <v>0</v>
      </c>
      <c r="H248" s="12" t="b">
        <v>0</v>
      </c>
      <c r="I248" s="12" t="b">
        <v>0</v>
      </c>
      <c r="J248" s="13">
        <v>0</v>
      </c>
      <c r="L248" s="12"/>
      <c r="M248" s="12"/>
      <c r="N248" s="12"/>
      <c r="O248" s="12"/>
      <c r="P248" s="12"/>
      <c r="R248" s="12"/>
      <c r="S248" s="12"/>
      <c r="T248" s="12"/>
      <c r="U248" s="12"/>
      <c r="V248" s="12"/>
      <c r="X248" s="12"/>
      <c r="Y248" s="12"/>
      <c r="Z248" s="12"/>
      <c r="AA248" s="12"/>
      <c r="AB248" s="12"/>
    </row>
    <row r="249" spans="1:28">
      <c r="A249" s="85" t="s">
        <v>935</v>
      </c>
      <c r="B249" s="378">
        <v>0</v>
      </c>
      <c r="C249" s="11" t="s">
        <v>494</v>
      </c>
      <c r="E249" s="10">
        <f>tlInputScenario3Compliance</f>
        <v>0</v>
      </c>
      <c r="F249" s="32" t="s">
        <v>936</v>
      </c>
      <c r="G249" s="12">
        <f t="shared" si="6"/>
        <v>0</v>
      </c>
      <c r="H249" s="12" t="b">
        <v>0</v>
      </c>
      <c r="I249" s="12" t="b">
        <v>0</v>
      </c>
      <c r="J249" s="13">
        <v>0</v>
      </c>
      <c r="L249" s="12"/>
      <c r="M249" s="12"/>
      <c r="N249" s="12"/>
      <c r="O249" s="12"/>
      <c r="P249" s="12"/>
      <c r="R249" s="12"/>
      <c r="S249" s="12"/>
      <c r="T249" s="12"/>
      <c r="U249" s="12"/>
      <c r="V249" s="12"/>
      <c r="X249" s="12"/>
      <c r="Y249" s="12"/>
      <c r="Z249" s="12"/>
      <c r="AA249" s="12"/>
      <c r="AB249" s="12"/>
    </row>
    <row r="250" spans="1:28">
      <c r="A250" s="85" t="s">
        <v>937</v>
      </c>
      <c r="B250" s="378">
        <v>0</v>
      </c>
      <c r="C250" s="11" t="s">
        <v>485</v>
      </c>
      <c r="E250" s="10">
        <f>tlInputScenario3DiscountRate</f>
        <v>0</v>
      </c>
      <c r="F250" s="32" t="s">
        <v>938</v>
      </c>
      <c r="G250" s="12">
        <f t="shared" si="6"/>
        <v>0</v>
      </c>
      <c r="H250" s="12" t="b">
        <v>0</v>
      </c>
      <c r="I250" s="12" t="b">
        <v>0</v>
      </c>
      <c r="J250" s="13">
        <v>0</v>
      </c>
      <c r="L250" s="12"/>
      <c r="M250" s="12"/>
      <c r="N250" s="12"/>
      <c r="O250" s="12"/>
      <c r="P250" s="12"/>
      <c r="R250" s="12"/>
      <c r="S250" s="12"/>
      <c r="T250" s="12"/>
      <c r="U250" s="12"/>
      <c r="V250" s="12"/>
      <c r="X250" s="12"/>
      <c r="Y250" s="12"/>
      <c r="Z250" s="12"/>
      <c r="AA250" s="12"/>
      <c r="AB250" s="12"/>
    </row>
    <row r="251" spans="1:28">
      <c r="A251" s="85" t="s">
        <v>939</v>
      </c>
      <c r="B251" s="378">
        <v>0</v>
      </c>
      <c r="C251" s="11" t="s">
        <v>558</v>
      </c>
      <c r="E251" s="10">
        <f>tlInputScenario3COGS</f>
        <v>0</v>
      </c>
      <c r="F251" s="32" t="s">
        <v>940</v>
      </c>
      <c r="G251" s="12">
        <f t="shared" si="6"/>
        <v>0</v>
      </c>
      <c r="H251" s="12" t="b">
        <v>0</v>
      </c>
      <c r="I251" s="12" t="b">
        <v>0</v>
      </c>
      <c r="J251" s="13">
        <v>0</v>
      </c>
      <c r="L251" s="12"/>
      <c r="M251" s="12"/>
      <c r="N251" s="12"/>
      <c r="O251" s="12"/>
      <c r="P251" s="12"/>
      <c r="R251" s="12"/>
      <c r="S251" s="12"/>
      <c r="T251" s="12"/>
      <c r="U251" s="12"/>
      <c r="V251" s="12"/>
      <c r="X251" s="12"/>
      <c r="Y251" s="12"/>
      <c r="Z251" s="12"/>
      <c r="AA251" s="12"/>
      <c r="AB251" s="12"/>
    </row>
    <row r="252" spans="1:28">
      <c r="B252" s="10"/>
      <c r="C252" s="11" t="s">
        <v>492</v>
      </c>
      <c r="E252" s="10">
        <f>tlInputScenario3Royalty</f>
        <v>0</v>
      </c>
      <c r="F252" s="32" t="s">
        <v>941</v>
      </c>
      <c r="G252" s="12">
        <f t="shared" si="6"/>
        <v>0</v>
      </c>
      <c r="H252" s="12" t="b">
        <v>0</v>
      </c>
      <c r="I252" s="12" t="b">
        <v>0</v>
      </c>
      <c r="J252" s="13">
        <v>0</v>
      </c>
      <c r="L252" s="12"/>
      <c r="M252" s="12"/>
      <c r="N252" s="12"/>
      <c r="O252" s="12"/>
      <c r="P252" s="12"/>
      <c r="R252" s="12"/>
      <c r="S252" s="12"/>
      <c r="T252" s="12"/>
      <c r="U252" s="12"/>
      <c r="V252" s="12"/>
      <c r="X252" s="12"/>
      <c r="Y252" s="12"/>
      <c r="Z252" s="12"/>
      <c r="AA252" s="12"/>
      <c r="AB252" s="12"/>
    </row>
    <row r="253" spans="1:28">
      <c r="B253" s="10"/>
      <c r="C253" s="11" t="s">
        <v>521</v>
      </c>
      <c r="E253" s="10">
        <f>tlInputScenario3EPVRate</f>
        <v>0.06</v>
      </c>
      <c r="F253" s="32" t="s">
        <v>942</v>
      </c>
      <c r="G253" s="12">
        <f t="shared" si="6"/>
        <v>0</v>
      </c>
      <c r="H253" s="12" t="b">
        <v>0</v>
      </c>
      <c r="I253" s="12" t="b">
        <v>0</v>
      </c>
      <c r="J253" s="13">
        <v>0</v>
      </c>
      <c r="L253" s="12"/>
      <c r="M253" s="12"/>
      <c r="N253" s="12"/>
      <c r="O253" s="12"/>
      <c r="P253" s="12"/>
      <c r="R253" s="12"/>
      <c r="S253" s="12"/>
      <c r="T253" s="12"/>
      <c r="U253" s="12"/>
      <c r="V253" s="12"/>
      <c r="X253" s="12"/>
      <c r="Y253" s="12"/>
      <c r="Z253" s="12"/>
      <c r="AA253" s="12"/>
      <c r="AB253" s="12"/>
    </row>
    <row r="254" spans="1:28">
      <c r="B254" s="10"/>
      <c r="C254" s="11" t="s">
        <v>520</v>
      </c>
      <c r="E254" s="10">
        <f>tlInputScenario3NPVRate</f>
        <v>0.12</v>
      </c>
      <c r="F254" s="32" t="s">
        <v>943</v>
      </c>
      <c r="G254" s="12">
        <f t="shared" si="6"/>
        <v>0</v>
      </c>
      <c r="H254" s="12" t="b">
        <v>0</v>
      </c>
      <c r="I254" s="12" t="b">
        <v>0</v>
      </c>
      <c r="J254" s="13">
        <v>0</v>
      </c>
      <c r="L254" s="12"/>
      <c r="M254" s="12"/>
      <c r="N254" s="12"/>
      <c r="O254" s="12"/>
      <c r="P254" s="12"/>
      <c r="R254" s="12"/>
      <c r="S254" s="12"/>
      <c r="T254" s="12"/>
      <c r="U254" s="12"/>
      <c r="V254" s="12"/>
      <c r="X254" s="12"/>
      <c r="Y254" s="12"/>
      <c r="Z254" s="12"/>
      <c r="AA254" s="12"/>
      <c r="AB254" s="12"/>
    </row>
    <row r="255" spans="1:28">
      <c r="B255" s="10"/>
      <c r="C255" s="11"/>
      <c r="G255" s="12"/>
      <c r="H255" s="12"/>
      <c r="I255" s="12"/>
      <c r="J255" s="13"/>
      <c r="L255" s="12"/>
      <c r="M255" s="12"/>
      <c r="N255" s="12"/>
      <c r="O255" s="12"/>
      <c r="P255" s="12"/>
      <c r="R255" s="12"/>
      <c r="S255" s="12"/>
      <c r="T255" s="12"/>
      <c r="U255" s="12"/>
      <c r="V255" s="12"/>
      <c r="X255" s="12"/>
      <c r="Y255" s="12"/>
      <c r="Z255" s="12"/>
      <c r="AA255" s="12"/>
      <c r="AB255" s="12"/>
    </row>
    <row r="256" spans="1:28">
      <c r="B256" s="11" t="s">
        <v>671</v>
      </c>
      <c r="F256" s="11"/>
      <c r="G256" s="12"/>
      <c r="H256" s="12"/>
      <c r="I256" s="12"/>
      <c r="J256" s="13"/>
      <c r="L256" s="12"/>
      <c r="M256" s="12"/>
      <c r="N256" s="12"/>
      <c r="O256" s="12"/>
      <c r="P256" s="12"/>
      <c r="R256" s="12"/>
      <c r="S256" s="12"/>
      <c r="T256" s="12"/>
      <c r="U256" s="12"/>
      <c r="V256" s="12"/>
      <c r="X256" s="12"/>
      <c r="Y256" s="12"/>
      <c r="Z256" s="12"/>
      <c r="AA256" s="12"/>
      <c r="AB256" s="12"/>
    </row>
    <row r="257" spans="2:28">
      <c r="B257" s="11" t="s">
        <v>795</v>
      </c>
      <c r="E257" s="10" t="str">
        <f>tlInputActionAsExpected4</f>
        <v>Yes</v>
      </c>
      <c r="F257" s="11" t="s">
        <v>823</v>
      </c>
      <c r="G257" s="12">
        <f t="shared" ref="G257:G288" si="7">dec_Round</f>
        <v>0</v>
      </c>
      <c r="H257" s="12" t="b">
        <v>0</v>
      </c>
      <c r="I257" s="12" t="b">
        <v>0</v>
      </c>
      <c r="J257" s="13">
        <v>0</v>
      </c>
      <c r="L257" s="12"/>
      <c r="M257" s="12"/>
      <c r="N257" s="12"/>
      <c r="O257" s="12"/>
      <c r="P257" s="12"/>
      <c r="R257" s="12"/>
      <c r="S257" s="12"/>
      <c r="T257" s="12"/>
      <c r="U257" s="12"/>
      <c r="V257" s="12"/>
      <c r="X257" s="12"/>
      <c r="Y257" s="12"/>
      <c r="Z257" s="12"/>
      <c r="AA257" s="12"/>
      <c r="AB257" s="12"/>
    </row>
    <row r="258" spans="2:28">
      <c r="B258" s="11" t="s">
        <v>796</v>
      </c>
      <c r="E258" s="10" t="str">
        <f>tlInputActionAsExpected5</f>
        <v>Yes</v>
      </c>
      <c r="F258" s="11" t="s">
        <v>824</v>
      </c>
      <c r="G258" s="12">
        <f t="shared" si="7"/>
        <v>0</v>
      </c>
      <c r="H258" s="12" t="b">
        <v>0</v>
      </c>
      <c r="I258" s="12" t="b">
        <v>0</v>
      </c>
      <c r="J258" s="13">
        <v>0</v>
      </c>
      <c r="L258" s="12"/>
      <c r="M258" s="12"/>
      <c r="N258" s="12"/>
      <c r="O258" s="12"/>
      <c r="P258" s="12"/>
      <c r="R258" s="12"/>
      <c r="S258" s="12"/>
      <c r="T258" s="12"/>
      <c r="U258" s="12"/>
      <c r="V258" s="12"/>
      <c r="X258" s="12"/>
      <c r="Y258" s="12"/>
      <c r="Z258" s="12"/>
      <c r="AA258" s="12"/>
      <c r="AB258" s="12"/>
    </row>
    <row r="259" spans="2:28">
      <c r="B259" s="11" t="s">
        <v>797</v>
      </c>
      <c r="E259" s="10" t="str">
        <f>tlInputActionAsExpected6</f>
        <v>Yes</v>
      </c>
      <c r="F259" s="11" t="s">
        <v>825</v>
      </c>
      <c r="G259" s="12">
        <f t="shared" si="7"/>
        <v>0</v>
      </c>
      <c r="H259" s="12" t="b">
        <v>0</v>
      </c>
      <c r="I259" s="12" t="b">
        <v>0</v>
      </c>
      <c r="J259" s="13">
        <v>0</v>
      </c>
      <c r="L259" s="12"/>
      <c r="M259" s="12"/>
      <c r="N259" s="12"/>
      <c r="O259" s="12"/>
      <c r="P259" s="12"/>
      <c r="R259" s="12"/>
      <c r="S259" s="12"/>
      <c r="T259" s="12"/>
      <c r="U259" s="12"/>
      <c r="V259" s="12"/>
      <c r="X259" s="12"/>
      <c r="Y259" s="12"/>
      <c r="Z259" s="12"/>
      <c r="AA259" s="12"/>
      <c r="AB259" s="12"/>
    </row>
    <row r="260" spans="2:28">
      <c r="B260" s="11" t="s">
        <v>798</v>
      </c>
      <c r="E260" s="10" t="str">
        <f>tlInputActionAsExpected1</f>
        <v>Yes</v>
      </c>
      <c r="F260" s="11" t="s">
        <v>826</v>
      </c>
      <c r="G260" s="12">
        <f t="shared" si="7"/>
        <v>0</v>
      </c>
      <c r="H260" s="12" t="b">
        <v>0</v>
      </c>
      <c r="I260" s="12" t="b">
        <v>0</v>
      </c>
      <c r="J260" s="13">
        <v>0</v>
      </c>
      <c r="L260" s="12"/>
      <c r="M260" s="12"/>
      <c r="N260" s="12"/>
      <c r="O260" s="12"/>
      <c r="P260" s="12"/>
      <c r="R260" s="12"/>
      <c r="S260" s="12"/>
      <c r="T260" s="12"/>
      <c r="U260" s="12"/>
      <c r="V260" s="12"/>
      <c r="X260" s="12"/>
      <c r="Y260" s="12"/>
      <c r="Z260" s="12"/>
      <c r="AA260" s="12"/>
      <c r="AB260" s="12"/>
    </row>
    <row r="261" spans="2:28">
      <c r="B261" s="11" t="s">
        <v>799</v>
      </c>
      <c r="E261" s="10" t="str">
        <f>tlInputActionAsExpected2</f>
        <v>Yes</v>
      </c>
      <c r="F261" s="11" t="s">
        <v>827</v>
      </c>
      <c r="G261" s="12">
        <f t="shared" si="7"/>
        <v>0</v>
      </c>
      <c r="H261" s="12" t="b">
        <v>0</v>
      </c>
      <c r="I261" s="12" t="b">
        <v>0</v>
      </c>
      <c r="J261" s="13">
        <v>0</v>
      </c>
      <c r="L261" s="12"/>
      <c r="M261" s="12"/>
      <c r="N261" s="12"/>
      <c r="O261" s="12"/>
      <c r="P261" s="12"/>
      <c r="R261" s="12"/>
      <c r="S261" s="12"/>
      <c r="T261" s="12"/>
      <c r="U261" s="12"/>
      <c r="V261" s="12"/>
      <c r="X261" s="12"/>
      <c r="Y261" s="12"/>
      <c r="Z261" s="12"/>
      <c r="AA261" s="12"/>
      <c r="AB261" s="12"/>
    </row>
    <row r="262" spans="2:28">
      <c r="B262" s="11" t="s">
        <v>800</v>
      </c>
      <c r="E262" s="10" t="str">
        <f>tlInputActionAsExpected3</f>
        <v>Yes</v>
      </c>
      <c r="F262" s="11" t="s">
        <v>828</v>
      </c>
      <c r="G262" s="12">
        <f t="shared" si="7"/>
        <v>0</v>
      </c>
      <c r="H262" s="12" t="b">
        <v>0</v>
      </c>
      <c r="I262" s="12" t="b">
        <v>0</v>
      </c>
      <c r="J262" s="13">
        <v>0</v>
      </c>
      <c r="L262" s="12"/>
      <c r="M262" s="12"/>
      <c r="N262" s="12"/>
      <c r="O262" s="12"/>
      <c r="P262" s="12"/>
      <c r="R262" s="12"/>
      <c r="S262" s="12"/>
      <c r="T262" s="12"/>
      <c r="U262" s="12"/>
      <c r="V262" s="12"/>
      <c r="X262" s="12"/>
      <c r="Y262" s="12"/>
      <c r="Z262" s="12"/>
      <c r="AA262" s="12"/>
      <c r="AB262" s="12"/>
    </row>
    <row r="263" spans="2:28">
      <c r="B263" s="11" t="s">
        <v>801</v>
      </c>
      <c r="E263" s="10">
        <f>tlInputActionAsExpectedInsight1</f>
        <v>0</v>
      </c>
      <c r="F263" s="11" t="s">
        <v>829</v>
      </c>
      <c r="G263" s="12">
        <f t="shared" si="7"/>
        <v>0</v>
      </c>
      <c r="H263" s="12" t="b">
        <v>0</v>
      </c>
      <c r="I263" s="12" t="b">
        <v>0</v>
      </c>
      <c r="J263" s="13">
        <v>0</v>
      </c>
      <c r="L263" s="12"/>
      <c r="M263" s="12"/>
      <c r="N263" s="12"/>
      <c r="O263" s="12"/>
      <c r="P263" s="12"/>
      <c r="R263" s="12"/>
      <c r="S263" s="12"/>
      <c r="T263" s="12"/>
      <c r="U263" s="12"/>
      <c r="V263" s="12"/>
      <c r="X263" s="12"/>
      <c r="Y263" s="12"/>
      <c r="Z263" s="12"/>
      <c r="AA263" s="12"/>
      <c r="AB263" s="12"/>
    </row>
    <row r="264" spans="2:28">
      <c r="B264" s="11" t="s">
        <v>802</v>
      </c>
      <c r="E264" s="10">
        <f>tlInputActionAsExpectedInsight2</f>
        <v>0</v>
      </c>
      <c r="F264" s="11" t="s">
        <v>830</v>
      </c>
      <c r="G264" s="12">
        <f t="shared" si="7"/>
        <v>0</v>
      </c>
      <c r="H264" s="12" t="b">
        <v>0</v>
      </c>
      <c r="I264" s="12" t="b">
        <v>0</v>
      </c>
      <c r="J264" s="13">
        <v>0</v>
      </c>
      <c r="L264" s="12"/>
      <c r="M264" s="12"/>
      <c r="N264" s="12"/>
      <c r="O264" s="12"/>
      <c r="P264" s="12"/>
      <c r="R264" s="12"/>
      <c r="S264" s="12"/>
      <c r="T264" s="12"/>
      <c r="U264" s="12"/>
      <c r="V264" s="12"/>
      <c r="X264" s="12"/>
      <c r="Y264" s="12"/>
      <c r="Z264" s="12"/>
      <c r="AA264" s="12"/>
      <c r="AB264" s="12"/>
    </row>
    <row r="265" spans="2:28">
      <c r="B265" s="11" t="s">
        <v>803</v>
      </c>
      <c r="E265" s="10">
        <f>tlInputActionAsExpectedInsight3</f>
        <v>0</v>
      </c>
      <c r="F265" s="11" t="s">
        <v>831</v>
      </c>
      <c r="G265" s="12">
        <f t="shared" si="7"/>
        <v>0</v>
      </c>
      <c r="H265" s="12" t="b">
        <v>0</v>
      </c>
      <c r="I265" s="12" t="b">
        <v>0</v>
      </c>
      <c r="J265" s="13">
        <v>0</v>
      </c>
      <c r="L265" s="12"/>
      <c r="M265" s="12"/>
      <c r="N265" s="12"/>
      <c r="O265" s="12"/>
      <c r="P265" s="12"/>
      <c r="R265" s="12"/>
      <c r="S265" s="12"/>
      <c r="T265" s="12"/>
      <c r="U265" s="12"/>
      <c r="V265" s="12"/>
      <c r="X265" s="12"/>
      <c r="Y265" s="12"/>
      <c r="Z265" s="12"/>
      <c r="AA265" s="12"/>
      <c r="AB265" s="12"/>
    </row>
    <row r="266" spans="2:28">
      <c r="B266" s="11" t="s">
        <v>804</v>
      </c>
      <c r="E266" s="10">
        <f>tlInputActionAsExpectedInsight4</f>
        <v>0</v>
      </c>
      <c r="F266" s="11" t="s">
        <v>832</v>
      </c>
      <c r="G266" s="12">
        <f t="shared" si="7"/>
        <v>0</v>
      </c>
      <c r="H266" s="12" t="b">
        <v>0</v>
      </c>
      <c r="I266" s="12" t="b">
        <v>0</v>
      </c>
      <c r="J266" s="13">
        <v>0</v>
      </c>
      <c r="L266" s="12"/>
      <c r="M266" s="12"/>
      <c r="N266" s="12"/>
      <c r="O266" s="12"/>
      <c r="P266" s="12"/>
      <c r="R266" s="12"/>
      <c r="S266" s="12"/>
      <c r="T266" s="12"/>
      <c r="U266" s="12"/>
      <c r="V266" s="12"/>
      <c r="X266" s="12"/>
      <c r="Y266" s="12"/>
      <c r="Z266" s="12"/>
      <c r="AA266" s="12"/>
      <c r="AB266" s="12"/>
    </row>
    <row r="267" spans="2:28">
      <c r="B267" s="11" t="s">
        <v>805</v>
      </c>
      <c r="E267" s="10">
        <f>tlInputActionAsExpectedInsight5</f>
        <v>0</v>
      </c>
      <c r="F267" s="11" t="s">
        <v>833</v>
      </c>
      <c r="G267" s="12">
        <f t="shared" si="7"/>
        <v>0</v>
      </c>
      <c r="H267" s="12" t="b">
        <v>0</v>
      </c>
      <c r="I267" s="12" t="b">
        <v>0</v>
      </c>
      <c r="J267" s="13">
        <v>0</v>
      </c>
      <c r="L267" s="12"/>
      <c r="M267" s="12"/>
      <c r="N267" s="12"/>
      <c r="O267" s="12"/>
      <c r="P267" s="12"/>
      <c r="R267" s="12"/>
      <c r="S267" s="12"/>
      <c r="T267" s="12"/>
      <c r="U267" s="12"/>
      <c r="V267" s="12"/>
      <c r="X267" s="12"/>
      <c r="Y267" s="12"/>
      <c r="Z267" s="12"/>
      <c r="AA267" s="12"/>
      <c r="AB267" s="12"/>
    </row>
    <row r="268" spans="2:28">
      <c r="B268" s="11" t="s">
        <v>806</v>
      </c>
      <c r="E268" s="10">
        <f>tlInputActionAsExpectedInsight6</f>
        <v>0</v>
      </c>
      <c r="F268" s="11" t="s">
        <v>834</v>
      </c>
      <c r="G268" s="12">
        <f t="shared" si="7"/>
        <v>0</v>
      </c>
      <c r="H268" s="12" t="b">
        <v>0</v>
      </c>
      <c r="I268" s="12" t="b">
        <v>0</v>
      </c>
      <c r="J268" s="13">
        <v>0</v>
      </c>
      <c r="L268" s="12"/>
      <c r="M268" s="12"/>
      <c r="N268" s="12"/>
      <c r="O268" s="12"/>
      <c r="P268" s="12"/>
      <c r="R268" s="12"/>
      <c r="S268" s="12"/>
      <c r="T268" s="12"/>
      <c r="U268" s="12"/>
      <c r="V268" s="12"/>
      <c r="X268" s="12"/>
      <c r="Y268" s="12"/>
      <c r="Z268" s="12"/>
      <c r="AA268" s="12"/>
      <c r="AB268" s="12"/>
    </row>
    <row r="269" spans="2:28">
      <c r="B269" s="11" t="s">
        <v>807</v>
      </c>
      <c r="E269" s="11" t="str">
        <f>tlInputActionCommitment1</f>
        <v>Commitment 1</v>
      </c>
      <c r="F269" s="11" t="s">
        <v>835</v>
      </c>
      <c r="G269" s="12">
        <f t="shared" si="7"/>
        <v>0</v>
      </c>
      <c r="H269" s="12" t="b">
        <v>0</v>
      </c>
      <c r="I269" s="12" t="b">
        <v>0</v>
      </c>
      <c r="J269" s="13">
        <v>0</v>
      </c>
      <c r="L269" s="12"/>
      <c r="M269" s="12"/>
      <c r="N269" s="12"/>
      <c r="O269" s="12"/>
      <c r="P269" s="12"/>
      <c r="R269" s="12"/>
      <c r="S269" s="12"/>
      <c r="T269" s="12"/>
      <c r="U269" s="12"/>
      <c r="V269" s="12"/>
      <c r="X269" s="12"/>
      <c r="Y269" s="12"/>
      <c r="Z269" s="12"/>
      <c r="AA269" s="12"/>
      <c r="AB269" s="12"/>
    </row>
    <row r="270" spans="2:28">
      <c r="B270" s="11" t="s">
        <v>503</v>
      </c>
      <c r="E270" s="11" t="str">
        <f>tlInputActionCommitment2</f>
        <v>Commitment 2</v>
      </c>
      <c r="F270" s="11" t="s">
        <v>836</v>
      </c>
      <c r="G270" s="12">
        <f t="shared" si="7"/>
        <v>0</v>
      </c>
      <c r="H270" s="12" t="b">
        <v>0</v>
      </c>
      <c r="I270" s="12" t="b">
        <v>0</v>
      </c>
      <c r="J270" s="13">
        <v>0</v>
      </c>
      <c r="L270" s="12"/>
      <c r="M270" s="12"/>
      <c r="N270" s="12"/>
      <c r="O270" s="12"/>
      <c r="P270" s="12"/>
      <c r="R270" s="12"/>
      <c r="S270" s="12"/>
      <c r="T270" s="12"/>
      <c r="U270" s="12"/>
      <c r="V270" s="12"/>
      <c r="X270" s="12"/>
      <c r="Y270" s="12"/>
      <c r="Z270" s="12"/>
      <c r="AA270" s="12"/>
      <c r="AB270" s="12"/>
    </row>
    <row r="271" spans="2:28">
      <c r="B271" s="11" t="s">
        <v>504</v>
      </c>
      <c r="E271" s="11" t="str">
        <f>tlInputActionCommitment3</f>
        <v>Commitment 3</v>
      </c>
      <c r="F271" s="11" t="s">
        <v>837</v>
      </c>
      <c r="G271" s="12">
        <f t="shared" si="7"/>
        <v>0</v>
      </c>
      <c r="H271" s="12" t="b">
        <v>0</v>
      </c>
      <c r="I271" s="12" t="b">
        <v>0</v>
      </c>
      <c r="J271" s="13">
        <v>0</v>
      </c>
      <c r="L271" s="12"/>
      <c r="M271" s="12"/>
      <c r="N271" s="12"/>
      <c r="O271" s="12"/>
      <c r="P271" s="12"/>
      <c r="R271" s="12"/>
      <c r="S271" s="12"/>
      <c r="T271" s="12"/>
      <c r="U271" s="12"/>
      <c r="V271" s="12"/>
      <c r="X271" s="12"/>
      <c r="Y271" s="12"/>
      <c r="Z271" s="12"/>
      <c r="AA271" s="12"/>
      <c r="AB271" s="12"/>
    </row>
    <row r="272" spans="2:28">
      <c r="B272" s="11" t="s">
        <v>505</v>
      </c>
      <c r="E272" s="11" t="str">
        <f>tlInputActionCommitment4</f>
        <v>Commitment 4</v>
      </c>
      <c r="F272" s="11" t="s">
        <v>838</v>
      </c>
      <c r="G272" s="12">
        <f t="shared" si="7"/>
        <v>0</v>
      </c>
      <c r="H272" s="12" t="b">
        <v>0</v>
      </c>
      <c r="I272" s="12" t="b">
        <v>0</v>
      </c>
      <c r="J272" s="13">
        <v>0</v>
      </c>
      <c r="L272" s="12"/>
      <c r="M272" s="12"/>
      <c r="N272" s="12"/>
      <c r="O272" s="12"/>
      <c r="P272" s="12"/>
      <c r="R272" s="12"/>
      <c r="S272" s="12"/>
      <c r="T272" s="12"/>
      <c r="U272" s="12"/>
      <c r="V272" s="12"/>
      <c r="X272" s="12"/>
      <c r="Y272" s="12"/>
      <c r="Z272" s="12"/>
      <c r="AA272" s="12"/>
      <c r="AB272" s="12"/>
    </row>
    <row r="273" spans="2:28">
      <c r="B273" s="11" t="s">
        <v>506</v>
      </c>
      <c r="E273" s="11" t="str">
        <f>tlInputActionCommitment5</f>
        <v>Commitment 5</v>
      </c>
      <c r="F273" s="11" t="s">
        <v>839</v>
      </c>
      <c r="G273" s="12">
        <f t="shared" si="7"/>
        <v>0</v>
      </c>
      <c r="H273" s="12" t="b">
        <v>0</v>
      </c>
      <c r="I273" s="12" t="b">
        <v>0</v>
      </c>
      <c r="J273" s="13">
        <v>0</v>
      </c>
      <c r="L273" s="12"/>
      <c r="M273" s="12"/>
      <c r="N273" s="12"/>
      <c r="O273" s="12"/>
      <c r="P273" s="12"/>
      <c r="R273" s="12"/>
      <c r="S273" s="12"/>
      <c r="T273" s="12"/>
      <c r="U273" s="12"/>
      <c r="V273" s="12"/>
      <c r="X273" s="12"/>
      <c r="Y273" s="12"/>
      <c r="Z273" s="12"/>
      <c r="AA273" s="12"/>
      <c r="AB273" s="12"/>
    </row>
    <row r="274" spans="2:28">
      <c r="B274" s="11" t="s">
        <v>808</v>
      </c>
      <c r="E274" s="10">
        <f>tlInputActionAccountable1</f>
        <v>0</v>
      </c>
      <c r="F274" s="11" t="s">
        <v>840</v>
      </c>
      <c r="G274" s="12">
        <f t="shared" si="7"/>
        <v>0</v>
      </c>
      <c r="H274" s="12" t="b">
        <v>0</v>
      </c>
      <c r="I274" s="12" t="b">
        <v>0</v>
      </c>
      <c r="J274" s="13">
        <v>0</v>
      </c>
      <c r="L274" s="12"/>
      <c r="M274" s="12"/>
      <c r="N274" s="12"/>
      <c r="O274" s="12"/>
      <c r="P274" s="12"/>
      <c r="R274" s="12"/>
      <c r="S274" s="12"/>
      <c r="T274" s="12"/>
      <c r="U274" s="12"/>
      <c r="V274" s="12"/>
      <c r="X274" s="12"/>
      <c r="Y274" s="12"/>
      <c r="Z274" s="12"/>
      <c r="AA274" s="12"/>
      <c r="AB274" s="12"/>
    </row>
    <row r="275" spans="2:28">
      <c r="B275" s="11" t="s">
        <v>809</v>
      </c>
      <c r="E275" s="10">
        <f>tlInputActionAccountable2</f>
        <v>0</v>
      </c>
      <c r="F275" s="11" t="s">
        <v>841</v>
      </c>
      <c r="G275" s="12">
        <f t="shared" si="7"/>
        <v>0</v>
      </c>
      <c r="H275" s="12" t="b">
        <v>0</v>
      </c>
      <c r="I275" s="12" t="b">
        <v>0</v>
      </c>
      <c r="J275" s="13">
        <v>0</v>
      </c>
      <c r="L275" s="12"/>
      <c r="M275" s="12"/>
      <c r="N275" s="12"/>
      <c r="O275" s="12"/>
      <c r="P275" s="12"/>
      <c r="R275" s="12"/>
      <c r="S275" s="12"/>
      <c r="T275" s="12"/>
      <c r="U275" s="12"/>
      <c r="V275" s="12"/>
      <c r="X275" s="12"/>
      <c r="Y275" s="12"/>
      <c r="Z275" s="12"/>
      <c r="AA275" s="12"/>
      <c r="AB275" s="12"/>
    </row>
    <row r="276" spans="2:28">
      <c r="B276" s="11" t="s">
        <v>810</v>
      </c>
      <c r="E276" s="10">
        <f>tlInputActionAccountable3</f>
        <v>0</v>
      </c>
      <c r="F276" s="11" t="s">
        <v>842</v>
      </c>
      <c r="G276" s="12">
        <f t="shared" si="7"/>
        <v>0</v>
      </c>
      <c r="H276" s="12" t="b">
        <v>0</v>
      </c>
      <c r="I276" s="12" t="b">
        <v>0</v>
      </c>
      <c r="J276" s="13">
        <v>0</v>
      </c>
      <c r="L276" s="12"/>
      <c r="M276" s="12"/>
      <c r="N276" s="12"/>
      <c r="O276" s="12"/>
      <c r="P276" s="12"/>
      <c r="R276" s="12"/>
      <c r="S276" s="12"/>
      <c r="T276" s="12"/>
      <c r="U276" s="12"/>
      <c r="V276" s="12"/>
      <c r="X276" s="12"/>
      <c r="Y276" s="12"/>
      <c r="Z276" s="12"/>
      <c r="AA276" s="12"/>
      <c r="AB276" s="12"/>
    </row>
    <row r="277" spans="2:28">
      <c r="B277" s="11" t="s">
        <v>811</v>
      </c>
      <c r="E277" s="10">
        <f>tlInputActionAccountable4</f>
        <v>0</v>
      </c>
      <c r="F277" s="11" t="s">
        <v>843</v>
      </c>
      <c r="G277" s="12">
        <f t="shared" si="7"/>
        <v>0</v>
      </c>
      <c r="H277" s="12" t="b">
        <v>0</v>
      </c>
      <c r="I277" s="12" t="b">
        <v>0</v>
      </c>
      <c r="J277" s="13">
        <v>0</v>
      </c>
      <c r="L277" s="12"/>
      <c r="M277" s="12"/>
      <c r="N277" s="12"/>
      <c r="O277" s="12"/>
      <c r="P277" s="12"/>
      <c r="R277" s="12"/>
      <c r="S277" s="12"/>
      <c r="T277" s="12"/>
      <c r="U277" s="12"/>
      <c r="V277" s="12"/>
      <c r="X277" s="12"/>
      <c r="Y277" s="12"/>
      <c r="Z277" s="12"/>
      <c r="AA277" s="12"/>
      <c r="AB277" s="12"/>
    </row>
    <row r="278" spans="2:28">
      <c r="B278" s="11" t="s">
        <v>812</v>
      </c>
      <c r="E278" s="10">
        <f>tlInputActionAccountable5</f>
        <v>0</v>
      </c>
      <c r="F278" s="11" t="s">
        <v>844</v>
      </c>
      <c r="G278" s="12">
        <f t="shared" si="7"/>
        <v>0</v>
      </c>
      <c r="H278" s="12" t="b">
        <v>0</v>
      </c>
      <c r="I278" s="12" t="b">
        <v>0</v>
      </c>
      <c r="J278" s="13">
        <v>0</v>
      </c>
      <c r="L278" s="12"/>
      <c r="M278" s="12"/>
      <c r="N278" s="12"/>
      <c r="O278" s="12"/>
      <c r="P278" s="12"/>
      <c r="R278" s="12"/>
      <c r="S278" s="12"/>
      <c r="T278" s="12"/>
      <c r="U278" s="12"/>
      <c r="V278" s="12"/>
      <c r="X278" s="12"/>
      <c r="Y278" s="12"/>
      <c r="Z278" s="12"/>
      <c r="AA278" s="12"/>
      <c r="AB278" s="12"/>
    </row>
    <row r="279" spans="2:28">
      <c r="B279" s="11" t="s">
        <v>813</v>
      </c>
      <c r="E279" s="10">
        <f>tlInputActionCompletionDate1</f>
        <v>0</v>
      </c>
      <c r="F279" s="11" t="s">
        <v>845</v>
      </c>
      <c r="G279" s="12">
        <f t="shared" si="7"/>
        <v>0</v>
      </c>
      <c r="H279" s="12" t="b">
        <v>0</v>
      </c>
      <c r="I279" s="12" t="b">
        <v>0</v>
      </c>
      <c r="J279" s="13">
        <v>0</v>
      </c>
      <c r="L279" s="12"/>
      <c r="M279" s="12"/>
      <c r="N279" s="12"/>
      <c r="O279" s="12"/>
      <c r="P279" s="12"/>
      <c r="R279" s="12"/>
      <c r="S279" s="12"/>
      <c r="T279" s="12"/>
      <c r="U279" s="12"/>
      <c r="V279" s="12"/>
      <c r="X279" s="12"/>
      <c r="Y279" s="12"/>
      <c r="Z279" s="12"/>
      <c r="AA279" s="12"/>
      <c r="AB279" s="12"/>
    </row>
    <row r="280" spans="2:28">
      <c r="B280" s="11" t="s">
        <v>814</v>
      </c>
      <c r="E280" s="10">
        <f>tlInputActionCompletionDate2</f>
        <v>0</v>
      </c>
      <c r="F280" s="11" t="s">
        <v>846</v>
      </c>
      <c r="G280" s="12">
        <f t="shared" si="7"/>
        <v>0</v>
      </c>
      <c r="H280" s="12" t="b">
        <v>0</v>
      </c>
      <c r="I280" s="12" t="b">
        <v>0</v>
      </c>
      <c r="J280" s="13">
        <v>0</v>
      </c>
      <c r="L280" s="12"/>
      <c r="M280" s="12"/>
      <c r="N280" s="12"/>
      <c r="O280" s="12"/>
      <c r="P280" s="12"/>
      <c r="R280" s="12"/>
      <c r="S280" s="12"/>
      <c r="T280" s="12"/>
      <c r="U280" s="12"/>
      <c r="V280" s="12"/>
      <c r="X280" s="12"/>
      <c r="Y280" s="12"/>
      <c r="Z280" s="12"/>
      <c r="AA280" s="12"/>
      <c r="AB280" s="12"/>
    </row>
    <row r="281" spans="2:28">
      <c r="B281" s="11" t="s">
        <v>815</v>
      </c>
      <c r="E281" s="10">
        <f>tlInputActionCompletionDate3</f>
        <v>0</v>
      </c>
      <c r="F281" s="11" t="s">
        <v>847</v>
      </c>
      <c r="G281" s="12">
        <f t="shared" si="7"/>
        <v>0</v>
      </c>
      <c r="H281" s="12" t="b">
        <v>0</v>
      </c>
      <c r="I281" s="12" t="b">
        <v>0</v>
      </c>
      <c r="J281" s="13">
        <v>0</v>
      </c>
      <c r="L281" s="12"/>
      <c r="M281" s="12"/>
      <c r="N281" s="12"/>
      <c r="O281" s="12"/>
      <c r="P281" s="12"/>
      <c r="R281" s="12"/>
      <c r="S281" s="12"/>
      <c r="T281" s="12"/>
      <c r="U281" s="12"/>
      <c r="V281" s="12"/>
      <c r="X281" s="12"/>
      <c r="Y281" s="12"/>
      <c r="Z281" s="12"/>
      <c r="AA281" s="12"/>
      <c r="AB281" s="12"/>
    </row>
    <row r="282" spans="2:28">
      <c r="B282" s="11" t="s">
        <v>816</v>
      </c>
      <c r="E282" s="10">
        <f>tlInputActionCompletionDate4</f>
        <v>0</v>
      </c>
      <c r="F282" s="11" t="s">
        <v>848</v>
      </c>
      <c r="G282" s="12">
        <f t="shared" si="7"/>
        <v>0</v>
      </c>
      <c r="H282" s="12" t="b">
        <v>0</v>
      </c>
      <c r="I282" s="12" t="b">
        <v>0</v>
      </c>
      <c r="J282" s="13">
        <v>0</v>
      </c>
      <c r="L282" s="12"/>
      <c r="M282" s="12"/>
      <c r="N282" s="12"/>
      <c r="O282" s="12"/>
      <c r="P282" s="12"/>
      <c r="R282" s="12"/>
      <c r="S282" s="12"/>
      <c r="T282" s="12"/>
      <c r="U282" s="12"/>
      <c r="V282" s="12"/>
      <c r="X282" s="12"/>
      <c r="Y282" s="12"/>
      <c r="Z282" s="12"/>
      <c r="AA282" s="12"/>
      <c r="AB282" s="12"/>
    </row>
    <row r="283" spans="2:28">
      <c r="B283" s="11" t="s">
        <v>817</v>
      </c>
      <c r="E283" s="10">
        <f>tlInputActionCompletionDate5</f>
        <v>0</v>
      </c>
      <c r="F283" s="11" t="s">
        <v>849</v>
      </c>
      <c r="G283" s="12">
        <f t="shared" si="7"/>
        <v>0</v>
      </c>
      <c r="H283" s="12" t="b">
        <v>0</v>
      </c>
      <c r="I283" s="12" t="b">
        <v>0</v>
      </c>
      <c r="J283" s="13">
        <v>0</v>
      </c>
      <c r="L283" s="12"/>
      <c r="M283" s="12"/>
      <c r="N283" s="12"/>
      <c r="O283" s="12"/>
      <c r="P283" s="12"/>
      <c r="R283" s="12"/>
      <c r="S283" s="12"/>
      <c r="T283" s="12"/>
      <c r="U283" s="12"/>
      <c r="V283" s="12"/>
      <c r="X283" s="12"/>
      <c r="Y283" s="12"/>
      <c r="Z283" s="12"/>
      <c r="AA283" s="12"/>
      <c r="AB283" s="12"/>
    </row>
    <row r="284" spans="2:28">
      <c r="B284" s="11" t="s">
        <v>818</v>
      </c>
      <c r="E284" s="11" t="str">
        <f>tlInputActionOutcome1</f>
        <v xml:space="preserve">
</v>
      </c>
      <c r="F284" s="11" t="s">
        <v>850</v>
      </c>
      <c r="G284" s="12">
        <f t="shared" si="7"/>
        <v>0</v>
      </c>
      <c r="H284" s="12" t="b">
        <v>0</v>
      </c>
      <c r="I284" s="12" t="b">
        <v>0</v>
      </c>
      <c r="J284" s="13">
        <v>0</v>
      </c>
      <c r="L284" s="12"/>
      <c r="M284" s="12"/>
      <c r="N284" s="12"/>
      <c r="O284" s="12"/>
      <c r="P284" s="12"/>
      <c r="R284" s="12"/>
      <c r="S284" s="12"/>
      <c r="T284" s="12"/>
      <c r="U284" s="12"/>
      <c r="V284" s="12"/>
      <c r="X284" s="12"/>
      <c r="Y284" s="12"/>
      <c r="Z284" s="12"/>
      <c r="AA284" s="12"/>
      <c r="AB284" s="12"/>
    </row>
    <row r="285" spans="2:28">
      <c r="B285" s="11" t="s">
        <v>819</v>
      </c>
      <c r="E285" s="11">
        <f>tlInputActionOutcome2</f>
        <v>0</v>
      </c>
      <c r="F285" s="11" t="s">
        <v>851</v>
      </c>
      <c r="G285" s="12">
        <f t="shared" si="7"/>
        <v>0</v>
      </c>
      <c r="H285" s="12" t="b">
        <v>0</v>
      </c>
      <c r="I285" s="12" t="b">
        <v>0</v>
      </c>
      <c r="J285" s="13">
        <v>0</v>
      </c>
      <c r="L285" s="12"/>
      <c r="M285" s="12"/>
      <c r="N285" s="12"/>
      <c r="O285" s="12"/>
      <c r="P285" s="12"/>
      <c r="R285" s="12"/>
      <c r="S285" s="12"/>
      <c r="T285" s="12"/>
      <c r="U285" s="12"/>
      <c r="V285" s="12"/>
      <c r="X285" s="12"/>
      <c r="Y285" s="12"/>
      <c r="Z285" s="12"/>
      <c r="AA285" s="12"/>
      <c r="AB285" s="12"/>
    </row>
    <row r="286" spans="2:28">
      <c r="B286" s="11" t="s">
        <v>820</v>
      </c>
      <c r="E286" s="11">
        <f>tlInputActionOutcome3</f>
        <v>0</v>
      </c>
      <c r="F286" s="11" t="s">
        <v>852</v>
      </c>
      <c r="G286" s="12">
        <f t="shared" si="7"/>
        <v>0</v>
      </c>
      <c r="H286" s="12" t="b">
        <v>0</v>
      </c>
      <c r="I286" s="12" t="b">
        <v>0</v>
      </c>
      <c r="J286" s="13">
        <v>0</v>
      </c>
      <c r="L286" s="12"/>
      <c r="M286" s="12"/>
      <c r="N286" s="12"/>
      <c r="O286" s="12"/>
      <c r="P286" s="12"/>
      <c r="R286" s="12"/>
      <c r="S286" s="12"/>
      <c r="T286" s="12"/>
      <c r="U286" s="12"/>
      <c r="V286" s="12"/>
      <c r="X286" s="12"/>
      <c r="Y286" s="12"/>
      <c r="Z286" s="12"/>
      <c r="AA286" s="12"/>
      <c r="AB286" s="12"/>
    </row>
    <row r="287" spans="2:28">
      <c r="B287" s="11" t="s">
        <v>821</v>
      </c>
      <c r="E287" s="11">
        <f>tlInputActionOutcome4</f>
        <v>0</v>
      </c>
      <c r="F287" s="11" t="s">
        <v>853</v>
      </c>
      <c r="G287" s="12">
        <f t="shared" si="7"/>
        <v>0</v>
      </c>
      <c r="H287" s="12" t="b">
        <v>0</v>
      </c>
      <c r="I287" s="12" t="b">
        <v>0</v>
      </c>
      <c r="J287" s="13">
        <v>0</v>
      </c>
      <c r="L287" s="12"/>
      <c r="M287" s="12"/>
      <c r="N287" s="12"/>
      <c r="O287" s="12"/>
      <c r="P287" s="12"/>
      <c r="R287" s="12"/>
      <c r="S287" s="12"/>
      <c r="T287" s="12"/>
      <c r="U287" s="12"/>
      <c r="V287" s="12"/>
      <c r="X287" s="12"/>
      <c r="Y287" s="12"/>
      <c r="Z287" s="12"/>
      <c r="AA287" s="12"/>
      <c r="AB287" s="12"/>
    </row>
    <row r="288" spans="2:28">
      <c r="B288" s="11" t="s">
        <v>822</v>
      </c>
      <c r="E288" s="11">
        <f>tlInputActionOutcome5</f>
        <v>0</v>
      </c>
      <c r="F288" s="11" t="s">
        <v>854</v>
      </c>
      <c r="G288" s="12">
        <f t="shared" si="7"/>
        <v>0</v>
      </c>
      <c r="H288" s="12" t="b">
        <v>0</v>
      </c>
      <c r="I288" s="12" t="b">
        <v>0</v>
      </c>
      <c r="J288" s="13">
        <v>0</v>
      </c>
      <c r="L288" s="12"/>
      <c r="M288" s="12"/>
      <c r="N288" s="12"/>
      <c r="O288" s="12"/>
      <c r="P288" s="12"/>
      <c r="R288" s="12"/>
      <c r="S288" s="12"/>
      <c r="T288" s="12"/>
      <c r="U288" s="12"/>
      <c r="V288" s="12"/>
      <c r="X288" s="12"/>
      <c r="Y288" s="12"/>
      <c r="Z288" s="12"/>
      <c r="AA288" s="12"/>
      <c r="AB288" s="12"/>
    </row>
    <row r="289" spans="1:28">
      <c r="F289" s="11"/>
      <c r="G289" s="12"/>
      <c r="H289" s="12"/>
      <c r="I289" s="12"/>
      <c r="J289" s="12"/>
      <c r="L289" s="12"/>
      <c r="M289" s="12"/>
      <c r="N289" s="12"/>
      <c r="O289" s="12"/>
      <c r="P289" s="12"/>
      <c r="R289" s="12"/>
      <c r="S289" s="12"/>
      <c r="T289" s="12"/>
      <c r="U289" s="12"/>
      <c r="V289" s="12"/>
      <c r="X289" s="12"/>
      <c r="Y289" s="12"/>
      <c r="Z289" s="12"/>
      <c r="AA289" s="12"/>
      <c r="AB289" s="12"/>
    </row>
    <row r="290" spans="1:28">
      <c r="B290" s="11" t="s">
        <v>163</v>
      </c>
      <c r="F290" s="11"/>
      <c r="G290" s="12"/>
      <c r="H290" s="12"/>
      <c r="I290" s="12"/>
      <c r="J290" s="12"/>
      <c r="L290" s="12"/>
      <c r="M290" s="12"/>
      <c r="N290" s="12"/>
      <c r="O290" s="12"/>
      <c r="P290" s="12"/>
      <c r="R290" s="12"/>
      <c r="S290" s="12"/>
      <c r="T290" s="12"/>
      <c r="U290" s="12"/>
      <c r="V290" s="12"/>
      <c r="X290" s="12"/>
      <c r="Y290" s="12"/>
      <c r="Z290" s="12"/>
      <c r="AA290" s="12"/>
      <c r="AB290" s="12"/>
    </row>
    <row r="291" spans="1:28">
      <c r="C291" s="11" t="s">
        <v>165</v>
      </c>
      <c r="E291" s="10" t="str">
        <f>tlSI01</f>
        <v>Select Project</v>
      </c>
      <c r="F291" s="11" t="s">
        <v>164</v>
      </c>
      <c r="G291" s="12" t="str">
        <f>tlSI01</f>
        <v>Select Project</v>
      </c>
      <c r="H291" s="12" t="b">
        <v>1</v>
      </c>
      <c r="I291" s="12" t="b">
        <v>1</v>
      </c>
      <c r="J291" s="12" t="str">
        <f>SIs!$F$23</f>
        <v>Select Project</v>
      </c>
      <c r="L291" s="12"/>
      <c r="M291" s="12"/>
      <c r="N291" s="12"/>
      <c r="O291" s="12"/>
      <c r="P291" s="12"/>
      <c r="R291" s="12"/>
      <c r="S291" s="12"/>
      <c r="T291" s="12"/>
      <c r="U291" s="12"/>
      <c r="V291" s="12"/>
      <c r="X291" s="12"/>
      <c r="Y291" s="12"/>
      <c r="Z291" s="12"/>
      <c r="AA291" s="12"/>
      <c r="AB291" s="12"/>
    </row>
    <row r="292" spans="1:28">
      <c r="C292" s="11" t="s">
        <v>166</v>
      </c>
      <c r="E292" s="10" t="str">
        <f>tlSI02</f>
        <v>Select Project</v>
      </c>
      <c r="F292" s="11" t="s">
        <v>167</v>
      </c>
      <c r="G292" s="12" t="str">
        <f>tlSI02</f>
        <v>Select Project</v>
      </c>
      <c r="H292" s="12" t="b">
        <v>1</v>
      </c>
      <c r="I292" s="12" t="b">
        <v>1</v>
      </c>
      <c r="J292" s="12" t="str">
        <f>SIs!$F$23</f>
        <v>Select Project</v>
      </c>
      <c r="L292" s="12"/>
      <c r="M292" s="12"/>
      <c r="N292" s="12"/>
      <c r="O292" s="12"/>
      <c r="P292" s="12"/>
      <c r="R292" s="12"/>
      <c r="S292" s="12"/>
      <c r="T292" s="12"/>
      <c r="U292" s="12"/>
      <c r="V292" s="12"/>
      <c r="X292" s="12"/>
      <c r="Y292" s="12"/>
      <c r="Z292" s="12"/>
      <c r="AA292" s="12"/>
      <c r="AB292" s="12"/>
    </row>
    <row r="293" spans="1:28">
      <c r="C293" s="11" t="s">
        <v>186</v>
      </c>
      <c r="E293" s="10" t="str">
        <f>tlSI03</f>
        <v>Select Project</v>
      </c>
      <c r="F293" s="11" t="s">
        <v>189</v>
      </c>
      <c r="G293" s="12" t="str">
        <f>tlSI03</f>
        <v>Select Project</v>
      </c>
      <c r="H293" s="12" t="b">
        <v>1</v>
      </c>
      <c r="I293" s="12" t="b">
        <v>1</v>
      </c>
      <c r="J293" s="12" t="str">
        <f>SIs!$F$23</f>
        <v>Select Project</v>
      </c>
      <c r="L293" s="12"/>
      <c r="M293" s="12"/>
      <c r="N293" s="12"/>
      <c r="O293" s="12"/>
      <c r="P293" s="12"/>
      <c r="R293" s="12"/>
      <c r="S293" s="12"/>
      <c r="T293" s="12"/>
      <c r="U293" s="12"/>
      <c r="V293" s="12"/>
      <c r="X293" s="12"/>
      <c r="Y293" s="12"/>
      <c r="Z293" s="12"/>
      <c r="AA293" s="12"/>
      <c r="AB293" s="12"/>
    </row>
    <row r="294" spans="1:28">
      <c r="C294" s="11" t="s">
        <v>187</v>
      </c>
      <c r="E294" s="10" t="str">
        <f>tlSI04</f>
        <v>Select Project</v>
      </c>
      <c r="F294" s="11" t="s">
        <v>190</v>
      </c>
      <c r="G294" s="12" t="str">
        <f>tlSI04</f>
        <v>Select Project</v>
      </c>
      <c r="H294" s="12" t="b">
        <v>1</v>
      </c>
      <c r="I294" s="12" t="b">
        <v>1</v>
      </c>
      <c r="J294" s="12" t="str">
        <f>SIs!$F$23</f>
        <v>Select Project</v>
      </c>
      <c r="L294" s="12"/>
      <c r="M294" s="12"/>
      <c r="N294" s="12"/>
      <c r="O294" s="12"/>
      <c r="P294" s="12"/>
      <c r="R294" s="12"/>
      <c r="S294" s="12"/>
      <c r="T294" s="12"/>
      <c r="U294" s="12"/>
      <c r="V294" s="12"/>
      <c r="X294" s="12"/>
      <c r="Y294" s="12"/>
      <c r="Z294" s="12"/>
      <c r="AA294" s="12"/>
      <c r="AB294" s="12"/>
    </row>
    <row r="295" spans="1:28">
      <c r="C295" s="11" t="s">
        <v>188</v>
      </c>
      <c r="E295" s="10" t="str">
        <f>tlSI05</f>
        <v>Select Project</v>
      </c>
      <c r="F295" s="11" t="s">
        <v>191</v>
      </c>
      <c r="G295" s="12" t="str">
        <f>tlSI05</f>
        <v>Select Project</v>
      </c>
      <c r="H295" s="12" t="b">
        <v>1</v>
      </c>
      <c r="I295" s="12" t="b">
        <v>1</v>
      </c>
      <c r="J295" s="12" t="str">
        <f>SIs!$F$23</f>
        <v>Select Project</v>
      </c>
      <c r="L295" s="12"/>
      <c r="M295" s="12"/>
      <c r="N295" s="12"/>
      <c r="O295" s="12"/>
      <c r="P295" s="12"/>
      <c r="R295" s="12"/>
      <c r="S295" s="12"/>
      <c r="T295" s="12"/>
      <c r="U295" s="12"/>
      <c r="V295" s="12"/>
      <c r="X295" s="12"/>
      <c r="Y295" s="12"/>
      <c r="Z295" s="12"/>
      <c r="AA295" s="12"/>
      <c r="AB295" s="12"/>
    </row>
    <row r="296" spans="1:28">
      <c r="F296" s="11"/>
      <c r="G296" s="12"/>
      <c r="H296" s="12"/>
      <c r="I296" s="12"/>
      <c r="J296" s="12"/>
      <c r="L296" s="12"/>
      <c r="M296" s="12"/>
      <c r="N296" s="12"/>
      <c r="O296" s="12"/>
      <c r="P296" s="12"/>
      <c r="R296" s="12"/>
      <c r="S296" s="12"/>
      <c r="T296" s="12"/>
      <c r="U296" s="12"/>
      <c r="V296" s="12"/>
      <c r="X296" s="12"/>
      <c r="Y296" s="12"/>
      <c r="Z296" s="12"/>
      <c r="AA296" s="12"/>
      <c r="AB296" s="12"/>
    </row>
    <row r="297" spans="1:28">
      <c r="F297" s="11"/>
      <c r="G297" s="12"/>
      <c r="H297" s="12"/>
      <c r="I297" s="12"/>
      <c r="J297" s="12"/>
      <c r="L297" s="12"/>
      <c r="M297" s="12"/>
      <c r="N297" s="12"/>
      <c r="O297" s="12"/>
      <c r="P297" s="12"/>
      <c r="R297" s="12"/>
      <c r="S297" s="12"/>
      <c r="T297" s="12"/>
      <c r="U297" s="12"/>
      <c r="V297" s="12"/>
      <c r="X297" s="12"/>
      <c r="Y297" s="12"/>
      <c r="Z297" s="12"/>
      <c r="AA297" s="12"/>
      <c r="AB297" s="12"/>
    </row>
    <row r="298" spans="1:28">
      <c r="F298" s="11"/>
      <c r="G298" s="12"/>
      <c r="H298" s="12"/>
      <c r="I298" s="12"/>
      <c r="J298" s="12"/>
      <c r="L298" s="12"/>
      <c r="M298" s="12"/>
      <c r="N298" s="12"/>
      <c r="O298" s="12"/>
      <c r="P298" s="12"/>
      <c r="R298" s="12"/>
      <c r="S298" s="12"/>
      <c r="T298" s="12"/>
      <c r="U298" s="12"/>
      <c r="V298" s="12"/>
      <c r="X298" s="12"/>
      <c r="Y298" s="12"/>
      <c r="Z298" s="12"/>
      <c r="AA298" s="12"/>
      <c r="AB298" s="12"/>
    </row>
    <row r="299" spans="1:28">
      <c r="F299" s="11"/>
      <c r="G299" s="12"/>
      <c r="H299" s="12"/>
      <c r="I299" s="12"/>
      <c r="J299" s="12"/>
      <c r="L299" s="12"/>
      <c r="M299" s="12"/>
      <c r="N299" s="12"/>
      <c r="O299" s="12"/>
      <c r="P299" s="12"/>
      <c r="R299" s="12"/>
      <c r="S299" s="12"/>
      <c r="T299" s="12"/>
      <c r="U299" s="12"/>
      <c r="V299" s="12"/>
      <c r="X299" s="12"/>
      <c r="Y299" s="12"/>
      <c r="Z299" s="12"/>
      <c r="AA299" s="12"/>
      <c r="AB299" s="12"/>
    </row>
    <row r="300" spans="1:28">
      <c r="F300" s="11"/>
      <c r="G300" s="12"/>
      <c r="H300" s="12"/>
      <c r="I300" s="12"/>
      <c r="J300" s="12"/>
      <c r="L300" s="12"/>
      <c r="M300" s="12"/>
      <c r="N300" s="12"/>
      <c r="O300" s="12"/>
      <c r="P300" s="12"/>
      <c r="R300" s="12"/>
      <c r="S300" s="12"/>
      <c r="T300" s="12"/>
      <c r="U300" s="12"/>
      <c r="V300" s="12"/>
      <c r="X300" s="12"/>
      <c r="Y300" s="12"/>
      <c r="Z300" s="12"/>
      <c r="AA300" s="12"/>
      <c r="AB300" s="12"/>
    </row>
    <row r="301" spans="1:28">
      <c r="F301" s="11"/>
      <c r="G301" s="12"/>
      <c r="H301" s="12"/>
      <c r="I301" s="12"/>
      <c r="J301" s="12"/>
      <c r="L301" s="12"/>
      <c r="M301" s="12"/>
      <c r="N301" s="12"/>
      <c r="O301" s="12"/>
      <c r="P301" s="12"/>
      <c r="R301" s="12"/>
      <c r="S301" s="12"/>
      <c r="T301" s="12"/>
      <c r="U301" s="12"/>
      <c r="V301" s="12"/>
      <c r="X301" s="12"/>
      <c r="Y301" s="12"/>
      <c r="Z301" s="12"/>
      <c r="AA301" s="12"/>
      <c r="AB301" s="12"/>
    </row>
    <row r="302" spans="1:28" s="15" customFormat="1">
      <c r="A302" s="14" t="s">
        <v>46</v>
      </c>
      <c r="B302" s="14"/>
      <c r="E302" s="16"/>
    </row>
    <row r="303" spans="1:28">
      <c r="E303" s="10" t="s">
        <v>47</v>
      </c>
    </row>
  </sheetData>
  <conditionalFormatting sqref="H296:H301 H3:H7 H20 H290 H33:I33">
    <cfRule type="cellIs" dxfId="189" priority="195" operator="equal">
      <formula>TRUE</formula>
    </cfRule>
  </conditionalFormatting>
  <conditionalFormatting sqref="I296:I301 I4:I7 I20 I290">
    <cfRule type="cellIs" dxfId="188" priority="194" operator="equal">
      <formula>TRUE</formula>
    </cfRule>
  </conditionalFormatting>
  <conditionalFormatting sqref="I3">
    <cfRule type="cellIs" dxfId="187" priority="193" operator="equal">
      <formula>TRUE</formula>
    </cfRule>
  </conditionalFormatting>
  <conditionalFormatting sqref="H291:I295">
    <cfRule type="cellIs" dxfId="186" priority="192" operator="equal">
      <formula>TRUE</formula>
    </cfRule>
  </conditionalFormatting>
  <conditionalFormatting sqref="I8">
    <cfRule type="cellIs" dxfId="185" priority="185" operator="equal">
      <formula>TRUE</formula>
    </cfRule>
  </conditionalFormatting>
  <conditionalFormatting sqref="H81">
    <cfRule type="cellIs" dxfId="184" priority="184" operator="equal">
      <formula>TRUE</formula>
    </cfRule>
  </conditionalFormatting>
  <conditionalFormatting sqref="I81">
    <cfRule type="cellIs" dxfId="183" priority="183" operator="equal">
      <formula>TRUE</formula>
    </cfRule>
  </conditionalFormatting>
  <conditionalFormatting sqref="H8">
    <cfRule type="cellIs" dxfId="182" priority="186" operator="equal">
      <formula>TRUE</formula>
    </cfRule>
  </conditionalFormatting>
  <conditionalFormatting sqref="H34">
    <cfRule type="cellIs" dxfId="181" priority="182" operator="equal">
      <formula>TRUE</formula>
    </cfRule>
  </conditionalFormatting>
  <conditionalFormatting sqref="I34">
    <cfRule type="cellIs" dxfId="180" priority="181" operator="equal">
      <formula>TRUE</formula>
    </cfRule>
  </conditionalFormatting>
  <conditionalFormatting sqref="H289">
    <cfRule type="cellIs" dxfId="179" priority="180" operator="equal">
      <formula>TRUE</formula>
    </cfRule>
  </conditionalFormatting>
  <conditionalFormatting sqref="I289">
    <cfRule type="cellIs" dxfId="178" priority="179" operator="equal">
      <formula>TRUE</formula>
    </cfRule>
  </conditionalFormatting>
  <conditionalFormatting sqref="H256">
    <cfRule type="cellIs" dxfId="177" priority="178" operator="equal">
      <formula>TRUE</formula>
    </cfRule>
  </conditionalFormatting>
  <conditionalFormatting sqref="I256">
    <cfRule type="cellIs" dxfId="176" priority="177" operator="equal">
      <formula>TRUE</formula>
    </cfRule>
  </conditionalFormatting>
  <conditionalFormatting sqref="H35:H38">
    <cfRule type="cellIs" dxfId="175" priority="176" operator="equal">
      <formula>TRUE</formula>
    </cfRule>
  </conditionalFormatting>
  <conditionalFormatting sqref="I35:I38">
    <cfRule type="cellIs" dxfId="174" priority="175" operator="equal">
      <formula>TRUE</formula>
    </cfRule>
  </conditionalFormatting>
  <conditionalFormatting sqref="H41 H44 H46:H54 H79:H80 H59">
    <cfRule type="cellIs" dxfId="173" priority="174" operator="equal">
      <formula>TRUE</formula>
    </cfRule>
  </conditionalFormatting>
  <conditionalFormatting sqref="I41 I44 I46:I54 I79:I80 I59">
    <cfRule type="cellIs" dxfId="172" priority="173" operator="equal">
      <formula>TRUE</formula>
    </cfRule>
  </conditionalFormatting>
  <conditionalFormatting sqref="H39:H40">
    <cfRule type="cellIs" dxfId="171" priority="172" operator="equal">
      <formula>TRUE</formula>
    </cfRule>
  </conditionalFormatting>
  <conditionalFormatting sqref="I39:I40">
    <cfRule type="cellIs" dxfId="170" priority="171" operator="equal">
      <formula>TRUE</formula>
    </cfRule>
  </conditionalFormatting>
  <conditionalFormatting sqref="H42:H43">
    <cfRule type="cellIs" dxfId="169" priority="170" operator="equal">
      <formula>TRUE</formula>
    </cfRule>
  </conditionalFormatting>
  <conditionalFormatting sqref="I42:I43">
    <cfRule type="cellIs" dxfId="168" priority="169" operator="equal">
      <formula>TRUE</formula>
    </cfRule>
  </conditionalFormatting>
  <conditionalFormatting sqref="H45">
    <cfRule type="cellIs" dxfId="167" priority="168" operator="equal">
      <formula>TRUE</formula>
    </cfRule>
  </conditionalFormatting>
  <conditionalFormatting sqref="I45">
    <cfRule type="cellIs" dxfId="166" priority="167" operator="equal">
      <formula>TRUE</formula>
    </cfRule>
  </conditionalFormatting>
  <conditionalFormatting sqref="H75:H78">
    <cfRule type="cellIs" dxfId="165" priority="166" operator="equal">
      <formula>TRUE</formula>
    </cfRule>
  </conditionalFormatting>
  <conditionalFormatting sqref="I75:I78">
    <cfRule type="cellIs" dxfId="164" priority="165" operator="equal">
      <formula>TRUE</formula>
    </cfRule>
  </conditionalFormatting>
  <conditionalFormatting sqref="H55:H58">
    <cfRule type="cellIs" dxfId="163" priority="164" operator="equal">
      <formula>TRUE</formula>
    </cfRule>
  </conditionalFormatting>
  <conditionalFormatting sqref="I55:I58">
    <cfRule type="cellIs" dxfId="162" priority="163" operator="equal">
      <formula>TRUE</formula>
    </cfRule>
  </conditionalFormatting>
  <conditionalFormatting sqref="H64">
    <cfRule type="cellIs" dxfId="161" priority="162" operator="equal">
      <formula>TRUE</formula>
    </cfRule>
  </conditionalFormatting>
  <conditionalFormatting sqref="I64">
    <cfRule type="cellIs" dxfId="160" priority="161" operator="equal">
      <formula>TRUE</formula>
    </cfRule>
  </conditionalFormatting>
  <conditionalFormatting sqref="H60:H63">
    <cfRule type="cellIs" dxfId="159" priority="160" operator="equal">
      <formula>TRUE</formula>
    </cfRule>
  </conditionalFormatting>
  <conditionalFormatting sqref="I60:I63">
    <cfRule type="cellIs" dxfId="158" priority="159" operator="equal">
      <formula>TRUE</formula>
    </cfRule>
  </conditionalFormatting>
  <conditionalFormatting sqref="H69">
    <cfRule type="cellIs" dxfId="157" priority="158" operator="equal">
      <formula>TRUE</formula>
    </cfRule>
  </conditionalFormatting>
  <conditionalFormatting sqref="I69">
    <cfRule type="cellIs" dxfId="156" priority="157" operator="equal">
      <formula>TRUE</formula>
    </cfRule>
  </conditionalFormatting>
  <conditionalFormatting sqref="H65:H68">
    <cfRule type="cellIs" dxfId="155" priority="156" operator="equal">
      <formula>TRUE</formula>
    </cfRule>
  </conditionalFormatting>
  <conditionalFormatting sqref="I65:I68">
    <cfRule type="cellIs" dxfId="154" priority="155" operator="equal">
      <formula>TRUE</formula>
    </cfRule>
  </conditionalFormatting>
  <conditionalFormatting sqref="H74">
    <cfRule type="cellIs" dxfId="153" priority="154" operator="equal">
      <formula>TRUE</formula>
    </cfRule>
  </conditionalFormatting>
  <conditionalFormatting sqref="I74">
    <cfRule type="cellIs" dxfId="152" priority="153" operator="equal">
      <formula>TRUE</formula>
    </cfRule>
  </conditionalFormatting>
  <conditionalFormatting sqref="H70:H73">
    <cfRule type="cellIs" dxfId="151" priority="152" operator="equal">
      <formula>TRUE</formula>
    </cfRule>
  </conditionalFormatting>
  <conditionalFormatting sqref="I70:I73">
    <cfRule type="cellIs" dxfId="150" priority="151" operator="equal">
      <formula>TRUE</formula>
    </cfRule>
  </conditionalFormatting>
  <conditionalFormatting sqref="H87">
    <cfRule type="cellIs" dxfId="149" priority="150" operator="equal">
      <formula>TRUE</formula>
    </cfRule>
  </conditionalFormatting>
  <conditionalFormatting sqref="I87">
    <cfRule type="cellIs" dxfId="148" priority="149" operator="equal">
      <formula>TRUE</formula>
    </cfRule>
  </conditionalFormatting>
  <conditionalFormatting sqref="H85:H86">
    <cfRule type="cellIs" dxfId="147" priority="148" operator="equal">
      <formula>TRUE</formula>
    </cfRule>
  </conditionalFormatting>
  <conditionalFormatting sqref="I85:I86">
    <cfRule type="cellIs" dxfId="146" priority="147" operator="equal">
      <formula>TRUE</formula>
    </cfRule>
  </conditionalFormatting>
  <conditionalFormatting sqref="H82:H84">
    <cfRule type="cellIs" dxfId="145" priority="146" operator="equal">
      <formula>TRUE</formula>
    </cfRule>
  </conditionalFormatting>
  <conditionalFormatting sqref="I82:I84">
    <cfRule type="cellIs" dxfId="144" priority="145" operator="equal">
      <formula>TRUE</formula>
    </cfRule>
  </conditionalFormatting>
  <conditionalFormatting sqref="H93">
    <cfRule type="cellIs" dxfId="143" priority="144" operator="equal">
      <formula>TRUE</formula>
    </cfRule>
  </conditionalFormatting>
  <conditionalFormatting sqref="I93">
    <cfRule type="cellIs" dxfId="142" priority="143" operator="equal">
      <formula>TRUE</formula>
    </cfRule>
  </conditionalFormatting>
  <conditionalFormatting sqref="H91:H92">
    <cfRule type="cellIs" dxfId="141" priority="142" operator="equal">
      <formula>TRUE</formula>
    </cfRule>
  </conditionalFormatting>
  <conditionalFormatting sqref="I91:I92">
    <cfRule type="cellIs" dxfId="140" priority="141" operator="equal">
      <formula>TRUE</formula>
    </cfRule>
  </conditionalFormatting>
  <conditionalFormatting sqref="H88:H90">
    <cfRule type="cellIs" dxfId="139" priority="140" operator="equal">
      <formula>TRUE</formula>
    </cfRule>
  </conditionalFormatting>
  <conditionalFormatting sqref="I88:I90">
    <cfRule type="cellIs" dxfId="138" priority="139" operator="equal">
      <formula>TRUE</formula>
    </cfRule>
  </conditionalFormatting>
  <conditionalFormatting sqref="H99">
    <cfRule type="cellIs" dxfId="137" priority="138" operator="equal">
      <formula>TRUE</formula>
    </cfRule>
  </conditionalFormatting>
  <conditionalFormatting sqref="I99">
    <cfRule type="cellIs" dxfId="136" priority="137" operator="equal">
      <formula>TRUE</formula>
    </cfRule>
  </conditionalFormatting>
  <conditionalFormatting sqref="H97:H98">
    <cfRule type="cellIs" dxfId="135" priority="136" operator="equal">
      <formula>TRUE</formula>
    </cfRule>
  </conditionalFormatting>
  <conditionalFormatting sqref="I97:I98">
    <cfRule type="cellIs" dxfId="134" priority="135" operator="equal">
      <formula>TRUE</formula>
    </cfRule>
  </conditionalFormatting>
  <conditionalFormatting sqref="H94:H96">
    <cfRule type="cellIs" dxfId="133" priority="134" operator="equal">
      <formula>TRUE</formula>
    </cfRule>
  </conditionalFormatting>
  <conditionalFormatting sqref="I94:I96">
    <cfRule type="cellIs" dxfId="132" priority="133" operator="equal">
      <formula>TRUE</formula>
    </cfRule>
  </conditionalFormatting>
  <conditionalFormatting sqref="H100:H105 H107">
    <cfRule type="cellIs" dxfId="131" priority="132" operator="equal">
      <formula>TRUE</formula>
    </cfRule>
  </conditionalFormatting>
  <conditionalFormatting sqref="I100:I105 I107">
    <cfRule type="cellIs" dxfId="130" priority="131" operator="equal">
      <formula>TRUE</formula>
    </cfRule>
  </conditionalFormatting>
  <conditionalFormatting sqref="H106">
    <cfRule type="cellIs" dxfId="129" priority="130" operator="equal">
      <formula>TRUE</formula>
    </cfRule>
  </conditionalFormatting>
  <conditionalFormatting sqref="I106">
    <cfRule type="cellIs" dxfId="128" priority="129" operator="equal">
      <formula>TRUE</formula>
    </cfRule>
  </conditionalFormatting>
  <conditionalFormatting sqref="I9:I18">
    <cfRule type="cellIs" dxfId="127" priority="127" operator="equal">
      <formula>TRUE</formula>
    </cfRule>
  </conditionalFormatting>
  <conditionalFormatting sqref="H9:H18">
    <cfRule type="cellIs" dxfId="126" priority="128" operator="equal">
      <formula>TRUE</formula>
    </cfRule>
  </conditionalFormatting>
  <conditionalFormatting sqref="H257:H268">
    <cfRule type="cellIs" dxfId="125" priority="126" operator="equal">
      <formula>TRUE</formula>
    </cfRule>
  </conditionalFormatting>
  <conditionalFormatting sqref="I257:I268">
    <cfRule type="cellIs" dxfId="124" priority="125" operator="equal">
      <formula>TRUE</formula>
    </cfRule>
  </conditionalFormatting>
  <conditionalFormatting sqref="H269:H273">
    <cfRule type="cellIs" dxfId="123" priority="124" operator="equal">
      <formula>TRUE</formula>
    </cfRule>
  </conditionalFormatting>
  <conditionalFormatting sqref="I269:I273">
    <cfRule type="cellIs" dxfId="122" priority="123" operator="equal">
      <formula>TRUE</formula>
    </cfRule>
  </conditionalFormatting>
  <conditionalFormatting sqref="H274:H287">
    <cfRule type="cellIs" dxfId="121" priority="122" operator="equal">
      <formula>TRUE</formula>
    </cfRule>
  </conditionalFormatting>
  <conditionalFormatting sqref="I274:I287">
    <cfRule type="cellIs" dxfId="120" priority="121" operator="equal">
      <formula>TRUE</formula>
    </cfRule>
  </conditionalFormatting>
  <conditionalFormatting sqref="H288">
    <cfRule type="cellIs" dxfId="119" priority="120" operator="equal">
      <formula>TRUE</formula>
    </cfRule>
  </conditionalFormatting>
  <conditionalFormatting sqref="I288">
    <cfRule type="cellIs" dxfId="118" priority="119" operator="equal">
      <formula>TRUE</formula>
    </cfRule>
  </conditionalFormatting>
  <conditionalFormatting sqref="H155">
    <cfRule type="cellIs" dxfId="117" priority="118" operator="equal">
      <formula>TRUE</formula>
    </cfRule>
  </conditionalFormatting>
  <conditionalFormatting sqref="I155">
    <cfRule type="cellIs" dxfId="116" priority="117" operator="equal">
      <formula>TRUE</formula>
    </cfRule>
  </conditionalFormatting>
  <conditionalFormatting sqref="H108">
    <cfRule type="cellIs" dxfId="115" priority="116" operator="equal">
      <formula>TRUE</formula>
    </cfRule>
  </conditionalFormatting>
  <conditionalFormatting sqref="I108">
    <cfRule type="cellIs" dxfId="114" priority="115" operator="equal">
      <formula>TRUE</formula>
    </cfRule>
  </conditionalFormatting>
  <conditionalFormatting sqref="H109:H112">
    <cfRule type="cellIs" dxfId="113" priority="114" operator="equal">
      <formula>TRUE</formula>
    </cfRule>
  </conditionalFormatting>
  <conditionalFormatting sqref="I109:I112">
    <cfRule type="cellIs" dxfId="112" priority="113" operator="equal">
      <formula>TRUE</formula>
    </cfRule>
  </conditionalFormatting>
  <conditionalFormatting sqref="H115 H118 H120:H128 H153:H154 H133">
    <cfRule type="cellIs" dxfId="111" priority="112" operator="equal">
      <formula>TRUE</formula>
    </cfRule>
  </conditionalFormatting>
  <conditionalFormatting sqref="I115 I118 I120:I128 I153:I154 I133">
    <cfRule type="cellIs" dxfId="110" priority="111" operator="equal">
      <formula>TRUE</formula>
    </cfRule>
  </conditionalFormatting>
  <conditionalFormatting sqref="H113:H114">
    <cfRule type="cellIs" dxfId="109" priority="110" operator="equal">
      <formula>TRUE</formula>
    </cfRule>
  </conditionalFormatting>
  <conditionalFormatting sqref="I113:I114">
    <cfRule type="cellIs" dxfId="108" priority="109" operator="equal">
      <formula>TRUE</formula>
    </cfRule>
  </conditionalFormatting>
  <conditionalFormatting sqref="H116:H117">
    <cfRule type="cellIs" dxfId="107" priority="108" operator="equal">
      <formula>TRUE</formula>
    </cfRule>
  </conditionalFormatting>
  <conditionalFormatting sqref="I116:I117">
    <cfRule type="cellIs" dxfId="106" priority="107" operator="equal">
      <formula>TRUE</formula>
    </cfRule>
  </conditionalFormatting>
  <conditionalFormatting sqref="H119">
    <cfRule type="cellIs" dxfId="105" priority="106" operator="equal">
      <formula>TRUE</formula>
    </cfRule>
  </conditionalFormatting>
  <conditionalFormatting sqref="I119">
    <cfRule type="cellIs" dxfId="104" priority="105" operator="equal">
      <formula>TRUE</formula>
    </cfRule>
  </conditionalFormatting>
  <conditionalFormatting sqref="H149:H152">
    <cfRule type="cellIs" dxfId="103" priority="104" operator="equal">
      <formula>TRUE</formula>
    </cfRule>
  </conditionalFormatting>
  <conditionalFormatting sqref="I149:I152">
    <cfRule type="cellIs" dxfId="102" priority="103" operator="equal">
      <formula>TRUE</formula>
    </cfRule>
  </conditionalFormatting>
  <conditionalFormatting sqref="H129:H132">
    <cfRule type="cellIs" dxfId="101" priority="102" operator="equal">
      <formula>TRUE</formula>
    </cfRule>
  </conditionalFormatting>
  <conditionalFormatting sqref="I129:I132">
    <cfRule type="cellIs" dxfId="100" priority="101" operator="equal">
      <formula>TRUE</formula>
    </cfRule>
  </conditionalFormatting>
  <conditionalFormatting sqref="H138">
    <cfRule type="cellIs" dxfId="99" priority="100" operator="equal">
      <formula>TRUE</formula>
    </cfRule>
  </conditionalFormatting>
  <conditionalFormatting sqref="I138">
    <cfRule type="cellIs" dxfId="98" priority="99" operator="equal">
      <formula>TRUE</formula>
    </cfRule>
  </conditionalFormatting>
  <conditionalFormatting sqref="H134:H137">
    <cfRule type="cellIs" dxfId="97" priority="98" operator="equal">
      <formula>TRUE</formula>
    </cfRule>
  </conditionalFormatting>
  <conditionalFormatting sqref="I134:I137">
    <cfRule type="cellIs" dxfId="96" priority="97" operator="equal">
      <formula>TRUE</formula>
    </cfRule>
  </conditionalFormatting>
  <conditionalFormatting sqref="H143">
    <cfRule type="cellIs" dxfId="95" priority="96" operator="equal">
      <formula>TRUE</formula>
    </cfRule>
  </conditionalFormatting>
  <conditionalFormatting sqref="I143">
    <cfRule type="cellIs" dxfId="94" priority="95" operator="equal">
      <formula>TRUE</formula>
    </cfRule>
  </conditionalFormatting>
  <conditionalFormatting sqref="H139:H142">
    <cfRule type="cellIs" dxfId="93" priority="94" operator="equal">
      <formula>TRUE</formula>
    </cfRule>
  </conditionalFormatting>
  <conditionalFormatting sqref="I139:I142">
    <cfRule type="cellIs" dxfId="92" priority="93" operator="equal">
      <formula>TRUE</formula>
    </cfRule>
  </conditionalFormatting>
  <conditionalFormatting sqref="H148">
    <cfRule type="cellIs" dxfId="91" priority="92" operator="equal">
      <formula>TRUE</formula>
    </cfRule>
  </conditionalFormatting>
  <conditionalFormatting sqref="I148">
    <cfRule type="cellIs" dxfId="90" priority="91" operator="equal">
      <formula>TRUE</formula>
    </cfRule>
  </conditionalFormatting>
  <conditionalFormatting sqref="H144:H147">
    <cfRule type="cellIs" dxfId="89" priority="90" operator="equal">
      <formula>TRUE</formula>
    </cfRule>
  </conditionalFormatting>
  <conditionalFormatting sqref="I144:I147">
    <cfRule type="cellIs" dxfId="88" priority="89" operator="equal">
      <formula>TRUE</formula>
    </cfRule>
  </conditionalFormatting>
  <conditionalFormatting sqref="H161">
    <cfRule type="cellIs" dxfId="87" priority="88" operator="equal">
      <formula>TRUE</formula>
    </cfRule>
  </conditionalFormatting>
  <conditionalFormatting sqref="I161">
    <cfRule type="cellIs" dxfId="86" priority="87" operator="equal">
      <formula>TRUE</formula>
    </cfRule>
  </conditionalFormatting>
  <conditionalFormatting sqref="H159:H160">
    <cfRule type="cellIs" dxfId="85" priority="86" operator="equal">
      <formula>TRUE</formula>
    </cfRule>
  </conditionalFormatting>
  <conditionalFormatting sqref="I159:I160">
    <cfRule type="cellIs" dxfId="84" priority="85" operator="equal">
      <formula>TRUE</formula>
    </cfRule>
  </conditionalFormatting>
  <conditionalFormatting sqref="H156:H158">
    <cfRule type="cellIs" dxfId="83" priority="84" operator="equal">
      <formula>TRUE</formula>
    </cfRule>
  </conditionalFormatting>
  <conditionalFormatting sqref="I156:I158">
    <cfRule type="cellIs" dxfId="82" priority="83" operator="equal">
      <formula>TRUE</formula>
    </cfRule>
  </conditionalFormatting>
  <conditionalFormatting sqref="H167">
    <cfRule type="cellIs" dxfId="81" priority="82" operator="equal">
      <formula>TRUE</formula>
    </cfRule>
  </conditionalFormatting>
  <conditionalFormatting sqref="I167">
    <cfRule type="cellIs" dxfId="80" priority="81" operator="equal">
      <formula>TRUE</formula>
    </cfRule>
  </conditionalFormatting>
  <conditionalFormatting sqref="H165:H166">
    <cfRule type="cellIs" dxfId="79" priority="80" operator="equal">
      <formula>TRUE</formula>
    </cfRule>
  </conditionalFormatting>
  <conditionalFormatting sqref="I165:I166">
    <cfRule type="cellIs" dxfId="78" priority="79" operator="equal">
      <formula>TRUE</formula>
    </cfRule>
  </conditionalFormatting>
  <conditionalFormatting sqref="H162:H164">
    <cfRule type="cellIs" dxfId="77" priority="78" operator="equal">
      <formula>TRUE</formula>
    </cfRule>
  </conditionalFormatting>
  <conditionalFormatting sqref="I162:I164">
    <cfRule type="cellIs" dxfId="76" priority="77" operator="equal">
      <formula>TRUE</formula>
    </cfRule>
  </conditionalFormatting>
  <conditionalFormatting sqref="H173">
    <cfRule type="cellIs" dxfId="75" priority="76" operator="equal">
      <formula>TRUE</formula>
    </cfRule>
  </conditionalFormatting>
  <conditionalFormatting sqref="I173">
    <cfRule type="cellIs" dxfId="74" priority="75" operator="equal">
      <formula>TRUE</formula>
    </cfRule>
  </conditionalFormatting>
  <conditionalFormatting sqref="H171:H172">
    <cfRule type="cellIs" dxfId="73" priority="74" operator="equal">
      <formula>TRUE</formula>
    </cfRule>
  </conditionalFormatting>
  <conditionalFormatting sqref="I171:I172">
    <cfRule type="cellIs" dxfId="72" priority="73" operator="equal">
      <formula>TRUE</formula>
    </cfRule>
  </conditionalFormatting>
  <conditionalFormatting sqref="H168:H170">
    <cfRule type="cellIs" dxfId="71" priority="72" operator="equal">
      <formula>TRUE</formula>
    </cfRule>
  </conditionalFormatting>
  <conditionalFormatting sqref="I168:I170">
    <cfRule type="cellIs" dxfId="70" priority="71" operator="equal">
      <formula>TRUE</formula>
    </cfRule>
  </conditionalFormatting>
  <conditionalFormatting sqref="H174:H179 H181">
    <cfRule type="cellIs" dxfId="69" priority="70" operator="equal">
      <formula>TRUE</formula>
    </cfRule>
  </conditionalFormatting>
  <conditionalFormatting sqref="I174:I179 I181">
    <cfRule type="cellIs" dxfId="68" priority="69" operator="equal">
      <formula>TRUE</formula>
    </cfRule>
  </conditionalFormatting>
  <conditionalFormatting sqref="H180">
    <cfRule type="cellIs" dxfId="67" priority="68" operator="equal">
      <formula>TRUE</formula>
    </cfRule>
  </conditionalFormatting>
  <conditionalFormatting sqref="I180">
    <cfRule type="cellIs" dxfId="66" priority="67" operator="equal">
      <formula>TRUE</formula>
    </cfRule>
  </conditionalFormatting>
  <conditionalFormatting sqref="H229">
    <cfRule type="cellIs" dxfId="65" priority="66" operator="equal">
      <formula>TRUE</formula>
    </cfRule>
  </conditionalFormatting>
  <conditionalFormatting sqref="I229">
    <cfRule type="cellIs" dxfId="64" priority="65" operator="equal">
      <formula>TRUE</formula>
    </cfRule>
  </conditionalFormatting>
  <conditionalFormatting sqref="H182">
    <cfRule type="cellIs" dxfId="63" priority="64" operator="equal">
      <formula>TRUE</formula>
    </cfRule>
  </conditionalFormatting>
  <conditionalFormatting sqref="I182">
    <cfRule type="cellIs" dxfId="62" priority="63" operator="equal">
      <formula>TRUE</formula>
    </cfRule>
  </conditionalFormatting>
  <conditionalFormatting sqref="H183:H186">
    <cfRule type="cellIs" dxfId="61" priority="62" operator="equal">
      <formula>TRUE</formula>
    </cfRule>
  </conditionalFormatting>
  <conditionalFormatting sqref="I183:I186">
    <cfRule type="cellIs" dxfId="60" priority="61" operator="equal">
      <formula>TRUE</formula>
    </cfRule>
  </conditionalFormatting>
  <conditionalFormatting sqref="H189 H192 H194:H202 H227:H228 H207">
    <cfRule type="cellIs" dxfId="59" priority="60" operator="equal">
      <formula>TRUE</formula>
    </cfRule>
  </conditionalFormatting>
  <conditionalFormatting sqref="I189 I192 I194:I202 I227:I228 I207">
    <cfRule type="cellIs" dxfId="58" priority="59" operator="equal">
      <formula>TRUE</formula>
    </cfRule>
  </conditionalFormatting>
  <conditionalFormatting sqref="H187:H188">
    <cfRule type="cellIs" dxfId="57" priority="58" operator="equal">
      <formula>TRUE</formula>
    </cfRule>
  </conditionalFormatting>
  <conditionalFormatting sqref="I187:I188">
    <cfRule type="cellIs" dxfId="56" priority="57" operator="equal">
      <formula>TRUE</formula>
    </cfRule>
  </conditionalFormatting>
  <conditionalFormatting sqref="H190:H191">
    <cfRule type="cellIs" dxfId="55" priority="56" operator="equal">
      <formula>TRUE</formula>
    </cfRule>
  </conditionalFormatting>
  <conditionalFormatting sqref="I190:I191">
    <cfRule type="cellIs" dxfId="54" priority="55" operator="equal">
      <formula>TRUE</formula>
    </cfRule>
  </conditionalFormatting>
  <conditionalFormatting sqref="H193">
    <cfRule type="cellIs" dxfId="53" priority="54" operator="equal">
      <formula>TRUE</formula>
    </cfRule>
  </conditionalFormatting>
  <conditionalFormatting sqref="I193">
    <cfRule type="cellIs" dxfId="52" priority="53" operator="equal">
      <formula>TRUE</formula>
    </cfRule>
  </conditionalFormatting>
  <conditionalFormatting sqref="H223:H226">
    <cfRule type="cellIs" dxfId="51" priority="52" operator="equal">
      <formula>TRUE</formula>
    </cfRule>
  </conditionalFormatting>
  <conditionalFormatting sqref="I223:I226">
    <cfRule type="cellIs" dxfId="50" priority="51" operator="equal">
      <formula>TRUE</formula>
    </cfRule>
  </conditionalFormatting>
  <conditionalFormatting sqref="H203:H206">
    <cfRule type="cellIs" dxfId="49" priority="50" operator="equal">
      <formula>TRUE</formula>
    </cfRule>
  </conditionalFormatting>
  <conditionalFormatting sqref="I203:I206">
    <cfRule type="cellIs" dxfId="48" priority="49" operator="equal">
      <formula>TRUE</formula>
    </cfRule>
  </conditionalFormatting>
  <conditionalFormatting sqref="H212">
    <cfRule type="cellIs" dxfId="47" priority="48" operator="equal">
      <formula>TRUE</formula>
    </cfRule>
  </conditionalFormatting>
  <conditionalFormatting sqref="I212">
    <cfRule type="cellIs" dxfId="46" priority="47" operator="equal">
      <formula>TRUE</formula>
    </cfRule>
  </conditionalFormatting>
  <conditionalFormatting sqref="H208:H211">
    <cfRule type="cellIs" dxfId="45" priority="46" operator="equal">
      <formula>TRUE</formula>
    </cfRule>
  </conditionalFormatting>
  <conditionalFormatting sqref="I208:I211">
    <cfRule type="cellIs" dxfId="44" priority="45" operator="equal">
      <formula>TRUE</formula>
    </cfRule>
  </conditionalFormatting>
  <conditionalFormatting sqref="H217">
    <cfRule type="cellIs" dxfId="43" priority="44" operator="equal">
      <formula>TRUE</formula>
    </cfRule>
  </conditionalFormatting>
  <conditionalFormatting sqref="I217">
    <cfRule type="cellIs" dxfId="42" priority="43" operator="equal">
      <formula>TRUE</formula>
    </cfRule>
  </conditionalFormatting>
  <conditionalFormatting sqref="H213:H216">
    <cfRule type="cellIs" dxfId="41" priority="42" operator="equal">
      <formula>TRUE</formula>
    </cfRule>
  </conditionalFormatting>
  <conditionalFormatting sqref="I213:I216">
    <cfRule type="cellIs" dxfId="40" priority="41" operator="equal">
      <formula>TRUE</formula>
    </cfRule>
  </conditionalFormatting>
  <conditionalFormatting sqref="H222">
    <cfRule type="cellIs" dxfId="39" priority="40" operator="equal">
      <formula>TRUE</formula>
    </cfRule>
  </conditionalFormatting>
  <conditionalFormatting sqref="I222">
    <cfRule type="cellIs" dxfId="38" priority="39" operator="equal">
      <formula>TRUE</formula>
    </cfRule>
  </conditionalFormatting>
  <conditionalFormatting sqref="H218:H221">
    <cfRule type="cellIs" dxfId="37" priority="38" operator="equal">
      <formula>TRUE</formula>
    </cfRule>
  </conditionalFormatting>
  <conditionalFormatting sqref="I218:I221">
    <cfRule type="cellIs" dxfId="36" priority="37" operator="equal">
      <formula>TRUE</formula>
    </cfRule>
  </conditionalFormatting>
  <conditionalFormatting sqref="H235">
    <cfRule type="cellIs" dxfId="35" priority="36" operator="equal">
      <formula>TRUE</formula>
    </cfRule>
  </conditionalFormatting>
  <conditionalFormatting sqref="I235">
    <cfRule type="cellIs" dxfId="34" priority="35" operator="equal">
      <formula>TRUE</formula>
    </cfRule>
  </conditionalFormatting>
  <conditionalFormatting sqref="H233:H234">
    <cfRule type="cellIs" dxfId="33" priority="34" operator="equal">
      <formula>TRUE</formula>
    </cfRule>
  </conditionalFormatting>
  <conditionalFormatting sqref="I233:I234">
    <cfRule type="cellIs" dxfId="32" priority="33" operator="equal">
      <formula>TRUE</formula>
    </cfRule>
  </conditionalFormatting>
  <conditionalFormatting sqref="H230:H232">
    <cfRule type="cellIs" dxfId="31" priority="32" operator="equal">
      <formula>TRUE</formula>
    </cfRule>
  </conditionalFormatting>
  <conditionalFormatting sqref="I230:I232">
    <cfRule type="cellIs" dxfId="30" priority="31" operator="equal">
      <formula>TRUE</formula>
    </cfRule>
  </conditionalFormatting>
  <conditionalFormatting sqref="H241">
    <cfRule type="cellIs" dxfId="29" priority="30" operator="equal">
      <formula>TRUE</formula>
    </cfRule>
  </conditionalFormatting>
  <conditionalFormatting sqref="I241">
    <cfRule type="cellIs" dxfId="28" priority="29" operator="equal">
      <formula>TRUE</formula>
    </cfRule>
  </conditionalFormatting>
  <conditionalFormatting sqref="H239:H240">
    <cfRule type="cellIs" dxfId="27" priority="28" operator="equal">
      <formula>TRUE</formula>
    </cfRule>
  </conditionalFormatting>
  <conditionalFormatting sqref="I239:I240">
    <cfRule type="cellIs" dxfId="26" priority="27" operator="equal">
      <formula>TRUE</formula>
    </cfRule>
  </conditionalFormatting>
  <conditionalFormatting sqref="H236:H238">
    <cfRule type="cellIs" dxfId="25" priority="26" operator="equal">
      <formula>TRUE</formula>
    </cfRule>
  </conditionalFormatting>
  <conditionalFormatting sqref="I236:I238">
    <cfRule type="cellIs" dxfId="24" priority="25" operator="equal">
      <formula>TRUE</formula>
    </cfRule>
  </conditionalFormatting>
  <conditionalFormatting sqref="H247">
    <cfRule type="cellIs" dxfId="23" priority="24" operator="equal">
      <formula>TRUE</formula>
    </cfRule>
  </conditionalFormatting>
  <conditionalFormatting sqref="I247">
    <cfRule type="cellIs" dxfId="22" priority="23" operator="equal">
      <formula>TRUE</formula>
    </cfRule>
  </conditionalFormatting>
  <conditionalFormatting sqref="H245:H246">
    <cfRule type="cellIs" dxfId="21" priority="22" operator="equal">
      <formula>TRUE</formula>
    </cfRule>
  </conditionalFormatting>
  <conditionalFormatting sqref="I245:I246">
    <cfRule type="cellIs" dxfId="20" priority="21" operator="equal">
      <formula>TRUE</formula>
    </cfRule>
  </conditionalFormatting>
  <conditionalFormatting sqref="H242:H244">
    <cfRule type="cellIs" dxfId="19" priority="20" operator="equal">
      <formula>TRUE</formula>
    </cfRule>
  </conditionalFormatting>
  <conditionalFormatting sqref="I242:I244">
    <cfRule type="cellIs" dxfId="18" priority="19" operator="equal">
      <formula>TRUE</formula>
    </cfRule>
  </conditionalFormatting>
  <conditionalFormatting sqref="H248:H253 H255">
    <cfRule type="cellIs" dxfId="17" priority="18" operator="equal">
      <formula>TRUE</formula>
    </cfRule>
  </conditionalFormatting>
  <conditionalFormatting sqref="I248:I253 I255">
    <cfRule type="cellIs" dxfId="16" priority="17" operator="equal">
      <formula>TRUE</formula>
    </cfRule>
  </conditionalFormatting>
  <conditionalFormatting sqref="H254">
    <cfRule type="cellIs" dxfId="15" priority="16" operator="equal">
      <formula>TRUE</formula>
    </cfRule>
  </conditionalFormatting>
  <conditionalFormatting sqref="I254">
    <cfRule type="cellIs" dxfId="14" priority="15" operator="equal">
      <formula>TRUE</formula>
    </cfRule>
  </conditionalFormatting>
  <conditionalFormatting sqref="I19">
    <cfRule type="cellIs" dxfId="13" priority="13" operator="equal">
      <formula>TRUE</formula>
    </cfRule>
  </conditionalFormatting>
  <conditionalFormatting sqref="H19">
    <cfRule type="cellIs" dxfId="12" priority="14" operator="equal">
      <formula>TRUE</formula>
    </cfRule>
  </conditionalFormatting>
  <conditionalFormatting sqref="I21">
    <cfRule type="cellIs" dxfId="11" priority="11" operator="equal">
      <formula>TRUE</formula>
    </cfRule>
  </conditionalFormatting>
  <conditionalFormatting sqref="H21">
    <cfRule type="cellIs" dxfId="10" priority="12" operator="equal">
      <formula>TRUE</formula>
    </cfRule>
  </conditionalFormatting>
  <conditionalFormatting sqref="I22:I24">
    <cfRule type="cellIs" dxfId="9" priority="9" operator="equal">
      <formula>TRUE</formula>
    </cfRule>
  </conditionalFormatting>
  <conditionalFormatting sqref="H22:H24">
    <cfRule type="cellIs" dxfId="8" priority="10" operator="equal">
      <formula>TRUE</formula>
    </cfRule>
  </conditionalFormatting>
  <conditionalFormatting sqref="I25:I26">
    <cfRule type="cellIs" dxfId="7" priority="7" operator="equal">
      <formula>TRUE</formula>
    </cfRule>
  </conditionalFormatting>
  <conditionalFormatting sqref="H25:H26">
    <cfRule type="cellIs" dxfId="6" priority="8" operator="equal">
      <formula>TRUE</formula>
    </cfRule>
  </conditionalFormatting>
  <conditionalFormatting sqref="I27">
    <cfRule type="cellIs" dxfId="5" priority="5" operator="equal">
      <formula>TRUE</formula>
    </cfRule>
  </conditionalFormatting>
  <conditionalFormatting sqref="H27">
    <cfRule type="cellIs" dxfId="4" priority="6" operator="equal">
      <formula>TRUE</formula>
    </cfRule>
  </conditionalFormatting>
  <conditionalFormatting sqref="I28:I30">
    <cfRule type="cellIs" dxfId="3" priority="3" operator="equal">
      <formula>TRUE</formula>
    </cfRule>
  </conditionalFormatting>
  <conditionalFormatting sqref="H28:H30">
    <cfRule type="cellIs" dxfId="2" priority="4" operator="equal">
      <formula>TRUE</formula>
    </cfRule>
  </conditionalFormatting>
  <conditionalFormatting sqref="I31:I32">
    <cfRule type="cellIs" dxfId="1" priority="1" operator="equal">
      <formula>TRUE</formula>
    </cfRule>
  </conditionalFormatting>
  <conditionalFormatting sqref="H31:H32">
    <cfRule type="cellIs" dxfId="0" priority="2" operator="equal">
      <formula>TRUE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1"/>
  </sheetPr>
  <dimension ref="A1:Q444"/>
  <sheetViews>
    <sheetView topLeftCell="E61" workbookViewId="0">
      <selection activeCell="H88" sqref="H88"/>
    </sheetView>
  </sheetViews>
  <sheetFormatPr defaultColWidth="8.796875" defaultRowHeight="14.25"/>
  <cols>
    <col min="1" max="3" width="4.69921875" style="32" customWidth="1"/>
    <col min="4" max="4" width="26.59765625" style="32" customWidth="1"/>
    <col min="5" max="8" width="12.69921875" style="32" customWidth="1"/>
    <col min="9" max="9" width="17.296875" style="32" customWidth="1"/>
    <col min="10" max="10" width="14.8984375" style="32" customWidth="1"/>
    <col min="11" max="16384" width="8.796875" style="32"/>
  </cols>
  <sheetData>
    <row r="1" spans="1:6" s="31" customFormat="1">
      <c r="A1" s="31" t="s">
        <v>126</v>
      </c>
    </row>
    <row r="3" spans="1:6">
      <c r="A3" s="200" t="s">
        <v>1245</v>
      </c>
      <c r="E3" s="32">
        <f>VLOOKUP(decPlanInLicenseStage,dataTableAcquisitionTracker,2,FALSE)</f>
        <v>0</v>
      </c>
      <c r="F3" s="32" t="s">
        <v>1247</v>
      </c>
    </row>
    <row r="4" spans="1:6">
      <c r="A4" s="200"/>
    </row>
    <row r="5" spans="1:6">
      <c r="A5" s="200" t="s">
        <v>1426</v>
      </c>
    </row>
    <row r="6" spans="1:6">
      <c r="A6" s="200"/>
      <c r="C6" s="32" t="s">
        <v>496</v>
      </c>
      <c r="E6" s="32" t="str">
        <f>decPlanQ1Metric1</f>
        <v>EPV</v>
      </c>
    </row>
    <row r="7" spans="1:6">
      <c r="A7" s="200"/>
      <c r="C7" s="32" t="s">
        <v>497</v>
      </c>
      <c r="E7" s="32" t="str">
        <f>decPlanQ1Metric2</f>
        <v>Select Metric</v>
      </c>
    </row>
    <row r="8" spans="1:6">
      <c r="A8" s="200"/>
      <c r="C8" s="32" t="s">
        <v>498</v>
      </c>
      <c r="E8" s="32" t="str">
        <f>decPlanQ1Metric3</f>
        <v>Select Metric</v>
      </c>
    </row>
    <row r="9" spans="1:6">
      <c r="A9" s="200"/>
    </row>
    <row r="10" spans="1:6">
      <c r="A10" s="200"/>
      <c r="C10" s="11" t="s">
        <v>615</v>
      </c>
      <c r="E10" s="32">
        <f>COUNTIF($E$6:$E$8,C10)</f>
        <v>0</v>
      </c>
      <c r="F10" s="32" t="s">
        <v>1445</v>
      </c>
    </row>
    <row r="11" spans="1:6">
      <c r="A11" s="200"/>
      <c r="C11" s="11" t="s">
        <v>490</v>
      </c>
      <c r="E11" s="32">
        <f t="shared" ref="E11:E16" si="0">COUNTIF($E$6:$E$8,C11)</f>
        <v>1</v>
      </c>
      <c r="F11" s="32" t="s">
        <v>1446</v>
      </c>
    </row>
    <row r="12" spans="1:6">
      <c r="A12" s="200"/>
      <c r="C12" s="11" t="s">
        <v>476</v>
      </c>
      <c r="E12" s="32">
        <f t="shared" si="0"/>
        <v>0</v>
      </c>
      <c r="F12" s="32" t="s">
        <v>1447</v>
      </c>
    </row>
    <row r="13" spans="1:6">
      <c r="A13" s="200"/>
      <c r="C13" s="11" t="s">
        <v>462</v>
      </c>
      <c r="E13" s="32">
        <f t="shared" si="0"/>
        <v>0</v>
      </c>
      <c r="F13" s="32" t="s">
        <v>1448</v>
      </c>
    </row>
    <row r="14" spans="1:6">
      <c r="A14" s="200"/>
      <c r="C14" s="11" t="s">
        <v>491</v>
      </c>
      <c r="E14" s="32">
        <f t="shared" si="0"/>
        <v>0</v>
      </c>
      <c r="F14" s="32" t="s">
        <v>1449</v>
      </c>
    </row>
    <row r="15" spans="1:6">
      <c r="A15" s="200"/>
      <c r="C15" s="11" t="s">
        <v>460</v>
      </c>
      <c r="E15" s="32">
        <f t="shared" si="0"/>
        <v>0</v>
      </c>
      <c r="F15" s="32" t="s">
        <v>1450</v>
      </c>
    </row>
    <row r="16" spans="1:6">
      <c r="A16" s="200"/>
      <c r="C16" s="11" t="s">
        <v>616</v>
      </c>
      <c r="E16" s="32">
        <f t="shared" si="0"/>
        <v>0</v>
      </c>
      <c r="F16" s="32" t="s">
        <v>1451</v>
      </c>
    </row>
    <row r="17" spans="1:9">
      <c r="A17" s="200"/>
    </row>
    <row r="18" spans="1:9">
      <c r="A18" s="200" t="s">
        <v>1460</v>
      </c>
      <c r="E18" s="32">
        <f>MATCH(decPlanDiseaseArea,Data!$C$33:$F$33,0)</f>
        <v>2</v>
      </c>
      <c r="F18" s="32" t="s">
        <v>1461</v>
      </c>
    </row>
    <row r="19" spans="1:9">
      <c r="A19" s="200"/>
    </row>
    <row r="20" spans="1:9" s="163" customFormat="1">
      <c r="A20" s="31" t="s">
        <v>509</v>
      </c>
    </row>
    <row r="22" spans="1:9">
      <c r="A22" s="200" t="s">
        <v>538</v>
      </c>
    </row>
    <row r="23" spans="1:9">
      <c r="E23" s="200" t="s">
        <v>540</v>
      </c>
      <c r="F23" s="200" t="s">
        <v>465</v>
      </c>
      <c r="G23" s="200" t="s">
        <v>466</v>
      </c>
      <c r="H23" s="200" t="s">
        <v>467</v>
      </c>
      <c r="I23" s="200" t="s">
        <v>55</v>
      </c>
    </row>
    <row r="24" spans="1:9">
      <c r="A24" s="32" t="s">
        <v>553</v>
      </c>
      <c r="C24" s="200" t="s">
        <v>546</v>
      </c>
      <c r="E24" s="442">
        <f>VLOOKUP(decPlanDiseaseArea,datatableFranchiseRnDCost,2,FALSE)</f>
        <v>800000</v>
      </c>
      <c r="F24" s="442">
        <f>VLOOKUP(decPlanDiseaseArea,datatableFranchiseRnDCost,3,FALSE)</f>
        <v>3300000</v>
      </c>
      <c r="G24" s="442">
        <f>VLOOKUP(decPlanDiseaseArea,datatableFranchiseRnDCost,4,FALSE)</f>
        <v>11000000</v>
      </c>
      <c r="H24" s="442">
        <f>VLOOKUP(decPlanDiseaseArea,datatableFranchiseRnDCost,5,FALSE)</f>
        <v>88000000</v>
      </c>
      <c r="I24" s="442">
        <f>SUM(E24:H24)</f>
        <v>103100000</v>
      </c>
    </row>
    <row r="25" spans="1:9">
      <c r="A25" s="32">
        <v>3</v>
      </c>
      <c r="C25" s="201" t="s">
        <v>585</v>
      </c>
      <c r="E25" s="442">
        <f>decScenario1AddBiomarker*1000000/3</f>
        <v>0</v>
      </c>
      <c r="F25" s="442">
        <f>decScenario1AddBiomarker*1000000/3</f>
        <v>0</v>
      </c>
      <c r="G25" s="442">
        <f>decScenario1AddBiomarker*1000000/3</f>
        <v>0</v>
      </c>
      <c r="H25" s="443"/>
      <c r="I25" s="442">
        <f t="shared" ref="I25:I35" si="1">SUM(E25:H25)</f>
        <v>0</v>
      </c>
    </row>
    <row r="26" spans="1:9">
      <c r="A26" s="32">
        <v>5</v>
      </c>
      <c r="C26" s="201" t="s">
        <v>587</v>
      </c>
      <c r="E26" s="442">
        <f>(IF(VLOOKUP(decPlanDiseaseArea,datatableFormulationAdminDefault,2,FALSE)=decScenario1Administration,0,VLOOKUP(decScenario1Administration,datatableFormulationCost,calcMatchFunc,FALSE)))/4</f>
        <v>0</v>
      </c>
      <c r="F26" s="442">
        <f>(IF(VLOOKUP(decPlanDiseaseArea,datatableFormulationAdminDefault,2,FALSE)=decScenario1Administration,0,VLOOKUP(decScenario1Administration,datatableFormulationCost,calcMatchFunc,FALSE)))/4</f>
        <v>0</v>
      </c>
      <c r="G26" s="442">
        <f>(IF(VLOOKUP(decPlanDiseaseArea,datatableFormulationAdminDefault,2,FALSE)=decScenario1Administration,0,VLOOKUP(decScenario1Administration,datatableFormulationCost,calcMatchFunc,FALSE)))/4</f>
        <v>0</v>
      </c>
      <c r="H26" s="442">
        <f>(IF(VLOOKUP(decPlanDiseaseArea,datatableFormulationAdminDefault,2,FALSE)=decScenario1Administration,0,VLOOKUP(decScenario1Administration,datatableFormulationCost,calcMatchFunc,FALSE)))/4</f>
        <v>0</v>
      </c>
      <c r="I26" s="442">
        <f t="shared" si="1"/>
        <v>0</v>
      </c>
    </row>
    <row r="27" spans="1:9">
      <c r="A27" s="32">
        <v>5</v>
      </c>
      <c r="C27" s="201" t="s">
        <v>495</v>
      </c>
      <c r="E27" s="443"/>
      <c r="F27" s="442">
        <f>VLOOKUP(decScenario1TrialSizePh1,datatableSizePh1RnDCost,calcMatchFunc,FALSE)</f>
        <v>0</v>
      </c>
      <c r="G27" s="442">
        <f>VLOOKUP(decScenario1TrialSizePh2,datatableSizePh2RnDCost,calcMatchFunc,FALSE)</f>
        <v>0</v>
      </c>
      <c r="H27" s="442">
        <f>VLOOKUP(decScenario1TrialSizePh3,datatableSizePh3RnDCost,calcMatchFunc,FALSE)</f>
        <v>0</v>
      </c>
      <c r="I27" s="442">
        <f t="shared" si="1"/>
        <v>0</v>
      </c>
    </row>
    <row r="28" spans="1:9">
      <c r="A28" s="32">
        <v>6</v>
      </c>
      <c r="C28" s="201" t="s">
        <v>668</v>
      </c>
      <c r="E28" s="443"/>
      <c r="F28" s="442">
        <f>VLOOKUP(decScenario1ObservationPh1,datatableDurationPh1RnDCost,calcMatchFunc,FALSE)</f>
        <v>0</v>
      </c>
      <c r="G28" s="442">
        <f>VLOOKUP(decScenario1ObservationPh2,datatableDurationPh2RnDCost,calcMatchFunc,FALSE)</f>
        <v>0</v>
      </c>
      <c r="H28" s="442">
        <f>VLOOKUP(decScenario1ObservationPh3,datatableDurationPh3RnDCost,calcMatchFunc,FALSE)</f>
        <v>0</v>
      </c>
      <c r="I28" s="442">
        <f t="shared" si="1"/>
        <v>0</v>
      </c>
    </row>
    <row r="29" spans="1:9">
      <c r="A29" s="32">
        <v>7</v>
      </c>
      <c r="C29" s="201" t="s">
        <v>513</v>
      </c>
      <c r="E29" s="443"/>
      <c r="F29" s="443"/>
      <c r="G29" s="442">
        <f>IF(decScenario1AddIndication="No",0,VLOOKUP(decPlanDiseaseArea,datatableAddIndRnDCost,2,FALSE))</f>
        <v>0</v>
      </c>
      <c r="H29" s="442">
        <f>IF(decScenario1AddIndication="No",0,VLOOKUP(decPlanDiseaseArea,datatableAddIndRnDCost,3,FALSE))</f>
        <v>0</v>
      </c>
      <c r="I29" s="442">
        <f t="shared" si="1"/>
        <v>0</v>
      </c>
    </row>
    <row r="30" spans="1:9">
      <c r="A30" s="32">
        <v>10</v>
      </c>
      <c r="C30" s="202" t="s">
        <v>561</v>
      </c>
      <c r="E30" s="443"/>
      <c r="F30" s="443"/>
      <c r="G30" s="442">
        <f>VLOOKUP(decScenario1Ph2bStudy,datatableP2bTrialsRnDCost,calcMatchFunc,FALSE)</f>
        <v>7699999.9999999991</v>
      </c>
      <c r="H30" s="443"/>
      <c r="I30" s="442">
        <f t="shared" si="1"/>
        <v>7699999.9999999991</v>
      </c>
    </row>
    <row r="31" spans="1:9">
      <c r="A31" s="32">
        <v>1</v>
      </c>
      <c r="C31" s="201" t="s">
        <v>1238</v>
      </c>
      <c r="E31" s="443"/>
      <c r="F31" s="443"/>
      <c r="G31" s="442">
        <f>VLOOKUP(decScenario1DDFrequency,datatableDosageRnDCost,calcMatchFunc,FALSE)</f>
        <v>0</v>
      </c>
      <c r="H31" s="442">
        <f>VLOOKUP(decScenario1DDFrequency,datatableDosageRnDCost,calcMatchFunc,FALSE)*1.2</f>
        <v>0</v>
      </c>
      <c r="I31" s="442">
        <f t="shared" si="1"/>
        <v>0</v>
      </c>
    </row>
    <row r="32" spans="1:9">
      <c r="A32" s="32">
        <v>8</v>
      </c>
      <c r="C32" s="201" t="s">
        <v>554</v>
      </c>
      <c r="E32" s="443"/>
      <c r="F32" s="443"/>
      <c r="G32" s="442">
        <f>IF(decScenario1MNTrialsPh2="Japan/US",0,VLOOKUP(decPlanDiseaseArea,datatableGlobalTrialsRnDCost,2,FALSE))</f>
        <v>-5500000</v>
      </c>
      <c r="H32" s="442">
        <f>IF(decScenario1MNTrialsPh3="Japan/US",0,VLOOKUP(decPlanDiseaseArea,datatableGlobalTrialsRnDCost,3,FALSE))</f>
        <v>-44000000</v>
      </c>
      <c r="I32" s="442">
        <f t="shared" si="1"/>
        <v>-49500000</v>
      </c>
    </row>
    <row r="33" spans="1:9">
      <c r="A33" s="32">
        <v>2</v>
      </c>
      <c r="C33" s="201" t="s">
        <v>488</v>
      </c>
      <c r="E33" s="443"/>
      <c r="F33" s="443"/>
      <c r="G33" s="443"/>
      <c r="H33" s="442">
        <f>VLOOKUP(decScenario1PrimaryEndpoint,datatablePrimaryEPRnDCost,calcMatchFunc,FALSE)</f>
        <v>0</v>
      </c>
      <c r="I33" s="442">
        <f t="shared" si="1"/>
        <v>0</v>
      </c>
    </row>
    <row r="34" spans="1:9">
      <c r="A34" s="32">
        <v>4</v>
      </c>
      <c r="C34" s="201" t="s">
        <v>489</v>
      </c>
      <c r="E34" s="443"/>
      <c r="F34" s="443"/>
      <c r="G34" s="443"/>
      <c r="H34" s="442">
        <f>VLOOKUP(decScenario1Comparator,datatableComparatorRnDCost,calcMatchFunc,FALSE)</f>
        <v>0</v>
      </c>
      <c r="I34" s="442">
        <f t="shared" si="1"/>
        <v>0</v>
      </c>
    </row>
    <row r="35" spans="1:9">
      <c r="A35" s="32">
        <v>3</v>
      </c>
      <c r="C35" s="201" t="s">
        <v>613</v>
      </c>
      <c r="E35" s="443"/>
      <c r="F35" s="442">
        <f>VLOOKUP(decScenario1MAEffort,datatableMARnDCost,calcMatchFunc,FALSE)/3</f>
        <v>0</v>
      </c>
      <c r="G35" s="442">
        <f>VLOOKUP(decScenario1MAEffort,datatableMARnDCost,calcMatchFunc,FALSE)/3</f>
        <v>0</v>
      </c>
      <c r="H35" s="442">
        <f>VLOOKUP(decScenario1MAEffort,datatableMARnDCost,calcMatchFunc,FALSE)/3</f>
        <v>0</v>
      </c>
      <c r="I35" s="442">
        <f t="shared" si="1"/>
        <v>0</v>
      </c>
    </row>
    <row r="36" spans="1:9">
      <c r="C36" s="200" t="s">
        <v>543</v>
      </c>
      <c r="E36" s="442">
        <f>SUM(E24:E35)+(IF(decPlanInLicenseStage="Research",decPlanInLicenseCost*1000000,0))</f>
        <v>800000</v>
      </c>
      <c r="F36" s="442">
        <f>SUM(F24:F35)+(IF(decPlanInLicenseStage="Phase I",decPlanInLicenseCost*1000000,0))</f>
        <v>3300000</v>
      </c>
      <c r="G36" s="442">
        <f>SUM(G24:G35)+(IF(decPlanInLicenseStage="Phase II",decPlanInLicenseCost*1000000,0))</f>
        <v>13200000</v>
      </c>
      <c r="H36" s="442">
        <f>SUM(H24:H35)+(IF(decPlanInLicenseStage="Phase III",decPlanInLicenseCost*1000000,0))</f>
        <v>44000000</v>
      </c>
      <c r="I36" s="442">
        <f>SUM(E36:H36)</f>
        <v>61300000</v>
      </c>
    </row>
    <row r="37" spans="1:9">
      <c r="C37" s="200" t="s">
        <v>542</v>
      </c>
      <c r="E37" s="444">
        <f>tlInputScenario1ResearchRnDCost</f>
        <v>0</v>
      </c>
      <c r="F37" s="444">
        <f>tlInputScenario1Ph1RnDCost</f>
        <v>0</v>
      </c>
      <c r="G37" s="444">
        <f>tlInputScenario1Ph2RnDCost</f>
        <v>0</v>
      </c>
      <c r="H37" s="444">
        <f>tlInputScenario1Ph3RnDCost</f>
        <v>0</v>
      </c>
      <c r="I37" s="442">
        <f t="shared" ref="I37:I38" si="2">SUM(E37:H37)</f>
        <v>0</v>
      </c>
    </row>
    <row r="38" spans="1:9">
      <c r="C38" s="200" t="s">
        <v>541</v>
      </c>
      <c r="E38" s="445">
        <f>IF(calcAcquisitionTracker&lt;1,E36+E37,0)</f>
        <v>800000</v>
      </c>
      <c r="F38" s="445">
        <f>IF(calcAcquisitionTracker&lt;2,F36+F37,0)</f>
        <v>3300000</v>
      </c>
      <c r="G38" s="445">
        <f>IF(calcAcquisitionTracker&lt;3,G36+G37,0)</f>
        <v>13200000</v>
      </c>
      <c r="H38" s="445">
        <f>IF(calcAcquisitionTracker&lt;3,H36+H37,0)</f>
        <v>44000000</v>
      </c>
      <c r="I38" s="445">
        <f t="shared" si="2"/>
        <v>61300000</v>
      </c>
    </row>
    <row r="39" spans="1:9">
      <c r="E39" s="32" t="s">
        <v>774</v>
      </c>
      <c r="F39" s="32" t="s">
        <v>775</v>
      </c>
      <c r="G39" s="32" t="s">
        <v>776</v>
      </c>
      <c r="H39" s="32" t="s">
        <v>777</v>
      </c>
      <c r="I39" s="32" t="s">
        <v>778</v>
      </c>
    </row>
    <row r="41" spans="1:9">
      <c r="A41" s="200" t="s">
        <v>539</v>
      </c>
    </row>
    <row r="42" spans="1:9">
      <c r="E42" s="200" t="s">
        <v>540</v>
      </c>
      <c r="F42" s="200" t="s">
        <v>465</v>
      </c>
      <c r="G42" s="200" t="s">
        <v>466</v>
      </c>
      <c r="H42" s="200" t="s">
        <v>467</v>
      </c>
      <c r="I42" s="200" t="s">
        <v>55</v>
      </c>
    </row>
    <row r="43" spans="1:9">
      <c r="A43" s="32" t="s">
        <v>553</v>
      </c>
      <c r="C43" s="200" t="s">
        <v>546</v>
      </c>
      <c r="E43" s="442">
        <f>VLOOKUP(decPlanDiseaseArea,datatableFranchiseFTECost,2,FALSE)</f>
        <v>40000</v>
      </c>
      <c r="F43" s="442">
        <f>VLOOKUP(decPlanDiseaseArea,datatableFranchiseFTECost,3,FALSE)</f>
        <v>165000</v>
      </c>
      <c r="G43" s="442">
        <f>VLOOKUP(decPlanDiseaseArea,datatableFranchiseFTECost,4,FALSE)</f>
        <v>550000</v>
      </c>
      <c r="H43" s="442">
        <f>VLOOKUP(decPlanDiseaseArea,datatableFranchiseFTECost,5,FALSE)</f>
        <v>4400000</v>
      </c>
      <c r="I43" s="442">
        <f>SUM(E43:H43)</f>
        <v>5155000</v>
      </c>
    </row>
    <row r="44" spans="1:9">
      <c r="A44" s="32">
        <v>0</v>
      </c>
      <c r="C44" s="201" t="s">
        <v>587</v>
      </c>
      <c r="E44" s="442">
        <f>(IF(VLOOKUP(decPlanDiseaseArea,datatableFormulationAdminDefault,2,FALSE)=decScenario1Administration,0,VLOOKUP(decScenario1Administration,datatableFormulationFTECost,calcMatchFunc,FALSE)))/4</f>
        <v>0</v>
      </c>
      <c r="F44" s="442">
        <f>(IF(VLOOKUP(decPlanDiseaseArea,datatableFormulationAdminDefault,2,FALSE)=decScenario1Administration,0,VLOOKUP(decScenario1Administration,datatableFormulationFTECost,calcMatchFunc,FALSE)))/4</f>
        <v>0</v>
      </c>
      <c r="G44" s="442">
        <f>(IF(VLOOKUP(decPlanDiseaseArea,datatableFormulationAdminDefault,2,FALSE)=decScenario1Administration,0,VLOOKUP(decScenario1Administration,datatableFormulationFTECost,calcMatchFunc,FALSE)))/4</f>
        <v>0</v>
      </c>
      <c r="H44" s="442">
        <f>(IF(VLOOKUP(decPlanDiseaseArea,datatableFormulationAdminDefault,2,FALSE)=decScenario1Administration,0,VLOOKUP(decScenario1Administration,datatableFormulationFTECost,calcMatchFunc,FALSE)))/4</f>
        <v>0</v>
      </c>
      <c r="I44" s="442">
        <f t="shared" ref="I44:I53" si="3">SUM(E44:H44)</f>
        <v>0</v>
      </c>
    </row>
    <row r="45" spans="1:9">
      <c r="A45" s="32">
        <v>5</v>
      </c>
      <c r="C45" s="201" t="s">
        <v>495</v>
      </c>
      <c r="E45" s="443"/>
      <c r="F45" s="442">
        <f>VLOOKUP(decScenario1TrialSizePh1,datatableSizePh1FTECost,calcMatchFunc,FALSE)</f>
        <v>0</v>
      </c>
      <c r="G45" s="442">
        <f>VLOOKUP(decScenario1TrialSizePh2,datatableSizePh2FTECost,calcMatchFunc,FALSE)</f>
        <v>0</v>
      </c>
      <c r="H45" s="442">
        <f>VLOOKUP(decScenario1TrialSizePh3,datatableSizePh3FTECost,calcMatchFunc,FALSE)</f>
        <v>0</v>
      </c>
      <c r="I45" s="442">
        <f t="shared" si="3"/>
        <v>0</v>
      </c>
    </row>
    <row r="46" spans="1:9">
      <c r="A46" s="32">
        <v>6</v>
      </c>
      <c r="C46" s="201" t="s">
        <v>668</v>
      </c>
      <c r="E46" s="443"/>
      <c r="F46" s="442">
        <f>VLOOKUP(decScenario1ObservationPh1,datatableDurationPh1FTECost,calcMatchFunc,FALSE)</f>
        <v>0</v>
      </c>
      <c r="G46" s="442">
        <f>VLOOKUP(decScenario1ObservationPh2,datatableDurationPh2FTECost,calcMatchFunc,FALSE)</f>
        <v>0</v>
      </c>
      <c r="H46" s="442">
        <f>VLOOKUP(decScenario1ObservationPh3,datatableDurationPh3FTECost,calcMatchFunc,FALSE)</f>
        <v>0</v>
      </c>
      <c r="I46" s="442">
        <f t="shared" si="3"/>
        <v>0</v>
      </c>
    </row>
    <row r="47" spans="1:9">
      <c r="A47" s="32">
        <v>7</v>
      </c>
      <c r="C47" s="201" t="s">
        <v>513</v>
      </c>
      <c r="E47" s="443"/>
      <c r="F47" s="443"/>
      <c r="G47" s="442">
        <f>IF(decScenario1AddIndication="No",0,VLOOKUP(decPlanDiseaseArea,datatableAddIndFTECost,2,FALSE))</f>
        <v>0</v>
      </c>
      <c r="H47" s="442">
        <f>IF(decScenario1AddIndication="No",0,VLOOKUP(decPlanDiseaseArea,datatableAddIndFTECost,3,FALSE))</f>
        <v>0</v>
      </c>
      <c r="I47" s="442">
        <f t="shared" si="3"/>
        <v>0</v>
      </c>
    </row>
    <row r="48" spans="1:9">
      <c r="A48" s="32">
        <v>9</v>
      </c>
      <c r="C48" s="202" t="s">
        <v>561</v>
      </c>
      <c r="E48" s="443"/>
      <c r="F48" s="443"/>
      <c r="G48" s="442">
        <f>VLOOKUP(decScenario1Ph2bStudy,datatableP2bTrialsFTECost,calcMatchFunc,FALSE)</f>
        <v>385000</v>
      </c>
      <c r="H48" s="443"/>
      <c r="I48" s="442">
        <f t="shared" si="3"/>
        <v>385000</v>
      </c>
    </row>
    <row r="49" spans="1:15">
      <c r="A49" s="32">
        <v>0</v>
      </c>
      <c r="C49" s="201" t="s">
        <v>563</v>
      </c>
      <c r="E49" s="443"/>
      <c r="F49" s="443"/>
      <c r="G49" s="442">
        <f>VLOOKUP(decScenario1DDFrequency,datatableDosageFTECost,calcMatchFunc,FALSE)</f>
        <v>0</v>
      </c>
      <c r="H49" s="442">
        <f>VLOOKUP(decScenario1DDFrequency,datatableDosageFTECost,calcMatchFunc,FALSE)*1.2</f>
        <v>0</v>
      </c>
      <c r="I49" s="442">
        <f t="shared" si="3"/>
        <v>0</v>
      </c>
    </row>
    <row r="50" spans="1:15">
      <c r="A50" s="32">
        <v>8</v>
      </c>
      <c r="C50" s="201" t="s">
        <v>554</v>
      </c>
      <c r="E50" s="443"/>
      <c r="F50" s="443"/>
      <c r="G50" s="442">
        <f>IF(decScenario1MNTrialsPh2="Japan/US",0,VLOOKUP(decPlanDiseaseArea,datatableGlobalTrialsFTECost,2,FALSE))</f>
        <v>-275000</v>
      </c>
      <c r="H50" s="442">
        <f>IF(decScenario1MNTrialsPh3="Japan/US",0,VLOOKUP(decPlanDiseaseArea,datatableGlobalTrialsFTECost,3,FALSE))</f>
        <v>-2200000</v>
      </c>
      <c r="I50" s="442">
        <f t="shared" si="3"/>
        <v>-2475000</v>
      </c>
    </row>
    <row r="51" spans="1:15">
      <c r="A51" s="32">
        <v>2</v>
      </c>
      <c r="C51" s="201" t="s">
        <v>488</v>
      </c>
      <c r="E51" s="443"/>
      <c r="F51" s="443"/>
      <c r="G51" s="443"/>
      <c r="H51" s="442">
        <f>VLOOKUP(decScenario1PrimaryEndpoint,datatablePrimaryEPFTECost,calcMatchFunc,FALSE)</f>
        <v>0</v>
      </c>
      <c r="I51" s="442">
        <f t="shared" si="3"/>
        <v>0</v>
      </c>
    </row>
    <row r="52" spans="1:15">
      <c r="A52" s="32">
        <v>10</v>
      </c>
      <c r="C52" s="201" t="s">
        <v>489</v>
      </c>
      <c r="E52" s="443"/>
      <c r="F52" s="443"/>
      <c r="G52" s="443"/>
      <c r="H52" s="442">
        <f>VLOOKUP(decScenario1Comparator,datatableComparatorFTECost,calcMatchFunc,FALSE)</f>
        <v>0</v>
      </c>
      <c r="I52" s="442">
        <f t="shared" si="3"/>
        <v>0</v>
      </c>
    </row>
    <row r="53" spans="1:15">
      <c r="A53" s="32">
        <v>10</v>
      </c>
      <c r="C53" s="201" t="s">
        <v>613</v>
      </c>
      <c r="E53" s="443"/>
      <c r="F53" s="442">
        <f>VLOOKUP(decScenario1MAEffort,datatableMAFTECost,calcMatchFunc,FALSE)/3</f>
        <v>0</v>
      </c>
      <c r="G53" s="442">
        <f>VLOOKUP(decScenario1MAEffort,datatableMAFTECost,calcMatchFunc,FALSE)/3</f>
        <v>0</v>
      </c>
      <c r="H53" s="442">
        <f>VLOOKUP(decScenario1MAEffort,datatableMAFTECost,calcMatchFunc,FALSE)/3</f>
        <v>0</v>
      </c>
      <c r="I53" s="442">
        <f t="shared" si="3"/>
        <v>0</v>
      </c>
    </row>
    <row r="54" spans="1:15">
      <c r="C54" s="200" t="s">
        <v>543</v>
      </c>
      <c r="E54" s="442">
        <f>SUM(E43:E53)*(1+(calcScenario1FTECostTrigger*1))</f>
        <v>80000</v>
      </c>
      <c r="F54" s="442">
        <f>SUM(F43:F53)*(1+(calcScenario1FTECostTrigger*1))</f>
        <v>330000</v>
      </c>
      <c r="G54" s="442">
        <f>SUM(G43:G53)*(1+(calcScenario1FTECostTrigger*1))</f>
        <v>1320000</v>
      </c>
      <c r="H54" s="442">
        <f>SUM(H43:H53)*(1+(calcScenario1FTECostTrigger*1))</f>
        <v>4400000</v>
      </c>
      <c r="I54" s="442">
        <f>SUM(E54:H54)</f>
        <v>6130000</v>
      </c>
    </row>
    <row r="55" spans="1:15">
      <c r="C55" s="200" t="s">
        <v>542</v>
      </c>
      <c r="E55" s="444">
        <f>tlInputScenario1ResearchFTECost</f>
        <v>0</v>
      </c>
      <c r="F55" s="444">
        <f>tlInputScenario1Ph1FTECost</f>
        <v>0</v>
      </c>
      <c r="G55" s="444">
        <f>tlInputScenario1Ph2FTECost</f>
        <v>0</v>
      </c>
      <c r="H55" s="444">
        <f>tlInputScenario1Ph3FTECost</f>
        <v>0</v>
      </c>
      <c r="I55" s="442">
        <f t="shared" ref="I55:I56" si="4">SUM(E55:H55)</f>
        <v>0</v>
      </c>
    </row>
    <row r="56" spans="1:15">
      <c r="C56" s="200" t="s">
        <v>541</v>
      </c>
      <c r="E56" s="445">
        <f>IF(calcAcquisitionTracker&lt;1,E54+E55,0)</f>
        <v>80000</v>
      </c>
      <c r="F56" s="445">
        <f>IF(calcAcquisitionTracker&lt;2,F54+F55,0)</f>
        <v>330000</v>
      </c>
      <c r="G56" s="445">
        <f>IF(calcAcquisitionTracker&lt;3,G54+G55,0)</f>
        <v>1320000</v>
      </c>
      <c r="H56" s="445">
        <f>IF(calcAcquisitionTracker&lt;3,H54+H55,0)</f>
        <v>4400000</v>
      </c>
      <c r="I56" s="445">
        <f t="shared" si="4"/>
        <v>6130000</v>
      </c>
    </row>
    <row r="57" spans="1:15">
      <c r="E57" s="32" t="s">
        <v>779</v>
      </c>
      <c r="F57" s="32" t="s">
        <v>780</v>
      </c>
      <c r="G57" s="32" t="s">
        <v>781</v>
      </c>
      <c r="H57" s="32" t="s">
        <v>782</v>
      </c>
      <c r="I57" s="32" t="s">
        <v>783</v>
      </c>
    </row>
    <row r="59" spans="1:15">
      <c r="A59" s="200" t="s">
        <v>544</v>
      </c>
    </row>
    <row r="60" spans="1:15">
      <c r="E60" s="32" t="s">
        <v>540</v>
      </c>
      <c r="F60" s="32" t="s">
        <v>465</v>
      </c>
      <c r="G60" s="32" t="s">
        <v>466</v>
      </c>
      <c r="H60" s="32" t="s">
        <v>467</v>
      </c>
      <c r="I60" s="32" t="s">
        <v>55</v>
      </c>
      <c r="K60" s="32">
        <v>0</v>
      </c>
      <c r="L60" s="32">
        <v>1</v>
      </c>
      <c r="M60" s="32">
        <v>2</v>
      </c>
      <c r="N60" s="32">
        <v>3</v>
      </c>
      <c r="O60" s="32">
        <v>4</v>
      </c>
    </row>
    <row r="61" spans="1:15">
      <c r="A61" s="32" t="s">
        <v>553</v>
      </c>
      <c r="C61" s="200" t="s">
        <v>546</v>
      </c>
      <c r="E61" s="470">
        <f>VLOOKUP(decPlanDiseaseArea,datatableFranchiseTTM,2,FALSE)</f>
        <v>0.25</v>
      </c>
      <c r="F61" s="470">
        <f>VLOOKUP(decPlanDiseaseArea,datatableFranchiseTTM,3,FALSE)</f>
        <v>0.5</v>
      </c>
      <c r="G61" s="470">
        <f>VLOOKUP(decPlanDiseaseArea,datatableFranchiseTTM,4,FALSE)</f>
        <v>0.5</v>
      </c>
      <c r="H61" s="470">
        <f>VLOOKUP(decPlanDiseaseArea,datatableFranchiseTTM,5,FALSE)</f>
        <v>3.5</v>
      </c>
      <c r="I61" s="470">
        <f>SUM(E61:H61)</f>
        <v>4.75</v>
      </c>
    </row>
    <row r="62" spans="1:15">
      <c r="A62" s="32">
        <v>0</v>
      </c>
      <c r="C62" s="201" t="s">
        <v>585</v>
      </c>
      <c r="E62" s="470">
        <f>VLOOKUP(decScenario1AddBiomarker,datatableAddBiomarkerTTM,2,FALSE)</f>
        <v>0</v>
      </c>
      <c r="F62" s="482"/>
      <c r="G62" s="482"/>
      <c r="H62" s="482"/>
      <c r="I62" s="470">
        <f t="shared" ref="I62:I71" si="5">SUM(E62:H62)</f>
        <v>0</v>
      </c>
    </row>
    <row r="63" spans="1:15">
      <c r="A63" s="32">
        <v>5</v>
      </c>
      <c r="C63" s="201" t="s">
        <v>587</v>
      </c>
      <c r="E63" s="470">
        <f>IF(VLOOKUP(decPlanDiseaseArea,datatableFormulationAdminDefault,2,FALSE)=decScenario1Administration,0,VLOOKUP(decScenario1Administration,datatableFormulationTTM,calcMatchFunc,FALSE))</f>
        <v>0</v>
      </c>
      <c r="F63" s="482"/>
      <c r="G63" s="482"/>
      <c r="H63" s="482"/>
      <c r="I63" s="470">
        <f t="shared" si="5"/>
        <v>0</v>
      </c>
    </row>
    <row r="64" spans="1:15">
      <c r="A64" s="32">
        <v>6</v>
      </c>
      <c r="C64" s="201" t="s">
        <v>495</v>
      </c>
      <c r="E64" s="482"/>
      <c r="F64" s="470">
        <f>VLOOKUP(decScenario1TrialSizePh1,datatableSizePh1TTM,calcMatchFunc,FALSE)</f>
        <v>0</v>
      </c>
      <c r="G64" s="470">
        <f>VLOOKUP(decScenario1TrialSizePh2,datatableSizePh2TTM,calcMatchFunc,FALSE)</f>
        <v>0</v>
      </c>
      <c r="H64" s="470">
        <f>VLOOKUP(decScenario1TrialSizePh3,datatableSizePh3TTM,calcMatchFunc,FALSE)</f>
        <v>0</v>
      </c>
      <c r="I64" s="470">
        <f t="shared" si="5"/>
        <v>0</v>
      </c>
    </row>
    <row r="65" spans="1:13">
      <c r="A65" s="32">
        <v>9</v>
      </c>
      <c r="C65" s="201" t="s">
        <v>668</v>
      </c>
      <c r="E65" s="482"/>
      <c r="F65" s="470">
        <f>VLOOKUP(decScenario1ObservationPh1,datatableDurationPh1TTM,calcMatchFunc,FALSE)</f>
        <v>0</v>
      </c>
      <c r="G65" s="470">
        <f>VLOOKUP(decScenario1ObservationPh2,datatableDurationPh2TTM,calcMatchFunc,FALSE)</f>
        <v>0</v>
      </c>
      <c r="H65" s="470">
        <f>VLOOKUP(decScenario1ObservationPh3,datatableDurationPh3TTM,calcMatchFunc,FALSE)</f>
        <v>0</v>
      </c>
      <c r="I65" s="470">
        <f t="shared" si="5"/>
        <v>0</v>
      </c>
      <c r="J65" s="32">
        <f>calcScenario1ResearchTimeReq</f>
        <v>0.25</v>
      </c>
      <c r="K65" s="32">
        <f>calcScenario1ResearchTimeReq</f>
        <v>0.25</v>
      </c>
      <c r="L65" s="32">
        <f>calcScenario1ResearchFTECost</f>
        <v>80000</v>
      </c>
      <c r="M65" s="32">
        <f>IF(K65&lt;1,L65,(K65-1)*L65)</f>
        <v>80000</v>
      </c>
    </row>
    <row r="66" spans="1:13">
      <c r="A66" s="32">
        <v>8</v>
      </c>
      <c r="C66" s="201" t="s">
        <v>513</v>
      </c>
      <c r="E66" s="482"/>
      <c r="F66" s="482"/>
      <c r="G66" s="470">
        <f>IF(decScenario1AddIndication="No",0,VLOOKUP(decPlanDiseaseArea,datatableAddIndTTM,2,FALSE))</f>
        <v>0</v>
      </c>
      <c r="H66" s="470">
        <f>IF(decScenario1AddIndication="No",0,VLOOKUP(decPlanDiseaseArea,datatableAddIndTTM,3,FALSE))</f>
        <v>0</v>
      </c>
      <c r="I66" s="470">
        <f t="shared" si="5"/>
        <v>0</v>
      </c>
      <c r="J66" s="32">
        <f>calcScenario1Ph1TimeReq</f>
        <v>0.5</v>
      </c>
      <c r="K66" s="32">
        <f>calcScenario1ResearchTimeReq+calcScenario1Ph1TimeReq</f>
        <v>0.75</v>
      </c>
      <c r="L66" s="32">
        <f>calcScenario1Ph1FTECost</f>
        <v>330000</v>
      </c>
      <c r="M66" s="32">
        <f t="shared" ref="M66" si="6">IF(K66&lt;1,L66,(K66-1)*L66)</f>
        <v>330000</v>
      </c>
    </row>
    <row r="67" spans="1:13">
      <c r="A67" s="32">
        <v>10</v>
      </c>
      <c r="C67" s="202" t="s">
        <v>561</v>
      </c>
      <c r="E67" s="482"/>
      <c r="F67" s="482"/>
      <c r="G67" s="470">
        <f>VLOOKUP(decScenario1Ph2bStudy,datatableP2bTrialsTTM,calcMatchFunc,FALSE)</f>
        <v>0.375</v>
      </c>
      <c r="H67" s="482"/>
      <c r="I67" s="470">
        <f t="shared" si="5"/>
        <v>0.375</v>
      </c>
      <c r="J67" s="32">
        <f>calcScenario1Ph2TimeReq</f>
        <v>0.77500000000000002</v>
      </c>
      <c r="K67" s="32">
        <f>calcScenario1ResearchTimeReq+calcScenario1Ph1TimeReq+calcScenario1Ph2TimeReq</f>
        <v>1.5249999999999999</v>
      </c>
      <c r="L67" s="32">
        <f>calcScenario1Ph2FTECost</f>
        <v>1320000</v>
      </c>
      <c r="M67" s="32">
        <f>IF(K67&lt;1,L67,(1-J67)*L67)</f>
        <v>296999.99999999994</v>
      </c>
    </row>
    <row r="68" spans="1:13">
      <c r="A68" s="32">
        <v>4</v>
      </c>
      <c r="C68" s="201" t="s">
        <v>554</v>
      </c>
      <c r="E68" s="483"/>
      <c r="F68" s="483"/>
      <c r="G68" s="484">
        <f>IF(decScenario1MNTrialsPh2="Japan/US",0,VLOOKUP(decPlanDiseaseArea,datatableGlobalTrialsTTM,2,FALSE))</f>
        <v>-0.1</v>
      </c>
      <c r="H68" s="484">
        <f>IF(decScenario1MNTrialsPh3="Japan/US",0,VLOOKUP(decPlanDiseaseArea,datatableGlobalTrialsTTM,3,FALSE))</f>
        <v>-0.70000000000000007</v>
      </c>
      <c r="I68" s="484">
        <f t="shared" si="5"/>
        <v>-0.8</v>
      </c>
      <c r="J68" s="32">
        <f>calcScenario1Ph3TimeReq</f>
        <v>2.8</v>
      </c>
      <c r="K68" s="32">
        <f>calcScenario1ResearchTimeReq+calcScenario1Ph1TimeReq+calcScenario1Ph2TimeReq+calcScenario1Ph3TimeReq</f>
        <v>4.3249999999999993</v>
      </c>
      <c r="L68" s="32">
        <f>calcScenario1Ph3FTECost</f>
        <v>4400000</v>
      </c>
      <c r="M68" s="32">
        <f t="shared" ref="M68" si="7">IF(K68&lt;1,L68,(1-J68)*L68)</f>
        <v>-7919999.9999999991</v>
      </c>
    </row>
    <row r="69" spans="1:13">
      <c r="A69" s="32">
        <v>3</v>
      </c>
      <c r="C69" s="201" t="s">
        <v>488</v>
      </c>
      <c r="E69" s="483"/>
      <c r="F69" s="483"/>
      <c r="G69" s="483"/>
      <c r="H69" s="470">
        <f>VLOOKUP(decScenario1PrimaryEndpoint,datatablePrimaryEPTTM,calcMatchFunc,FALSE)</f>
        <v>0</v>
      </c>
      <c r="I69" s="470">
        <f t="shared" si="5"/>
        <v>0</v>
      </c>
      <c r="M69" s="32">
        <f>COUNTIF(M65:M68,0)</f>
        <v>0</v>
      </c>
    </row>
    <row r="70" spans="1:13">
      <c r="A70" s="32">
        <v>2</v>
      </c>
      <c r="C70" s="201" t="s">
        <v>487</v>
      </c>
      <c r="E70" s="483"/>
      <c r="F70" s="483"/>
      <c r="G70" s="483"/>
      <c r="H70" s="470">
        <f>VLOOKUP(decScenario1SecondaryEndpoint,datatableSecondaryEPTTM,calcMatchFunc,FALSE)</f>
        <v>0</v>
      </c>
      <c r="I70" s="470">
        <f t="shared" si="5"/>
        <v>0</v>
      </c>
    </row>
    <row r="71" spans="1:13">
      <c r="A71" s="32">
        <v>5</v>
      </c>
      <c r="C71" s="201" t="s">
        <v>489</v>
      </c>
      <c r="E71" s="483"/>
      <c r="F71" s="483"/>
      <c r="G71" s="483"/>
      <c r="H71" s="470">
        <f>VLOOKUP(decScenario1Comparator,datatableComparatorTTM,calcMatchFunc,FALSE)</f>
        <v>0</v>
      </c>
      <c r="I71" s="470">
        <f t="shared" si="5"/>
        <v>0</v>
      </c>
    </row>
    <row r="72" spans="1:13">
      <c r="A72" s="32">
        <v>5</v>
      </c>
      <c r="C72" s="201" t="s">
        <v>613</v>
      </c>
      <c r="E72" s="443"/>
      <c r="F72" s="442">
        <f>IF(decScenario1MAEffort="Early Stage",VLOOKUP(decScenario1MAEffort,datatableMATTM,calcMatchFunc,FALSE),IF(decScenario1MAEffort="Prelaunch",VLOOKUP(decScenario1MAEffort,datatableMATTM,calcMatchFunc,FALSE),0))</f>
        <v>0</v>
      </c>
      <c r="G72" s="442">
        <f>IF(decScenario1MAEffort="Early Stage",VLOOKUP(decScenario1MAEffort,datatableMATTM,calcMatchFunc,FALSE),IF(decScenario1MAEffort="Prelaunch",VLOOKUP(decScenario1MAEffort,datatableMATTM,calcMatchFunc,FALSE),0))</f>
        <v>0</v>
      </c>
      <c r="H72" s="442">
        <f>IF(decScenario1MAEffort="Early Stage",-1*(VLOOKUP(decScenario1MAEffort,datatableMATTM,calcMatchFunc,FALSE)),IF(decScenario1MAEffort="Prelaunch",VLOOKUP(decScenario1MAEffort,datatableMATTM,calcMatchFunc,FALSE),0))</f>
        <v>0</v>
      </c>
      <c r="I72" s="442">
        <f t="shared" ref="I72" si="8">SUM(E72:H72)</f>
        <v>0</v>
      </c>
    </row>
    <row r="73" spans="1:13">
      <c r="C73" s="200" t="s">
        <v>543</v>
      </c>
      <c r="E73" s="470">
        <f>SUM(E61:E72)</f>
        <v>0.25</v>
      </c>
      <c r="F73" s="470">
        <f t="shared" ref="F73:H73" si="9">SUM(F61:F72)</f>
        <v>0.5</v>
      </c>
      <c r="G73" s="470">
        <f t="shared" si="9"/>
        <v>0.77500000000000002</v>
      </c>
      <c r="H73" s="470">
        <f t="shared" si="9"/>
        <v>2.8</v>
      </c>
      <c r="I73" s="470">
        <f>SUM(E73:H73)</f>
        <v>4.3249999999999993</v>
      </c>
    </row>
    <row r="74" spans="1:13">
      <c r="C74" s="200" t="s">
        <v>542</v>
      </c>
      <c r="E74" s="485">
        <f>tlInputScenario1ResearchTimeReq</f>
        <v>0</v>
      </c>
      <c r="F74" s="485">
        <f>tlInputScenario1Ph1TimeReq</f>
        <v>0</v>
      </c>
      <c r="G74" s="485">
        <f>tlInputScenario1Ph2TimeReq</f>
        <v>0</v>
      </c>
      <c r="H74" s="485">
        <f>tlInputScenario1Ph3TimeReq</f>
        <v>0</v>
      </c>
      <c r="I74" s="470">
        <f t="shared" ref="I74" si="10">SUM(E74:H74)</f>
        <v>0</v>
      </c>
    </row>
    <row r="75" spans="1:13">
      <c r="C75" s="200" t="s">
        <v>541</v>
      </c>
      <c r="E75" s="486">
        <f>IF(calcAcquisitionTracker&lt;1,E73+E74,0)</f>
        <v>0.25</v>
      </c>
      <c r="F75" s="486">
        <f>IF(calcAcquisitionTracker&lt;2,F73+F74,0)</f>
        <v>0.5</v>
      </c>
      <c r="G75" s="486">
        <f>IF(calcAcquisitionTracker&lt;3,G73+G74,0)</f>
        <v>0.77500000000000002</v>
      </c>
      <c r="H75" s="486">
        <f>IF(calcAcquisitionTracker&lt;3,H73+H74,0)</f>
        <v>2.8</v>
      </c>
      <c r="I75" s="486">
        <f>MIN(SUM(E75:H75),15)</f>
        <v>4.3249999999999993</v>
      </c>
    </row>
    <row r="76" spans="1:13">
      <c r="E76" s="32" t="s">
        <v>790</v>
      </c>
      <c r="F76" s="32" t="s">
        <v>791</v>
      </c>
      <c r="G76" s="32" t="s">
        <v>792</v>
      </c>
      <c r="H76" s="32" t="s">
        <v>793</v>
      </c>
      <c r="I76" s="32" t="s">
        <v>794</v>
      </c>
    </row>
    <row r="78" spans="1:13">
      <c r="A78" s="200" t="s">
        <v>545</v>
      </c>
    </row>
    <row r="79" spans="1:13">
      <c r="A79" s="200"/>
      <c r="E79" s="457">
        <f>(IF(OR(decScenario1EnterRegion1=TRUE,decScenario1EnterRegion2=TRUE),VLOOKUP(decPlanDiseaseArea,datatableReg12PTS,2,FALSE),0))</f>
        <v>0.9</v>
      </c>
      <c r="F79" s="457">
        <f>(IF(OR(decScenario1EnterRegion1=TRUE,decScenario1EnterRegion2=TRUE),VLOOKUP(decPlanDiseaseArea,datatableReg12PTS,3,FALSE),0))</f>
        <v>0.9</v>
      </c>
      <c r="G79" s="457">
        <f>(IF(OR(decScenario1EnterRegion1=TRUE,decScenario1EnterRegion2=TRUE),VLOOKUP(decPlanDiseaseArea,datatableReg12PTS,4,FALSE),0))</f>
        <v>0.35</v>
      </c>
      <c r="H79" s="457">
        <f>(IF(OR(decScenario1EnterRegion1=TRUE,decScenario1EnterRegion2=TRUE),VLOOKUP(decPlanDiseaseArea,datatableReg12PTS,5,FALSE),0))</f>
        <v>0.75</v>
      </c>
    </row>
    <row r="80" spans="1:13" ht="15" thickBot="1">
      <c r="A80" s="200"/>
      <c r="E80" s="457">
        <f>IF(OR(decScenario1EnterRegion3=TRUE,decScenario1EnterRegion4=TRUE),VLOOKUP(decPlanDiseaseArea,datatableReg34PTS,2,FALSE),0)</f>
        <v>0</v>
      </c>
      <c r="F80" s="457">
        <f>IF(OR(decScenario1EnterRegion3=TRUE,decScenario1EnterRegion4=TRUE),VLOOKUP(decPlanDiseaseArea,datatableReg34PTS,3,FALSE),0)</f>
        <v>0</v>
      </c>
      <c r="G80" s="457">
        <f>IF(OR(decScenario1EnterRegion3=TRUE,decScenario1EnterRegion4=TRUE),VLOOKUP(decPlanDiseaseArea,datatableReg34PTS,4,FALSE),0)</f>
        <v>0</v>
      </c>
      <c r="H80" s="457">
        <f>IF(OR(decScenario1EnterRegion3=TRUE,decScenario1EnterRegion4=TRUE),VLOOKUP(decPlanDiseaseArea,datatableReg34PTS,5,FALSE),0)</f>
        <v>0</v>
      </c>
    </row>
    <row r="81" spans="1:17">
      <c r="E81" s="32" t="s">
        <v>540</v>
      </c>
      <c r="F81" s="32" t="s">
        <v>465</v>
      </c>
      <c r="G81" s="32" t="s">
        <v>466</v>
      </c>
      <c r="H81" s="32" t="s">
        <v>467</v>
      </c>
      <c r="J81" s="462" t="s">
        <v>1329</v>
      </c>
      <c r="K81" s="463"/>
      <c r="L81" s="463"/>
      <c r="M81" s="464"/>
      <c r="O81" s="462" t="s">
        <v>1501</v>
      </c>
      <c r="P81" s="463"/>
      <c r="Q81" s="464"/>
    </row>
    <row r="82" spans="1:17">
      <c r="A82" s="32" t="s">
        <v>553</v>
      </c>
      <c r="C82" s="200" t="s">
        <v>1328</v>
      </c>
      <c r="E82" s="550">
        <f>IF(calcScenario1MultinationalTrialTrigger=1,E79*E80,E79+E80)</f>
        <v>0.9</v>
      </c>
      <c r="F82" s="550">
        <f>IF(calcScenario1MultinationalTrialTrigger=1,F79*F80,F79+F80)</f>
        <v>0.9</v>
      </c>
      <c r="G82" s="550">
        <f>IF(calcScenario1MultinationalTrialTrigger=1,G79*G80,G79+G80)</f>
        <v>0.35</v>
      </c>
      <c r="H82" s="550">
        <f>IF(calcScenario1MultinationalTrialTrigger=1,H79*H80,H79+H80)</f>
        <v>0.75</v>
      </c>
      <c r="I82" s="442"/>
      <c r="J82" s="465" t="b">
        <f>decScenario1EnterRegion1</f>
        <v>1</v>
      </c>
      <c r="K82" s="36" t="b">
        <f>decScenario1EnterRegion3</f>
        <v>0</v>
      </c>
      <c r="L82" s="465" t="b">
        <f>decScenario1EnterRegion1</f>
        <v>1</v>
      </c>
      <c r="M82" s="466"/>
      <c r="O82" s="465" t="b">
        <f>decScenario1ObservationPh1="- 6 months"</f>
        <v>0</v>
      </c>
      <c r="P82" s="36" t="b">
        <f>decScenario1ObservationPh2="- 6 months"</f>
        <v>0</v>
      </c>
      <c r="Q82" s="466" t="b">
        <f>decScenario1ObservationPh3="- 6 months"</f>
        <v>0</v>
      </c>
    </row>
    <row r="83" spans="1:17" ht="15" thickBot="1">
      <c r="A83" s="32">
        <v>3</v>
      </c>
      <c r="C83" s="201" t="s">
        <v>585</v>
      </c>
      <c r="E83" s="457">
        <f>VLOOKUP(decScenario1AddBiomarker,datatableAddBiomarkerPTS,2,FALSE)</f>
        <v>0</v>
      </c>
      <c r="F83" s="457">
        <f>VLOOKUP(decScenario1AddBiomarker,datatableAddBiomarkerPTS,2,FALSE)</f>
        <v>0</v>
      </c>
      <c r="G83" s="457">
        <f>VLOOKUP(decScenario1AddBiomarker,datatableAddBiomarkerPTS,2,FALSE)</f>
        <v>0</v>
      </c>
      <c r="H83" s="457">
        <f>VLOOKUP(decScenario1AddBiomarker,datatableAddBiomarkerPTS,2,FALSE)</f>
        <v>0</v>
      </c>
      <c r="I83" s="442"/>
      <c r="J83" s="465" t="b">
        <f>decScenario1EnterRegion2</f>
        <v>0</v>
      </c>
      <c r="K83" s="36" t="b">
        <f>decScenario1EnterRegion4</f>
        <v>0</v>
      </c>
      <c r="L83" s="36">
        <f>calcScenario1MultinationalTrialTrigger</f>
        <v>0</v>
      </c>
      <c r="M83" s="466"/>
      <c r="O83" s="465" t="b">
        <f>decScenario1ObservationPh1="- 12 months"</f>
        <v>0</v>
      </c>
      <c r="P83" s="36" t="b">
        <f>decScenario1ObservationPh2="- 12 months"</f>
        <v>0</v>
      </c>
      <c r="Q83" s="466" t="b">
        <f>decScenario1ObservationPh3="- 12 months"</f>
        <v>0</v>
      </c>
    </row>
    <row r="84" spans="1:17" ht="15" thickBot="1">
      <c r="A84" s="32">
        <v>5</v>
      </c>
      <c r="C84" s="201" t="s">
        <v>587</v>
      </c>
      <c r="E84" s="457">
        <f>IF(VLOOKUP(decPlanDiseaseArea,datatableFormulationAdminDefault,2,FALSE)=decScenario1Administration,0,VLOOKUP(decScenario1Administration,datatableFormulationPTS,calcMatchFunc,FALSE))</f>
        <v>0</v>
      </c>
      <c r="F84" s="457">
        <f>IF(VLOOKUP(decPlanDiseaseArea,datatableFormulationAdminDefault,2,FALSE)=decScenario1Administration,0,VLOOKUP(decScenario1Administration,datatableFormulationPTS,calcMatchFunc,FALSE))</f>
        <v>0</v>
      </c>
      <c r="G84" s="457">
        <f>IF(VLOOKUP(decPlanDiseaseArea,datatableFormulationAdminDefault,2,FALSE)=decScenario1Administration,0,VLOOKUP(decScenario1Administration,datatableFormulationPTS,calcMatchFunc,FALSE))</f>
        <v>0</v>
      </c>
      <c r="H84" s="457">
        <f>IF(VLOOKUP(decPlanDiseaseArea,datatableFormulationAdminDefault,2,FALSE)=decScenario1Administration,0,VLOOKUP(decScenario1Administration,datatableFormulationPTS,calcMatchFunc,FALSE))</f>
        <v>0</v>
      </c>
      <c r="I84" s="442"/>
      <c r="J84" s="465">
        <f>COUNTIF(J82:J83,TRUE)</f>
        <v>1</v>
      </c>
      <c r="K84" s="36">
        <f t="shared" ref="K84" si="11">COUNTIF(K82:K83,TRUE)</f>
        <v>0</v>
      </c>
      <c r="L84" s="461">
        <f>IF(AND(L82=TRUE,L83=0),1,0)</f>
        <v>1</v>
      </c>
      <c r="M84" s="466" t="s">
        <v>1509</v>
      </c>
      <c r="O84" s="465" t="b">
        <f>decScenario1ObservationPh1="0 months"</f>
        <v>1</v>
      </c>
      <c r="P84" s="36" t="b">
        <f>decScenario1ObservationPh2="0 months"</f>
        <v>1</v>
      </c>
      <c r="Q84" s="466" t="b">
        <f>decScenario1ObservationPh3="0 months"</f>
        <v>1</v>
      </c>
    </row>
    <row r="85" spans="1:17" ht="15" thickBot="1">
      <c r="A85" s="203" t="s">
        <v>565</v>
      </c>
      <c r="B85" s="32" t="s">
        <v>81</v>
      </c>
      <c r="C85" s="201" t="s">
        <v>495</v>
      </c>
      <c r="E85" s="458"/>
      <c r="F85" s="457">
        <f>VLOOKUP(decScenario1TrialSizePh1,datatableSizePh1PTS,calcMatchFunc,FALSE)</f>
        <v>0</v>
      </c>
      <c r="G85" s="457">
        <f>IF(AND(calcScenario1MultinationalTrialTrigger=1,decScenario1TrialSizePh2&lt;300),-4%,VLOOKUP(decScenario1TrialSizePh2,datatableSizePh2PTS,calcMatchFunc,FALSE))</f>
        <v>0</v>
      </c>
      <c r="H85" s="457">
        <f>IF(AND(calcScenario1MultinationalTrialTrigger=1,decScenario1TrialSizePh3&lt;750),-8%,VLOOKUP(decScenario1TrialSizePh3,datatableSizePh3PTS,calcMatchFunc,FALSE))</f>
        <v>0</v>
      </c>
      <c r="I85" s="541"/>
      <c r="J85" s="461">
        <f>IF(AND(J84&gt;0,K84&gt;0),1,0)</f>
        <v>0</v>
      </c>
      <c r="K85" s="36" t="s">
        <v>1330</v>
      </c>
      <c r="L85" s="36"/>
      <c r="M85" s="466"/>
      <c r="O85" s="576">
        <f>COUNTIF(O82:O84,TRUE)</f>
        <v>1</v>
      </c>
      <c r="P85" s="577">
        <f t="shared" ref="P85:Q85" si="12">COUNTIF(P82:P84,TRUE)</f>
        <v>1</v>
      </c>
      <c r="Q85" s="578">
        <f t="shared" si="12"/>
        <v>1</v>
      </c>
    </row>
    <row r="86" spans="1:17" ht="15" thickBot="1">
      <c r="A86" s="203" t="s">
        <v>565</v>
      </c>
      <c r="B86" s="32" t="s">
        <v>81</v>
      </c>
      <c r="C86" s="201" t="s">
        <v>668</v>
      </c>
      <c r="E86" s="458"/>
      <c r="F86" s="457">
        <f>VLOOKUP(decScenario1ObservationPh1,datatableDurationPh1PTS,calcMatchFunc,FALSE)</f>
        <v>0</v>
      </c>
      <c r="G86" s="457">
        <f>IF(AND(calcScenario1MultinationalTrialTrigger=1,calcScenario1TrialDurationPh2Trigger&gt;0),-4%,VLOOKUP(decScenario1ObservationPh2,datatableDurationPh2PTS,calcMatchFunc,FALSE))</f>
        <v>0</v>
      </c>
      <c r="H86" s="457">
        <f>IF(AND(calcScenario1MultinationalTrialTrigger=1,calcScenario1TrialDurationPh3Trigger&gt;0),-8%,VLOOKUP(decScenario1ObservationPh3,datatableDurationPh3PTS,calcMatchFunc,FALSE))</f>
        <v>0</v>
      </c>
      <c r="I86" s="541"/>
      <c r="J86" s="467"/>
      <c r="K86" s="468"/>
      <c r="L86" s="468"/>
      <c r="M86" s="469"/>
      <c r="O86" s="467"/>
      <c r="P86" s="468"/>
      <c r="Q86" s="469"/>
    </row>
    <row r="87" spans="1:17">
      <c r="A87" s="32">
        <v>5</v>
      </c>
      <c r="B87" s="32" t="s">
        <v>82</v>
      </c>
      <c r="C87" s="201" t="s">
        <v>513</v>
      </c>
      <c r="E87" s="458"/>
      <c r="F87" s="458"/>
      <c r="G87" s="457">
        <f>IF(decScenario1AddIndication="No",0,VLOOKUP(decPlanDiseaseArea,datatableAddIndPTS,2,FALSE))</f>
        <v>0</v>
      </c>
      <c r="H87" s="457">
        <f>IF(decScenario1AddIndication="No",0,VLOOKUP(decPlanDiseaseArea,datatableAddIndPTS,3,FALSE))</f>
        <v>0</v>
      </c>
      <c r="I87" s="442"/>
    </row>
    <row r="88" spans="1:17">
      <c r="A88" s="32">
        <v>8</v>
      </c>
      <c r="B88" s="32" t="s">
        <v>81</v>
      </c>
      <c r="C88" s="202" t="s">
        <v>561</v>
      </c>
      <c r="E88" s="458"/>
      <c r="F88" s="458"/>
      <c r="G88" s="458"/>
      <c r="H88" s="457">
        <f>VLOOKUP(decScenario1Ph2bStudy,datatableP2bTrialsPTS,calcMatchFunc,FALSE)</f>
        <v>7.4999999999999997E-2</v>
      </c>
      <c r="I88" s="442"/>
    </row>
    <row r="89" spans="1:17">
      <c r="A89" s="32">
        <v>3</v>
      </c>
      <c r="B89" s="32" t="s">
        <v>82</v>
      </c>
      <c r="C89" s="201" t="s">
        <v>563</v>
      </c>
      <c r="E89" s="458"/>
      <c r="F89" s="458"/>
      <c r="G89" s="457">
        <f>VLOOKUP(decScenario1DDFrequency,datatableDosagePTS,calcMatchFunc,FALSE)</f>
        <v>0.02</v>
      </c>
      <c r="H89" s="457">
        <f>VLOOKUP(decScenario1DDFrequency,datatableDosagePTS,calcMatchFunc,FALSE)</f>
        <v>0.02</v>
      </c>
      <c r="I89" s="442"/>
    </row>
    <row r="90" spans="1:17">
      <c r="A90" s="32">
        <v>10</v>
      </c>
      <c r="B90" s="32" t="s">
        <v>81</v>
      </c>
      <c r="C90" s="201" t="s">
        <v>554</v>
      </c>
      <c r="E90" s="458"/>
      <c r="F90" s="458"/>
      <c r="G90" s="457">
        <f>IF(AND(decScenario1MNTrialsPh2="Local",calcScenario1MultinationalTrialTrigger=1),-6%,0)</f>
        <v>0</v>
      </c>
      <c r="H90" s="457">
        <f>IF(AND(decScenario1MNTrialsPh3="Local",calcScenario1MultinationalTrialTrigger=1),-10%,0)</f>
        <v>0</v>
      </c>
      <c r="I90" s="442"/>
    </row>
    <row r="91" spans="1:17">
      <c r="A91" s="32">
        <v>7</v>
      </c>
      <c r="B91" s="32" t="s">
        <v>82</v>
      </c>
      <c r="C91" s="201" t="s">
        <v>488</v>
      </c>
      <c r="E91" s="458"/>
      <c r="F91" s="458"/>
      <c r="G91" s="458"/>
      <c r="H91" s="457">
        <f>VLOOKUP(decScenario1PrimaryEndpoint,datatablePrimaryEPPTS,calcMatchFunc,FALSE)</f>
        <v>0</v>
      </c>
      <c r="I91" s="442"/>
    </row>
    <row r="92" spans="1:17">
      <c r="A92" s="32">
        <v>4</v>
      </c>
      <c r="B92" s="32" t="s">
        <v>82</v>
      </c>
      <c r="C92" s="201" t="s">
        <v>487</v>
      </c>
      <c r="E92" s="458"/>
      <c r="F92" s="458"/>
      <c r="G92" s="458"/>
      <c r="H92" s="457">
        <f>VLOOKUP(decScenario1SecondaryEndpoint,datatableSecondaryEPPTS,calcMatchFunc,FALSE)</f>
        <v>0</v>
      </c>
    </row>
    <row r="93" spans="1:17">
      <c r="A93" s="32">
        <v>6</v>
      </c>
      <c r="B93" s="32" t="s">
        <v>81</v>
      </c>
      <c r="C93" s="201" t="s">
        <v>489</v>
      </c>
      <c r="E93" s="458"/>
      <c r="F93" s="458"/>
      <c r="G93" s="458"/>
      <c r="H93" s="457">
        <f>VLOOKUP(decScenario1Comparator,datatableComparatorPTS,calcMatchFunc,FALSE)</f>
        <v>0</v>
      </c>
    </row>
    <row r="94" spans="1:17">
      <c r="C94" s="200" t="s">
        <v>543</v>
      </c>
      <c r="E94" s="457">
        <f>SUM(E82:E93)</f>
        <v>0.9</v>
      </c>
      <c r="F94" s="457">
        <f t="shared" ref="F94:H94" si="13">SUM(F82:F93)</f>
        <v>0.9</v>
      </c>
      <c r="G94" s="457">
        <f t="shared" si="13"/>
        <v>0.37</v>
      </c>
      <c r="H94" s="457">
        <f t="shared" si="13"/>
        <v>0.84499999999999997</v>
      </c>
    </row>
    <row r="95" spans="1:17">
      <c r="C95" s="200" t="s">
        <v>542</v>
      </c>
      <c r="E95" s="459">
        <f>tlInputScenario1ResearchPTS</f>
        <v>0</v>
      </c>
      <c r="F95" s="459">
        <f>tlInputScenario1Ph1PTS</f>
        <v>0</v>
      </c>
      <c r="G95" s="459">
        <f>tlInputScenario1Ph2PTS</f>
        <v>0</v>
      </c>
      <c r="H95" s="459">
        <f>tlInputScenario1Ph3PTS</f>
        <v>0</v>
      </c>
      <c r="I95" s="200" t="s">
        <v>669</v>
      </c>
      <c r="J95" s="200" t="s">
        <v>616</v>
      </c>
    </row>
    <row r="96" spans="1:17">
      <c r="C96" s="200" t="s">
        <v>541</v>
      </c>
      <c r="E96" s="460">
        <f>MIN(MAX(IF(calcAcquisitionTracker&lt;1,E94+E95,1),0),1)</f>
        <v>0.9</v>
      </c>
      <c r="F96" s="460">
        <f>MIN(MAX(IF(calcAcquisitionTracker&lt;2,F94+F95,1),0),1)</f>
        <v>0.9</v>
      </c>
      <c r="G96" s="460">
        <f>MIN(MAX(IF(calcAcquisitionTracker&lt;3,G94+G95,1),0),1)</f>
        <v>0.37</v>
      </c>
      <c r="H96" s="460">
        <f>MIN(MAX(IF(calcAcquisitionTracker&lt;4,H94+H95,1),0),1)</f>
        <v>0.84499999999999997</v>
      </c>
      <c r="I96" s="460">
        <f>decScenario1RegulatorySuccess</f>
        <v>0.9</v>
      </c>
      <c r="J96" s="460">
        <f>PRODUCT(E96:I96)</f>
        <v>0.22792184999999998</v>
      </c>
    </row>
    <row r="97" spans="1:10">
      <c r="E97" s="32" t="s">
        <v>784</v>
      </c>
      <c r="F97" s="32" t="s">
        <v>785</v>
      </c>
      <c r="G97" s="32" t="s">
        <v>786</v>
      </c>
      <c r="H97" s="32" t="s">
        <v>787</v>
      </c>
      <c r="I97" s="32" t="s">
        <v>789</v>
      </c>
      <c r="J97" s="32" t="s">
        <v>788</v>
      </c>
    </row>
    <row r="99" spans="1:10">
      <c r="A99" s="200" t="s">
        <v>559</v>
      </c>
    </row>
    <row r="100" spans="1:10">
      <c r="E100" s="32" t="s">
        <v>552</v>
      </c>
      <c r="F100" s="32" t="s">
        <v>470</v>
      </c>
      <c r="G100" s="32" t="s">
        <v>471</v>
      </c>
      <c r="H100" s="32" t="s">
        <v>472</v>
      </c>
      <c r="I100" s="32" t="s">
        <v>473</v>
      </c>
    </row>
    <row r="101" spans="1:10">
      <c r="A101" s="32" t="s">
        <v>553</v>
      </c>
      <c r="C101" s="200" t="s">
        <v>564</v>
      </c>
      <c r="E101" s="456"/>
      <c r="F101" s="456">
        <f>VLOOKUP(decPlanDiseaseArea,datatableBaselineSnM,2,FALSE)</f>
        <v>0.05</v>
      </c>
      <c r="G101" s="456">
        <f>VLOOKUP(decPlanDiseaseArea,datatableBaselineSnM,3,FALSE)</f>
        <v>0.04</v>
      </c>
      <c r="H101" s="456">
        <f>VLOOKUP(decPlanDiseaseArea,datatableBaselineSnM,4,FALSE)</f>
        <v>0.04</v>
      </c>
      <c r="I101" s="456">
        <f>VLOOKUP(decPlanDiseaseArea,datatableBaselineSnM,5,FALSE)</f>
        <v>0.06</v>
      </c>
    </row>
    <row r="102" spans="1:10">
      <c r="A102" s="32">
        <v>2</v>
      </c>
      <c r="C102" s="201" t="s">
        <v>513</v>
      </c>
      <c r="E102" s="456"/>
      <c r="F102" s="457">
        <f>IF(decScenario1AddIndication="No",0,VLOOKUP(decPlanDiseaseArea,datatablePrimaryEPSnM,2,FALSE))</f>
        <v>0</v>
      </c>
      <c r="G102" s="457">
        <f>IF(decScenario1AddIndication="No",0,VLOOKUP(decPlanDiseaseArea,datatablePrimaryEPSnM,3,FALSE))</f>
        <v>0</v>
      </c>
      <c r="H102" s="457">
        <f>IF(decScenario1AddIndication="No",0,VLOOKUP(decPlanDiseaseArea,datatablePrimaryEPSnM,4,FALSE))</f>
        <v>0</v>
      </c>
      <c r="I102" s="457">
        <f>IF(decScenario1AddIndication="No",0,VLOOKUP(decPlanDiseaseArea,datatablePrimaryEPSnM,5,FALSE))</f>
        <v>0</v>
      </c>
    </row>
    <row r="103" spans="1:10">
      <c r="A103" s="32">
        <v>2</v>
      </c>
      <c r="C103" s="201" t="s">
        <v>488</v>
      </c>
      <c r="E103" s="456"/>
      <c r="F103" s="457">
        <f>IF(decScenario1PrimaryEndpoint=1,0,VLOOKUP(decPlanDiseaseArea,datatablePrimaryEPSnM,2,FALSE))</f>
        <v>0</v>
      </c>
      <c r="G103" s="457">
        <f>IF(decScenario1PrimaryEndpoint=1,0,VLOOKUP(decPlanDiseaseArea,datatablePrimaryEPSnM,3,FALSE))</f>
        <v>0</v>
      </c>
      <c r="H103" s="457">
        <f>IF(decScenario1PrimaryEndpoint=1,0,VLOOKUP(decPlanDiseaseArea,datatablePrimaryEPSnM,4,FALSE))</f>
        <v>0</v>
      </c>
      <c r="I103" s="457">
        <f>IF(decScenario1PrimaryEndpoint=1,0,VLOOKUP(decPlanDiseaseArea,datatablePrimaryEPSnM,5,FALSE))</f>
        <v>0</v>
      </c>
    </row>
    <row r="104" spans="1:10">
      <c r="A104" s="32">
        <v>2</v>
      </c>
      <c r="C104" s="201" t="s">
        <v>487</v>
      </c>
      <c r="E104" s="456"/>
      <c r="F104" s="457">
        <f>IF(decScenario1SecondaryEndpoint=1,0,VLOOKUP(decPlanDiseaseArea,datatableSecondaryEPSnM,2,FALSE))</f>
        <v>0</v>
      </c>
      <c r="G104" s="457">
        <f>IF(decScenario1SecondaryEndpoint=1,0,VLOOKUP(decPlanDiseaseArea,datatableSecondaryEPSnM,3,FALSE))</f>
        <v>0</v>
      </c>
      <c r="H104" s="457">
        <f>IF(decScenario1SecondaryEndpoint=1,0,VLOOKUP(decPlanDiseaseArea,datatableSecondaryEPSnM,4,FALSE))</f>
        <v>0</v>
      </c>
      <c r="I104" s="457">
        <f>IF(decScenario1SecondaryEndpoint=1,0,VLOOKUP(decPlanDiseaseArea,datatableSecondaryEPSnM,5,FALSE))</f>
        <v>0</v>
      </c>
    </row>
    <row r="105" spans="1:10">
      <c r="A105" s="32">
        <v>3</v>
      </c>
      <c r="C105" s="201" t="s">
        <v>613</v>
      </c>
      <c r="E105" s="456"/>
      <c r="F105" s="457">
        <f>IF(decScenario1MAEffort="Early Stage",VLOOKUP(decPlanDiseaseArea,datatableMASnM,2,FALSE),0)</f>
        <v>0</v>
      </c>
      <c r="G105" s="457">
        <f>IF(decScenario1MAEffort="Early Stage",VLOOKUP(decPlanDiseaseArea,datatableMASnM,3,FALSE),0)</f>
        <v>0</v>
      </c>
      <c r="H105" s="457">
        <f>IF(decScenario1MAEffort="Early Stage",VLOOKUP(decPlanDiseaseArea,datatableMASnM,4,FALSE),0)</f>
        <v>0</v>
      </c>
      <c r="I105" s="457">
        <f>IF(decScenario1MAEffort="Early Stage",VLOOKUP(decPlanDiseaseArea,datatableMASnM,5,FALSE),0)</f>
        <v>0</v>
      </c>
    </row>
    <row r="106" spans="1:10">
      <c r="C106" s="200" t="s">
        <v>543</v>
      </c>
      <c r="E106" s="456"/>
      <c r="F106" s="456">
        <f t="shared" ref="F106:I106" si="14">SUM(F101:F105)</f>
        <v>0.05</v>
      </c>
      <c r="G106" s="456">
        <f t="shared" si="14"/>
        <v>0.04</v>
      </c>
      <c r="H106" s="456">
        <f t="shared" si="14"/>
        <v>0.04</v>
      </c>
      <c r="I106" s="456">
        <f t="shared" si="14"/>
        <v>0.06</v>
      </c>
    </row>
    <row r="107" spans="1:10">
      <c r="C107" s="200" t="s">
        <v>542</v>
      </c>
      <c r="E107" s="456"/>
      <c r="F107" s="459">
        <f>tlInputScenario1Region1SnM</f>
        <v>0</v>
      </c>
      <c r="G107" s="459">
        <f>tlInputScenario1Region2SnM</f>
        <v>0</v>
      </c>
      <c r="H107" s="459">
        <f>tlInputScenario1Region3SnM</f>
        <v>0</v>
      </c>
      <c r="I107" s="459">
        <f>tlInputScenario1Region4SnM</f>
        <v>0</v>
      </c>
    </row>
    <row r="108" spans="1:10">
      <c r="C108" s="200" t="s">
        <v>541</v>
      </c>
      <c r="E108" s="456">
        <f>SUM(F108:I108)/calcScenario1NumberofRegionsEntered</f>
        <v>0.05</v>
      </c>
      <c r="F108" s="457">
        <f>IF(decScenario1EnterRegion1,F106+F107,0)</f>
        <v>0.05</v>
      </c>
      <c r="G108" s="457">
        <f>IF(decScenario1EnterRegion2,G106+G107,0)</f>
        <v>0</v>
      </c>
      <c r="H108" s="457">
        <f>IF(decScenario1EnterRegion3,H106+H107,0)</f>
        <v>0</v>
      </c>
      <c r="I108" s="457">
        <f>IF(decScenario1EnterRegion4,I106+I107,0)</f>
        <v>0</v>
      </c>
    </row>
    <row r="109" spans="1:10">
      <c r="E109" s="32" t="s">
        <v>1033</v>
      </c>
      <c r="F109" s="32" t="s">
        <v>1034</v>
      </c>
      <c r="G109" s="32" t="s">
        <v>1035</v>
      </c>
      <c r="H109" s="32" t="s">
        <v>1036</v>
      </c>
      <c r="I109" s="32" t="s">
        <v>1037</v>
      </c>
    </row>
    <row r="111" spans="1:10">
      <c r="A111" s="200" t="s">
        <v>493</v>
      </c>
    </row>
    <row r="112" spans="1:10">
      <c r="E112" s="32" t="s">
        <v>552</v>
      </c>
      <c r="F112" s="32" t="s">
        <v>470</v>
      </c>
      <c r="G112" s="32" t="s">
        <v>471</v>
      </c>
      <c r="H112" s="32" t="s">
        <v>472</v>
      </c>
      <c r="I112" s="32" t="s">
        <v>473</v>
      </c>
    </row>
    <row r="113" spans="1:14">
      <c r="A113" s="32" t="s">
        <v>553</v>
      </c>
      <c r="C113" s="200" t="s">
        <v>564</v>
      </c>
      <c r="E113" s="472"/>
      <c r="F113" s="472">
        <f>VLOOKUP(decPlanDiseaseArea,datatableBaselinePenetration,2,FALSE)</f>
        <v>0.2</v>
      </c>
      <c r="G113" s="472">
        <f>VLOOKUP(decPlanDiseaseArea,datatableBaselinePenetration,3,FALSE)</f>
        <v>0.2</v>
      </c>
      <c r="H113" s="472">
        <f>VLOOKUP(decPlanDiseaseArea,datatableBaselinePenetration,4,FALSE)</f>
        <v>0.1</v>
      </c>
      <c r="I113" s="472">
        <f>VLOOKUP(decPlanDiseaseArea,datatableBaselinePenetration,5,FALSE)</f>
        <v>0.1</v>
      </c>
      <c r="K113" s="36" t="s">
        <v>1462</v>
      </c>
      <c r="L113" s="36"/>
    </row>
    <row r="114" spans="1:14">
      <c r="A114" s="32">
        <v>8</v>
      </c>
      <c r="C114" s="201" t="s">
        <v>488</v>
      </c>
      <c r="E114" s="472"/>
      <c r="F114" s="473">
        <f>IF(decScenario1PrimaryEndpoint=1,0,VLOOKUP(decPlanDiseaseArea,datatablePrimaryEPPenetration,2,FALSE))</f>
        <v>0</v>
      </c>
      <c r="G114" s="473">
        <f>IF(decScenario1PrimaryEndpoint=1,0,VLOOKUP(decPlanDiseaseArea,datatablePrimaryEPPenetration,3,FALSE))</f>
        <v>0</v>
      </c>
      <c r="H114" s="473">
        <f>IF(decScenario1PrimaryEndpoint=1,0,VLOOKUP(decPlanDiseaseArea,datatablePrimaryEPPenetration,4,FALSE))</f>
        <v>0</v>
      </c>
      <c r="I114" s="473">
        <f>IF(decScenario1PrimaryEndpoint=1,0,VLOOKUP(decPlanDiseaseArea,datatablePrimaryEPPenetration,5,FALSE))</f>
        <v>0</v>
      </c>
      <c r="K114" s="36" t="b">
        <f>decScenario1EnterRegion1</f>
        <v>1</v>
      </c>
      <c r="L114" s="36"/>
    </row>
    <row r="115" spans="1:14">
      <c r="A115" s="32">
        <v>6</v>
      </c>
      <c r="C115" s="201" t="s">
        <v>487</v>
      </c>
      <c r="E115" s="472"/>
      <c r="F115" s="473">
        <f>IF(decScenario1SecondaryEndpoint=1,0,VLOOKUP(decPlanDiseaseArea,datatableSecondaryEPPenetration,2,FALSE))</f>
        <v>0</v>
      </c>
      <c r="G115" s="473">
        <f>IF(decScenario1SecondaryEndpoint=1,0,VLOOKUP(decPlanDiseaseArea,datatableSecondaryEPPenetration,3,FALSE))</f>
        <v>0</v>
      </c>
      <c r="H115" s="473">
        <f>IF(decScenario1SecondaryEndpoint=1,0,VLOOKUP(decPlanDiseaseArea,datatableSecondaryEPPenetration,4,FALSE))</f>
        <v>0</v>
      </c>
      <c r="I115" s="473">
        <f>IF(decScenario1SecondaryEndpoint=1,0,VLOOKUP(decPlanDiseaseArea,datatableSecondaryEPPenetration,5,FALSE))</f>
        <v>0</v>
      </c>
      <c r="K115" s="36" t="b">
        <f>decScenario1EnterRegion2</f>
        <v>0</v>
      </c>
      <c r="L115" s="36"/>
    </row>
    <row r="116" spans="1:14">
      <c r="A116" s="32">
        <v>4</v>
      </c>
      <c r="C116" s="201" t="s">
        <v>613</v>
      </c>
      <c r="E116" s="472"/>
      <c r="F116" s="473">
        <f>IF(decScenario1MAEffort="Early Stage",VLOOKUP(decPlanDiseaseArea,datatableMAPenetration,2,FALSE),0)</f>
        <v>0</v>
      </c>
      <c r="G116" s="473">
        <f>IF(decScenario1MAEffort="Early Stage",VLOOKUP(decPlanDiseaseArea,datatableMAPenetration,3,FALSE),0)</f>
        <v>0</v>
      </c>
      <c r="H116" s="473">
        <f>IF(decScenario1MAEffort="Early Stage",VLOOKUP(decPlanDiseaseArea,datatableMAPenetration,4,FALSE),0)</f>
        <v>0</v>
      </c>
      <c r="I116" s="473">
        <f>IF(decScenario1MAEffort="Early Stage",VLOOKUP(decPlanDiseaseArea,datatableMAPenetration,5,FALSE),0)</f>
        <v>0</v>
      </c>
      <c r="K116" s="36" t="b">
        <f>decScenario1EnterRegion3</f>
        <v>0</v>
      </c>
      <c r="L116" s="36"/>
    </row>
    <row r="117" spans="1:14" ht="15" thickBot="1">
      <c r="C117" s="200" t="s">
        <v>543</v>
      </c>
      <c r="E117" s="472">
        <f>SUM(F117:I117)/calcScenario1NumberofRegionsEntered</f>
        <v>0.2</v>
      </c>
      <c r="F117" s="472">
        <f>IF(decScenario1EnterRegion1,SUM(F113:F116),0)</f>
        <v>0.2</v>
      </c>
      <c r="G117" s="472">
        <f>IF(decScenario1EnterRegion2,SUM(G113:G116),0)</f>
        <v>0</v>
      </c>
      <c r="H117" s="472">
        <f>IF(decScenario1EnterRegion3,SUM(H113:H116),0)</f>
        <v>0</v>
      </c>
      <c r="I117" s="472">
        <f>IF(decScenario1EnterRegion4,SUM(I113:I116),0)</f>
        <v>0</v>
      </c>
      <c r="K117" s="36" t="b">
        <f>decScenario1EnterRegion4</f>
        <v>0</v>
      </c>
      <c r="L117" s="36"/>
    </row>
    <row r="118" spans="1:14" ht="15" thickBot="1">
      <c r="C118" s="200" t="s">
        <v>542</v>
      </c>
      <c r="E118" s="474">
        <f>tlInputScenario1Penetration</f>
        <v>0</v>
      </c>
      <c r="F118" s="474"/>
      <c r="G118" s="474"/>
      <c r="H118" s="474"/>
      <c r="I118" s="474"/>
      <c r="K118" s="461">
        <f>COUNTIF(K114:K117,TRUE)</f>
        <v>1</v>
      </c>
      <c r="L118" s="36" t="s">
        <v>1463</v>
      </c>
    </row>
    <row r="119" spans="1:14">
      <c r="C119" s="200" t="s">
        <v>541</v>
      </c>
      <c r="E119" s="473">
        <f>E117+E118</f>
        <v>0.2</v>
      </c>
      <c r="F119" s="473">
        <f>IF(decScenario1EnterRegion1,F117+F118,0)</f>
        <v>0.2</v>
      </c>
      <c r="G119" s="473">
        <f>IF(decScenario1EnterRegion2,G117+G118,0)</f>
        <v>0</v>
      </c>
      <c r="H119" s="473">
        <f>IF(decScenario1EnterRegion3,H117+H118,0)</f>
        <v>0</v>
      </c>
      <c r="I119" s="473">
        <f>IF(decScenario1EnterRegion4,I117+I118,0)</f>
        <v>0</v>
      </c>
      <c r="K119" s="551"/>
      <c r="L119" s="551"/>
      <c r="M119" s="552"/>
      <c r="N119" s="552"/>
    </row>
    <row r="120" spans="1:14">
      <c r="E120" s="32" t="s">
        <v>1039</v>
      </c>
      <c r="F120" s="32" t="s">
        <v>1040</v>
      </c>
      <c r="G120" s="32" t="s">
        <v>1041</v>
      </c>
      <c r="H120" s="32" t="s">
        <v>1042</v>
      </c>
      <c r="I120" s="32" t="s">
        <v>1043</v>
      </c>
    </row>
    <row r="122" spans="1:14">
      <c r="A122" s="200" t="s">
        <v>494</v>
      </c>
    </row>
    <row r="123" spans="1:14">
      <c r="E123" s="32" t="s">
        <v>552</v>
      </c>
      <c r="F123" s="32" t="s">
        <v>470</v>
      </c>
      <c r="G123" s="32" t="s">
        <v>471</v>
      </c>
      <c r="H123" s="32" t="s">
        <v>472</v>
      </c>
      <c r="I123" s="32" t="s">
        <v>473</v>
      </c>
    </row>
    <row r="124" spans="1:14">
      <c r="C124" s="200" t="s">
        <v>564</v>
      </c>
      <c r="E124" s="456"/>
      <c r="F124" s="456">
        <f>VLOOKUP(decPlanDiseaseArea,datatableBaselineCompliance,2,FALSE)</f>
        <v>0.7</v>
      </c>
      <c r="G124" s="456">
        <f>VLOOKUP(decPlanDiseaseArea,datatableBaselineCompliance,3,FALSE)</f>
        <v>0.7</v>
      </c>
      <c r="H124" s="456">
        <f>VLOOKUP(decPlanDiseaseArea,datatableBaselineCompliance,4,FALSE)</f>
        <v>0.7</v>
      </c>
      <c r="I124" s="456">
        <f>VLOOKUP(decPlanDiseaseArea,datatableBaselineCompliance,5,FALSE)</f>
        <v>0.7</v>
      </c>
    </row>
    <row r="125" spans="1:14">
      <c r="C125" s="201" t="s">
        <v>563</v>
      </c>
      <c r="E125" s="456"/>
      <c r="F125" s="456">
        <f>VLOOKUP(decScenario1DDFrequency,datatableDosageCompliance,2,FALSE)</f>
        <v>0</v>
      </c>
      <c r="G125" s="456">
        <f>VLOOKUP(decScenario1DDFrequency,datatableDosageCompliance,3,FALSE)</f>
        <v>0</v>
      </c>
      <c r="H125" s="456">
        <f>VLOOKUP(decScenario1DDFrequency,datatableDosageCompliance,4,FALSE)</f>
        <v>0</v>
      </c>
      <c r="I125" s="456">
        <f>VLOOKUP(decScenario1DDFrequency,datatableDosageCompliance,5,FALSE)</f>
        <v>0</v>
      </c>
    </row>
    <row r="126" spans="1:14">
      <c r="C126" s="200" t="s">
        <v>543</v>
      </c>
      <c r="E126" s="553">
        <f>SUM(F126:I126)/calcScenario1NumberofRegionsEntered</f>
        <v>0.7</v>
      </c>
      <c r="F126" s="456">
        <f>IF(decScenario1EnterRegion1,SUM(F124:F125),0)</f>
        <v>0.7</v>
      </c>
      <c r="G126" s="456">
        <f>IF(decScenario1EnterRegion2,SUM(G124:G125),0)</f>
        <v>0</v>
      </c>
      <c r="H126" s="456">
        <f>IF(decScenario1EnterRegion3,SUM(H124:H125),0)</f>
        <v>0</v>
      </c>
      <c r="I126" s="456">
        <f>IF(decScenario1EnterRegion4,SUM(I124:I125),0)</f>
        <v>0</v>
      </c>
    </row>
    <row r="127" spans="1:14">
      <c r="C127" s="200" t="s">
        <v>542</v>
      </c>
      <c r="E127" s="459">
        <f>tlInputScenario1Compliance</f>
        <v>0</v>
      </c>
      <c r="F127" s="459"/>
      <c r="G127" s="459"/>
      <c r="H127" s="459"/>
      <c r="I127" s="459"/>
    </row>
    <row r="128" spans="1:14">
      <c r="C128" s="200" t="s">
        <v>541</v>
      </c>
      <c r="E128" s="457">
        <f>E126+E127</f>
        <v>0.7</v>
      </c>
      <c r="F128" s="457">
        <f>IF(decScenario1EnterRegion1,F126+F127,0)</f>
        <v>0.7</v>
      </c>
      <c r="G128" s="457">
        <f>IF(decScenario1EnterRegion2,G126+G127,0)</f>
        <v>0</v>
      </c>
      <c r="H128" s="457">
        <f>IF(decScenario1EnterRegion3,H126+H127,0)</f>
        <v>0</v>
      </c>
      <c r="I128" s="457">
        <f>IF(decScenario1EnterRegion4,I126+I127,0)</f>
        <v>0</v>
      </c>
    </row>
    <row r="129" spans="1:9">
      <c r="E129" s="32" t="s">
        <v>1044</v>
      </c>
      <c r="F129" s="32" t="s">
        <v>1045</v>
      </c>
      <c r="G129" s="32" t="s">
        <v>1046</v>
      </c>
      <c r="H129" s="32" t="s">
        <v>1047</v>
      </c>
      <c r="I129" s="32" t="s">
        <v>1048</v>
      </c>
    </row>
    <row r="131" spans="1:9">
      <c r="A131" s="200" t="s">
        <v>1038</v>
      </c>
    </row>
    <row r="132" spans="1:9">
      <c r="E132" s="32" t="s">
        <v>552</v>
      </c>
      <c r="F132" s="32" t="s">
        <v>470</v>
      </c>
      <c r="G132" s="32" t="s">
        <v>471</v>
      </c>
      <c r="H132" s="32" t="s">
        <v>472</v>
      </c>
      <c r="I132" s="32" t="s">
        <v>473</v>
      </c>
    </row>
    <row r="133" spans="1:9">
      <c r="A133" s="32" t="s">
        <v>553</v>
      </c>
      <c r="C133" s="200" t="s">
        <v>564</v>
      </c>
      <c r="E133" s="476"/>
      <c r="F133" s="476">
        <f>VLOOKUP(decPlanDiseaseArea,datatableBaselinePrice,2,FALSE)</f>
        <v>183.6</v>
      </c>
      <c r="G133" s="476">
        <f>VLOOKUP(decPlanDiseaseArea,datatableBaselinePrice,3,FALSE)</f>
        <v>225</v>
      </c>
      <c r="H133" s="476">
        <f>VLOOKUP(decPlanDiseaseArea,datatableBaselinePrice,4,FALSE)</f>
        <v>108</v>
      </c>
      <c r="I133" s="477">
        <f>VLOOKUP(decPlanDiseaseArea,datatableBaselinePrice,5,FALSE)</f>
        <v>810</v>
      </c>
    </row>
    <row r="134" spans="1:9">
      <c r="A134" s="32">
        <v>7</v>
      </c>
      <c r="B134" s="32" t="s">
        <v>81</v>
      </c>
      <c r="C134" s="201" t="s">
        <v>563</v>
      </c>
      <c r="E134" s="456"/>
      <c r="F134" s="456">
        <f>VLOOKUP(decScenario1DDFrequency,datatableDosagePrice,2,FALSE)</f>
        <v>0</v>
      </c>
      <c r="G134" s="456">
        <f>VLOOKUP(decScenario1DDFrequency,datatableDosagePrice,3,FALSE)</f>
        <v>0</v>
      </c>
      <c r="H134" s="456">
        <f>VLOOKUP(decScenario1DDFrequency,datatableDosagePrice,4,FALSE)</f>
        <v>0</v>
      </c>
      <c r="I134" s="456">
        <f>VLOOKUP(decScenario1DDFrequency,datatableDosagePrice,5,FALSE)</f>
        <v>0</v>
      </c>
    </row>
    <row r="135" spans="1:9">
      <c r="A135" s="32">
        <v>10</v>
      </c>
      <c r="B135" s="32" t="s">
        <v>81</v>
      </c>
      <c r="C135" s="201" t="s">
        <v>488</v>
      </c>
      <c r="E135" s="456"/>
      <c r="F135" s="456">
        <f>IF(decScenario1PrimaryEndpoint=1,0,VLOOKUP(decPlanDiseaseArea,datatablePrimaryEPPrice,2,FALSE))</f>
        <v>0</v>
      </c>
      <c r="G135" s="456">
        <f>IF(decScenario1PrimaryEndpoint=1,0,VLOOKUP(decPlanDiseaseArea,datatablePrimaryEPPrice,3,FALSE))</f>
        <v>0</v>
      </c>
      <c r="H135" s="456">
        <f>IF(decScenario1PrimaryEndpoint=1,0,VLOOKUP(decPlanDiseaseArea,datatablePrimaryEPPrice,4,FALSE))</f>
        <v>0</v>
      </c>
      <c r="I135" s="457">
        <f>IF(decScenario1PrimaryEndpoint=1,0,VLOOKUP(decPlanDiseaseArea,datatablePrimaryEPPrice,5,FALSE))</f>
        <v>0</v>
      </c>
    </row>
    <row r="136" spans="1:9">
      <c r="A136" s="32">
        <v>5</v>
      </c>
      <c r="B136" s="32" t="s">
        <v>81</v>
      </c>
      <c r="C136" s="201" t="s">
        <v>487</v>
      </c>
      <c r="E136" s="456"/>
      <c r="F136" s="456">
        <f>IF(decScenario1SecondaryEndpoint=1,0,VLOOKUP(decPlanDiseaseArea,datatableSecondaryEPPrice,2,FALSE))</f>
        <v>0</v>
      </c>
      <c r="G136" s="456">
        <f>IF(decScenario1SecondaryEndpoint=1,0,VLOOKUP(decPlanDiseaseArea,datatableSecondaryEPPrice,3,FALSE))</f>
        <v>0</v>
      </c>
      <c r="H136" s="456">
        <f>IF(decScenario1SecondaryEndpoint=1,0,VLOOKUP(decPlanDiseaseArea,datatableSecondaryEPPrice,4,FALSE))</f>
        <v>0</v>
      </c>
      <c r="I136" s="457">
        <f>IF(decScenario1SecondaryEndpoint=1,0,VLOOKUP(decPlanDiseaseArea,datatableSecondaryEPPrice,5,FALSE))</f>
        <v>0</v>
      </c>
    </row>
    <row r="137" spans="1:9">
      <c r="A137" s="32">
        <v>4</v>
      </c>
      <c r="C137" s="201" t="s">
        <v>613</v>
      </c>
      <c r="E137" s="456"/>
      <c r="F137" s="456">
        <f>IF(decScenario1MAEffort="Early Stage",VLOOKUP(decPlanDiseaseArea,datatableMAPrice,2,FALSE),0)</f>
        <v>0</v>
      </c>
      <c r="G137" s="456">
        <f>IF(decScenario1MAEffort="Early Stage",VLOOKUP(decPlanDiseaseArea,datatableMAPrice,3,FALSE),0)</f>
        <v>0</v>
      </c>
      <c r="H137" s="457">
        <f>IF(decScenario1MAEffort="Early Stage",VLOOKUP(decPlanDiseaseArea,datatableMAPrice,4,FALSE),0)</f>
        <v>0</v>
      </c>
      <c r="I137" s="457">
        <f>IF(decScenario1MAEffort="Early Stage",VLOOKUP(decPlanDiseaseArea,datatableMAPrice,5,FALSE),0)</f>
        <v>0</v>
      </c>
    </row>
    <row r="138" spans="1:9">
      <c r="C138" s="200" t="s">
        <v>543</v>
      </c>
      <c r="E138" s="476"/>
      <c r="F138" s="476">
        <f>(1+SUM(F134:F137))*F133</f>
        <v>183.6</v>
      </c>
      <c r="G138" s="476">
        <f t="shared" ref="G138:I138" si="15">(1+SUM(G134:G137))*G133</f>
        <v>225</v>
      </c>
      <c r="H138" s="476">
        <f t="shared" si="15"/>
        <v>108</v>
      </c>
      <c r="I138" s="476">
        <f t="shared" si="15"/>
        <v>810</v>
      </c>
    </row>
    <row r="139" spans="1:9">
      <c r="C139" s="200" t="s">
        <v>542</v>
      </c>
      <c r="E139" s="478"/>
      <c r="F139" s="478">
        <f>tlInputScenario1PriceRegion1</f>
        <v>0</v>
      </c>
      <c r="G139" s="478">
        <f>tlInputScenario1PriceRegion2</f>
        <v>0</v>
      </c>
      <c r="H139" s="478">
        <f>tlInputScenario1PriceRegion3</f>
        <v>0</v>
      </c>
      <c r="I139" s="478">
        <f>tlInputScenario1PriceRegion4</f>
        <v>0</v>
      </c>
    </row>
    <row r="140" spans="1:9">
      <c r="C140" s="200" t="s">
        <v>541</v>
      </c>
      <c r="E140" s="476">
        <f>SUM(F140:I140)/calcScenario1NumberofRegionsEntered</f>
        <v>183.6</v>
      </c>
      <c r="F140" s="477">
        <f>IF(decScenario1EnterRegion1,F138+F139,0)</f>
        <v>183.6</v>
      </c>
      <c r="G140" s="477">
        <f>IF(decScenario1EnterRegion2,G138+G139,0)</f>
        <v>0</v>
      </c>
      <c r="H140" s="477">
        <f>IF(decScenario1EnterRegion3,H138+H139,0)</f>
        <v>0</v>
      </c>
      <c r="I140" s="477">
        <f>IF(decScenario1EnterRegion4,I138+I139,0)</f>
        <v>0</v>
      </c>
    </row>
    <row r="141" spans="1:9">
      <c r="E141" s="32" t="s">
        <v>1049</v>
      </c>
      <c r="F141" s="32" t="s">
        <v>1050</v>
      </c>
      <c r="G141" s="32" t="s">
        <v>1051</v>
      </c>
      <c r="H141" s="32" t="s">
        <v>1052</v>
      </c>
      <c r="I141" s="32" t="s">
        <v>1053</v>
      </c>
    </row>
    <row r="143" spans="1:9">
      <c r="A143" s="200" t="s">
        <v>485</v>
      </c>
    </row>
    <row r="144" spans="1:9">
      <c r="E144" s="32" t="s">
        <v>552</v>
      </c>
      <c r="F144" s="32" t="s">
        <v>470</v>
      </c>
      <c r="G144" s="32" t="s">
        <v>471</v>
      </c>
      <c r="H144" s="32" t="s">
        <v>472</v>
      </c>
      <c r="I144" s="32" t="s">
        <v>473</v>
      </c>
    </row>
    <row r="145" spans="1:9">
      <c r="A145" s="32" t="s">
        <v>553</v>
      </c>
      <c r="C145" s="200" t="s">
        <v>564</v>
      </c>
      <c r="E145" s="456">
        <f>AVERAGE(F145:I145)</f>
        <v>0.1</v>
      </c>
      <c r="F145" s="456">
        <f>VLOOKUP(decPlanDiseaseArea,datatableBaselineDiscount,2,FALSE)</f>
        <v>0.1</v>
      </c>
      <c r="G145" s="456">
        <f>VLOOKUP(decPlanDiseaseArea,datatableBaselineDiscount,3,FALSE)</f>
        <v>0.1</v>
      </c>
      <c r="H145" s="456">
        <f>VLOOKUP(decPlanDiseaseArea,datatableBaselineDiscount,4,FALSE)</f>
        <v>0.1</v>
      </c>
      <c r="I145" s="456">
        <f>VLOOKUP(decPlanDiseaseArea,datatableBaselineDiscount,5,FALSE)</f>
        <v>0.1</v>
      </c>
    </row>
    <row r="146" spans="1:9">
      <c r="C146" s="200" t="s">
        <v>543</v>
      </c>
      <c r="E146" s="456">
        <f>SUM(F146:I146)/calcScenario1NumberofRegionsEntered</f>
        <v>0.1</v>
      </c>
      <c r="F146" s="456">
        <f>IF(decScenario1EnterRegion1,SUM(F145),0)</f>
        <v>0.1</v>
      </c>
      <c r="G146" s="456">
        <f>IF(decScenario1EnterRegion2,SUM(G145),0)</f>
        <v>0</v>
      </c>
      <c r="H146" s="456">
        <f>IF(decScenario1EnterRegion3,SUM(H145),0)</f>
        <v>0</v>
      </c>
      <c r="I146" s="456">
        <f>IF(decScenario1EnterRegion4,SUM(I145),0)</f>
        <v>0</v>
      </c>
    </row>
    <row r="147" spans="1:9">
      <c r="C147" s="200" t="s">
        <v>542</v>
      </c>
      <c r="E147" s="459">
        <f>tlInputScenario1DiscountRate</f>
        <v>0</v>
      </c>
      <c r="F147" s="459"/>
      <c r="G147" s="459"/>
      <c r="H147" s="459"/>
      <c r="I147" s="459"/>
    </row>
    <row r="148" spans="1:9">
      <c r="C148" s="200" t="s">
        <v>541</v>
      </c>
      <c r="E148" s="457">
        <f>E146+E147</f>
        <v>0.1</v>
      </c>
      <c r="F148" s="457">
        <f>IF(decScenario1EnterRegion1,F146+F147,0)</f>
        <v>0.1</v>
      </c>
      <c r="G148" s="457">
        <f>IF(decScenario1EnterRegion2,G146+G147,0)</f>
        <v>0</v>
      </c>
      <c r="H148" s="457">
        <f>IF(decScenario1EnterRegion3,H146+H147,0)</f>
        <v>0</v>
      </c>
      <c r="I148" s="457">
        <f>IF(decScenario1EnterRegion4,I146+I147,0)</f>
        <v>0</v>
      </c>
    </row>
    <row r="149" spans="1:9">
      <c r="E149" s="32" t="s">
        <v>1054</v>
      </c>
      <c r="F149" s="32" t="s">
        <v>1055</v>
      </c>
      <c r="G149" s="32" t="s">
        <v>1056</v>
      </c>
      <c r="H149" s="32" t="s">
        <v>1057</v>
      </c>
      <c r="I149" s="32" t="s">
        <v>1058</v>
      </c>
    </row>
    <row r="151" spans="1:9">
      <c r="A151" s="200" t="s">
        <v>558</v>
      </c>
    </row>
    <row r="152" spans="1:9">
      <c r="E152" s="32" t="s">
        <v>552</v>
      </c>
      <c r="F152" s="32" t="s">
        <v>470</v>
      </c>
      <c r="G152" s="32" t="s">
        <v>471</v>
      </c>
      <c r="H152" s="32" t="s">
        <v>472</v>
      </c>
      <c r="I152" s="32" t="s">
        <v>473</v>
      </c>
    </row>
    <row r="153" spans="1:9">
      <c r="A153" s="32" t="s">
        <v>553</v>
      </c>
      <c r="C153" s="200" t="s">
        <v>564</v>
      </c>
      <c r="E153" s="476">
        <f>AVERAGE(F153:I153)</f>
        <v>18.36</v>
      </c>
      <c r="F153" s="476">
        <f>VLOOKUP(decPlanDiseaseArea,datatableBaselineCOGS,2,FALSE)</f>
        <v>18.36</v>
      </c>
      <c r="G153" s="476">
        <f>VLOOKUP(decPlanDiseaseArea,datatableBaselineCOGS,3,FALSE)</f>
        <v>18.36</v>
      </c>
      <c r="H153" s="476">
        <f>VLOOKUP(decPlanDiseaseArea,datatableBaselineCOGS,4,FALSE)</f>
        <v>18.36</v>
      </c>
      <c r="I153" s="476">
        <f>VLOOKUP(decPlanDiseaseArea,datatableBaselineCOGS,5,FALSE)</f>
        <v>18.36</v>
      </c>
    </row>
    <row r="154" spans="1:9">
      <c r="B154" s="32" t="s">
        <v>81</v>
      </c>
      <c r="C154" s="201" t="s">
        <v>563</v>
      </c>
      <c r="E154" s="476">
        <f t="shared" ref="E154:E155" si="16">AVERAGE(F154:I154)</f>
        <v>0</v>
      </c>
      <c r="F154" s="476">
        <f>VLOOKUP(decScenario1DDFrequency,datatableDosageCOGS,2,FALSE)*F153</f>
        <v>0</v>
      </c>
      <c r="G154" s="476">
        <f>VLOOKUP(decScenario1DDFrequency,datatableDosageCOGS,2,FALSE)*G153</f>
        <v>0</v>
      </c>
      <c r="H154" s="476">
        <f>VLOOKUP(decScenario1DDFrequency,datatableDosageCOGS,2,FALSE)*H153</f>
        <v>0</v>
      </c>
      <c r="I154" s="476">
        <f>VLOOKUP(decScenario1DDFrequency,datatableDosageCOGS,2,FALSE)*I153</f>
        <v>0</v>
      </c>
    </row>
    <row r="155" spans="1:9">
      <c r="C155" s="201" t="s">
        <v>587</v>
      </c>
      <c r="E155" s="476">
        <f t="shared" si="16"/>
        <v>0</v>
      </c>
      <c r="F155" s="477">
        <f>IF(VLOOKUP(decPlanDiseaseArea,datatableFormulationAdminDefault,2,FALSE)=decScenario1Administration,0,VLOOKUP(decScenario1Administration,datatableFormulationCOGS,calcMatchFunc,FALSE))</f>
        <v>0</v>
      </c>
      <c r="G155" s="477">
        <f>IF(VLOOKUP(decPlanDiseaseArea,datatableFormulationAdminDefault,2,FALSE)=decScenario1Administration,0,VLOOKUP(decScenario1Administration,datatableFormulationCOGS,calcMatchFunc,FALSE))</f>
        <v>0</v>
      </c>
      <c r="H155" s="477">
        <f>IF(VLOOKUP(decPlanDiseaseArea,datatableFormulationAdminDefault,2,FALSE)=decScenario1Administration,0,VLOOKUP(decScenario1Administration,datatableFormulationCOGS,calcMatchFunc,FALSE))</f>
        <v>0</v>
      </c>
      <c r="I155" s="477">
        <f>IF(VLOOKUP(decPlanDiseaseArea,datatableFormulationAdminDefault,2,FALSE)=decScenario1Administration,0,VLOOKUP(decScenario1Administration,datatableFormulationCOGS,calcMatchFunc,FALSE))</f>
        <v>0</v>
      </c>
    </row>
    <row r="156" spans="1:9">
      <c r="C156" s="200" t="s">
        <v>543</v>
      </c>
      <c r="E156" s="476">
        <f>SUM(F156:I156)/calcScenario1NumberofRegionsEntered</f>
        <v>73.44</v>
      </c>
      <c r="F156" s="476">
        <f>IF(decScenario1EnterRegion1,SUM(F153:F155),0)</f>
        <v>18.36</v>
      </c>
      <c r="G156" s="476">
        <f>IF(decScenario1EnterRegion1,SUM(G153:G155),0)</f>
        <v>18.36</v>
      </c>
      <c r="H156" s="476">
        <f>IF(decScenario1EnterRegion1,SUM(H153:H155),0)</f>
        <v>18.36</v>
      </c>
      <c r="I156" s="476">
        <f>IF(decScenario1EnterRegion1,SUM(I153:I155),0)</f>
        <v>18.36</v>
      </c>
    </row>
    <row r="157" spans="1:9">
      <c r="C157" s="200" t="s">
        <v>542</v>
      </c>
      <c r="E157" s="478">
        <f>tlInputScenario1COGS</f>
        <v>0</v>
      </c>
      <c r="F157" s="478"/>
      <c r="G157" s="478"/>
      <c r="H157" s="478"/>
      <c r="I157" s="478"/>
    </row>
    <row r="158" spans="1:9">
      <c r="C158" s="200" t="s">
        <v>541</v>
      </c>
      <c r="E158" s="477">
        <f>E156+E157</f>
        <v>73.44</v>
      </c>
      <c r="F158" s="477">
        <f>IF(decScenario1EnterRegion1,F156+F157,0)</f>
        <v>18.36</v>
      </c>
      <c r="G158" s="477">
        <f>IF(decScenario1EnterRegion2,G156+G157,0)</f>
        <v>0</v>
      </c>
      <c r="H158" s="477">
        <f>IF(decScenario1EnterRegion3,H156+H157,0)</f>
        <v>0</v>
      </c>
      <c r="I158" s="477">
        <f>IF(decScenario1EnterRegion4,I156+I157,0)</f>
        <v>0</v>
      </c>
    </row>
    <row r="159" spans="1:9">
      <c r="E159" s="32" t="s">
        <v>1059</v>
      </c>
      <c r="F159" s="32" t="s">
        <v>1060</v>
      </c>
      <c r="G159" s="32" t="s">
        <v>1061</v>
      </c>
      <c r="H159" s="32" t="s">
        <v>1062</v>
      </c>
      <c r="I159" s="32" t="s">
        <v>1063</v>
      </c>
    </row>
    <row r="162" spans="1:9" s="163" customFormat="1">
      <c r="A162" s="31" t="s">
        <v>510</v>
      </c>
    </row>
    <row r="164" spans="1:9">
      <c r="A164" s="200" t="s">
        <v>538</v>
      </c>
    </row>
    <row r="165" spans="1:9">
      <c r="E165" s="32" t="s">
        <v>540</v>
      </c>
      <c r="F165" s="32" t="s">
        <v>465</v>
      </c>
      <c r="G165" s="32" t="s">
        <v>466</v>
      </c>
      <c r="H165" s="32" t="s">
        <v>467</v>
      </c>
      <c r="I165" s="32" t="s">
        <v>55</v>
      </c>
    </row>
    <row r="166" spans="1:9">
      <c r="A166" s="32" t="s">
        <v>553</v>
      </c>
      <c r="C166" s="200" t="s">
        <v>546</v>
      </c>
      <c r="E166" s="442">
        <f>VLOOKUP(decPlanDiseaseArea,datatableFranchiseRnDCost,2,FALSE)</f>
        <v>800000</v>
      </c>
      <c r="F166" s="442">
        <f>VLOOKUP(decPlanDiseaseArea,datatableFranchiseRnDCost,3,FALSE)</f>
        <v>3300000</v>
      </c>
      <c r="G166" s="442">
        <f>VLOOKUP(decPlanDiseaseArea,datatableFranchiseRnDCost,4,FALSE)</f>
        <v>11000000</v>
      </c>
      <c r="H166" s="442">
        <f>VLOOKUP(decPlanDiseaseArea,datatableFranchiseRnDCost,5,FALSE)</f>
        <v>88000000</v>
      </c>
      <c r="I166" s="442">
        <f>SUM(E166:H166)</f>
        <v>103100000</v>
      </c>
    </row>
    <row r="167" spans="1:9">
      <c r="A167" s="32">
        <v>3</v>
      </c>
      <c r="C167" s="201" t="s">
        <v>585</v>
      </c>
      <c r="E167" s="442">
        <f>decScenario2AddBiomarker*1000000/3</f>
        <v>0</v>
      </c>
      <c r="F167" s="442">
        <f>decScenario2AddBiomarker*1000000/3</f>
        <v>0</v>
      </c>
      <c r="G167" s="442">
        <f>decScenario2AddBiomarker*1000000/3</f>
        <v>0</v>
      </c>
      <c r="H167" s="443"/>
      <c r="I167" s="442">
        <f t="shared" ref="I167:I177" si="17">SUM(E167:H167)</f>
        <v>0</v>
      </c>
    </row>
    <row r="168" spans="1:9">
      <c r="A168" s="32">
        <v>5</v>
      </c>
      <c r="C168" s="201" t="s">
        <v>587</v>
      </c>
      <c r="E168" s="442">
        <f>(IF(VLOOKUP(decPlanDiseaseArea,datatableFormulationAdminDefault,2,FALSE)=decScenario2Administration,0,VLOOKUP(decScenario2Administration,datatableFormulationCost,calcMatchFunc,FALSE)))/4</f>
        <v>0</v>
      </c>
      <c r="F168" s="442">
        <f>(IF(VLOOKUP(decPlanDiseaseArea,datatableFormulationAdminDefault,2,FALSE)=decScenario2Administration,0,VLOOKUP(decScenario2Administration,datatableFormulationCost,calcMatchFunc,FALSE)))/4</f>
        <v>0</v>
      </c>
      <c r="G168" s="442">
        <f>(IF(VLOOKUP(decPlanDiseaseArea,datatableFormulationAdminDefault,2,FALSE)=decScenario2Administration,0,VLOOKUP(decScenario2Administration,datatableFormulationCost,calcMatchFunc,FALSE)))/4</f>
        <v>0</v>
      </c>
      <c r="H168" s="442">
        <f>(IF(VLOOKUP(decPlanDiseaseArea,datatableFormulationAdminDefault,2,FALSE)=decScenario2Administration,0,VLOOKUP(decScenario2Administration,datatableFormulationCost,calcMatchFunc,FALSE)))/4</f>
        <v>0</v>
      </c>
      <c r="I168" s="442">
        <f t="shared" si="17"/>
        <v>0</v>
      </c>
    </row>
    <row r="169" spans="1:9">
      <c r="A169" s="32">
        <v>5</v>
      </c>
      <c r="C169" s="201" t="s">
        <v>495</v>
      </c>
      <c r="E169" s="443"/>
      <c r="F169" s="442">
        <f>VLOOKUP(decScenario2TrialSizePh1,datatableSizePh1RnDCost,calcMatchFunc,FALSE)</f>
        <v>0</v>
      </c>
      <c r="G169" s="442">
        <f>VLOOKUP(decScenario2TrialSizePh2,datatableSizePh2RnDCost,calcMatchFunc,FALSE)</f>
        <v>0</v>
      </c>
      <c r="H169" s="442">
        <f>VLOOKUP(decScenario2TrialSizePh3,datatableSizePh3RnDCost,calcMatchFunc,FALSE)</f>
        <v>0</v>
      </c>
      <c r="I169" s="442">
        <f t="shared" si="17"/>
        <v>0</v>
      </c>
    </row>
    <row r="170" spans="1:9">
      <c r="A170" s="32">
        <v>6</v>
      </c>
      <c r="C170" s="201" t="s">
        <v>668</v>
      </c>
      <c r="E170" s="443"/>
      <c r="F170" s="442">
        <f>VLOOKUP(decScenario2ObservationPh1,datatableDurationPh1RnDCost,calcMatchFunc,FALSE)</f>
        <v>0</v>
      </c>
      <c r="G170" s="442">
        <f>VLOOKUP(decScenario2ObservationPh2,datatableDurationPh2RnDCost,calcMatchFunc,FALSE)</f>
        <v>0</v>
      </c>
      <c r="H170" s="442">
        <f>VLOOKUP(decScenario2ObservationPh3,datatableDurationPh3RnDCost,calcMatchFunc,FALSE)</f>
        <v>0</v>
      </c>
      <c r="I170" s="442">
        <f t="shared" si="17"/>
        <v>0</v>
      </c>
    </row>
    <row r="171" spans="1:9">
      <c r="A171" s="32">
        <v>7</v>
      </c>
      <c r="C171" s="201" t="s">
        <v>513</v>
      </c>
      <c r="E171" s="443"/>
      <c r="F171" s="443"/>
      <c r="G171" s="442">
        <f>IF(decScenario2AddIndication="No",0,VLOOKUP(decPlanDiseaseArea,datatableAddIndRnDCost,2,FALSE))</f>
        <v>0</v>
      </c>
      <c r="H171" s="442">
        <f>IF(decScenario2AddIndication="No",0,VLOOKUP(decPlanDiseaseArea,datatableAddIndRnDCost,3,FALSE))</f>
        <v>0</v>
      </c>
      <c r="I171" s="442">
        <f t="shared" si="17"/>
        <v>0</v>
      </c>
    </row>
    <row r="172" spans="1:9">
      <c r="A172" s="32">
        <v>10</v>
      </c>
      <c r="C172" s="202" t="s">
        <v>561</v>
      </c>
      <c r="E172" s="443"/>
      <c r="F172" s="443"/>
      <c r="G172" s="442">
        <f>VLOOKUP(decScenario2Ph2bStudy,datatableP2bTrialsRnDCost,calcMatchFunc,FALSE)</f>
        <v>7699999.9999999991</v>
      </c>
      <c r="H172" s="443"/>
      <c r="I172" s="442">
        <f t="shared" si="17"/>
        <v>7699999.9999999991</v>
      </c>
    </row>
    <row r="173" spans="1:9">
      <c r="A173" s="32">
        <v>1</v>
      </c>
      <c r="C173" s="201" t="s">
        <v>563</v>
      </c>
      <c r="E173" s="443"/>
      <c r="F173" s="443"/>
      <c r="G173" s="442">
        <f>VLOOKUP(decScenario2DDFrequency,datatableDosageRnDCost,calcMatchFunc,FALSE)</f>
        <v>0</v>
      </c>
      <c r="H173" s="442">
        <f>VLOOKUP(decScenario2DDFrequency,datatableDosageRnDCost,calcMatchFunc,FALSE)*1.2</f>
        <v>0</v>
      </c>
      <c r="I173" s="442">
        <f t="shared" si="17"/>
        <v>0</v>
      </c>
    </row>
    <row r="174" spans="1:9">
      <c r="A174" s="32">
        <v>8</v>
      </c>
      <c r="C174" s="201" t="s">
        <v>554</v>
      </c>
      <c r="E174" s="443"/>
      <c r="F174" s="443"/>
      <c r="G174" s="442">
        <f>IF(decScenario2MNTrialsPh2="Japan/US",0,VLOOKUP(decPlanDiseaseArea,datatableGlobalTrialsRnDCost,2,FALSE))</f>
        <v>-5500000</v>
      </c>
      <c r="H174" s="442">
        <f>IF(decScenario2MNTrialsPh3="Japan/US",0,VLOOKUP(decPlanDiseaseArea,datatableGlobalTrialsRnDCost,3,FALSE))</f>
        <v>-44000000</v>
      </c>
      <c r="I174" s="442">
        <f t="shared" si="17"/>
        <v>-49500000</v>
      </c>
    </row>
    <row r="175" spans="1:9">
      <c r="A175" s="32">
        <v>2</v>
      </c>
      <c r="C175" s="201" t="s">
        <v>488</v>
      </c>
      <c r="E175" s="443"/>
      <c r="F175" s="443"/>
      <c r="G175" s="443"/>
      <c r="H175" s="442">
        <f>VLOOKUP(decScenario2PrimaryEndpoint,datatablePrimaryEPRnDCost,calcMatchFunc,FALSE)</f>
        <v>0</v>
      </c>
      <c r="I175" s="442">
        <f t="shared" si="17"/>
        <v>0</v>
      </c>
    </row>
    <row r="176" spans="1:9">
      <c r="A176" s="32">
        <v>4</v>
      </c>
      <c r="C176" s="201" t="s">
        <v>489</v>
      </c>
      <c r="E176" s="443"/>
      <c r="F176" s="443"/>
      <c r="G176" s="443"/>
      <c r="H176" s="442">
        <f>VLOOKUP(decScenario2Comparator,datatableComparatorRnDCost,calcMatchFunc,FALSE)</f>
        <v>0</v>
      </c>
      <c r="I176" s="442">
        <f t="shared" si="17"/>
        <v>0</v>
      </c>
    </row>
    <row r="177" spans="1:9">
      <c r="A177" s="32">
        <v>3</v>
      </c>
      <c r="C177" s="201" t="s">
        <v>613</v>
      </c>
      <c r="E177" s="443"/>
      <c r="F177" s="442">
        <f>VLOOKUP(decScenario2MAEffort,datatableMARnDCost,calcMatchFunc,FALSE)/3</f>
        <v>0</v>
      </c>
      <c r="G177" s="442">
        <f>VLOOKUP(decScenario2MAEffort,datatableMARnDCost,calcMatchFunc,FALSE)/3</f>
        <v>0</v>
      </c>
      <c r="H177" s="442">
        <f>VLOOKUP(decScenario2MAEffort,datatableMARnDCost,calcMatchFunc,FALSE)/3</f>
        <v>0</v>
      </c>
      <c r="I177" s="442">
        <f t="shared" si="17"/>
        <v>0</v>
      </c>
    </row>
    <row r="178" spans="1:9">
      <c r="C178" s="200" t="s">
        <v>543</v>
      </c>
      <c r="E178" s="442">
        <f>SUM(E166:E177)+(IF(decPlanInLicenseStage="Research",decPlanInLicenseCost*1000000,0))</f>
        <v>800000</v>
      </c>
      <c r="F178" s="442">
        <f>SUM(F166:F177)+(IF(decPlanInLicenseStage="Phase I",decPlanInLicenseCost*1000000,0))</f>
        <v>3300000</v>
      </c>
      <c r="G178" s="442">
        <f>SUM(G166:G177)+(IF(decPlanInLicenseStage="Phase II",decPlanInLicenseCost*1000000,0))</f>
        <v>13200000</v>
      </c>
      <c r="H178" s="442">
        <f>SUM(H166:H177)+(IF(decPlanInLicenseStage="Phase III",decPlanInLicenseCost*1000000,0))</f>
        <v>44000000</v>
      </c>
      <c r="I178" s="442">
        <f>SUM(E178:H178)</f>
        <v>61300000</v>
      </c>
    </row>
    <row r="179" spans="1:9">
      <c r="C179" s="200" t="s">
        <v>542</v>
      </c>
      <c r="E179" s="444">
        <f>tlInputScenario2ResearchRnDCost</f>
        <v>0</v>
      </c>
      <c r="F179" s="444">
        <f>tlInputScenario2Ph1RnDCost</f>
        <v>0</v>
      </c>
      <c r="G179" s="444">
        <f>tlInputScenario2Ph2RnDCost</f>
        <v>0</v>
      </c>
      <c r="H179" s="444">
        <f>tlInputScenario2Ph3RnDCost</f>
        <v>0</v>
      </c>
      <c r="I179" s="442">
        <f t="shared" ref="I179:I180" si="18">SUM(E179:H179)</f>
        <v>0</v>
      </c>
    </row>
    <row r="180" spans="1:9">
      <c r="C180" s="200" t="s">
        <v>541</v>
      </c>
      <c r="E180" s="445">
        <f>IF(calcAcquisitionTracker&lt;1,E178+E179,0)</f>
        <v>800000</v>
      </c>
      <c r="F180" s="445">
        <f>IF(calcAcquisitionTracker&lt;2,F178+F179,0)</f>
        <v>3300000</v>
      </c>
      <c r="G180" s="445">
        <f>IF(calcAcquisitionTracker&lt;3,G178+G179,0)</f>
        <v>13200000</v>
      </c>
      <c r="H180" s="445">
        <f>IF(calcAcquisitionTracker&lt;3,H178+H179,0)</f>
        <v>44000000</v>
      </c>
      <c r="I180" s="445">
        <f t="shared" si="18"/>
        <v>61300000</v>
      </c>
    </row>
    <row r="181" spans="1:9">
      <c r="E181" s="32" t="s">
        <v>1115</v>
      </c>
      <c r="F181" s="32" t="s">
        <v>1116</v>
      </c>
      <c r="G181" s="32" t="s">
        <v>1117</v>
      </c>
      <c r="H181" s="32" t="s">
        <v>1118</v>
      </c>
      <c r="I181" s="32" t="s">
        <v>1119</v>
      </c>
    </row>
    <row r="183" spans="1:9">
      <c r="A183" s="200" t="s">
        <v>539</v>
      </c>
    </row>
    <row r="184" spans="1:9">
      <c r="E184" s="32" t="s">
        <v>540</v>
      </c>
      <c r="F184" s="32" t="s">
        <v>465</v>
      </c>
      <c r="G184" s="32" t="s">
        <v>466</v>
      </c>
      <c r="H184" s="32" t="s">
        <v>467</v>
      </c>
      <c r="I184" s="32" t="s">
        <v>55</v>
      </c>
    </row>
    <row r="185" spans="1:9">
      <c r="A185" s="32" t="s">
        <v>553</v>
      </c>
      <c r="C185" s="200" t="s">
        <v>546</v>
      </c>
      <c r="E185" s="442">
        <f>VLOOKUP(decPlanDiseaseArea,datatableFranchiseFTECost,2,FALSE)</f>
        <v>40000</v>
      </c>
      <c r="F185" s="442">
        <f>VLOOKUP(decPlanDiseaseArea,datatableFranchiseFTECost,3,FALSE)</f>
        <v>165000</v>
      </c>
      <c r="G185" s="442">
        <f>VLOOKUP(decPlanDiseaseArea,datatableFranchiseFTECost,4,FALSE)</f>
        <v>550000</v>
      </c>
      <c r="H185" s="442">
        <f>VLOOKUP(decPlanDiseaseArea,datatableFranchiseFTECost,5,FALSE)</f>
        <v>4400000</v>
      </c>
      <c r="I185" s="442">
        <f>SUM(E185:H185)</f>
        <v>5155000</v>
      </c>
    </row>
    <row r="186" spans="1:9">
      <c r="A186" s="32">
        <v>0</v>
      </c>
      <c r="C186" s="201" t="s">
        <v>587</v>
      </c>
      <c r="E186" s="442">
        <f>(IF(VLOOKUP(decPlanDiseaseArea,datatableFormulationAdminDefault,2,FALSE)=decScenario2Administration,0,VLOOKUP(decScenario2Administration,datatableFormulationFTECost,calcMatchFunc,FALSE)))/4</f>
        <v>0</v>
      </c>
      <c r="F186" s="442">
        <f>(IF(VLOOKUP(decPlanDiseaseArea,datatableFormulationAdminDefault,2,FALSE)=decScenario2Administration,0,VLOOKUP(decScenario2Administration,datatableFormulationFTECost,calcMatchFunc,FALSE)))/4</f>
        <v>0</v>
      </c>
      <c r="G186" s="442">
        <f>(IF(VLOOKUP(decPlanDiseaseArea,datatableFormulationAdminDefault,2,FALSE)=decScenario2Administration,0,VLOOKUP(decScenario2Administration,datatableFormulationFTECost,calcMatchFunc,FALSE)))/4</f>
        <v>0</v>
      </c>
      <c r="H186" s="442">
        <f>(IF(VLOOKUP(decPlanDiseaseArea,datatableFormulationAdminDefault,2,FALSE)=decScenario2Administration,0,VLOOKUP(decScenario2Administration,datatableFormulationFTECost,calcMatchFunc,FALSE)))/4</f>
        <v>0</v>
      </c>
      <c r="I186" s="442">
        <f t="shared" ref="I186:I195" si="19">SUM(E186:H186)</f>
        <v>0</v>
      </c>
    </row>
    <row r="187" spans="1:9">
      <c r="A187" s="32">
        <v>5</v>
      </c>
      <c r="C187" s="201" t="s">
        <v>495</v>
      </c>
      <c r="E187" s="443"/>
      <c r="F187" s="442">
        <f>VLOOKUP(decScenario2TrialSizePh1,datatableSizePh1FTECost,calcMatchFunc,FALSE)</f>
        <v>0</v>
      </c>
      <c r="G187" s="442">
        <f>VLOOKUP(decScenario2TrialSizePh2,datatableSizePh2FTECost,calcMatchFunc,FALSE)</f>
        <v>0</v>
      </c>
      <c r="H187" s="442">
        <f>VLOOKUP(decScenario2TrialSizePh3,datatableSizePh3FTECost,calcMatchFunc,FALSE)</f>
        <v>0</v>
      </c>
      <c r="I187" s="442">
        <f t="shared" si="19"/>
        <v>0</v>
      </c>
    </row>
    <row r="188" spans="1:9">
      <c r="A188" s="32">
        <v>6</v>
      </c>
      <c r="C188" s="201" t="s">
        <v>668</v>
      </c>
      <c r="E188" s="443"/>
      <c r="F188" s="442">
        <f>VLOOKUP(decScenario2ObservationPh1,datatableDurationPh1FTECost,calcMatchFunc,FALSE)</f>
        <v>0</v>
      </c>
      <c r="G188" s="442">
        <f>VLOOKUP(decScenario2ObservationPh2,datatableDurationPh2FTECost,calcMatchFunc,FALSE)</f>
        <v>0</v>
      </c>
      <c r="H188" s="442">
        <f>VLOOKUP(decScenario2ObservationPh3,datatableDurationPh3FTECost,calcMatchFunc,FALSE)</f>
        <v>0</v>
      </c>
      <c r="I188" s="442">
        <f t="shared" si="19"/>
        <v>0</v>
      </c>
    </row>
    <row r="189" spans="1:9">
      <c r="A189" s="32">
        <v>7</v>
      </c>
      <c r="C189" s="201" t="s">
        <v>513</v>
      </c>
      <c r="E189" s="443"/>
      <c r="F189" s="443"/>
      <c r="G189" s="442">
        <f>IF(decScenario2AddIndication="No",0,VLOOKUP(decPlanDiseaseArea,datatableAddIndFTECost,2,FALSE))</f>
        <v>0</v>
      </c>
      <c r="H189" s="442">
        <f>IF(decScenario2AddIndication="No",0,VLOOKUP(decPlanDiseaseArea,datatableAddIndFTECost,3,FALSE))</f>
        <v>0</v>
      </c>
      <c r="I189" s="442">
        <f t="shared" si="19"/>
        <v>0</v>
      </c>
    </row>
    <row r="190" spans="1:9">
      <c r="A190" s="32">
        <v>9</v>
      </c>
      <c r="C190" s="202" t="s">
        <v>561</v>
      </c>
      <c r="E190" s="443"/>
      <c r="F190" s="443"/>
      <c r="G190" s="442">
        <f>VLOOKUP(decScenario2Ph2bStudy,datatableP2bTrialsFTECost,calcMatchFunc,FALSE)</f>
        <v>385000</v>
      </c>
      <c r="H190" s="443"/>
      <c r="I190" s="442">
        <f t="shared" si="19"/>
        <v>385000</v>
      </c>
    </row>
    <row r="191" spans="1:9">
      <c r="A191" s="32">
        <v>0</v>
      </c>
      <c r="C191" s="201" t="s">
        <v>563</v>
      </c>
      <c r="E191" s="443"/>
      <c r="F191" s="443"/>
      <c r="G191" s="442">
        <f>VLOOKUP(decScenario2DDFrequency,datatableDosageFTECost,calcMatchFunc,FALSE)</f>
        <v>0</v>
      </c>
      <c r="H191" s="442">
        <f>VLOOKUP(decScenario2DDFrequency,datatableDosageFTECost,calcMatchFunc,FALSE)*1.2</f>
        <v>0</v>
      </c>
      <c r="I191" s="442">
        <f t="shared" si="19"/>
        <v>0</v>
      </c>
    </row>
    <row r="192" spans="1:9">
      <c r="A192" s="32">
        <v>8</v>
      </c>
      <c r="C192" s="201" t="s">
        <v>554</v>
      </c>
      <c r="E192" s="443"/>
      <c r="F192" s="443"/>
      <c r="G192" s="442">
        <f>IF(decScenario2MNTrialsPh2="Japan/US",0,VLOOKUP(decPlanDiseaseArea,datatableGlobalTrialsFTECost,2,FALSE))</f>
        <v>-275000</v>
      </c>
      <c r="H192" s="442">
        <f>IF(decScenario2MNTrialsPh3="Japan/US",0,VLOOKUP(decPlanDiseaseArea,datatableGlobalTrialsFTECost,3,FALSE))</f>
        <v>-2200000</v>
      </c>
      <c r="I192" s="442">
        <f t="shared" si="19"/>
        <v>-2475000</v>
      </c>
    </row>
    <row r="193" spans="1:9">
      <c r="A193" s="32">
        <v>2</v>
      </c>
      <c r="C193" s="201" t="s">
        <v>488</v>
      </c>
      <c r="E193" s="443"/>
      <c r="F193" s="443"/>
      <c r="G193" s="443"/>
      <c r="H193" s="442">
        <f>VLOOKUP(decScenario2PrimaryEndpoint,datatablePrimaryEPFTECost,calcMatchFunc,FALSE)</f>
        <v>0</v>
      </c>
      <c r="I193" s="442">
        <f t="shared" si="19"/>
        <v>0</v>
      </c>
    </row>
    <row r="194" spans="1:9">
      <c r="A194" s="32">
        <v>10</v>
      </c>
      <c r="C194" s="201" t="s">
        <v>489</v>
      </c>
      <c r="E194" s="443"/>
      <c r="F194" s="443"/>
      <c r="G194" s="443"/>
      <c r="H194" s="442">
        <f>VLOOKUP(decScenario2Comparator,datatableComparatorFTECost,calcMatchFunc,FALSE)</f>
        <v>0</v>
      </c>
      <c r="I194" s="442">
        <f t="shared" si="19"/>
        <v>0</v>
      </c>
    </row>
    <row r="195" spans="1:9">
      <c r="A195" s="32">
        <v>10</v>
      </c>
      <c r="C195" s="201" t="s">
        <v>613</v>
      </c>
      <c r="E195" s="443"/>
      <c r="F195" s="442">
        <f>VLOOKUP(decScenario2MAEffort,datatableMAFTECost,calcMatchFunc,FALSE)/3</f>
        <v>0</v>
      </c>
      <c r="G195" s="442">
        <f>VLOOKUP(decScenario2MAEffort,datatableMAFTECost,calcMatchFunc,FALSE)/3</f>
        <v>0</v>
      </c>
      <c r="H195" s="442">
        <f>VLOOKUP(decScenario2MAEffort,datatableMAFTECost,calcMatchFunc,FALSE)/3</f>
        <v>0</v>
      </c>
      <c r="I195" s="442">
        <f t="shared" si="19"/>
        <v>0</v>
      </c>
    </row>
    <row r="196" spans="1:9">
      <c r="C196" s="200" t="s">
        <v>543</v>
      </c>
      <c r="E196" s="442">
        <f>SUM(E185:E195)*(1+(calcScenario2FTECostTrigger*1))</f>
        <v>80000</v>
      </c>
      <c r="F196" s="442">
        <f>SUM(F185:F195)*(1+(calcScenario2FTECostTrigger*1))</f>
        <v>330000</v>
      </c>
      <c r="G196" s="442">
        <f>SUM(G185:G195)*(1+(calcScenario2FTECostTrigger*1))</f>
        <v>1320000</v>
      </c>
      <c r="H196" s="442">
        <f>SUM(H185:H195)*(1+(calcScenario2FTECostTrigger*1))</f>
        <v>4400000</v>
      </c>
      <c r="I196" s="442">
        <f>SUM(E196:H196)</f>
        <v>6130000</v>
      </c>
    </row>
    <row r="197" spans="1:9">
      <c r="C197" s="200" t="s">
        <v>542</v>
      </c>
      <c r="E197" s="444">
        <f>tlInputScenario2ResearchFTECost</f>
        <v>0</v>
      </c>
      <c r="F197" s="444">
        <f>tlInputScenario2Ph1FTECost</f>
        <v>0</v>
      </c>
      <c r="G197" s="444">
        <f>tlInputScenario2Ph2FTECost</f>
        <v>0</v>
      </c>
      <c r="H197" s="444">
        <f>tlInputScenario2Ph3FTECost</f>
        <v>0</v>
      </c>
      <c r="I197" s="442">
        <f t="shared" ref="I197:I198" si="20">SUM(E197:H197)</f>
        <v>0</v>
      </c>
    </row>
    <row r="198" spans="1:9">
      <c r="C198" s="200" t="s">
        <v>541</v>
      </c>
      <c r="E198" s="445">
        <f>IF(calcAcquisitionTracker&lt;1,E196+E197,0)</f>
        <v>80000</v>
      </c>
      <c r="F198" s="445">
        <f>IF(calcAcquisitionTracker&lt;2,F196+F197,0)</f>
        <v>330000</v>
      </c>
      <c r="G198" s="445">
        <f>IF(calcAcquisitionTracker&lt;3,G196+G197,0)</f>
        <v>1320000</v>
      </c>
      <c r="H198" s="445">
        <f>IF(calcAcquisitionTracker&lt;3,H196+H197,0)</f>
        <v>4400000</v>
      </c>
      <c r="I198" s="445">
        <f t="shared" si="20"/>
        <v>6130000</v>
      </c>
    </row>
    <row r="199" spans="1:9">
      <c r="E199" s="32" t="s">
        <v>1120</v>
      </c>
      <c r="F199" s="32" t="s">
        <v>1121</v>
      </c>
      <c r="G199" s="32" t="s">
        <v>1122</v>
      </c>
      <c r="H199" s="32" t="s">
        <v>1123</v>
      </c>
      <c r="I199" s="32" t="s">
        <v>1124</v>
      </c>
    </row>
    <row r="201" spans="1:9">
      <c r="A201" s="200" t="s">
        <v>544</v>
      </c>
    </row>
    <row r="202" spans="1:9">
      <c r="E202" s="32" t="s">
        <v>540</v>
      </c>
      <c r="F202" s="32" t="s">
        <v>465</v>
      </c>
      <c r="G202" s="32" t="s">
        <v>466</v>
      </c>
      <c r="H202" s="32" t="s">
        <v>467</v>
      </c>
      <c r="I202" s="32" t="s">
        <v>55</v>
      </c>
    </row>
    <row r="203" spans="1:9">
      <c r="A203" s="32" t="s">
        <v>553</v>
      </c>
      <c r="C203" s="200" t="s">
        <v>546</v>
      </c>
      <c r="E203" s="470">
        <f>VLOOKUP(decPlanDiseaseArea,datatableFranchiseTTM,2,FALSE)</f>
        <v>0.25</v>
      </c>
      <c r="F203" s="470">
        <f>VLOOKUP(decPlanDiseaseArea,datatableFranchiseTTM,3,FALSE)</f>
        <v>0.5</v>
      </c>
      <c r="G203" s="470">
        <f>VLOOKUP(decPlanDiseaseArea,datatableFranchiseTTM,4,FALSE)</f>
        <v>0.5</v>
      </c>
      <c r="H203" s="470">
        <f>VLOOKUP(decPlanDiseaseArea,datatableFranchiseTTM,5,FALSE)</f>
        <v>3.5</v>
      </c>
      <c r="I203" s="470">
        <f>SUM(E203:H203)</f>
        <v>4.75</v>
      </c>
    </row>
    <row r="204" spans="1:9">
      <c r="A204" s="32">
        <v>0</v>
      </c>
      <c r="C204" s="201" t="s">
        <v>585</v>
      </c>
      <c r="E204" s="470">
        <f>VLOOKUP(decScenario2AddBiomarker,datatableAddBiomarkerTTM,2,FALSE)</f>
        <v>0</v>
      </c>
      <c r="F204" s="482"/>
      <c r="G204" s="482"/>
      <c r="H204" s="482"/>
      <c r="I204" s="470">
        <f t="shared" ref="I204:I213" si="21">SUM(E204:H204)</f>
        <v>0</v>
      </c>
    </row>
    <row r="205" spans="1:9">
      <c r="A205" s="32">
        <v>5</v>
      </c>
      <c r="C205" s="201" t="s">
        <v>587</v>
      </c>
      <c r="E205" s="473">
        <f>IF(VLOOKUP(decPlanDiseaseArea,datatableFormulationAdminDefault,2,FALSE)=decScenario2Administration,0,VLOOKUP(decScenario2Administration,datatableFormulationTTM,calcMatchFunc,FALSE))</f>
        <v>0</v>
      </c>
      <c r="F205" s="482"/>
      <c r="G205" s="482"/>
      <c r="H205" s="482"/>
      <c r="I205" s="470">
        <f t="shared" si="21"/>
        <v>0</v>
      </c>
    </row>
    <row r="206" spans="1:9">
      <c r="A206" s="32">
        <v>6</v>
      </c>
      <c r="C206" s="201" t="s">
        <v>495</v>
      </c>
      <c r="E206" s="482"/>
      <c r="F206" s="470">
        <f>VLOOKUP(decScenario2TrialSizePh1,datatableSizePh1TTM,calcMatchFunc,FALSE)</f>
        <v>0</v>
      </c>
      <c r="G206" s="470">
        <f>VLOOKUP(decScenario2TrialSizePh2,datatableSizePh2TTM,calcMatchFunc,FALSE)</f>
        <v>0</v>
      </c>
      <c r="H206" s="470">
        <f>VLOOKUP(decScenario2TrialSizePh3,datatableSizePh3TTM,calcMatchFunc,FALSE)</f>
        <v>0</v>
      </c>
      <c r="I206" s="470">
        <f t="shared" si="21"/>
        <v>0</v>
      </c>
    </row>
    <row r="207" spans="1:9">
      <c r="A207" s="32">
        <v>9</v>
      </c>
      <c r="C207" s="201" t="s">
        <v>668</v>
      </c>
      <c r="E207" s="482"/>
      <c r="F207" s="470">
        <f>VLOOKUP(decScenario2ObservationPh1,datatableDurationPh1TTM,calcMatchFunc,FALSE)</f>
        <v>0</v>
      </c>
      <c r="G207" s="470">
        <f>VLOOKUP(decScenario2ObservationPh2,datatableDurationPh2TTM,calcMatchFunc,FALSE)</f>
        <v>0</v>
      </c>
      <c r="H207" s="470">
        <f>VLOOKUP(decScenario2ObservationPh3,datatableDurationPh3TTM,calcMatchFunc,FALSE)</f>
        <v>0</v>
      </c>
      <c r="I207" s="470">
        <f t="shared" si="21"/>
        <v>0</v>
      </c>
    </row>
    <row r="208" spans="1:9">
      <c r="A208" s="32">
        <v>8</v>
      </c>
      <c r="C208" s="201" t="s">
        <v>513</v>
      </c>
      <c r="E208" s="482"/>
      <c r="F208" s="482"/>
      <c r="G208" s="470">
        <f>IF(decScenario2AddIndication="No",0,VLOOKUP(decPlanDiseaseArea,datatableAddIndTTM,2,FALSE))</f>
        <v>0</v>
      </c>
      <c r="H208" s="470">
        <f>IF(decScenario2AddIndication="No",0,VLOOKUP(decPlanDiseaseArea,datatableAddIndTTM,3,FALSE))</f>
        <v>0</v>
      </c>
      <c r="I208" s="470">
        <f t="shared" si="21"/>
        <v>0</v>
      </c>
    </row>
    <row r="209" spans="1:17">
      <c r="A209" s="32">
        <v>10</v>
      </c>
      <c r="C209" s="202" t="s">
        <v>561</v>
      </c>
      <c r="E209" s="482"/>
      <c r="F209" s="482"/>
      <c r="G209" s="470">
        <f>VLOOKUP(decScenario2Ph2bStudy,datatableP2bTrialsTTM,calcMatchFunc,FALSE)</f>
        <v>0.375</v>
      </c>
      <c r="H209" s="482"/>
      <c r="I209" s="470">
        <f t="shared" si="21"/>
        <v>0.375</v>
      </c>
    </row>
    <row r="210" spans="1:17">
      <c r="A210" s="32">
        <v>4</v>
      </c>
      <c r="C210" s="201" t="s">
        <v>554</v>
      </c>
      <c r="E210" s="483"/>
      <c r="F210" s="483"/>
      <c r="G210" s="484">
        <f>IF(decScenario2MNTrialsPh2="Japan/US",0,VLOOKUP(decPlanDiseaseArea,datatableGlobalTrialsTTM,2,FALSE))</f>
        <v>-0.1</v>
      </c>
      <c r="H210" s="484">
        <f>IF(decScenario2MNTrialsPh3="Japan/US",0,VLOOKUP(decPlanDiseaseArea,datatableGlobalTrialsTTM,3,FALSE))</f>
        <v>-0.70000000000000007</v>
      </c>
      <c r="I210" s="484">
        <f t="shared" si="21"/>
        <v>-0.8</v>
      </c>
    </row>
    <row r="211" spans="1:17">
      <c r="A211" s="32">
        <v>3</v>
      </c>
      <c r="C211" s="201" t="s">
        <v>488</v>
      </c>
      <c r="E211" s="483"/>
      <c r="F211" s="483"/>
      <c r="G211" s="483"/>
      <c r="H211" s="470">
        <f>VLOOKUP(decScenario2PrimaryEndpoint,datatablePrimaryEPTTM,calcMatchFunc,FALSE)</f>
        <v>0</v>
      </c>
      <c r="I211" s="470">
        <f t="shared" si="21"/>
        <v>0</v>
      </c>
    </row>
    <row r="212" spans="1:17">
      <c r="A212" s="32">
        <v>2</v>
      </c>
      <c r="C212" s="201" t="s">
        <v>487</v>
      </c>
      <c r="E212" s="483"/>
      <c r="F212" s="483"/>
      <c r="G212" s="483"/>
      <c r="H212" s="470">
        <f>VLOOKUP(decScenario2SecondaryEndpoint,datatableSecondaryEPTTM,calcMatchFunc,FALSE)</f>
        <v>0</v>
      </c>
      <c r="I212" s="470">
        <f t="shared" si="21"/>
        <v>0</v>
      </c>
    </row>
    <row r="213" spans="1:17">
      <c r="A213" s="32">
        <v>5</v>
      </c>
      <c r="C213" s="201" t="s">
        <v>489</v>
      </c>
      <c r="E213" s="483"/>
      <c r="F213" s="483"/>
      <c r="G213" s="483"/>
      <c r="H213" s="470">
        <f>VLOOKUP(decScenario2Comparator,datatableComparatorTTM,calcMatchFunc,FALSE)</f>
        <v>0</v>
      </c>
      <c r="I213" s="470">
        <f t="shared" si="21"/>
        <v>0</v>
      </c>
    </row>
    <row r="214" spans="1:17">
      <c r="A214" s="32">
        <v>5</v>
      </c>
      <c r="C214" s="201" t="s">
        <v>613</v>
      </c>
      <c r="E214" s="540"/>
      <c r="F214" s="539">
        <f>IF(decScenario2MAEffort="Early Stage",VLOOKUP(decScenario2MAEffort,datatableMATTM,calcMatchFunc,FALSE),IF(decScenario2MAEffort="Prelaunch",VLOOKUP(decScenario2MAEffort,datatableMATTM,calcMatchFunc,FALSE),0))</f>
        <v>0</v>
      </c>
      <c r="G214" s="539">
        <f>IF(decScenario2MAEffort="Early Stage",VLOOKUP(decScenario2MAEffort,datatableMATTM,calcMatchFunc,FALSE),IF(decScenario2MAEffort="Prelaunch",VLOOKUP(decScenario2MAEffort,datatableMATTM,calcMatchFunc,FALSE),0))</f>
        <v>0</v>
      </c>
      <c r="H214" s="539">
        <f>IF(decScenario2MAEffort="Early Stage",-1*(VLOOKUP(decScenario2MAEffort,datatableMATTM,calcMatchFunc,FALSE)),IF(decScenario2MAEffort="Prelaunch",VLOOKUP(decScenario2MAEffort,datatableMATTM,calcMatchFunc,FALSE),0))</f>
        <v>0</v>
      </c>
      <c r="I214" s="442">
        <f t="shared" ref="I214" si="22">SUM(E214:H214)</f>
        <v>0</v>
      </c>
    </row>
    <row r="215" spans="1:17">
      <c r="C215" s="200" t="s">
        <v>543</v>
      </c>
      <c r="E215" s="470">
        <f>SUM(E203:E214)</f>
        <v>0.25</v>
      </c>
      <c r="F215" s="470">
        <f t="shared" ref="F215:H215" si="23">SUM(F203:F214)</f>
        <v>0.5</v>
      </c>
      <c r="G215" s="470">
        <f t="shared" si="23"/>
        <v>0.77500000000000002</v>
      </c>
      <c r="H215" s="470">
        <f t="shared" si="23"/>
        <v>2.8</v>
      </c>
      <c r="I215" s="470">
        <f>SUM(E215:H215)</f>
        <v>4.3249999999999993</v>
      </c>
    </row>
    <row r="216" spans="1:17">
      <c r="C216" s="200" t="s">
        <v>542</v>
      </c>
      <c r="E216" s="485">
        <f>tlInputScenario2ResearchTimeReq</f>
        <v>0</v>
      </c>
      <c r="F216" s="485">
        <f>tlInputScenario2Ph1TimeReq</f>
        <v>0</v>
      </c>
      <c r="G216" s="485">
        <f>tlInputScenario2Ph2TimeReq</f>
        <v>0</v>
      </c>
      <c r="H216" s="485">
        <f>tlInputScenario2Ph3TimeReq</f>
        <v>0</v>
      </c>
      <c r="I216" s="470">
        <f t="shared" ref="I216" si="24">SUM(E216:H216)</f>
        <v>0</v>
      </c>
    </row>
    <row r="217" spans="1:17">
      <c r="C217" s="200" t="s">
        <v>541</v>
      </c>
      <c r="E217" s="486">
        <f>IF(calcAcquisitionTracker&lt;1,E215+E216,0)</f>
        <v>0.25</v>
      </c>
      <c r="F217" s="486">
        <f>IF(calcAcquisitionTracker&lt;2,F215+F216,0)</f>
        <v>0.5</v>
      </c>
      <c r="G217" s="486">
        <f>IF(calcAcquisitionTracker&lt;3,G215+G216,0)</f>
        <v>0.77500000000000002</v>
      </c>
      <c r="H217" s="486">
        <f>IF(calcAcquisitionTracker&lt;3,H215+H216,0)</f>
        <v>2.8</v>
      </c>
      <c r="I217" s="486">
        <f>MIN(SUM(E217:H217),15)</f>
        <v>4.3249999999999993</v>
      </c>
    </row>
    <row r="218" spans="1:17">
      <c r="E218" s="32" t="s">
        <v>1125</v>
      </c>
      <c r="F218" s="32" t="s">
        <v>1126</v>
      </c>
      <c r="G218" s="32" t="s">
        <v>1127</v>
      </c>
      <c r="H218" s="32" t="s">
        <v>1128</v>
      </c>
      <c r="I218" s="32" t="s">
        <v>1129</v>
      </c>
    </row>
    <row r="220" spans="1:17">
      <c r="A220" s="200" t="s">
        <v>545</v>
      </c>
    </row>
    <row r="221" spans="1:17">
      <c r="A221" s="200"/>
      <c r="E221" s="457">
        <f>(IF(OR(decScenario2EnterRegion1=TRUE,decScenario2EnterRegion2=TRUE),VLOOKUP(decPlanDiseaseArea,datatableReg12PTS,2,FALSE),0))</f>
        <v>0.9</v>
      </c>
      <c r="F221" s="457">
        <f>(IF(OR(decScenario2EnterRegion1=TRUE,decScenario2EnterRegion2=TRUE),VLOOKUP(decPlanDiseaseArea,datatableReg12PTS,3,FALSE),0))</f>
        <v>0.9</v>
      </c>
      <c r="G221" s="457">
        <f>(IF(OR(decScenario2EnterRegion1=TRUE,decScenario2EnterRegion2=TRUE),VLOOKUP(decPlanDiseaseArea,datatableReg12PTS,4,FALSE),0))</f>
        <v>0.35</v>
      </c>
      <c r="H221" s="457">
        <f>(IF(OR(decScenario2EnterRegion1=TRUE,decScenario2EnterRegion2=TRUE),VLOOKUP(decPlanDiseaseArea,datatableReg12PTS,5,FALSE),0))</f>
        <v>0.75</v>
      </c>
    </row>
    <row r="222" spans="1:17" ht="15" thickBot="1">
      <c r="A222" s="200"/>
      <c r="E222" s="457">
        <f>IF(OR(decScenario2EnterRegion3=TRUE,decScenario2EnterRegion4=TRUE),VLOOKUP(decPlanDiseaseArea,datatableReg34PTS,2,FALSE),0)</f>
        <v>0</v>
      </c>
      <c r="F222" s="457">
        <f>IF(OR(decScenario2EnterRegion3=TRUE,decScenario2EnterRegion4=TRUE),VLOOKUP(decPlanDiseaseArea,datatableReg34PTS,3,FALSE),0)</f>
        <v>0</v>
      </c>
      <c r="G222" s="457">
        <f>IF(OR(decScenario2EnterRegion3=TRUE,decScenario2EnterRegion4=TRUE),VLOOKUP(decPlanDiseaseArea,datatableReg34PTS,4,FALSE),0)</f>
        <v>0</v>
      </c>
      <c r="H222" s="457">
        <f>IF(OR(decScenario2EnterRegion3=TRUE,decScenario2EnterRegion4=TRUE),VLOOKUP(decPlanDiseaseArea,datatableReg34PTS,5,FALSE),0)</f>
        <v>0</v>
      </c>
    </row>
    <row r="223" spans="1:17">
      <c r="E223" s="32" t="s">
        <v>540</v>
      </c>
      <c r="F223" s="32" t="s">
        <v>465</v>
      </c>
      <c r="G223" s="32" t="s">
        <v>466</v>
      </c>
      <c r="H223" s="32" t="s">
        <v>467</v>
      </c>
      <c r="J223" s="462" t="s">
        <v>1329</v>
      </c>
      <c r="K223" s="463"/>
      <c r="L223" s="463"/>
      <c r="M223" s="464"/>
      <c r="O223" s="462" t="s">
        <v>1501</v>
      </c>
      <c r="P223" s="463"/>
      <c r="Q223" s="464"/>
    </row>
    <row r="224" spans="1:17">
      <c r="A224" s="32" t="s">
        <v>553</v>
      </c>
      <c r="C224" s="200" t="s">
        <v>564</v>
      </c>
      <c r="E224" s="550">
        <f>IF(calcScenario2MultinationalTrialTrigger=1,E221*E222,E221+E222)</f>
        <v>0.9</v>
      </c>
      <c r="F224" s="550">
        <f>IF(calcScenario2MultinationalTrialTrigger=1,F221*F222,F221+F222)</f>
        <v>0.9</v>
      </c>
      <c r="G224" s="550">
        <f>IF(calcScenario2MultinationalTrialTrigger=1,G221*G222,G221+G222)</f>
        <v>0.35</v>
      </c>
      <c r="H224" s="550">
        <f>IF(calcScenario2MultinationalTrialTrigger=1,H221*H222,H221+H222)</f>
        <v>0.75</v>
      </c>
      <c r="J224" s="465" t="b">
        <f>decScenario2EnterRegion1</f>
        <v>1</v>
      </c>
      <c r="K224" s="36" t="b">
        <f>decScenario2EnterRegion3</f>
        <v>0</v>
      </c>
      <c r="L224" s="465" t="b">
        <f>decScenario2EnterRegion1</f>
        <v>1</v>
      </c>
      <c r="M224" s="466"/>
      <c r="O224" s="465" t="b">
        <f>decScenario2ObservationPh1="- 6 months"</f>
        <v>0</v>
      </c>
      <c r="P224" s="36" t="b">
        <f>decScenario2ObservationPh2="- 6 months"</f>
        <v>0</v>
      </c>
      <c r="Q224" s="466" t="b">
        <f>decScenario2ObservationPh3="- 6 months"</f>
        <v>0</v>
      </c>
    </row>
    <row r="225" spans="1:17" ht="15" thickBot="1">
      <c r="A225" s="32">
        <v>3</v>
      </c>
      <c r="C225" s="201" t="s">
        <v>585</v>
      </c>
      <c r="E225" s="457">
        <f>VLOOKUP(decScenario2AddBiomarker,datatableAddBiomarkerPTS,2,FALSE)</f>
        <v>0</v>
      </c>
      <c r="F225" s="457">
        <f>VLOOKUP(decScenario2AddBiomarker,datatableAddBiomarkerPTS,2,FALSE)</f>
        <v>0</v>
      </c>
      <c r="G225" s="457">
        <f>VLOOKUP(decScenario2AddBiomarker,datatableAddBiomarkerPTS,2,FALSE)</f>
        <v>0</v>
      </c>
      <c r="H225" s="457">
        <f>VLOOKUP(decScenario2AddBiomarker,datatableAddBiomarkerPTS,2,FALSE)</f>
        <v>0</v>
      </c>
      <c r="J225" s="465" t="b">
        <f>decScenario2EnterRegion2</f>
        <v>0</v>
      </c>
      <c r="K225" s="36" t="b">
        <f>decScenario2EnterRegion4</f>
        <v>0</v>
      </c>
      <c r="L225" s="36">
        <f>calcScenario2MultinationalTrialTrigger</f>
        <v>0</v>
      </c>
      <c r="M225" s="466"/>
      <c r="O225" s="465" t="b">
        <f>decScenario2ObservationPh1="- 12 months"</f>
        <v>0</v>
      </c>
      <c r="P225" s="36" t="b">
        <f>decScenario2ObservationPh2="- 12 months"</f>
        <v>0</v>
      </c>
      <c r="Q225" s="466" t="b">
        <f>decScenario2ObservationPh3="- 12 months"</f>
        <v>0</v>
      </c>
    </row>
    <row r="226" spans="1:17" ht="15" thickBot="1">
      <c r="A226" s="32">
        <v>5</v>
      </c>
      <c r="C226" s="201" t="s">
        <v>587</v>
      </c>
      <c r="E226" s="457">
        <f>IF(VLOOKUP(decPlanDiseaseArea,datatableFormulationAdminDefault,2,FALSE)=decScenario2Administration,0,VLOOKUP(decScenario2Administration,datatableFormulationPTS,calcMatchFunc,FALSE))</f>
        <v>0</v>
      </c>
      <c r="F226" s="457">
        <f>IF(VLOOKUP(decPlanDiseaseArea,datatableFormulationAdminDefault,2,FALSE)=decScenario2Administration,0,VLOOKUP(decScenario2Administration,datatableFormulationPTS,calcMatchFunc,FALSE))</f>
        <v>0</v>
      </c>
      <c r="G226" s="457">
        <f>IF(VLOOKUP(decPlanDiseaseArea,datatableFormulationAdminDefault,2,FALSE)=decScenario2Administration,0,VLOOKUP(decScenario2Administration,datatableFormulationPTS,calcMatchFunc,FALSE))</f>
        <v>0</v>
      </c>
      <c r="H226" s="457">
        <f>IF(VLOOKUP(decPlanDiseaseArea,datatableFormulationAdminDefault,2,FALSE)=decScenario2Administration,0,VLOOKUP(decScenario2Administration,datatableFormulationPTS,calcMatchFunc,FALSE))</f>
        <v>0</v>
      </c>
      <c r="J226" s="465">
        <f>COUNTIF(J224:J225,TRUE)</f>
        <v>1</v>
      </c>
      <c r="K226" s="36">
        <f t="shared" ref="K226" si="25">COUNTIF(K224:K225,TRUE)</f>
        <v>0</v>
      </c>
      <c r="L226" s="461">
        <f>IF(AND(L224=TRUE,L225=0),1,0)</f>
        <v>1</v>
      </c>
      <c r="M226" s="466" t="s">
        <v>1510</v>
      </c>
      <c r="O226" s="465" t="b">
        <f>decScenario2ObservationPh1="0 months"</f>
        <v>1</v>
      </c>
      <c r="P226" s="36" t="b">
        <f>decScenario2ObservationPh2="0 months"</f>
        <v>1</v>
      </c>
      <c r="Q226" s="466" t="b">
        <f>decScenario2ObservationPh3="0 months"</f>
        <v>1</v>
      </c>
    </row>
    <row r="227" spans="1:17" ht="15" thickBot="1">
      <c r="A227" s="203" t="s">
        <v>565</v>
      </c>
      <c r="B227" s="32" t="s">
        <v>81</v>
      </c>
      <c r="C227" s="201" t="s">
        <v>495</v>
      </c>
      <c r="E227" s="458"/>
      <c r="F227" s="457">
        <f>VLOOKUP(decScenario2TrialSizePh1,datatableSizePh1PTS,calcMatchFunc,FALSE)</f>
        <v>0</v>
      </c>
      <c r="G227" s="457">
        <f>IF(AND(calcScenario2MultinationalTrialTrigger=1,decScenario2TrialSizePh2&lt;300),-4%,VLOOKUP(decScenario2TrialSizePh2,datatableSizePh2PTS,calcMatchFunc,FALSE))</f>
        <v>0</v>
      </c>
      <c r="H227" s="457">
        <f>IF(AND(calcScenario2MultinationalTrialTrigger=1,decScenario2TrialSizePh3&lt;750),-8%,VLOOKUP(decScenario2TrialSizePh3,datatableSizePh3PTS,calcMatchFunc,FALSE))</f>
        <v>0</v>
      </c>
      <c r="J227" s="461">
        <f>IF(AND(J226&gt;0,K226&gt;0),1,0)</f>
        <v>0</v>
      </c>
      <c r="K227" s="36" t="s">
        <v>1330</v>
      </c>
      <c r="L227" s="36"/>
      <c r="M227" s="466"/>
      <c r="O227" s="576">
        <f>COUNTIF(O224:O226,TRUE)</f>
        <v>1</v>
      </c>
      <c r="P227" s="577">
        <f t="shared" ref="P227" si="26">COUNTIF(P224:P226,TRUE)</f>
        <v>1</v>
      </c>
      <c r="Q227" s="578">
        <f t="shared" ref="Q227" si="27">COUNTIF(Q224:Q226,TRUE)</f>
        <v>1</v>
      </c>
    </row>
    <row r="228" spans="1:17" ht="15" thickBot="1">
      <c r="A228" s="203" t="s">
        <v>565</v>
      </c>
      <c r="B228" s="32" t="s">
        <v>81</v>
      </c>
      <c r="C228" s="201" t="s">
        <v>668</v>
      </c>
      <c r="E228" s="458"/>
      <c r="F228" s="457">
        <f>VLOOKUP(decScenario2ObservationPh1,datatableDurationPh1PTS,calcMatchFunc,FALSE)</f>
        <v>0</v>
      </c>
      <c r="G228" s="457">
        <f>IF(AND(calcScenario2MultinationalTrialTrigger=1,calcScenario2TrialDurationPh2Trigger&gt;0),-4%,VLOOKUP(decScenario2ObservationPh2,datatableDurationPh2PTS,calcMatchFunc,FALSE))</f>
        <v>0</v>
      </c>
      <c r="H228" s="457">
        <f>IF(AND(calcScenario2MultinationalTrialTrigger=1,calcScenario2TrialDurationPh3Trigger&gt;0),-8%,VLOOKUP(decScenario2ObservationPh3,datatableDurationPh3PTS,calcMatchFunc,FALSE))</f>
        <v>0</v>
      </c>
      <c r="J228" s="467"/>
      <c r="K228" s="468"/>
      <c r="L228" s="468"/>
      <c r="M228" s="469"/>
      <c r="O228" s="467" t="s">
        <v>1502</v>
      </c>
      <c r="P228" s="468" t="s">
        <v>1503</v>
      </c>
      <c r="Q228" s="469" t="s">
        <v>1504</v>
      </c>
    </row>
    <row r="229" spans="1:17">
      <c r="A229" s="32">
        <v>5</v>
      </c>
      <c r="B229" s="32" t="s">
        <v>82</v>
      </c>
      <c r="C229" s="201" t="s">
        <v>513</v>
      </c>
      <c r="E229" s="458"/>
      <c r="F229" s="458"/>
      <c r="G229" s="457">
        <f>IF(decScenario2AddIndication="No",0,VLOOKUP(decPlanDiseaseArea,datatableAddIndPTS,2,FALSE))</f>
        <v>0</v>
      </c>
      <c r="H229" s="457">
        <f>IF(decScenario2AddIndication="No",0,VLOOKUP(decPlanDiseaseArea,datatableAddIndPTS,3,FALSE))</f>
        <v>0</v>
      </c>
    </row>
    <row r="230" spans="1:17">
      <c r="A230" s="32">
        <v>8</v>
      </c>
      <c r="B230" s="32" t="s">
        <v>81</v>
      </c>
      <c r="C230" s="202" t="s">
        <v>561</v>
      </c>
      <c r="E230" s="458"/>
      <c r="F230" s="458"/>
      <c r="G230" s="458"/>
      <c r="H230" s="457">
        <f>VLOOKUP(decScenario2Ph2bStudy,datatableP2bTrialsPTS,calcMatchFunc,FALSE)</f>
        <v>7.4999999999999997E-2</v>
      </c>
    </row>
    <row r="231" spans="1:17">
      <c r="A231" s="32">
        <v>3</v>
      </c>
      <c r="B231" s="32" t="s">
        <v>82</v>
      </c>
      <c r="C231" s="201" t="s">
        <v>563</v>
      </c>
      <c r="E231" s="458"/>
      <c r="F231" s="458"/>
      <c r="G231" s="457">
        <f>VLOOKUP(decScenario2DDFrequency,datatableDosagePTS,calcMatchFunc,FALSE)</f>
        <v>0.02</v>
      </c>
      <c r="H231" s="457">
        <f>VLOOKUP(decScenario2DDFrequency,datatableDosagePTS,calcMatchFunc,FALSE)</f>
        <v>0.02</v>
      </c>
    </row>
    <row r="232" spans="1:17">
      <c r="A232" s="32">
        <v>10</v>
      </c>
      <c r="B232" s="32" t="s">
        <v>81</v>
      </c>
      <c r="C232" s="201" t="s">
        <v>554</v>
      </c>
      <c r="E232" s="458"/>
      <c r="F232" s="458"/>
      <c r="G232" s="457">
        <f>IF(AND(decScenario2MNTrialsPh2="Local",calcScenario2MultinationalTrialTrigger=1),-6%,0)</f>
        <v>0</v>
      </c>
      <c r="H232" s="457">
        <f>IF(AND(decScenario2MNTrialsPh3="Local",calcScenario2MultinationalTrialTrigger=1),-10%,0)</f>
        <v>0</v>
      </c>
    </row>
    <row r="233" spans="1:17">
      <c r="A233" s="32">
        <v>7</v>
      </c>
      <c r="B233" s="32" t="s">
        <v>82</v>
      </c>
      <c r="C233" s="201" t="s">
        <v>488</v>
      </c>
      <c r="E233" s="458"/>
      <c r="F233" s="458"/>
      <c r="G233" s="458"/>
      <c r="H233" s="457">
        <f>VLOOKUP(decScenario2PrimaryEndpoint,datatablePrimaryEPPTS,calcMatchFunc,FALSE)</f>
        <v>0</v>
      </c>
    </row>
    <row r="234" spans="1:17">
      <c r="A234" s="32">
        <v>4</v>
      </c>
      <c r="B234" s="32" t="s">
        <v>82</v>
      </c>
      <c r="C234" s="201" t="s">
        <v>487</v>
      </c>
      <c r="E234" s="458"/>
      <c r="F234" s="458"/>
      <c r="G234" s="458"/>
      <c r="H234" s="457">
        <f>VLOOKUP(decScenario2SecondaryEndpoint,datatableSecondaryEPPTS,calcMatchFunc,FALSE)</f>
        <v>0</v>
      </c>
    </row>
    <row r="235" spans="1:17">
      <c r="A235" s="32">
        <v>6</v>
      </c>
      <c r="B235" s="32" t="s">
        <v>81</v>
      </c>
      <c r="C235" s="201" t="s">
        <v>489</v>
      </c>
      <c r="E235" s="458"/>
      <c r="F235" s="458"/>
      <c r="G235" s="458"/>
      <c r="H235" s="457">
        <f>VLOOKUP(decScenario2Comparator,datatableComparatorPTS,calcMatchFunc,FALSE)</f>
        <v>0</v>
      </c>
    </row>
    <row r="236" spans="1:17">
      <c r="C236" s="200" t="s">
        <v>543</v>
      </c>
      <c r="E236" s="457">
        <f>SUM(E224:E235)</f>
        <v>0.9</v>
      </c>
      <c r="F236" s="457">
        <f t="shared" ref="F236" si="28">SUM(F224:F235)</f>
        <v>0.9</v>
      </c>
      <c r="G236" s="457">
        <f t="shared" ref="G236" si="29">SUM(G224:G235)</f>
        <v>0.37</v>
      </c>
      <c r="H236" s="457">
        <f t="shared" ref="H236" si="30">SUM(H224:H235)</f>
        <v>0.84499999999999997</v>
      </c>
    </row>
    <row r="237" spans="1:17">
      <c r="C237" s="200" t="s">
        <v>542</v>
      </c>
      <c r="E237" s="459">
        <f>tlInputScenario2ResearchPTS</f>
        <v>0</v>
      </c>
      <c r="F237" s="459">
        <f>tlInputScenario2Ph1PTS</f>
        <v>0</v>
      </c>
      <c r="G237" s="459">
        <f>tlInputScenario2Ph2PTS</f>
        <v>0</v>
      </c>
      <c r="H237" s="459">
        <f>tlInputScenario2Ph3PTS</f>
        <v>0</v>
      </c>
      <c r="I237" s="200" t="s">
        <v>669</v>
      </c>
      <c r="J237" s="200" t="s">
        <v>616</v>
      </c>
    </row>
    <row r="238" spans="1:17">
      <c r="C238" s="200" t="s">
        <v>541</v>
      </c>
      <c r="E238" s="460">
        <f>MIN(MAX(IF(calcAcquisitionTracker&lt;1,E236+E237,1),0),1)</f>
        <v>0.9</v>
      </c>
      <c r="F238" s="460">
        <f>MIN(MAX(IF(calcAcquisitionTracker&lt;2,F236+F237,1),0),1)</f>
        <v>0.9</v>
      </c>
      <c r="G238" s="460">
        <f>MIN(MAX(IF(calcAcquisitionTracker&lt;3,G236+G237,1),0),1)</f>
        <v>0.37</v>
      </c>
      <c r="H238" s="460">
        <f>MIN(MAX(IF(calcAcquisitionTracker&lt;4,H236+H237,1),0),1)</f>
        <v>0.84499999999999997</v>
      </c>
      <c r="I238" s="460">
        <f>decScenario2RegulatorySuccess</f>
        <v>0.9</v>
      </c>
      <c r="J238" s="460">
        <f>PRODUCT(E238:I238)</f>
        <v>0.22792184999999998</v>
      </c>
    </row>
    <row r="239" spans="1:17">
      <c r="E239" s="32" t="s">
        <v>1130</v>
      </c>
      <c r="F239" s="32" t="s">
        <v>1131</v>
      </c>
      <c r="G239" s="32" t="s">
        <v>1132</v>
      </c>
      <c r="H239" s="32" t="s">
        <v>1133</v>
      </c>
      <c r="I239" s="32" t="s">
        <v>1134</v>
      </c>
      <c r="J239" s="32" t="s">
        <v>1135</v>
      </c>
    </row>
    <row r="241" spans="1:12">
      <c r="A241" s="200" t="s">
        <v>559</v>
      </c>
    </row>
    <row r="242" spans="1:12">
      <c r="E242" s="32" t="s">
        <v>552</v>
      </c>
      <c r="F242" s="32" t="s">
        <v>470</v>
      </c>
      <c r="G242" s="32" t="s">
        <v>471</v>
      </c>
      <c r="H242" s="32" t="s">
        <v>472</v>
      </c>
      <c r="I242" s="32" t="s">
        <v>473</v>
      </c>
    </row>
    <row r="243" spans="1:12">
      <c r="A243" s="32" t="s">
        <v>553</v>
      </c>
      <c r="C243" s="200" t="s">
        <v>564</v>
      </c>
      <c r="E243" s="456"/>
      <c r="F243" s="456">
        <f>VLOOKUP(decPlanDiseaseArea,datatableBaselineSnM,2,FALSE)</f>
        <v>0.05</v>
      </c>
      <c r="G243" s="456">
        <f>VLOOKUP(decPlanDiseaseArea,datatableBaselineSnM,3,FALSE)</f>
        <v>0.04</v>
      </c>
      <c r="H243" s="456">
        <f>VLOOKUP(decPlanDiseaseArea,datatableBaselineSnM,4,FALSE)</f>
        <v>0.04</v>
      </c>
      <c r="I243" s="456">
        <f>VLOOKUP(decPlanDiseaseArea,datatableBaselineSnM,5,FALSE)</f>
        <v>0.06</v>
      </c>
    </row>
    <row r="244" spans="1:12">
      <c r="A244" s="32">
        <v>2</v>
      </c>
      <c r="C244" s="201" t="s">
        <v>513</v>
      </c>
      <c r="E244" s="456"/>
      <c r="F244" s="457">
        <f>IF(decScenario2AddIndication="No",0,VLOOKUP(decPlanDiseaseArea,datatablePrimaryEPSnM,2,FALSE))</f>
        <v>0</v>
      </c>
      <c r="G244" s="457">
        <f>IF(decScenario2AddIndication="No",0,VLOOKUP(decPlanDiseaseArea,datatablePrimaryEPSnM,3,FALSE))</f>
        <v>0</v>
      </c>
      <c r="H244" s="457">
        <f>IF(decScenario2AddIndication="No",0,VLOOKUP(decPlanDiseaseArea,datatablePrimaryEPSnM,4,FALSE))</f>
        <v>0</v>
      </c>
      <c r="I244" s="457">
        <f>IF(decScenario2AddIndication="No",0,VLOOKUP(decPlanDiseaseArea,datatablePrimaryEPSnM,5,FALSE))</f>
        <v>0</v>
      </c>
    </row>
    <row r="245" spans="1:12">
      <c r="A245" s="32">
        <v>2</v>
      </c>
      <c r="C245" s="201" t="s">
        <v>488</v>
      </c>
      <c r="E245" s="456"/>
      <c r="F245" s="457">
        <f>IF(decScenario2PrimaryEndpoint=1,0,VLOOKUP(decPlanDiseaseArea,datatablePrimaryEPSnM,2,FALSE))</f>
        <v>0</v>
      </c>
      <c r="G245" s="457">
        <f>IF(decScenario2PrimaryEndpoint=1,0,VLOOKUP(decPlanDiseaseArea,datatablePrimaryEPSnM,3,FALSE))</f>
        <v>0</v>
      </c>
      <c r="H245" s="457">
        <f>IF(decScenario2PrimaryEndpoint=1,0,VLOOKUP(decPlanDiseaseArea,datatablePrimaryEPSnM,4,FALSE))</f>
        <v>0</v>
      </c>
      <c r="I245" s="457">
        <f>IF(decScenario2PrimaryEndpoint=1,0,VLOOKUP(decPlanDiseaseArea,datatablePrimaryEPSnM,5,FALSE))</f>
        <v>0</v>
      </c>
    </row>
    <row r="246" spans="1:12">
      <c r="A246" s="32">
        <v>2</v>
      </c>
      <c r="C246" s="201" t="s">
        <v>487</v>
      </c>
      <c r="E246" s="456"/>
      <c r="F246" s="457">
        <f>IF(decScenario2SecondaryEndpoint=1,0,VLOOKUP(decPlanDiseaseArea,datatableSecondaryEPSnM,2,FALSE))</f>
        <v>0</v>
      </c>
      <c r="G246" s="457">
        <f>IF(decScenario2SecondaryEndpoint=1,0,VLOOKUP(decPlanDiseaseArea,datatableSecondaryEPSnM,3,FALSE))</f>
        <v>0</v>
      </c>
      <c r="H246" s="457">
        <f>IF(decScenario2SecondaryEndpoint=1,0,VLOOKUP(decPlanDiseaseArea,datatableSecondaryEPSnM,4,FALSE))</f>
        <v>0</v>
      </c>
      <c r="I246" s="457">
        <f>IF(decScenario2SecondaryEndpoint=1,0,VLOOKUP(decPlanDiseaseArea,datatableSecondaryEPSnM,5,FALSE))</f>
        <v>0</v>
      </c>
    </row>
    <row r="247" spans="1:12">
      <c r="A247" s="32">
        <v>3</v>
      </c>
      <c r="C247" s="201" t="s">
        <v>613</v>
      </c>
      <c r="E247" s="456"/>
      <c r="F247" s="457">
        <f>IF(decScenario2MAEffort="Early Stage",VLOOKUP(decPlanDiseaseArea,datatableMASnM,2,FALSE),0)</f>
        <v>0</v>
      </c>
      <c r="G247" s="457">
        <f>IF(decScenario2MAEffort="Early Stage",VLOOKUP(decPlanDiseaseArea,datatableMASnM,3,FALSE),0)</f>
        <v>0</v>
      </c>
      <c r="H247" s="457">
        <f>IF(decScenario2MAEffort="Early Stage",VLOOKUP(decPlanDiseaseArea,datatableMASnM,4,FALSE),0)</f>
        <v>0</v>
      </c>
      <c r="I247" s="457">
        <f>IF(decScenario2MAEffort="Early Stage",VLOOKUP(decPlanDiseaseArea,datatableMASnM,5,FALSE),0)</f>
        <v>0</v>
      </c>
    </row>
    <row r="248" spans="1:12">
      <c r="C248" s="200" t="s">
        <v>543</v>
      </c>
      <c r="E248" s="456"/>
      <c r="F248" s="456">
        <f t="shared" ref="F248:I248" si="31">SUM(F243:F247)</f>
        <v>0.05</v>
      </c>
      <c r="G248" s="456">
        <f t="shared" si="31"/>
        <v>0.04</v>
      </c>
      <c r="H248" s="456">
        <f t="shared" si="31"/>
        <v>0.04</v>
      </c>
      <c r="I248" s="456">
        <f t="shared" si="31"/>
        <v>0.06</v>
      </c>
    </row>
    <row r="249" spans="1:12">
      <c r="C249" s="200" t="s">
        <v>542</v>
      </c>
      <c r="E249" s="456"/>
      <c r="F249" s="459">
        <f>tlInputScenario2Region1SnM</f>
        <v>0</v>
      </c>
      <c r="G249" s="459">
        <f>tlInputScenario2Region2SnM</f>
        <v>0</v>
      </c>
      <c r="H249" s="459">
        <f>tlInputScenario2Region3SnM</f>
        <v>0</v>
      </c>
      <c r="I249" s="459">
        <f>tlInputScenario2Region4SnM</f>
        <v>0</v>
      </c>
    </row>
    <row r="250" spans="1:12">
      <c r="C250" s="200" t="s">
        <v>541</v>
      </c>
      <c r="E250" s="456">
        <f>SUM(F250:I250)/calcScenario2NumberofRegionsEntered</f>
        <v>0.05</v>
      </c>
      <c r="F250" s="457">
        <f>IF(decScenario2EnterRegion1,F248+F249,0)</f>
        <v>0.05</v>
      </c>
      <c r="G250" s="457">
        <f>IF(decScenario2EnterRegion2,G248+G249,0)</f>
        <v>0</v>
      </c>
      <c r="H250" s="457">
        <f>IF(decScenario2EnterRegion3,H248+H249,0)</f>
        <v>0</v>
      </c>
      <c r="I250" s="457">
        <f>IF(decScenario2EnterRegion4,I248+I249,0)</f>
        <v>0</v>
      </c>
    </row>
    <row r="251" spans="1:12">
      <c r="E251" s="32" t="s">
        <v>1136</v>
      </c>
      <c r="F251" s="32" t="s">
        <v>1137</v>
      </c>
      <c r="G251" s="32" t="s">
        <v>1138</v>
      </c>
      <c r="H251" s="32" t="s">
        <v>1139</v>
      </c>
      <c r="I251" s="32" t="s">
        <v>1140</v>
      </c>
    </row>
    <row r="253" spans="1:12">
      <c r="A253" s="200" t="s">
        <v>493</v>
      </c>
    </row>
    <row r="254" spans="1:12">
      <c r="E254" s="32" t="s">
        <v>552</v>
      </c>
      <c r="F254" s="32" t="s">
        <v>470</v>
      </c>
      <c r="G254" s="32" t="s">
        <v>471</v>
      </c>
      <c r="H254" s="32" t="s">
        <v>472</v>
      </c>
      <c r="I254" s="32" t="s">
        <v>473</v>
      </c>
    </row>
    <row r="255" spans="1:12">
      <c r="A255" s="32" t="s">
        <v>553</v>
      </c>
      <c r="C255" s="200" t="s">
        <v>564</v>
      </c>
      <c r="E255" s="472"/>
      <c r="F255" s="472">
        <f>VLOOKUP(decPlanDiseaseArea,datatableBaselinePenetration,2,FALSE)</f>
        <v>0.2</v>
      </c>
      <c r="G255" s="472">
        <f>VLOOKUP(decPlanDiseaseArea,datatableBaselinePenetration,3,FALSE)</f>
        <v>0.2</v>
      </c>
      <c r="H255" s="472">
        <f>VLOOKUP(decPlanDiseaseArea,datatableBaselinePenetration,4,FALSE)</f>
        <v>0.1</v>
      </c>
      <c r="I255" s="472">
        <f>VLOOKUP(decPlanDiseaseArea,datatableBaselinePenetration,5,FALSE)</f>
        <v>0.1</v>
      </c>
      <c r="K255" s="36" t="s">
        <v>1462</v>
      </c>
      <c r="L255" s="36"/>
    </row>
    <row r="256" spans="1:12">
      <c r="A256" s="32">
        <v>8</v>
      </c>
      <c r="C256" s="201" t="s">
        <v>488</v>
      </c>
      <c r="E256" s="472"/>
      <c r="F256" s="473">
        <f>IF(decScenario2PrimaryEndpoint=1,0,VLOOKUP(decPlanDiseaseArea,datatablePrimaryEPPenetration,2,FALSE))</f>
        <v>0</v>
      </c>
      <c r="G256" s="473">
        <f>IF(decScenario2PrimaryEndpoint=1,0,VLOOKUP(decPlanDiseaseArea,datatablePrimaryEPPenetration,3,FALSE))</f>
        <v>0</v>
      </c>
      <c r="H256" s="473">
        <f>IF(decScenario2PrimaryEndpoint=1,0,VLOOKUP(decPlanDiseaseArea,datatablePrimaryEPPenetration,4,FALSE))</f>
        <v>0</v>
      </c>
      <c r="I256" s="473">
        <f>IF(decScenario2PrimaryEndpoint=1,0,VLOOKUP(decPlanDiseaseArea,datatablePrimaryEPPenetration,5,FALSE))</f>
        <v>0</v>
      </c>
      <c r="K256" s="36" t="b">
        <f>decScenario2EnterRegion1</f>
        <v>1</v>
      </c>
      <c r="L256" s="36"/>
    </row>
    <row r="257" spans="1:12">
      <c r="A257" s="32">
        <v>6</v>
      </c>
      <c r="C257" s="201" t="s">
        <v>487</v>
      </c>
      <c r="E257" s="472"/>
      <c r="F257" s="473">
        <f>IF(decScenario2SecondaryEndpoint=1,0,VLOOKUP(decPlanDiseaseArea,datatableSecondaryEPPenetration,2,FALSE))</f>
        <v>0</v>
      </c>
      <c r="G257" s="473">
        <f>IF(decScenario2SecondaryEndpoint=1,0,VLOOKUP(decPlanDiseaseArea,datatableSecondaryEPPenetration,3,FALSE))</f>
        <v>0</v>
      </c>
      <c r="H257" s="473">
        <f>IF(decScenario2SecondaryEndpoint=1,0,VLOOKUP(decPlanDiseaseArea,datatableSecondaryEPPenetration,4,FALSE))</f>
        <v>0</v>
      </c>
      <c r="I257" s="473">
        <f>IF(decScenario2SecondaryEndpoint=1,0,VLOOKUP(decPlanDiseaseArea,datatableSecondaryEPPenetration,5,FALSE))</f>
        <v>0</v>
      </c>
      <c r="K257" s="36" t="b">
        <f>decScenario2EnterRegion2</f>
        <v>0</v>
      </c>
      <c r="L257" s="36"/>
    </row>
    <row r="258" spans="1:12">
      <c r="A258" s="32">
        <v>4</v>
      </c>
      <c r="C258" s="201" t="s">
        <v>613</v>
      </c>
      <c r="E258" s="472"/>
      <c r="F258" s="473">
        <f>IF(decScenario2MAEffort="Early Stage",VLOOKUP(decPlanDiseaseArea,datatableMAPenetration,2,FALSE),0)</f>
        <v>0</v>
      </c>
      <c r="G258" s="473">
        <f>IF(decScenario2MAEffort="Early Stage",VLOOKUP(decPlanDiseaseArea,datatableMAPenetration,3,FALSE),0)</f>
        <v>0</v>
      </c>
      <c r="H258" s="473">
        <f>IF(decScenario2MAEffort="Early Stage",VLOOKUP(decPlanDiseaseArea,datatableMAPenetration,4,FALSE),0)</f>
        <v>0</v>
      </c>
      <c r="I258" s="473">
        <f>IF(decScenario2MAEffort="Early Stage",VLOOKUP(decPlanDiseaseArea,datatableMAPenetration,5,FALSE),0)</f>
        <v>0</v>
      </c>
      <c r="K258" s="36" t="b">
        <f>decScenario2EnterRegion3</f>
        <v>0</v>
      </c>
      <c r="L258" s="36"/>
    </row>
    <row r="259" spans="1:12" ht="15" thickBot="1">
      <c r="C259" s="200" t="s">
        <v>543</v>
      </c>
      <c r="E259" s="472">
        <f>SUM(F259:I259)/calcScenario2NumberofRegionsEntered</f>
        <v>0.2</v>
      </c>
      <c r="F259" s="472">
        <f>IF(decScenario2EnterRegion1,SUM(F255:F258),0)</f>
        <v>0.2</v>
      </c>
      <c r="G259" s="472">
        <f>IF(decScenario2EnterRegion2,SUM(G255:G258),0)</f>
        <v>0</v>
      </c>
      <c r="H259" s="472">
        <f>IF(decScenario2EnterRegion3,SUM(H255:H258),0)</f>
        <v>0</v>
      </c>
      <c r="I259" s="472">
        <f>IF(decScenario2EnterRegion4,SUM(I255:I258),0)</f>
        <v>0</v>
      </c>
      <c r="K259" s="36" t="b">
        <f>decScenario2EnterRegion4</f>
        <v>0</v>
      </c>
      <c r="L259" s="36"/>
    </row>
    <row r="260" spans="1:12" ht="15" thickBot="1">
      <c r="C260" s="200" t="s">
        <v>542</v>
      </c>
      <c r="E260" s="474">
        <f>tlInputScenario2Penetration</f>
        <v>0</v>
      </c>
      <c r="F260" s="474"/>
      <c r="G260" s="474"/>
      <c r="H260" s="474"/>
      <c r="I260" s="474"/>
      <c r="K260" s="461">
        <f>COUNTIF(K256:K259,TRUE)</f>
        <v>1</v>
      </c>
      <c r="L260" s="36" t="s">
        <v>1464</v>
      </c>
    </row>
    <row r="261" spans="1:12">
      <c r="C261" s="200" t="s">
        <v>541</v>
      </c>
      <c r="E261" s="473">
        <f>E259+E260</f>
        <v>0.2</v>
      </c>
      <c r="F261" s="473">
        <f>IF(decScenario2EnterRegion1,F259+F260,0)</f>
        <v>0.2</v>
      </c>
      <c r="G261" s="473">
        <f>IF(decScenario2EnterRegion2,G259+G260,0)</f>
        <v>0</v>
      </c>
      <c r="H261" s="473">
        <f>IF(decScenario2EnterRegion3,H259+H260,0)</f>
        <v>0</v>
      </c>
      <c r="I261" s="473">
        <f>IF(decScenario2EnterRegion4,I259+I260,0)</f>
        <v>0</v>
      </c>
    </row>
    <row r="262" spans="1:12">
      <c r="E262" s="32" t="s">
        <v>1141</v>
      </c>
      <c r="F262" s="32" t="s">
        <v>1142</v>
      </c>
      <c r="G262" s="32" t="s">
        <v>1143</v>
      </c>
      <c r="H262" s="32" t="s">
        <v>1144</v>
      </c>
      <c r="I262" s="32" t="s">
        <v>1145</v>
      </c>
    </row>
    <row r="264" spans="1:12">
      <c r="A264" s="200" t="s">
        <v>494</v>
      </c>
    </row>
    <row r="265" spans="1:12">
      <c r="E265" s="32" t="s">
        <v>552</v>
      </c>
      <c r="F265" s="32" t="s">
        <v>470</v>
      </c>
      <c r="G265" s="32" t="s">
        <v>471</v>
      </c>
      <c r="H265" s="32" t="s">
        <v>472</v>
      </c>
      <c r="I265" s="32" t="s">
        <v>473</v>
      </c>
    </row>
    <row r="266" spans="1:12">
      <c r="C266" s="200" t="s">
        <v>564</v>
      </c>
      <c r="E266" s="456"/>
      <c r="F266" s="456">
        <f>VLOOKUP(decPlanDiseaseArea,datatableBaselineCompliance,2,FALSE)</f>
        <v>0.7</v>
      </c>
      <c r="G266" s="456">
        <f>VLOOKUP(decPlanDiseaseArea,datatableBaselineCompliance,3,FALSE)</f>
        <v>0.7</v>
      </c>
      <c r="H266" s="456">
        <f>VLOOKUP(decPlanDiseaseArea,datatableBaselineCompliance,4,FALSE)</f>
        <v>0.7</v>
      </c>
      <c r="I266" s="456">
        <f>VLOOKUP(decPlanDiseaseArea,datatableBaselineCompliance,5,FALSE)</f>
        <v>0.7</v>
      </c>
    </row>
    <row r="267" spans="1:12">
      <c r="C267" s="201" t="s">
        <v>563</v>
      </c>
      <c r="E267" s="456"/>
      <c r="F267" s="456">
        <f>VLOOKUP(decScenario2DDFrequency,datatableDosageCompliance,2,FALSE)</f>
        <v>0</v>
      </c>
      <c r="G267" s="456">
        <f>VLOOKUP(decScenario2DDFrequency,datatableDosageCompliance,3,FALSE)</f>
        <v>0</v>
      </c>
      <c r="H267" s="456">
        <f>VLOOKUP(decScenario2DDFrequency,datatableDosageCompliance,4,FALSE)</f>
        <v>0</v>
      </c>
      <c r="I267" s="456">
        <f>VLOOKUP(decScenario2DDFrequency,datatableDosageCompliance,5,FALSE)</f>
        <v>0</v>
      </c>
    </row>
    <row r="268" spans="1:12">
      <c r="C268" s="200" t="s">
        <v>543</v>
      </c>
      <c r="E268" s="456">
        <f>SUM(F268:I268)/calcScenario2NumberofRegionsEntered</f>
        <v>0.7</v>
      </c>
      <c r="F268" s="456">
        <f>IF(decScenario2EnterRegion1,SUM(F266:F267),0)</f>
        <v>0.7</v>
      </c>
      <c r="G268" s="456">
        <f>IF(decScenario2EnterRegion2,SUM(G266:G267),0)</f>
        <v>0</v>
      </c>
      <c r="H268" s="456">
        <f>IF(decScenario2EnterRegion3,SUM(H266:H267),0)</f>
        <v>0</v>
      </c>
      <c r="I268" s="456">
        <f>IF(decScenario2EnterRegion4,SUM(I266:I267),0)</f>
        <v>0</v>
      </c>
    </row>
    <row r="269" spans="1:12">
      <c r="C269" s="200" t="s">
        <v>542</v>
      </c>
      <c r="E269" s="459">
        <f>tlInputScenario2Compliance</f>
        <v>0</v>
      </c>
      <c r="F269" s="459"/>
      <c r="G269" s="459"/>
      <c r="H269" s="459"/>
      <c r="I269" s="459"/>
    </row>
    <row r="270" spans="1:12">
      <c r="C270" s="200" t="s">
        <v>541</v>
      </c>
      <c r="E270" s="457">
        <f>E268+E269</f>
        <v>0.7</v>
      </c>
      <c r="F270" s="457">
        <f>IF(decScenario2EnterRegion1,F268+F269,0)</f>
        <v>0.7</v>
      </c>
      <c r="G270" s="457">
        <f>IF(decScenario2EnterRegion2,G268+G269,0)</f>
        <v>0</v>
      </c>
      <c r="H270" s="457">
        <f>IF(decScenario2EnterRegion3,H268+H269,0)</f>
        <v>0</v>
      </c>
      <c r="I270" s="457">
        <f>IF(decScenario2EnterRegion4,I268+I269,0)</f>
        <v>0</v>
      </c>
    </row>
    <row r="271" spans="1:12">
      <c r="E271" s="32" t="s">
        <v>1146</v>
      </c>
      <c r="F271" s="32" t="s">
        <v>1147</v>
      </c>
      <c r="G271" s="32" t="s">
        <v>1148</v>
      </c>
      <c r="H271" s="32" t="s">
        <v>1149</v>
      </c>
      <c r="I271" s="32" t="s">
        <v>1150</v>
      </c>
    </row>
    <row r="273" spans="1:9">
      <c r="A273" s="200" t="s">
        <v>1038</v>
      </c>
    </row>
    <row r="274" spans="1:9">
      <c r="E274" s="32" t="s">
        <v>552</v>
      </c>
      <c r="F274" s="32" t="s">
        <v>470</v>
      </c>
      <c r="G274" s="32" t="s">
        <v>471</v>
      </c>
      <c r="H274" s="32" t="s">
        <v>472</v>
      </c>
      <c r="I274" s="32" t="s">
        <v>473</v>
      </c>
    </row>
    <row r="275" spans="1:9">
      <c r="A275" s="32" t="s">
        <v>553</v>
      </c>
      <c r="C275" s="200" t="s">
        <v>564</v>
      </c>
      <c r="E275" s="476"/>
      <c r="F275" s="476">
        <f>VLOOKUP(decPlanDiseaseArea,datatableBaselinePrice,2,FALSE)</f>
        <v>183.6</v>
      </c>
      <c r="G275" s="476">
        <f>VLOOKUP(decPlanDiseaseArea,datatableBaselinePrice,3,FALSE)</f>
        <v>225</v>
      </c>
      <c r="H275" s="476">
        <f>VLOOKUP(decPlanDiseaseArea,datatableBaselinePrice,4,FALSE)</f>
        <v>108</v>
      </c>
      <c r="I275" s="477">
        <f>VLOOKUP(decPlanDiseaseArea,datatableBaselinePrice,5,FALSE)</f>
        <v>810</v>
      </c>
    </row>
    <row r="276" spans="1:9">
      <c r="A276" s="32">
        <v>7</v>
      </c>
      <c r="B276" s="32" t="s">
        <v>81</v>
      </c>
      <c r="C276" s="201" t="s">
        <v>563</v>
      </c>
      <c r="E276" s="456"/>
      <c r="F276" s="456">
        <f>VLOOKUP(decScenario2DDFrequency,datatableDosagePrice,2,FALSE)</f>
        <v>0</v>
      </c>
      <c r="G276" s="456">
        <f>VLOOKUP(decScenario2DDFrequency,datatableDosagePrice,3,FALSE)</f>
        <v>0</v>
      </c>
      <c r="H276" s="456">
        <f>VLOOKUP(decScenario2DDFrequency,datatableDosagePrice,4,FALSE)</f>
        <v>0</v>
      </c>
      <c r="I276" s="456">
        <f>VLOOKUP(decScenario2DDFrequency,datatableDosagePrice,5,FALSE)</f>
        <v>0</v>
      </c>
    </row>
    <row r="277" spans="1:9">
      <c r="A277" s="32">
        <v>10</v>
      </c>
      <c r="B277" s="32" t="s">
        <v>81</v>
      </c>
      <c r="C277" s="201" t="s">
        <v>488</v>
      </c>
      <c r="E277" s="456"/>
      <c r="F277" s="456">
        <f>IF(decScenario2PrimaryEndpoint=1,0,VLOOKUP(decPlanDiseaseArea,datatablePrimaryEPPrice,2,FALSE))</f>
        <v>0</v>
      </c>
      <c r="G277" s="456">
        <f>IF(decScenario2PrimaryEndpoint=1,0,VLOOKUP(decPlanDiseaseArea,datatablePrimaryEPPrice,3,FALSE))</f>
        <v>0</v>
      </c>
      <c r="H277" s="456">
        <f>IF(decScenario2PrimaryEndpoint=1,0,VLOOKUP(decPlanDiseaseArea,datatablePrimaryEPPrice,4,FALSE))</f>
        <v>0</v>
      </c>
      <c r="I277" s="457">
        <f>IF(decScenario2PrimaryEndpoint=1,0,VLOOKUP(decPlanDiseaseArea,datatablePrimaryEPPrice,5,FALSE))</f>
        <v>0</v>
      </c>
    </row>
    <row r="278" spans="1:9">
      <c r="A278" s="32">
        <v>5</v>
      </c>
      <c r="B278" s="32" t="s">
        <v>81</v>
      </c>
      <c r="C278" s="201" t="s">
        <v>487</v>
      </c>
      <c r="E278" s="456"/>
      <c r="F278" s="456">
        <f>IF(decScenario2SecondaryEndpoint=1,0,VLOOKUP(decPlanDiseaseArea,datatableSecondaryEPPrice,2,FALSE))</f>
        <v>0</v>
      </c>
      <c r="G278" s="456">
        <f>IF(decScenario2SecondaryEndpoint=1,0,VLOOKUP(decPlanDiseaseArea,datatableSecondaryEPPrice,3,FALSE))</f>
        <v>0</v>
      </c>
      <c r="H278" s="456">
        <f>IF(decScenario2SecondaryEndpoint=1,0,VLOOKUP(decPlanDiseaseArea,datatableSecondaryEPPrice,4,FALSE))</f>
        <v>0</v>
      </c>
      <c r="I278" s="457">
        <f>IF(decScenario2SecondaryEndpoint=1,0,VLOOKUP(decPlanDiseaseArea,datatableSecondaryEPPrice,5,FALSE))</f>
        <v>0</v>
      </c>
    </row>
    <row r="279" spans="1:9">
      <c r="A279" s="32">
        <v>4</v>
      </c>
      <c r="C279" s="201" t="s">
        <v>613</v>
      </c>
      <c r="E279" s="456"/>
      <c r="F279" s="456">
        <f>IF(decScenario2MAEffort="Early Stage",VLOOKUP(decPlanDiseaseArea,datatableMAPrice,2,FALSE),0)</f>
        <v>0</v>
      </c>
      <c r="G279" s="456">
        <f>IF(decScenario2MAEffort="Early Stage",VLOOKUP(decPlanDiseaseArea,datatableMAPrice,3,FALSE),0)</f>
        <v>0</v>
      </c>
      <c r="H279" s="457">
        <f>IF(decScenario2MAEffort="Early Stage",VLOOKUP(decPlanDiseaseArea,datatableMAPrice,4,FALSE),0)</f>
        <v>0</v>
      </c>
      <c r="I279" s="457">
        <f>IF(decScenario2MAEffort="Early Stage",VLOOKUP(decPlanDiseaseArea,datatableMAPrice,5,FALSE),0)</f>
        <v>0</v>
      </c>
    </row>
    <row r="280" spans="1:9">
      <c r="C280" s="200" t="s">
        <v>543</v>
      </c>
      <c r="E280" s="476"/>
      <c r="F280" s="476">
        <f>(1+SUM(F276:F279))*F275</f>
        <v>183.6</v>
      </c>
      <c r="G280" s="476">
        <f t="shared" ref="G280:I280" si="32">(1+SUM(G276:G279))*G275</f>
        <v>225</v>
      </c>
      <c r="H280" s="476">
        <f t="shared" si="32"/>
        <v>108</v>
      </c>
      <c r="I280" s="476">
        <f t="shared" si="32"/>
        <v>810</v>
      </c>
    </row>
    <row r="281" spans="1:9">
      <c r="C281" s="200" t="s">
        <v>542</v>
      </c>
      <c r="E281" s="478"/>
      <c r="F281" s="478">
        <f>tlInputScenario2PriceRegion1</f>
        <v>0</v>
      </c>
      <c r="G281" s="478">
        <f>tlInputScenario2PriceRegion2</f>
        <v>0</v>
      </c>
      <c r="H281" s="478">
        <f>tlInputScenario2PriceRegion3</f>
        <v>0</v>
      </c>
      <c r="I281" s="478">
        <f>tlInputScenario2PriceRegion4</f>
        <v>0</v>
      </c>
    </row>
    <row r="282" spans="1:9">
      <c r="C282" s="200" t="s">
        <v>541</v>
      </c>
      <c r="E282" s="477">
        <f>SUM(F282:I282)/calcScenario2NumberofRegionsEntered</f>
        <v>183.6</v>
      </c>
      <c r="F282" s="477">
        <f>IF(decScenario2EnterRegion1,F280+F281,0)</f>
        <v>183.6</v>
      </c>
      <c r="G282" s="477">
        <f>IF(decScenario2EnterRegion2,G280+G281,0)</f>
        <v>0</v>
      </c>
      <c r="H282" s="477">
        <f>IF(decScenario2EnterRegion3,H280+H281,0)</f>
        <v>0</v>
      </c>
      <c r="I282" s="477">
        <f>IF(decScenario2EnterRegion4,I280+I281,0)</f>
        <v>0</v>
      </c>
    </row>
    <row r="283" spans="1:9">
      <c r="E283" s="32" t="s">
        <v>1151</v>
      </c>
      <c r="F283" s="32" t="s">
        <v>1152</v>
      </c>
      <c r="G283" s="32" t="s">
        <v>1153</v>
      </c>
      <c r="H283" s="32" t="s">
        <v>1154</v>
      </c>
      <c r="I283" s="32" t="s">
        <v>1155</v>
      </c>
    </row>
    <row r="285" spans="1:9">
      <c r="A285" s="200" t="s">
        <v>485</v>
      </c>
    </row>
    <row r="286" spans="1:9">
      <c r="E286" s="32" t="s">
        <v>552</v>
      </c>
      <c r="F286" s="32" t="s">
        <v>470</v>
      </c>
      <c r="G286" s="32" t="s">
        <v>471</v>
      </c>
      <c r="H286" s="32" t="s">
        <v>472</v>
      </c>
      <c r="I286" s="32" t="s">
        <v>473</v>
      </c>
    </row>
    <row r="287" spans="1:9">
      <c r="A287" s="32" t="s">
        <v>553</v>
      </c>
      <c r="C287" s="200" t="s">
        <v>564</v>
      </c>
      <c r="E287" s="456">
        <f>AVERAGE(F287:I287)</f>
        <v>0.1</v>
      </c>
      <c r="F287" s="456">
        <f>VLOOKUP(decPlanDiseaseArea,datatableBaselineDiscount,2,FALSE)</f>
        <v>0.1</v>
      </c>
      <c r="G287" s="456">
        <f>VLOOKUP(decPlanDiseaseArea,datatableBaselineDiscount,3,FALSE)</f>
        <v>0.1</v>
      </c>
      <c r="H287" s="456">
        <f>VLOOKUP(decPlanDiseaseArea,datatableBaselineDiscount,4,FALSE)</f>
        <v>0.1</v>
      </c>
      <c r="I287" s="456">
        <f>VLOOKUP(decPlanDiseaseArea,datatableBaselineDiscount,5,FALSE)</f>
        <v>0.1</v>
      </c>
    </row>
    <row r="288" spans="1:9">
      <c r="C288" s="200" t="s">
        <v>543</v>
      </c>
      <c r="E288" s="456">
        <f>SUM(F288:I288)/calcScenario2NumberofRegionsEntered</f>
        <v>0.1</v>
      </c>
      <c r="F288" s="456">
        <f>IF(decScenario2EnterRegion1,SUM(F287),0)</f>
        <v>0.1</v>
      </c>
      <c r="G288" s="456">
        <f>IF(decScenario2EnterRegion2,SUM(G287),0)</f>
        <v>0</v>
      </c>
      <c r="H288" s="456">
        <f>IF(decScenario2EnterRegion3,SUM(H287),0)</f>
        <v>0</v>
      </c>
      <c r="I288" s="456">
        <f>IF(decScenario2EnterRegion4,SUM(I287),0)</f>
        <v>0</v>
      </c>
    </row>
    <row r="289" spans="1:9">
      <c r="C289" s="200" t="s">
        <v>542</v>
      </c>
      <c r="E289" s="459">
        <f>tlInputScenario2DiscountRate</f>
        <v>0</v>
      </c>
      <c r="F289" s="459"/>
      <c r="G289" s="459"/>
      <c r="H289" s="459"/>
      <c r="I289" s="459"/>
    </row>
    <row r="290" spans="1:9">
      <c r="C290" s="200" t="s">
        <v>541</v>
      </c>
      <c r="E290" s="457">
        <f>E288+E289</f>
        <v>0.1</v>
      </c>
      <c r="F290" s="457">
        <f>IF(decScenario2EnterRegion1,F288+F289,0)</f>
        <v>0.1</v>
      </c>
      <c r="G290" s="457">
        <f>IF(decScenario2EnterRegion2,G288+G289,0)</f>
        <v>0</v>
      </c>
      <c r="H290" s="457">
        <f>IF(decScenario2EnterRegion3,H288+H289,0)</f>
        <v>0</v>
      </c>
      <c r="I290" s="457">
        <f>IF(decScenario2EnterRegion4,I288+I289,0)</f>
        <v>0</v>
      </c>
    </row>
    <row r="291" spans="1:9">
      <c r="E291" s="32" t="s">
        <v>1156</v>
      </c>
      <c r="F291" s="32" t="s">
        <v>1157</v>
      </c>
      <c r="G291" s="32" t="s">
        <v>1158</v>
      </c>
      <c r="H291" s="32" t="s">
        <v>1159</v>
      </c>
      <c r="I291" s="32" t="s">
        <v>1160</v>
      </c>
    </row>
    <row r="293" spans="1:9">
      <c r="A293" s="200" t="s">
        <v>558</v>
      </c>
    </row>
    <row r="294" spans="1:9">
      <c r="E294" s="32" t="s">
        <v>552</v>
      </c>
      <c r="F294" s="32" t="s">
        <v>470</v>
      </c>
      <c r="G294" s="32" t="s">
        <v>471</v>
      </c>
      <c r="H294" s="32" t="s">
        <v>472</v>
      </c>
      <c r="I294" s="32" t="s">
        <v>473</v>
      </c>
    </row>
    <row r="295" spans="1:9">
      <c r="A295" s="32" t="s">
        <v>553</v>
      </c>
      <c r="C295" s="200" t="s">
        <v>564</v>
      </c>
      <c r="E295" s="476">
        <f>AVERAGE(F295:I295)</f>
        <v>18.36</v>
      </c>
      <c r="F295" s="476">
        <f>VLOOKUP(decPlanDiseaseArea,datatableBaselineCOGS,2,FALSE)</f>
        <v>18.36</v>
      </c>
      <c r="G295" s="476">
        <f>VLOOKUP(decPlanDiseaseArea,datatableBaselineCOGS,3,FALSE)</f>
        <v>18.36</v>
      </c>
      <c r="H295" s="476">
        <f>VLOOKUP(decPlanDiseaseArea,datatableBaselineCOGS,4,FALSE)</f>
        <v>18.36</v>
      </c>
      <c r="I295" s="476">
        <f>VLOOKUP(decPlanDiseaseArea,datatableBaselineCOGS,5,FALSE)</f>
        <v>18.36</v>
      </c>
    </row>
    <row r="296" spans="1:9">
      <c r="B296" s="32" t="s">
        <v>81</v>
      </c>
      <c r="C296" s="201" t="s">
        <v>563</v>
      </c>
      <c r="E296" s="476">
        <f t="shared" ref="E296:E297" si="33">AVERAGE(F296:I296)</f>
        <v>0</v>
      </c>
      <c r="F296" s="476">
        <f>VLOOKUP(decScenario2DDFrequency,datatableDosageCOGS,2,FALSE)*F295</f>
        <v>0</v>
      </c>
      <c r="G296" s="476">
        <f>VLOOKUP(decScenario2DDFrequency,datatableDosageCOGS,2,FALSE)*G295</f>
        <v>0</v>
      </c>
      <c r="H296" s="476">
        <f>VLOOKUP(decScenario2DDFrequency,datatableDosageCOGS,2,FALSE)*H295</f>
        <v>0</v>
      </c>
      <c r="I296" s="476">
        <f>VLOOKUP(decScenario2DDFrequency,datatableDosageCOGS,2,FALSE)*I295</f>
        <v>0</v>
      </c>
    </row>
    <row r="297" spans="1:9">
      <c r="C297" s="201" t="s">
        <v>587</v>
      </c>
      <c r="E297" s="476">
        <f t="shared" si="33"/>
        <v>0</v>
      </c>
      <c r="F297" s="477">
        <f>IF(VLOOKUP(decPlanDiseaseArea,datatableFormulationAdminDefault,2,FALSE)=decScenario2Administration,0,VLOOKUP(decScenario2Administration,datatableFormulationCOGS,calcMatchFunc,FALSE))</f>
        <v>0</v>
      </c>
      <c r="G297" s="477">
        <f>IF(VLOOKUP(decPlanDiseaseArea,datatableFormulationAdminDefault,2,FALSE)=decScenario2Administration,0,VLOOKUP(decScenario2Administration,datatableFormulationCOGS,calcMatchFunc,FALSE))</f>
        <v>0</v>
      </c>
      <c r="H297" s="477">
        <f>IF(VLOOKUP(decPlanDiseaseArea,datatableFormulationAdminDefault,2,FALSE)=decScenario2Administration,0,VLOOKUP(decScenario2Administration,datatableFormulationCOGS,calcMatchFunc,FALSE))</f>
        <v>0</v>
      </c>
      <c r="I297" s="477">
        <f>IF(VLOOKUP(decPlanDiseaseArea,datatableFormulationAdminDefault,2,FALSE)=decScenario2Administration,0,VLOOKUP(decScenario2Administration,datatableFormulationCOGS,calcMatchFunc,FALSE))</f>
        <v>0</v>
      </c>
    </row>
    <row r="298" spans="1:9">
      <c r="C298" s="200" t="s">
        <v>543</v>
      </c>
      <c r="E298" s="476">
        <f>SUM(F298:I298)/calcScenario2NumberofRegionsEntered</f>
        <v>73.44</v>
      </c>
      <c r="F298" s="476">
        <f>IF(decScenario2EnterRegion1,SUM(F295:F297),0)</f>
        <v>18.36</v>
      </c>
      <c r="G298" s="476">
        <f>IF(decScenario2EnterRegion1,SUM(G295:G297),0)</f>
        <v>18.36</v>
      </c>
      <c r="H298" s="476">
        <f>IF(decScenario2EnterRegion1,SUM(H295:H297),0)</f>
        <v>18.36</v>
      </c>
      <c r="I298" s="476">
        <f>IF(decScenario2EnterRegion1,SUM(I295:I297),0)</f>
        <v>18.36</v>
      </c>
    </row>
    <row r="299" spans="1:9">
      <c r="C299" s="200" t="s">
        <v>542</v>
      </c>
      <c r="E299" s="478">
        <f>tlInputScenario2COGS</f>
        <v>0</v>
      </c>
      <c r="F299" s="478"/>
      <c r="G299" s="478"/>
      <c r="H299" s="478"/>
      <c r="I299" s="478"/>
    </row>
    <row r="300" spans="1:9">
      <c r="C300" s="200" t="s">
        <v>541</v>
      </c>
      <c r="E300" s="477">
        <f>E298+E299</f>
        <v>73.44</v>
      </c>
      <c r="F300" s="477">
        <f>IF(decScenario2EnterRegion1,F298+F299,0)</f>
        <v>18.36</v>
      </c>
      <c r="G300" s="477">
        <f>IF(decScenario2EnterRegion2,G298+G299,0)</f>
        <v>0</v>
      </c>
      <c r="H300" s="477">
        <f>IF(decScenario2EnterRegion3,H298+H299,0)</f>
        <v>0</v>
      </c>
      <c r="I300" s="477">
        <f>IF(decScenario2EnterRegion4,I298+I299,0)</f>
        <v>0</v>
      </c>
    </row>
    <row r="301" spans="1:9">
      <c r="E301" s="32" t="s">
        <v>1161</v>
      </c>
      <c r="F301" s="32" t="s">
        <v>1162</v>
      </c>
      <c r="G301" s="32" t="s">
        <v>1163</v>
      </c>
      <c r="H301" s="32" t="s">
        <v>1164</v>
      </c>
      <c r="I301" s="32" t="s">
        <v>1165</v>
      </c>
    </row>
    <row r="305" spans="1:9" s="163" customFormat="1">
      <c r="A305" s="31" t="s">
        <v>511</v>
      </c>
    </row>
    <row r="307" spans="1:9">
      <c r="A307" s="200" t="s">
        <v>538</v>
      </c>
    </row>
    <row r="308" spans="1:9">
      <c r="E308" s="32" t="s">
        <v>540</v>
      </c>
      <c r="F308" s="32" t="s">
        <v>465</v>
      </c>
      <c r="G308" s="32" t="s">
        <v>466</v>
      </c>
      <c r="H308" s="32" t="s">
        <v>467</v>
      </c>
      <c r="I308" s="32" t="s">
        <v>55</v>
      </c>
    </row>
    <row r="309" spans="1:9">
      <c r="A309" s="32" t="s">
        <v>553</v>
      </c>
      <c r="C309" s="200" t="s">
        <v>546</v>
      </c>
      <c r="E309" s="442">
        <f>VLOOKUP(decPlanDiseaseArea,datatableFranchiseRnDCost,2,FALSE)</f>
        <v>800000</v>
      </c>
      <c r="F309" s="442">
        <f>VLOOKUP(decPlanDiseaseArea,datatableFranchiseRnDCost,3,FALSE)</f>
        <v>3300000</v>
      </c>
      <c r="G309" s="442">
        <f>VLOOKUP(decPlanDiseaseArea,datatableFranchiseRnDCost,4,FALSE)</f>
        <v>11000000</v>
      </c>
      <c r="H309" s="442">
        <f>VLOOKUP(decPlanDiseaseArea,datatableFranchiseRnDCost,5,FALSE)</f>
        <v>88000000</v>
      </c>
      <c r="I309" s="442">
        <f>SUM(E309:H309)</f>
        <v>103100000</v>
      </c>
    </row>
    <row r="310" spans="1:9">
      <c r="A310" s="32">
        <v>3</v>
      </c>
      <c r="C310" s="201" t="s">
        <v>585</v>
      </c>
      <c r="E310" s="442">
        <f>decScenario3AddBiomarker*1000000/3</f>
        <v>0</v>
      </c>
      <c r="F310" s="442">
        <f>decScenario3AddBiomarker*1000000/3</f>
        <v>0</v>
      </c>
      <c r="G310" s="442">
        <f>decScenario3AddBiomarker*1000000/3</f>
        <v>0</v>
      </c>
      <c r="H310" s="443"/>
      <c r="I310" s="442">
        <f t="shared" ref="I310:I320" si="34">SUM(E310:H310)</f>
        <v>0</v>
      </c>
    </row>
    <row r="311" spans="1:9">
      <c r="A311" s="32">
        <v>5</v>
      </c>
      <c r="C311" s="201" t="s">
        <v>587</v>
      </c>
      <c r="E311" s="442">
        <f>(IF(VLOOKUP(decPlanDiseaseArea,datatableFormulationAdminDefault,2,FALSE)=decScenario3Administration,0,VLOOKUP(decScenario3Administration,datatableFormulationCost,calcMatchFunc,FALSE)))/4</f>
        <v>0</v>
      </c>
      <c r="F311" s="442">
        <f>(IF(VLOOKUP(decPlanDiseaseArea,datatableFormulationAdminDefault,2,FALSE)=decScenario3Administration,0,VLOOKUP(decScenario3Administration,datatableFormulationCost,calcMatchFunc,FALSE)))/4</f>
        <v>0</v>
      </c>
      <c r="G311" s="442">
        <f>(IF(VLOOKUP(decPlanDiseaseArea,datatableFormulationAdminDefault,2,FALSE)=decScenario3Administration,0,VLOOKUP(decScenario3Administration,datatableFormulationCost,calcMatchFunc,FALSE)))/4</f>
        <v>0</v>
      </c>
      <c r="H311" s="442">
        <f>(IF(VLOOKUP(decPlanDiseaseArea,datatableFormulationAdminDefault,2,FALSE)=decScenario3Administration,0,VLOOKUP(decScenario3Administration,datatableFormulationCost,calcMatchFunc,FALSE)))/4</f>
        <v>0</v>
      </c>
      <c r="I311" s="442">
        <f t="shared" si="34"/>
        <v>0</v>
      </c>
    </row>
    <row r="312" spans="1:9">
      <c r="A312" s="32">
        <v>5</v>
      </c>
      <c r="C312" s="201" t="s">
        <v>495</v>
      </c>
      <c r="E312" s="443"/>
      <c r="F312" s="442">
        <f>VLOOKUP(decScenario3TrialSizePh1,datatableSizePh1RnDCost,calcMatchFunc,FALSE)</f>
        <v>0</v>
      </c>
      <c r="G312" s="442">
        <f>VLOOKUP(decScenario3TrialSizePh2,datatableSizePh2RnDCost,calcMatchFunc,FALSE)</f>
        <v>0</v>
      </c>
      <c r="H312" s="442">
        <f>VLOOKUP(decScenario3TrialSizePh3,datatableSizePh3RnDCost,calcMatchFunc,FALSE)</f>
        <v>0</v>
      </c>
      <c r="I312" s="442">
        <f t="shared" si="34"/>
        <v>0</v>
      </c>
    </row>
    <row r="313" spans="1:9">
      <c r="A313" s="32">
        <v>6</v>
      </c>
      <c r="C313" s="201" t="s">
        <v>668</v>
      </c>
      <c r="E313" s="443"/>
      <c r="F313" s="442">
        <f>VLOOKUP(decScenario3ObservationPh1,datatableDurationPh1RnDCost,calcMatchFunc,FALSE)</f>
        <v>0</v>
      </c>
      <c r="G313" s="442">
        <f>VLOOKUP(decScenario3ObservationPh2,datatableDurationPh2RnDCost,calcMatchFunc,FALSE)</f>
        <v>0</v>
      </c>
      <c r="H313" s="442">
        <f>VLOOKUP(decScenario3ObservationPh3,datatableDurationPh3RnDCost,calcMatchFunc,FALSE)</f>
        <v>0</v>
      </c>
      <c r="I313" s="442">
        <f t="shared" si="34"/>
        <v>0</v>
      </c>
    </row>
    <row r="314" spans="1:9">
      <c r="A314" s="32">
        <v>7</v>
      </c>
      <c r="C314" s="201" t="s">
        <v>513</v>
      </c>
      <c r="E314" s="443"/>
      <c r="F314" s="443"/>
      <c r="G314" s="442">
        <f>IF(decScenario3AddIndication="No",0,VLOOKUP(decPlanDiseaseArea,datatableAddIndRnDCost,2,FALSE))</f>
        <v>0</v>
      </c>
      <c r="H314" s="442">
        <f>IF(decScenario3AddIndication="No",0,VLOOKUP(decPlanDiseaseArea,datatableAddIndRnDCost,3,FALSE))</f>
        <v>0</v>
      </c>
      <c r="I314" s="442">
        <f t="shared" si="34"/>
        <v>0</v>
      </c>
    </row>
    <row r="315" spans="1:9">
      <c r="A315" s="32">
        <v>10</v>
      </c>
      <c r="C315" s="202" t="s">
        <v>561</v>
      </c>
      <c r="E315" s="443"/>
      <c r="F315" s="443"/>
      <c r="G315" s="442">
        <f>VLOOKUP(decScenario3Ph2bStudy,datatableP2bTrialsRnDCost,calcMatchFunc,FALSE)</f>
        <v>7699999.9999999991</v>
      </c>
      <c r="H315" s="443"/>
      <c r="I315" s="442">
        <f t="shared" si="34"/>
        <v>7699999.9999999991</v>
      </c>
    </row>
    <row r="316" spans="1:9">
      <c r="A316" s="32">
        <v>1</v>
      </c>
      <c r="C316" s="201" t="s">
        <v>563</v>
      </c>
      <c r="E316" s="443"/>
      <c r="F316" s="443"/>
      <c r="G316" s="442">
        <f>VLOOKUP(decScenario3DDFrequency,datatableDosageRnDCost,calcMatchFunc,FALSE)</f>
        <v>0</v>
      </c>
      <c r="H316" s="442">
        <f>VLOOKUP(decScenario3DDFrequency,datatableDosageRnDCost,calcMatchFunc,FALSE)*1.2</f>
        <v>0</v>
      </c>
      <c r="I316" s="442">
        <f t="shared" si="34"/>
        <v>0</v>
      </c>
    </row>
    <row r="317" spans="1:9">
      <c r="A317" s="32">
        <v>8</v>
      </c>
      <c r="C317" s="201" t="s">
        <v>554</v>
      </c>
      <c r="E317" s="443"/>
      <c r="F317" s="443"/>
      <c r="G317" s="442">
        <f>IF(decScenario3MNTrialsPh2="Japan/US",0,VLOOKUP(decPlanDiseaseArea,datatableGlobalTrialsRnDCost,2,FALSE))</f>
        <v>-5500000</v>
      </c>
      <c r="H317" s="442">
        <f>IF(decScenario3MNTrialsPh3="Japan/US",0,VLOOKUP(decPlanDiseaseArea,datatableGlobalTrialsRnDCost,3,FALSE))</f>
        <v>-44000000</v>
      </c>
      <c r="I317" s="442">
        <f t="shared" si="34"/>
        <v>-49500000</v>
      </c>
    </row>
    <row r="318" spans="1:9">
      <c r="A318" s="32">
        <v>2</v>
      </c>
      <c r="C318" s="201" t="s">
        <v>488</v>
      </c>
      <c r="E318" s="443"/>
      <c r="F318" s="443"/>
      <c r="G318" s="443"/>
      <c r="H318" s="442">
        <f>VLOOKUP(decScenario3PrimaryEndpoint,datatablePrimaryEPRnDCost,calcMatchFunc,FALSE)</f>
        <v>0</v>
      </c>
      <c r="I318" s="442">
        <f t="shared" si="34"/>
        <v>0</v>
      </c>
    </row>
    <row r="319" spans="1:9">
      <c r="A319" s="32">
        <v>4</v>
      </c>
      <c r="C319" s="201" t="s">
        <v>489</v>
      </c>
      <c r="E319" s="443"/>
      <c r="F319" s="443"/>
      <c r="G319" s="443"/>
      <c r="H319" s="442">
        <f>VLOOKUP(decScenario3Comparator,datatableComparatorRnDCost,calcMatchFunc,FALSE)</f>
        <v>0</v>
      </c>
      <c r="I319" s="442">
        <f t="shared" si="34"/>
        <v>0</v>
      </c>
    </row>
    <row r="320" spans="1:9">
      <c r="A320" s="32">
        <v>3</v>
      </c>
      <c r="C320" s="201" t="s">
        <v>613</v>
      </c>
      <c r="E320" s="443"/>
      <c r="F320" s="442">
        <f>VLOOKUP(decScenario3MAEffort,datatableMARnDCost,calcMatchFunc,FALSE)/3</f>
        <v>0</v>
      </c>
      <c r="G320" s="442">
        <f>VLOOKUP(decScenario3MAEffort,datatableMARnDCost,calcMatchFunc,FALSE)/3</f>
        <v>0</v>
      </c>
      <c r="H320" s="442">
        <f>VLOOKUP(decScenario3MAEffort,datatableMARnDCost,calcMatchFunc,FALSE)/3</f>
        <v>0</v>
      </c>
      <c r="I320" s="442">
        <f t="shared" si="34"/>
        <v>0</v>
      </c>
    </row>
    <row r="321" spans="1:9">
      <c r="C321" s="200" t="s">
        <v>543</v>
      </c>
      <c r="E321" s="442">
        <f>SUM(E309:E320)+(IF(decPlanInLicenseStage="Research",decPlanInLicenseCost*1000000,0))</f>
        <v>800000</v>
      </c>
      <c r="F321" s="442">
        <f>SUM(F309:F320)+(IF(decPlanInLicenseStage="Phase I",decPlanInLicenseCost*1000000,0))</f>
        <v>3300000</v>
      </c>
      <c r="G321" s="442">
        <f>SUM(G309:G320)+(IF(decPlanInLicenseStage="Phase II",decPlanInLicenseCost*1000000,0))</f>
        <v>13200000</v>
      </c>
      <c r="H321" s="442">
        <f>SUM(H309:H320)+(IF(decPlanInLicenseStage="Phase III",decPlanInLicenseCost*1000000,0))</f>
        <v>44000000</v>
      </c>
      <c r="I321" s="442">
        <f>SUM(E321:H321)</f>
        <v>61300000</v>
      </c>
    </row>
    <row r="322" spans="1:9">
      <c r="C322" s="200" t="s">
        <v>542</v>
      </c>
      <c r="E322" s="444">
        <f>tlInputScenario3ResearchRnDCost</f>
        <v>0</v>
      </c>
      <c r="F322" s="444">
        <f>tlInputScenario3Ph1RnDCost</f>
        <v>0</v>
      </c>
      <c r="G322" s="444">
        <f>tlInputScenario3Ph2RnDCost</f>
        <v>0</v>
      </c>
      <c r="H322" s="444">
        <f>tlInputScenario3Ph3RnDCost</f>
        <v>0</v>
      </c>
      <c r="I322" s="442">
        <f t="shared" ref="I322:I323" si="35">SUM(E322:H322)</f>
        <v>0</v>
      </c>
    </row>
    <row r="323" spans="1:9">
      <c r="C323" s="200" t="s">
        <v>541</v>
      </c>
      <c r="E323" s="445">
        <f>IF(calcAcquisitionTracker&lt;1,E321+E322,0)</f>
        <v>800000</v>
      </c>
      <c r="F323" s="445">
        <f>IF(calcAcquisitionTracker&lt;2,F321+F322,0)</f>
        <v>3300000</v>
      </c>
      <c r="G323" s="445">
        <f>IF(calcAcquisitionTracker&lt;3,G321+G322,0)</f>
        <v>13200000</v>
      </c>
      <c r="H323" s="445">
        <f>IF(calcAcquisitionTracker&lt;3,H321+H322,0)</f>
        <v>44000000</v>
      </c>
      <c r="I323" s="445">
        <f t="shared" si="35"/>
        <v>61300000</v>
      </c>
    </row>
    <row r="324" spans="1:9">
      <c r="E324" s="32" t="s">
        <v>1064</v>
      </c>
      <c r="F324" s="32" t="s">
        <v>1065</v>
      </c>
      <c r="G324" s="32" t="s">
        <v>1066</v>
      </c>
      <c r="H324" s="32" t="s">
        <v>1067</v>
      </c>
      <c r="I324" s="32" t="s">
        <v>1068</v>
      </c>
    </row>
    <row r="326" spans="1:9">
      <c r="A326" s="200" t="s">
        <v>539</v>
      </c>
    </row>
    <row r="327" spans="1:9">
      <c r="E327" s="32" t="s">
        <v>540</v>
      </c>
      <c r="F327" s="32" t="s">
        <v>465</v>
      </c>
      <c r="G327" s="32" t="s">
        <v>466</v>
      </c>
      <c r="H327" s="32" t="s">
        <v>467</v>
      </c>
      <c r="I327" s="32" t="s">
        <v>55</v>
      </c>
    </row>
    <row r="328" spans="1:9">
      <c r="A328" s="32" t="s">
        <v>553</v>
      </c>
      <c r="C328" s="200" t="s">
        <v>546</v>
      </c>
      <c r="E328" s="442">
        <f>VLOOKUP(decPlanDiseaseArea,datatableFranchiseFTECost,2,FALSE)</f>
        <v>40000</v>
      </c>
      <c r="F328" s="442">
        <f>VLOOKUP(decPlanDiseaseArea,datatableFranchiseFTECost,3,FALSE)</f>
        <v>165000</v>
      </c>
      <c r="G328" s="442">
        <f>VLOOKUP(decPlanDiseaseArea,datatableFranchiseFTECost,4,FALSE)</f>
        <v>550000</v>
      </c>
      <c r="H328" s="442">
        <f>VLOOKUP(decPlanDiseaseArea,datatableFranchiseFTECost,5,FALSE)</f>
        <v>4400000</v>
      </c>
      <c r="I328" s="442">
        <f>SUM(E328:H328)</f>
        <v>5155000</v>
      </c>
    </row>
    <row r="329" spans="1:9">
      <c r="A329" s="32">
        <v>0</v>
      </c>
      <c r="C329" s="201" t="s">
        <v>587</v>
      </c>
      <c r="E329" s="442">
        <f>(IF(VLOOKUP(decPlanDiseaseArea,datatableFormulationAdminDefault,2,FALSE)=decScenario3Administration,0,VLOOKUP(decScenario3Administration,datatableFormulationFTECost,calcMatchFunc,FALSE)))/4</f>
        <v>0</v>
      </c>
      <c r="F329" s="442">
        <f>(IF(VLOOKUP(decPlanDiseaseArea,datatableFormulationAdminDefault,2,FALSE)=decScenario3Administration,0,VLOOKUP(decScenario3Administration,datatableFormulationFTECost,calcMatchFunc,FALSE)))/4</f>
        <v>0</v>
      </c>
      <c r="G329" s="442">
        <f>(IF(VLOOKUP(decPlanDiseaseArea,datatableFormulationAdminDefault,2,FALSE)=decScenario3Administration,0,VLOOKUP(decScenario3Administration,datatableFormulationFTECost,calcMatchFunc,FALSE)))/4</f>
        <v>0</v>
      </c>
      <c r="H329" s="442">
        <f>(IF(VLOOKUP(decPlanDiseaseArea,datatableFormulationAdminDefault,2,FALSE)=decScenario3Administration,0,VLOOKUP(decScenario3Administration,datatableFormulationFTECost,calcMatchFunc,FALSE)))/4</f>
        <v>0</v>
      </c>
      <c r="I329" s="442">
        <f t="shared" ref="I329:I338" si="36">SUM(E329:H329)</f>
        <v>0</v>
      </c>
    </row>
    <row r="330" spans="1:9">
      <c r="A330" s="32">
        <v>5</v>
      </c>
      <c r="C330" s="201" t="s">
        <v>495</v>
      </c>
      <c r="E330" s="443"/>
      <c r="F330" s="442">
        <f>VLOOKUP(decScenario3TrialSizePh1,datatableSizePh1FTECost,calcMatchFunc,FALSE)</f>
        <v>0</v>
      </c>
      <c r="G330" s="442">
        <f>VLOOKUP(decScenario3TrialSizePh2,datatableSizePh2FTECost,calcMatchFunc,FALSE)</f>
        <v>0</v>
      </c>
      <c r="H330" s="442">
        <f>VLOOKUP(decScenario3TrialSizePh3,datatableSizePh3FTECost,calcMatchFunc,FALSE)</f>
        <v>0</v>
      </c>
      <c r="I330" s="442">
        <f t="shared" si="36"/>
        <v>0</v>
      </c>
    </row>
    <row r="331" spans="1:9">
      <c r="A331" s="32">
        <v>6</v>
      </c>
      <c r="C331" s="201" t="s">
        <v>668</v>
      </c>
      <c r="E331" s="443"/>
      <c r="F331" s="442">
        <f>VLOOKUP(decScenario3ObservationPh1,datatableDurationPh1FTECost,calcMatchFunc,FALSE)</f>
        <v>0</v>
      </c>
      <c r="G331" s="442">
        <f>VLOOKUP(decScenario3ObservationPh2,datatableDurationPh2FTECost,calcMatchFunc,FALSE)</f>
        <v>0</v>
      </c>
      <c r="H331" s="442">
        <f>VLOOKUP(decScenario3ObservationPh3,datatableDurationPh3FTECost,calcMatchFunc,FALSE)</f>
        <v>0</v>
      </c>
      <c r="I331" s="442">
        <f t="shared" si="36"/>
        <v>0</v>
      </c>
    </row>
    <row r="332" spans="1:9">
      <c r="A332" s="32">
        <v>7</v>
      </c>
      <c r="C332" s="201" t="s">
        <v>513</v>
      </c>
      <c r="E332" s="443"/>
      <c r="F332" s="443"/>
      <c r="G332" s="442">
        <f>IF(decScenario3AddIndication="No",0,VLOOKUP(decPlanDiseaseArea,datatableAddIndFTECost,2,FALSE))</f>
        <v>0</v>
      </c>
      <c r="H332" s="442">
        <f>IF(decScenario3AddIndication="No",0,VLOOKUP(decPlanDiseaseArea,datatableAddIndFTECost,3,FALSE))</f>
        <v>0</v>
      </c>
      <c r="I332" s="442">
        <f t="shared" si="36"/>
        <v>0</v>
      </c>
    </row>
    <row r="333" spans="1:9">
      <c r="A333" s="32">
        <v>9</v>
      </c>
      <c r="C333" s="202" t="s">
        <v>561</v>
      </c>
      <c r="E333" s="443"/>
      <c r="F333" s="443"/>
      <c r="G333" s="442">
        <f>VLOOKUP(decScenario3Ph2bStudy,datatableP2bTrialsFTECost,calcMatchFunc,FALSE)</f>
        <v>385000</v>
      </c>
      <c r="H333" s="443"/>
      <c r="I333" s="442">
        <f t="shared" si="36"/>
        <v>385000</v>
      </c>
    </row>
    <row r="334" spans="1:9">
      <c r="A334" s="32">
        <v>0</v>
      </c>
      <c r="C334" s="201" t="s">
        <v>563</v>
      </c>
      <c r="E334" s="443"/>
      <c r="F334" s="443"/>
      <c r="G334" s="442">
        <f>VLOOKUP(decScenario3DDFrequency,datatableDosageFTECost,calcMatchFunc,FALSE)</f>
        <v>0</v>
      </c>
      <c r="H334" s="442">
        <f>VLOOKUP(decScenario3DDFrequency,datatableDosageFTECost,calcMatchFunc,FALSE)*1.2</f>
        <v>0</v>
      </c>
      <c r="I334" s="442">
        <f t="shared" si="36"/>
        <v>0</v>
      </c>
    </row>
    <row r="335" spans="1:9">
      <c r="A335" s="32">
        <v>8</v>
      </c>
      <c r="C335" s="201" t="s">
        <v>554</v>
      </c>
      <c r="E335" s="443"/>
      <c r="F335" s="443"/>
      <c r="G335" s="442">
        <f>IF(decScenario3MNTrialsPh2="Japan/US",0,VLOOKUP(decPlanDiseaseArea,datatableGlobalTrialsFTECost,2,FALSE))</f>
        <v>-275000</v>
      </c>
      <c r="H335" s="442">
        <f>IF(decScenario3MNTrialsPh3="Japan/US",0,VLOOKUP(decPlanDiseaseArea,datatableGlobalTrialsFTECost,3,FALSE))</f>
        <v>-2200000</v>
      </c>
      <c r="I335" s="442">
        <f t="shared" si="36"/>
        <v>-2475000</v>
      </c>
    </row>
    <row r="336" spans="1:9">
      <c r="A336" s="32">
        <v>2</v>
      </c>
      <c r="C336" s="201" t="s">
        <v>488</v>
      </c>
      <c r="E336" s="443"/>
      <c r="F336" s="443"/>
      <c r="G336" s="443"/>
      <c r="H336" s="442">
        <f>VLOOKUP(decScenario3PrimaryEndpoint,datatablePrimaryEPFTECost,calcMatchFunc,FALSE)</f>
        <v>0</v>
      </c>
      <c r="I336" s="442">
        <f t="shared" si="36"/>
        <v>0</v>
      </c>
    </row>
    <row r="337" spans="1:9">
      <c r="A337" s="32">
        <v>10</v>
      </c>
      <c r="C337" s="201" t="s">
        <v>489</v>
      </c>
      <c r="E337" s="443"/>
      <c r="F337" s="443"/>
      <c r="G337" s="443"/>
      <c r="H337" s="442">
        <f>VLOOKUP(decScenario3Comparator,datatableComparatorFTECost,calcMatchFunc,FALSE)</f>
        <v>0</v>
      </c>
      <c r="I337" s="442">
        <f t="shared" si="36"/>
        <v>0</v>
      </c>
    </row>
    <row r="338" spans="1:9">
      <c r="A338" s="32">
        <v>10</v>
      </c>
      <c r="C338" s="201" t="s">
        <v>613</v>
      </c>
      <c r="E338" s="443"/>
      <c r="F338" s="442">
        <f>VLOOKUP(decScenario3MAEffort,datatableMAFTECost,calcMatchFunc,FALSE)/3</f>
        <v>0</v>
      </c>
      <c r="G338" s="442">
        <f>VLOOKUP(decScenario3MAEffort,datatableMAFTECost,calcMatchFunc,FALSE)/3</f>
        <v>0</v>
      </c>
      <c r="H338" s="442">
        <f>VLOOKUP(decScenario3MAEffort,datatableMAFTECost,calcMatchFunc,FALSE)/3</f>
        <v>0</v>
      </c>
      <c r="I338" s="442">
        <f t="shared" si="36"/>
        <v>0</v>
      </c>
    </row>
    <row r="339" spans="1:9">
      <c r="C339" s="200" t="s">
        <v>543</v>
      </c>
      <c r="E339" s="442">
        <f>SUM(E328:E338)*(1+(calcScenario3FTECostTrigger*1))</f>
        <v>80000</v>
      </c>
      <c r="F339" s="442">
        <f>SUM(F328:F338)*(1+(calcScenario3FTECostTrigger*1))</f>
        <v>330000</v>
      </c>
      <c r="G339" s="442">
        <f>SUM(G328:G338)*(1+(calcScenario3FTECostTrigger*1))</f>
        <v>1320000</v>
      </c>
      <c r="H339" s="442">
        <f>SUM(H328:H338)*(1+(calcScenario3FTECostTrigger*1))</f>
        <v>4400000</v>
      </c>
      <c r="I339" s="442">
        <f>SUM(E339:H339)</f>
        <v>6130000</v>
      </c>
    </row>
    <row r="340" spans="1:9">
      <c r="C340" s="200" t="s">
        <v>542</v>
      </c>
      <c r="E340" s="444">
        <f>tlInputScenario3ResearchFTECost</f>
        <v>0</v>
      </c>
      <c r="F340" s="444">
        <f>tlInputScenario3Ph1FTECost</f>
        <v>0</v>
      </c>
      <c r="G340" s="444">
        <f>tlInputScenario3Ph2FTECost</f>
        <v>0</v>
      </c>
      <c r="H340" s="444">
        <f>tlInputScenario3Ph3FTECost</f>
        <v>0</v>
      </c>
      <c r="I340" s="442">
        <f t="shared" ref="I340:I341" si="37">SUM(E340:H340)</f>
        <v>0</v>
      </c>
    </row>
    <row r="341" spans="1:9">
      <c r="C341" s="200" t="s">
        <v>541</v>
      </c>
      <c r="E341" s="445">
        <f>IF(calcAcquisitionTracker&lt;1,E339+E340,0)</f>
        <v>80000</v>
      </c>
      <c r="F341" s="445">
        <f>IF(calcAcquisitionTracker&lt;2,F339+F340,0)</f>
        <v>330000</v>
      </c>
      <c r="G341" s="445">
        <f>IF(calcAcquisitionTracker&lt;3,G339+G340,0)</f>
        <v>1320000</v>
      </c>
      <c r="H341" s="445">
        <f>IF(calcAcquisitionTracker&lt;3,H339+H340,0)</f>
        <v>4400000</v>
      </c>
      <c r="I341" s="445">
        <f t="shared" si="37"/>
        <v>6130000</v>
      </c>
    </row>
    <row r="342" spans="1:9">
      <c r="E342" s="32" t="s">
        <v>1069</v>
      </c>
      <c r="F342" s="32" t="s">
        <v>1070</v>
      </c>
      <c r="G342" s="32" t="s">
        <v>1071</v>
      </c>
      <c r="H342" s="32" t="s">
        <v>1072</v>
      </c>
      <c r="I342" s="32" t="s">
        <v>1073</v>
      </c>
    </row>
    <row r="344" spans="1:9">
      <c r="A344" s="200" t="s">
        <v>544</v>
      </c>
    </row>
    <row r="345" spans="1:9">
      <c r="E345" s="32" t="s">
        <v>540</v>
      </c>
      <c r="F345" s="32" t="s">
        <v>465</v>
      </c>
      <c r="G345" s="32" t="s">
        <v>466</v>
      </c>
      <c r="H345" s="32" t="s">
        <v>467</v>
      </c>
      <c r="I345" s="32" t="s">
        <v>55</v>
      </c>
    </row>
    <row r="346" spans="1:9">
      <c r="A346" s="32" t="s">
        <v>553</v>
      </c>
      <c r="C346" s="200" t="s">
        <v>546</v>
      </c>
      <c r="E346" s="470">
        <f>VLOOKUP(decPlanDiseaseArea,datatableFranchiseTTM,2,FALSE)</f>
        <v>0.25</v>
      </c>
      <c r="F346" s="470">
        <f>VLOOKUP(decPlanDiseaseArea,datatableFranchiseTTM,3,FALSE)</f>
        <v>0.5</v>
      </c>
      <c r="G346" s="470">
        <f>VLOOKUP(decPlanDiseaseArea,datatableFranchiseTTM,4,FALSE)</f>
        <v>0.5</v>
      </c>
      <c r="H346" s="470">
        <f>VLOOKUP(decPlanDiseaseArea,datatableFranchiseTTM,5,FALSE)</f>
        <v>3.5</v>
      </c>
      <c r="I346" s="470">
        <f>SUM(E346:H346)</f>
        <v>4.75</v>
      </c>
    </row>
    <row r="347" spans="1:9">
      <c r="A347" s="32">
        <v>0</v>
      </c>
      <c r="C347" s="201" t="s">
        <v>585</v>
      </c>
      <c r="E347" s="470">
        <f>VLOOKUP(decScenario3AddBiomarker,datatableAddBiomarkerTTM,2,FALSE)</f>
        <v>0</v>
      </c>
      <c r="F347" s="482"/>
      <c r="G347" s="482"/>
      <c r="H347" s="482"/>
      <c r="I347" s="470">
        <f t="shared" ref="I347:I356" si="38">SUM(E347:H347)</f>
        <v>0</v>
      </c>
    </row>
    <row r="348" spans="1:9">
      <c r="A348" s="32">
        <v>5</v>
      </c>
      <c r="C348" s="201" t="s">
        <v>587</v>
      </c>
      <c r="E348" s="473">
        <f>IF(VLOOKUP(decPlanDiseaseArea,datatableFormulationAdminDefault,2,FALSE)=decScenario3Administration,0,VLOOKUP(decScenario3Administration,datatableFormulationTTM,calcMatchFunc,FALSE))</f>
        <v>0</v>
      </c>
      <c r="F348" s="482"/>
      <c r="G348" s="482"/>
      <c r="H348" s="482"/>
      <c r="I348" s="470">
        <f t="shared" si="38"/>
        <v>0</v>
      </c>
    </row>
    <row r="349" spans="1:9">
      <c r="A349" s="32">
        <v>6</v>
      </c>
      <c r="C349" s="201" t="s">
        <v>495</v>
      </c>
      <c r="E349" s="482"/>
      <c r="F349" s="470">
        <f>VLOOKUP(decScenario3TrialSizePh1,datatableSizePh1TTM,calcMatchFunc,FALSE)</f>
        <v>0</v>
      </c>
      <c r="G349" s="470">
        <f>VLOOKUP(decScenario3TrialSizePh2,datatableSizePh2TTM,calcMatchFunc,FALSE)</f>
        <v>0</v>
      </c>
      <c r="H349" s="470">
        <f>VLOOKUP(decScenario3TrialSizePh3,datatableSizePh3TTM,calcMatchFunc,FALSE)</f>
        <v>0</v>
      </c>
      <c r="I349" s="470">
        <f t="shared" si="38"/>
        <v>0</v>
      </c>
    </row>
    <row r="350" spans="1:9">
      <c r="A350" s="32">
        <v>9</v>
      </c>
      <c r="C350" s="201" t="s">
        <v>668</v>
      </c>
      <c r="E350" s="482"/>
      <c r="F350" s="470">
        <f>VLOOKUP(decScenario3ObservationPh1,datatableDurationPh1TTM,calcMatchFunc,FALSE)</f>
        <v>0</v>
      </c>
      <c r="G350" s="470">
        <f>VLOOKUP(decScenario3ObservationPh2,datatableDurationPh2TTM,calcMatchFunc,FALSE)</f>
        <v>0</v>
      </c>
      <c r="H350" s="470">
        <f>VLOOKUP(decScenario3ObservationPh3,datatableDurationPh3TTM,calcMatchFunc,FALSE)</f>
        <v>0</v>
      </c>
      <c r="I350" s="470">
        <f t="shared" si="38"/>
        <v>0</v>
      </c>
    </row>
    <row r="351" spans="1:9">
      <c r="A351" s="32">
        <v>8</v>
      </c>
      <c r="C351" s="201" t="s">
        <v>513</v>
      </c>
      <c r="E351" s="482"/>
      <c r="F351" s="482"/>
      <c r="G351" s="470">
        <f>IF(decScenario3AddIndication="No",0,VLOOKUP(decPlanDiseaseArea,datatableAddIndTTM,2,FALSE))</f>
        <v>0</v>
      </c>
      <c r="H351" s="470">
        <f>IF(decScenario3AddIndication="No",0,VLOOKUP(decPlanDiseaseArea,datatableAddIndTTM,3,FALSE))</f>
        <v>0</v>
      </c>
      <c r="I351" s="470">
        <f t="shared" si="38"/>
        <v>0</v>
      </c>
    </row>
    <row r="352" spans="1:9">
      <c r="A352" s="32">
        <v>10</v>
      </c>
      <c r="C352" s="202" t="s">
        <v>561</v>
      </c>
      <c r="E352" s="482"/>
      <c r="F352" s="482"/>
      <c r="G352" s="470">
        <f>VLOOKUP(decScenario3Ph2bStudy,datatableP2bTrialsTTM,calcMatchFunc,FALSE)</f>
        <v>0.375</v>
      </c>
      <c r="H352" s="482"/>
      <c r="I352" s="470">
        <f t="shared" si="38"/>
        <v>0.375</v>
      </c>
    </row>
    <row r="353" spans="1:17">
      <c r="A353" s="32">
        <v>4</v>
      </c>
      <c r="C353" s="201" t="s">
        <v>554</v>
      </c>
      <c r="E353" s="483"/>
      <c r="F353" s="483"/>
      <c r="G353" s="484">
        <f>IF(decScenario3MNTrialsPh2="Japan/US",0,VLOOKUP(decPlanDiseaseArea,datatableGlobalTrialsTTM,2,FALSE))</f>
        <v>-0.1</v>
      </c>
      <c r="H353" s="484">
        <f>IF(decScenario3MNTrialsPh3="Japan/US",0,VLOOKUP(decPlanDiseaseArea,datatableGlobalTrialsTTM,3,FALSE))</f>
        <v>-0.70000000000000007</v>
      </c>
      <c r="I353" s="484">
        <f t="shared" si="38"/>
        <v>-0.8</v>
      </c>
    </row>
    <row r="354" spans="1:17">
      <c r="A354" s="32">
        <v>3</v>
      </c>
      <c r="C354" s="201" t="s">
        <v>488</v>
      </c>
      <c r="E354" s="483"/>
      <c r="F354" s="483"/>
      <c r="G354" s="483"/>
      <c r="H354" s="470">
        <f>VLOOKUP(decScenario3PrimaryEndpoint,datatablePrimaryEPTTM,calcMatchFunc,FALSE)</f>
        <v>0</v>
      </c>
      <c r="I354" s="470">
        <f t="shared" si="38"/>
        <v>0</v>
      </c>
    </row>
    <row r="355" spans="1:17">
      <c r="A355" s="32">
        <v>2</v>
      </c>
      <c r="C355" s="201" t="s">
        <v>487</v>
      </c>
      <c r="E355" s="483"/>
      <c r="F355" s="483"/>
      <c r="G355" s="483"/>
      <c r="H355" s="470">
        <f>VLOOKUP(decScenario3SecondaryEndpoint,datatableSecondaryEPTTM,calcMatchFunc,FALSE)</f>
        <v>0</v>
      </c>
      <c r="I355" s="470">
        <f t="shared" si="38"/>
        <v>0</v>
      </c>
    </row>
    <row r="356" spans="1:17">
      <c r="A356" s="32">
        <v>5</v>
      </c>
      <c r="C356" s="201" t="s">
        <v>489</v>
      </c>
      <c r="E356" s="483"/>
      <c r="F356" s="483"/>
      <c r="G356" s="483"/>
      <c r="H356" s="470">
        <f>VLOOKUP(decScenario3Comparator,datatableComparatorTTM,calcMatchFunc,FALSE)</f>
        <v>0</v>
      </c>
      <c r="I356" s="470">
        <f t="shared" si="38"/>
        <v>0</v>
      </c>
    </row>
    <row r="357" spans="1:17">
      <c r="A357" s="32">
        <v>5</v>
      </c>
      <c r="C357" s="201" t="s">
        <v>613</v>
      </c>
      <c r="E357" s="443"/>
      <c r="F357" s="442">
        <f>IF(decScenario3MAEffort="Early Stage",VLOOKUP(decScenario3MAEffort,datatableMATTM,calcMatchFunc,FALSE),IF(decScenario3MAEffort="Prelaunch",VLOOKUP(decScenario3MAEffort,datatableMATTM,calcMatchFunc,FALSE),0))</f>
        <v>0</v>
      </c>
      <c r="G357" s="442">
        <f>IF(decScenario3MAEffort="Early Stage",VLOOKUP(decScenario3MAEffort,datatableMATTM,calcMatchFunc,FALSE),IF(decScenario3MAEffort="Prelaunch",VLOOKUP(decScenario3MAEffort,datatableMATTM,calcMatchFunc,FALSE),0))</f>
        <v>0</v>
      </c>
      <c r="H357" s="442">
        <f>IF(decScenario3MAEffort="Early Stage",-1*(VLOOKUP(decScenario3MAEffort,datatableMATTM,calcMatchFunc,FALSE)),IF(decScenario3MAEffort="Prelaunch",VLOOKUP(decScenario3MAEffort,datatableMATTM,calcMatchFunc,FALSE),0))</f>
        <v>0</v>
      </c>
      <c r="I357" s="442">
        <f t="shared" ref="I357" si="39">SUM(E357:H357)</f>
        <v>0</v>
      </c>
    </row>
    <row r="358" spans="1:17">
      <c r="C358" s="200" t="s">
        <v>543</v>
      </c>
      <c r="E358" s="470">
        <f>SUM(E346:E357)</f>
        <v>0.25</v>
      </c>
      <c r="F358" s="470">
        <f t="shared" ref="F358:H358" si="40">SUM(F346:F357)</f>
        <v>0.5</v>
      </c>
      <c r="G358" s="470">
        <f t="shared" si="40"/>
        <v>0.77500000000000002</v>
      </c>
      <c r="H358" s="470">
        <f t="shared" si="40"/>
        <v>2.8</v>
      </c>
      <c r="I358" s="470">
        <f>SUM(E358:H358)</f>
        <v>4.3249999999999993</v>
      </c>
    </row>
    <row r="359" spans="1:17">
      <c r="C359" s="200" t="s">
        <v>542</v>
      </c>
      <c r="E359" s="485">
        <f>tlInputScenario3ResearchTimeReq</f>
        <v>0</v>
      </c>
      <c r="F359" s="485">
        <f>tlInputScenario3Ph1TimeReq</f>
        <v>0</v>
      </c>
      <c r="G359" s="485">
        <f>tlInputScenario3Ph2TimeReq</f>
        <v>0</v>
      </c>
      <c r="H359" s="485">
        <f>tlInputScenario3Ph3TimeReq</f>
        <v>0</v>
      </c>
      <c r="I359" s="470">
        <f t="shared" ref="I359" si="41">SUM(E359:H359)</f>
        <v>0</v>
      </c>
    </row>
    <row r="360" spans="1:17">
      <c r="C360" s="200" t="s">
        <v>541</v>
      </c>
      <c r="E360" s="486">
        <f>IF(calcAcquisitionTracker&lt;1,E358+E359,0)</f>
        <v>0.25</v>
      </c>
      <c r="F360" s="486">
        <f>IF(calcAcquisitionTracker&lt;2,F358+F359,0)</f>
        <v>0.5</v>
      </c>
      <c r="G360" s="486">
        <f>IF(calcAcquisitionTracker&lt;3,G358+G359,0)</f>
        <v>0.77500000000000002</v>
      </c>
      <c r="H360" s="486">
        <f>IF(calcAcquisitionTracker&lt;3,H358+H359,0)</f>
        <v>2.8</v>
      </c>
      <c r="I360" s="486">
        <f>MIN(SUM(E360:H360),15)</f>
        <v>4.3249999999999993</v>
      </c>
    </row>
    <row r="361" spans="1:17">
      <c r="E361" s="32" t="s">
        <v>1074</v>
      </c>
      <c r="F361" s="32" t="s">
        <v>1075</v>
      </c>
      <c r="G361" s="32" t="s">
        <v>1076</v>
      </c>
      <c r="H361" s="32" t="s">
        <v>1077</v>
      </c>
      <c r="I361" s="32" t="s">
        <v>1078</v>
      </c>
    </row>
    <row r="363" spans="1:17">
      <c r="A363" s="200" t="s">
        <v>545</v>
      </c>
    </row>
    <row r="364" spans="1:17">
      <c r="A364" s="200"/>
      <c r="E364" s="457">
        <f>(IF(OR(decScenario3EnterRegion1=TRUE,decScenario3EnterRegion2=TRUE),VLOOKUP(decPlanDiseaseArea,datatableReg12PTS,2,FALSE),0))</f>
        <v>0.9</v>
      </c>
      <c r="F364" s="457">
        <f>(IF(OR(decScenario3EnterRegion1=TRUE,decScenario3EnterRegion2=TRUE),VLOOKUP(decPlanDiseaseArea,datatableReg12PTS,3,FALSE),0))</f>
        <v>0.9</v>
      </c>
      <c r="G364" s="457">
        <f>(IF(OR(decScenario3EnterRegion1=TRUE,decScenario3EnterRegion2=TRUE),VLOOKUP(decPlanDiseaseArea,datatableReg12PTS,4,FALSE),0))</f>
        <v>0.35</v>
      </c>
      <c r="H364" s="457">
        <f>(IF(OR(decScenario3EnterRegion1=TRUE,decScenario3EnterRegion2=TRUE),VLOOKUP(decPlanDiseaseArea,datatableReg12PTS,5,FALSE),0))</f>
        <v>0.75</v>
      </c>
    </row>
    <row r="365" spans="1:17" ht="15" thickBot="1">
      <c r="A365" s="200"/>
      <c r="E365" s="457">
        <f>IF(OR(decScenario3EnterRegion3=TRUE,decScenario3EnterRegion4=TRUE),VLOOKUP(decPlanDiseaseArea,datatableReg34PTS,2,FALSE),0)</f>
        <v>0</v>
      </c>
      <c r="F365" s="457">
        <f>IF(OR(decScenario3EnterRegion3=TRUE,decScenario3EnterRegion4=TRUE),VLOOKUP(decPlanDiseaseArea,datatableReg34PTS,3,FALSE),0)</f>
        <v>0</v>
      </c>
      <c r="G365" s="457">
        <f>IF(OR(decScenario3EnterRegion3=TRUE,decScenario3EnterRegion4=TRUE),VLOOKUP(decPlanDiseaseArea,datatableReg34PTS,4,FALSE),0)</f>
        <v>0</v>
      </c>
      <c r="H365" s="457">
        <f>IF(OR(decScenario3EnterRegion3=TRUE,decScenario3EnterRegion4=TRUE),VLOOKUP(decPlanDiseaseArea,datatableReg34PTS,5,FALSE),0)</f>
        <v>0</v>
      </c>
    </row>
    <row r="366" spans="1:17">
      <c r="E366" s="32" t="s">
        <v>540</v>
      </c>
      <c r="F366" s="32" t="s">
        <v>465</v>
      </c>
      <c r="G366" s="32" t="s">
        <v>466</v>
      </c>
      <c r="H366" s="32" t="s">
        <v>467</v>
      </c>
      <c r="J366" s="462" t="s">
        <v>1329</v>
      </c>
      <c r="K366" s="463"/>
      <c r="L366" s="463"/>
      <c r="M366" s="464"/>
      <c r="O366" s="462" t="s">
        <v>1501</v>
      </c>
      <c r="P366" s="463"/>
      <c r="Q366" s="464"/>
    </row>
    <row r="367" spans="1:17">
      <c r="A367" s="32" t="s">
        <v>553</v>
      </c>
      <c r="C367" s="200" t="s">
        <v>564</v>
      </c>
      <c r="E367" s="550">
        <f>IF(calcScenario3MultinationalTrialTrigger=1,E364*E365,E364+E365)</f>
        <v>0.9</v>
      </c>
      <c r="F367" s="550">
        <f>IF(calcScenario3MultinationalTrialTrigger=1,F364*F365,F364+F365)</f>
        <v>0.9</v>
      </c>
      <c r="G367" s="550">
        <f>IF(calcScenario3MultinationalTrialTrigger=1,G364*G365,G364+G365)</f>
        <v>0.35</v>
      </c>
      <c r="H367" s="550">
        <f>IF(calcScenario3MultinationalTrialTrigger=1,H364*H365,H364+H365)</f>
        <v>0.75</v>
      </c>
      <c r="J367" s="465" t="b">
        <f>decScenario3EnterRegion1</f>
        <v>1</v>
      </c>
      <c r="K367" s="36" t="b">
        <f>decScenario3EnterRegion3</f>
        <v>0</v>
      </c>
      <c r="L367" s="465" t="b">
        <f>decScenario3EnterRegion1</f>
        <v>1</v>
      </c>
      <c r="M367" s="466"/>
      <c r="O367" s="465" t="b">
        <f>decScenario3ObservationPh1="- 6 months"</f>
        <v>0</v>
      </c>
      <c r="P367" s="36" t="b">
        <f>decScenario3ObservationPh2="- 6 months"</f>
        <v>0</v>
      </c>
      <c r="Q367" s="466" t="b">
        <f>decScenario3ObservationPh3="- 6 months"</f>
        <v>0</v>
      </c>
    </row>
    <row r="368" spans="1:17" ht="15" thickBot="1">
      <c r="A368" s="32">
        <v>3</v>
      </c>
      <c r="C368" s="201" t="s">
        <v>585</v>
      </c>
      <c r="E368" s="457">
        <f>VLOOKUP(decScenario3AddBiomarker,datatableAddBiomarkerPTS,2,FALSE)</f>
        <v>0</v>
      </c>
      <c r="F368" s="457">
        <f>VLOOKUP(decScenario3AddBiomarker,datatableAddBiomarkerPTS,2,FALSE)</f>
        <v>0</v>
      </c>
      <c r="G368" s="457">
        <f>VLOOKUP(decScenario3AddBiomarker,datatableAddBiomarkerPTS,2,FALSE)</f>
        <v>0</v>
      </c>
      <c r="H368" s="457">
        <f>VLOOKUP(decScenario3AddBiomarker,datatableAddBiomarkerPTS,2,FALSE)</f>
        <v>0</v>
      </c>
      <c r="J368" s="465" t="b">
        <f>decScenario3EnterRegion2</f>
        <v>0</v>
      </c>
      <c r="K368" s="36" t="b">
        <f>decScenario3EnterRegion4</f>
        <v>0</v>
      </c>
      <c r="L368" s="36">
        <f>calcScenario3MultinationalTrialTrigger</f>
        <v>0</v>
      </c>
      <c r="M368" s="466"/>
      <c r="O368" s="465" t="b">
        <f>decScenario3ObservationPh1="- 12 months"</f>
        <v>0</v>
      </c>
      <c r="P368" s="36" t="b">
        <f>decScenario3ObservationPh2="- 12 months"</f>
        <v>0</v>
      </c>
      <c r="Q368" s="466" t="b">
        <f>decScenario3ObservationPh3="- 12 months"</f>
        <v>0</v>
      </c>
    </row>
    <row r="369" spans="1:17" ht="15" thickBot="1">
      <c r="A369" s="32">
        <v>5</v>
      </c>
      <c r="C369" s="201" t="s">
        <v>587</v>
      </c>
      <c r="E369" s="457">
        <f>IF(VLOOKUP(decPlanDiseaseArea,datatableFormulationAdminDefault,2,FALSE)=decScenario3Administration,0,VLOOKUP(decScenario3Administration,datatableFormulationPTS,calcMatchFunc,FALSE))</f>
        <v>0</v>
      </c>
      <c r="F369" s="457">
        <f>IF(VLOOKUP(decPlanDiseaseArea,datatableFormulationAdminDefault,2,FALSE)=decScenario3Administration,0,VLOOKUP(decScenario3Administration,datatableFormulationPTS,calcMatchFunc,FALSE))</f>
        <v>0</v>
      </c>
      <c r="G369" s="457">
        <f>IF(VLOOKUP(decPlanDiseaseArea,datatableFormulationAdminDefault,2,FALSE)=decScenario3Administration,0,VLOOKUP(decScenario3Administration,datatableFormulationPTS,calcMatchFunc,FALSE))</f>
        <v>0</v>
      </c>
      <c r="H369" s="457">
        <f>IF(VLOOKUP(decPlanDiseaseArea,datatableFormulationAdminDefault,2,FALSE)=decScenario3Administration,0,VLOOKUP(decScenario3Administration,datatableFormulationPTS,calcMatchFunc,FALSE))</f>
        <v>0</v>
      </c>
      <c r="J369" s="465">
        <f>COUNTIF(J367:J368,TRUE)</f>
        <v>1</v>
      </c>
      <c r="K369" s="36">
        <f t="shared" ref="K369" si="42">COUNTIF(K367:K368,TRUE)</f>
        <v>0</v>
      </c>
      <c r="L369" s="461">
        <f>IF(AND(L367=TRUE,L368=0),1,0)</f>
        <v>1</v>
      </c>
      <c r="M369" s="466" t="s">
        <v>1508</v>
      </c>
      <c r="O369" s="465" t="b">
        <f>decScenario3ObservationPh1="0 months"</f>
        <v>1</v>
      </c>
      <c r="P369" s="36" t="b">
        <f>decScenario3ObservationPh2="0 months"</f>
        <v>1</v>
      </c>
      <c r="Q369" s="466" t="b">
        <f>decScenario3ObservationPh3="0 months"</f>
        <v>1</v>
      </c>
    </row>
    <row r="370" spans="1:17" ht="15" thickBot="1">
      <c r="A370" s="203" t="s">
        <v>565</v>
      </c>
      <c r="B370" s="32" t="s">
        <v>81</v>
      </c>
      <c r="C370" s="201" t="s">
        <v>495</v>
      </c>
      <c r="E370" s="458"/>
      <c r="F370" s="457">
        <f>VLOOKUP(decScenario3TrialSizePh1,datatableSizePh1PTS,calcMatchFunc,FALSE)</f>
        <v>0</v>
      </c>
      <c r="G370" s="457">
        <f>IF(AND(calcScenario3MultinationalTrialTrigger=1,decScenario3TrialSizePh2&lt;300),-4%,VLOOKUP(decScenario3TrialSizePh2,datatableSizePh2PTS,calcMatchFunc,FALSE))</f>
        <v>0</v>
      </c>
      <c r="H370" s="457">
        <f>IF(AND(calcScenario3MultinationalTrialTrigger=1,decScenario3TrialSizePh3&lt;750),-8%,VLOOKUP(decScenario3TrialSizePh3,datatableSizePh3PTS,calcMatchFunc,FALSE))</f>
        <v>0</v>
      </c>
      <c r="J370" s="461">
        <f>IF(AND(J369&gt;0,K369&gt;0),1,0)</f>
        <v>0</v>
      </c>
      <c r="K370" s="36" t="s">
        <v>1330</v>
      </c>
      <c r="L370" s="36"/>
      <c r="M370" s="466"/>
      <c r="O370" s="576">
        <f>COUNTIF(O367:O369,TRUE)</f>
        <v>1</v>
      </c>
      <c r="P370" s="577">
        <f t="shared" ref="P370" si="43">COUNTIF(P367:P369,TRUE)</f>
        <v>1</v>
      </c>
      <c r="Q370" s="578">
        <f t="shared" ref="Q370" si="44">COUNTIF(Q367:Q369,TRUE)</f>
        <v>1</v>
      </c>
    </row>
    <row r="371" spans="1:17" ht="15" thickBot="1">
      <c r="A371" s="203" t="s">
        <v>565</v>
      </c>
      <c r="B371" s="32" t="s">
        <v>81</v>
      </c>
      <c r="C371" s="201" t="s">
        <v>668</v>
      </c>
      <c r="E371" s="458"/>
      <c r="F371" s="457">
        <f>VLOOKUP(decScenario3ObservationPh1,datatableDurationPh1PTS,calcMatchFunc,FALSE)</f>
        <v>0</v>
      </c>
      <c r="G371" s="457">
        <f>IF(AND(calcScenario3MultinationalTrialTrigger=1,calcScenario3TrialDurationPh2Trigger&gt;0),-4%,VLOOKUP(decScenario3ObservationPh2,datatableDurationPh2PTS,calcMatchFunc,FALSE))</f>
        <v>0</v>
      </c>
      <c r="H371" s="457">
        <f>IF(AND(calcScenario3MultinationalTrialTrigger=1,calcScenario3TrialDurationPh3Trigger&gt;0),-8%,VLOOKUP(decScenario3ObservationPh3,datatableDurationPh3PTS,calcMatchFunc,FALSE))</f>
        <v>0</v>
      </c>
      <c r="J371" s="467"/>
      <c r="K371" s="468"/>
      <c r="L371" s="468"/>
      <c r="M371" s="469"/>
      <c r="O371" s="467" t="s">
        <v>1505</v>
      </c>
      <c r="P371" s="468" t="s">
        <v>1506</v>
      </c>
      <c r="Q371" s="469" t="s">
        <v>1507</v>
      </c>
    </row>
    <row r="372" spans="1:17">
      <c r="A372" s="32">
        <v>5</v>
      </c>
      <c r="B372" s="32" t="s">
        <v>82</v>
      </c>
      <c r="C372" s="201" t="s">
        <v>513</v>
      </c>
      <c r="E372" s="458"/>
      <c r="F372" s="458"/>
      <c r="G372" s="457">
        <f>IF(decScenario3AddIndication="No",0,VLOOKUP(decPlanDiseaseArea,datatableAddIndPTS,2,FALSE))</f>
        <v>0</v>
      </c>
      <c r="H372" s="457">
        <f>IF(decScenario3AddIndication="No",0,VLOOKUP(decPlanDiseaseArea,datatableAddIndPTS,3,FALSE))</f>
        <v>0</v>
      </c>
    </row>
    <row r="373" spans="1:17">
      <c r="A373" s="32">
        <v>8</v>
      </c>
      <c r="B373" s="32" t="s">
        <v>81</v>
      </c>
      <c r="C373" s="202" t="s">
        <v>561</v>
      </c>
      <c r="E373" s="458"/>
      <c r="F373" s="458"/>
      <c r="G373" s="458"/>
      <c r="H373" s="457">
        <f>VLOOKUP(decScenario3Ph2bStudy,datatableP2bTrialsPTS,calcMatchFunc,FALSE)</f>
        <v>7.4999999999999997E-2</v>
      </c>
    </row>
    <row r="374" spans="1:17">
      <c r="A374" s="32">
        <v>3</v>
      </c>
      <c r="B374" s="32" t="s">
        <v>82</v>
      </c>
      <c r="C374" s="201" t="s">
        <v>563</v>
      </c>
      <c r="E374" s="458"/>
      <c r="F374" s="458"/>
      <c r="G374" s="457">
        <f>VLOOKUP(decScenario3DDFrequency,datatableDosagePTS,calcMatchFunc,FALSE)</f>
        <v>0.02</v>
      </c>
      <c r="H374" s="457">
        <f>VLOOKUP(decScenario3DDFrequency,datatableDosagePTS,calcMatchFunc,FALSE)</f>
        <v>0.02</v>
      </c>
    </row>
    <row r="375" spans="1:17">
      <c r="A375" s="32">
        <v>10</v>
      </c>
      <c r="B375" s="32" t="s">
        <v>81</v>
      </c>
      <c r="C375" s="201" t="s">
        <v>554</v>
      </c>
      <c r="E375" s="458"/>
      <c r="F375" s="458"/>
      <c r="G375" s="457">
        <f>IF(AND(decScenario3MNTrialsPh2="Local",calcScenario3MultinationalTrialTrigger=1),-6%,0)</f>
        <v>0</v>
      </c>
      <c r="H375" s="457">
        <f>IF(AND(decScenario3MNTrialsPh3="Local",calcScenario3MultinationalTrialTrigger=1),-10%,0)</f>
        <v>0</v>
      </c>
    </row>
    <row r="376" spans="1:17">
      <c r="A376" s="32">
        <v>7</v>
      </c>
      <c r="B376" s="32" t="s">
        <v>82</v>
      </c>
      <c r="C376" s="201" t="s">
        <v>488</v>
      </c>
      <c r="E376" s="458"/>
      <c r="F376" s="458"/>
      <c r="G376" s="458"/>
      <c r="H376" s="457">
        <f>VLOOKUP(decScenario3PrimaryEndpoint,datatablePrimaryEPPTS,calcMatchFunc,FALSE)</f>
        <v>0</v>
      </c>
    </row>
    <row r="377" spans="1:17">
      <c r="A377" s="32">
        <v>4</v>
      </c>
      <c r="B377" s="32" t="s">
        <v>82</v>
      </c>
      <c r="C377" s="201" t="s">
        <v>487</v>
      </c>
      <c r="E377" s="458"/>
      <c r="F377" s="458"/>
      <c r="G377" s="458"/>
      <c r="H377" s="457">
        <f>VLOOKUP(decScenario3SecondaryEndpoint,datatableSecondaryEPPTS,calcMatchFunc,FALSE)</f>
        <v>0</v>
      </c>
    </row>
    <row r="378" spans="1:17">
      <c r="A378" s="32">
        <v>6</v>
      </c>
      <c r="B378" s="32" t="s">
        <v>81</v>
      </c>
      <c r="C378" s="201" t="s">
        <v>489</v>
      </c>
      <c r="E378" s="458"/>
      <c r="F378" s="458"/>
      <c r="G378" s="458"/>
      <c r="H378" s="457">
        <f>VLOOKUP(decScenario3Comparator,datatableComparatorPTS,calcMatchFunc,FALSE)</f>
        <v>0</v>
      </c>
    </row>
    <row r="379" spans="1:17">
      <c r="C379" s="200" t="s">
        <v>543</v>
      </c>
      <c r="E379" s="457">
        <f>SUM(E367:E378)</f>
        <v>0.9</v>
      </c>
      <c r="F379" s="457">
        <f>SUM(F367:F378)</f>
        <v>0.9</v>
      </c>
      <c r="G379" s="457">
        <f>SUM(G367:G378)</f>
        <v>0.37</v>
      </c>
      <c r="H379" s="457">
        <f>SUM(H367:H378)</f>
        <v>0.84499999999999997</v>
      </c>
    </row>
    <row r="380" spans="1:17">
      <c r="C380" s="200" t="s">
        <v>542</v>
      </c>
      <c r="E380" s="459">
        <f>tlInputScenario3ResearchPTS</f>
        <v>0</v>
      </c>
      <c r="F380" s="459">
        <f>tlInputScenario3Ph1PTS</f>
        <v>0</v>
      </c>
      <c r="G380" s="459">
        <f>tlInputScenario3Ph2PTS</f>
        <v>0</v>
      </c>
      <c r="H380" s="459">
        <f>tlInputScenario3Ph3PTS</f>
        <v>0</v>
      </c>
      <c r="I380" s="200" t="s">
        <v>669</v>
      </c>
      <c r="J380" s="200" t="s">
        <v>616</v>
      </c>
    </row>
    <row r="381" spans="1:17">
      <c r="C381" s="200" t="s">
        <v>541</v>
      </c>
      <c r="E381" s="460">
        <f>MIN(MAX(IF(calcAcquisitionTracker&lt;1,E379+E380,1),0),1)</f>
        <v>0.9</v>
      </c>
      <c r="F381" s="460">
        <f>MIN(MAX(IF(calcAcquisitionTracker&lt;2,F379+F380,1),0),1)</f>
        <v>0.9</v>
      </c>
      <c r="G381" s="460">
        <f>MIN(MAX(IF(calcAcquisitionTracker&lt;3,G379+G380,1),0),1)</f>
        <v>0.37</v>
      </c>
      <c r="H381" s="460">
        <f>MIN(MAX(IF(calcAcquisitionTracker&lt;4,H379+H380,1),0),1)</f>
        <v>0.84499999999999997</v>
      </c>
      <c r="I381" s="460">
        <f>decScenario3RegulatorySuccess</f>
        <v>0.9</v>
      </c>
      <c r="J381" s="460">
        <f>PRODUCT(E381:I381)</f>
        <v>0.22792184999999998</v>
      </c>
    </row>
    <row r="382" spans="1:17">
      <c r="E382" s="32" t="s">
        <v>1079</v>
      </c>
      <c r="F382" s="32" t="s">
        <v>1080</v>
      </c>
      <c r="G382" s="32" t="s">
        <v>1081</v>
      </c>
      <c r="H382" s="32" t="s">
        <v>1082</v>
      </c>
      <c r="I382" s="32" t="s">
        <v>1083</v>
      </c>
      <c r="J382" s="32" t="s">
        <v>1084</v>
      </c>
    </row>
    <row r="384" spans="1:17">
      <c r="A384" s="200" t="s">
        <v>559</v>
      </c>
    </row>
    <row r="385" spans="1:12">
      <c r="E385" s="32" t="s">
        <v>552</v>
      </c>
      <c r="F385" s="32" t="s">
        <v>470</v>
      </c>
      <c r="G385" s="32" t="s">
        <v>471</v>
      </c>
      <c r="H385" s="32" t="s">
        <v>472</v>
      </c>
      <c r="I385" s="32" t="s">
        <v>473</v>
      </c>
    </row>
    <row r="386" spans="1:12">
      <c r="A386" s="32" t="s">
        <v>553</v>
      </c>
      <c r="C386" s="200" t="s">
        <v>564</v>
      </c>
      <c r="E386" s="456"/>
      <c r="F386" s="456">
        <f>VLOOKUP(decPlanDiseaseArea,datatableBaselineSnM,2,FALSE)</f>
        <v>0.05</v>
      </c>
      <c r="G386" s="456">
        <f>VLOOKUP(decPlanDiseaseArea,datatableBaselineSnM,3,FALSE)</f>
        <v>0.04</v>
      </c>
      <c r="H386" s="456">
        <f>VLOOKUP(decPlanDiseaseArea,datatableBaselineSnM,4,FALSE)</f>
        <v>0.04</v>
      </c>
      <c r="I386" s="456">
        <f>VLOOKUP(decPlanDiseaseArea,datatableBaselineSnM,5,FALSE)</f>
        <v>0.06</v>
      </c>
    </row>
    <row r="387" spans="1:12">
      <c r="A387" s="32">
        <v>2</v>
      </c>
      <c r="C387" s="201" t="s">
        <v>513</v>
      </c>
      <c r="E387" s="456"/>
      <c r="F387" s="457">
        <f>IF(decScenario3AddIndication="No",0,VLOOKUP(decPlanDiseaseArea,datatablePrimaryEPSnM,2,FALSE))</f>
        <v>0</v>
      </c>
      <c r="G387" s="457">
        <f>IF(decScenario3AddIndication="No",0,VLOOKUP(decPlanDiseaseArea,datatablePrimaryEPSnM,3,FALSE))</f>
        <v>0</v>
      </c>
      <c r="H387" s="457">
        <f>IF(decScenario3AddIndication="No",0,VLOOKUP(decPlanDiseaseArea,datatablePrimaryEPSnM,4,FALSE))</f>
        <v>0</v>
      </c>
      <c r="I387" s="457">
        <f>IF(decScenario3AddIndication="No",0,VLOOKUP(decPlanDiseaseArea,datatablePrimaryEPSnM,5,FALSE))</f>
        <v>0</v>
      </c>
    </row>
    <row r="388" spans="1:12">
      <c r="A388" s="32">
        <v>2</v>
      </c>
      <c r="C388" s="201" t="s">
        <v>488</v>
      </c>
      <c r="E388" s="456"/>
      <c r="F388" s="457">
        <f>IF(decScenario3PrimaryEndpoint=1,0,VLOOKUP(decPlanDiseaseArea,datatablePrimaryEPSnM,2,FALSE))</f>
        <v>0</v>
      </c>
      <c r="G388" s="457">
        <f>IF(decScenario3PrimaryEndpoint=1,0,VLOOKUP(decPlanDiseaseArea,datatablePrimaryEPSnM,3,FALSE))</f>
        <v>0</v>
      </c>
      <c r="H388" s="457">
        <f>IF(decScenario3PrimaryEndpoint=1,0,VLOOKUP(decPlanDiseaseArea,datatablePrimaryEPSnM,4,FALSE))</f>
        <v>0</v>
      </c>
      <c r="I388" s="457">
        <f>IF(decScenario3PrimaryEndpoint=1,0,VLOOKUP(decPlanDiseaseArea,datatablePrimaryEPSnM,5,FALSE))</f>
        <v>0</v>
      </c>
    </row>
    <row r="389" spans="1:12">
      <c r="A389" s="32">
        <v>2</v>
      </c>
      <c r="C389" s="201" t="s">
        <v>487</v>
      </c>
      <c r="E389" s="456"/>
      <c r="F389" s="457">
        <f>IF(decScenario3SecondaryEndpoint=1,0,VLOOKUP(decPlanDiseaseArea,datatableSecondaryEPSnM,2,FALSE))</f>
        <v>0</v>
      </c>
      <c r="G389" s="457">
        <f>IF(decScenario3SecondaryEndpoint=1,0,VLOOKUP(decPlanDiseaseArea,datatableSecondaryEPSnM,3,FALSE))</f>
        <v>0</v>
      </c>
      <c r="H389" s="457">
        <f>IF(decScenario3SecondaryEndpoint=1,0,VLOOKUP(decPlanDiseaseArea,datatableSecondaryEPSnM,4,FALSE))</f>
        <v>0</v>
      </c>
      <c r="I389" s="457">
        <f>IF(decScenario3SecondaryEndpoint=1,0,VLOOKUP(decPlanDiseaseArea,datatableSecondaryEPSnM,5,FALSE))</f>
        <v>0</v>
      </c>
    </row>
    <row r="390" spans="1:12">
      <c r="A390" s="32">
        <v>3</v>
      </c>
      <c r="C390" s="201" t="s">
        <v>613</v>
      </c>
      <c r="E390" s="456"/>
      <c r="F390" s="457">
        <f>IF(decScenario3MAEffort="Early Stage",VLOOKUP(decPlanDiseaseArea,datatableMASnM,2,FALSE),0)</f>
        <v>0</v>
      </c>
      <c r="G390" s="457">
        <f>IF(decScenario3MAEffort="Early Stage",VLOOKUP(decPlanDiseaseArea,datatableMASnM,3,FALSE),0)</f>
        <v>0</v>
      </c>
      <c r="H390" s="457">
        <f>IF(decScenario3MAEffort="Early Stage",VLOOKUP(decPlanDiseaseArea,datatableMASnM,4,FALSE),0)</f>
        <v>0</v>
      </c>
      <c r="I390" s="457">
        <f>IF(decScenario3MAEffort="Early Stage",VLOOKUP(decPlanDiseaseArea,datatableMASnM,5,FALSE),0)</f>
        <v>0</v>
      </c>
    </row>
    <row r="391" spans="1:12">
      <c r="C391" s="200" t="s">
        <v>543</v>
      </c>
      <c r="E391" s="456"/>
      <c r="F391" s="456">
        <f t="shared" ref="F391:I391" si="45">SUM(F386:F390)</f>
        <v>0.05</v>
      </c>
      <c r="G391" s="456">
        <f t="shared" si="45"/>
        <v>0.04</v>
      </c>
      <c r="H391" s="456">
        <f t="shared" si="45"/>
        <v>0.04</v>
      </c>
      <c r="I391" s="456">
        <f t="shared" si="45"/>
        <v>0.06</v>
      </c>
    </row>
    <row r="392" spans="1:12">
      <c r="C392" s="200" t="s">
        <v>542</v>
      </c>
      <c r="E392" s="456"/>
      <c r="F392" s="459">
        <f>tlInputScenario3Region1SnM</f>
        <v>0</v>
      </c>
      <c r="G392" s="459">
        <f>tlInputScenario3Region2SnM</f>
        <v>0</v>
      </c>
      <c r="H392" s="459">
        <f>tlInputScenario3Region3SnM</f>
        <v>0</v>
      </c>
      <c r="I392" s="459">
        <f>tlInputScenario3Region4SnM</f>
        <v>0</v>
      </c>
    </row>
    <row r="393" spans="1:12">
      <c r="C393" s="200" t="s">
        <v>541</v>
      </c>
      <c r="E393" s="456">
        <f>SUM(F393:I393)/calcScenario3NumberofRegionsEntered</f>
        <v>0.05</v>
      </c>
      <c r="F393" s="457">
        <f>IF(decScenario3EnterRegion1,F391+F392,0)</f>
        <v>0.05</v>
      </c>
      <c r="G393" s="457">
        <f>IF(decScenario3EnterRegion2,G391+G392,0)</f>
        <v>0</v>
      </c>
      <c r="H393" s="457">
        <f>IF(decScenario3EnterRegion3,H391+H392,0)</f>
        <v>0</v>
      </c>
      <c r="I393" s="457">
        <f>IF(decScenario3EnterRegion4,I391+I392,0)</f>
        <v>0</v>
      </c>
    </row>
    <row r="394" spans="1:12">
      <c r="E394" s="32" t="s">
        <v>1085</v>
      </c>
      <c r="F394" s="32" t="s">
        <v>1086</v>
      </c>
      <c r="G394" s="32" t="s">
        <v>1087</v>
      </c>
      <c r="H394" s="32" t="s">
        <v>1088</v>
      </c>
      <c r="I394" s="32" t="s">
        <v>1089</v>
      </c>
    </row>
    <row r="396" spans="1:12">
      <c r="A396" s="200" t="s">
        <v>493</v>
      </c>
    </row>
    <row r="397" spans="1:12">
      <c r="E397" s="32" t="s">
        <v>552</v>
      </c>
      <c r="F397" s="32" t="s">
        <v>470</v>
      </c>
      <c r="G397" s="32" t="s">
        <v>471</v>
      </c>
      <c r="H397" s="32" t="s">
        <v>472</v>
      </c>
      <c r="I397" s="32" t="s">
        <v>473</v>
      </c>
    </row>
    <row r="398" spans="1:12">
      <c r="A398" s="32" t="s">
        <v>553</v>
      </c>
      <c r="C398" s="200" t="s">
        <v>564</v>
      </c>
      <c r="E398" s="472"/>
      <c r="F398" s="472">
        <f>VLOOKUP(decPlanDiseaseArea,datatableBaselinePenetration,2,FALSE)</f>
        <v>0.2</v>
      </c>
      <c r="G398" s="472">
        <f>VLOOKUP(decPlanDiseaseArea,datatableBaselinePenetration,3,FALSE)</f>
        <v>0.2</v>
      </c>
      <c r="H398" s="472">
        <f>VLOOKUP(decPlanDiseaseArea,datatableBaselinePenetration,4,FALSE)</f>
        <v>0.1</v>
      </c>
      <c r="I398" s="472">
        <f>VLOOKUP(decPlanDiseaseArea,datatableBaselinePenetration,5,FALSE)</f>
        <v>0.1</v>
      </c>
      <c r="K398" s="36" t="s">
        <v>1462</v>
      </c>
      <c r="L398" s="36"/>
    </row>
    <row r="399" spans="1:12">
      <c r="A399" s="32">
        <v>8</v>
      </c>
      <c r="C399" s="201" t="s">
        <v>488</v>
      </c>
      <c r="E399" s="472"/>
      <c r="F399" s="473">
        <f>IF(decScenario3PrimaryEndpoint=1,0,VLOOKUP(decPlanDiseaseArea,datatablePrimaryEPPenetration,2,FALSE))</f>
        <v>0</v>
      </c>
      <c r="G399" s="473">
        <f>IF(decScenario3PrimaryEndpoint=1,0,VLOOKUP(decPlanDiseaseArea,datatablePrimaryEPPenetration,3,FALSE))</f>
        <v>0</v>
      </c>
      <c r="H399" s="473">
        <f>IF(decScenario3PrimaryEndpoint=1,0,VLOOKUP(decPlanDiseaseArea,datatablePrimaryEPPenetration,4,FALSE))</f>
        <v>0</v>
      </c>
      <c r="I399" s="473">
        <f>IF(decScenario3PrimaryEndpoint=1,0,VLOOKUP(decPlanDiseaseArea,datatablePrimaryEPPenetration,5,FALSE))</f>
        <v>0</v>
      </c>
      <c r="K399" s="36" t="b">
        <f>decScenario3EnterRegion1</f>
        <v>1</v>
      </c>
      <c r="L399" s="36"/>
    </row>
    <row r="400" spans="1:12">
      <c r="A400" s="32">
        <v>6</v>
      </c>
      <c r="C400" s="201" t="s">
        <v>487</v>
      </c>
      <c r="E400" s="472"/>
      <c r="F400" s="473">
        <f>IF(decScenario3SecondaryEndpoint=1,0,VLOOKUP(decPlanDiseaseArea,datatableSecondaryEPPenetration,2,FALSE))</f>
        <v>0</v>
      </c>
      <c r="G400" s="473">
        <f>IF(decScenario3SecondaryEndpoint=1,0,VLOOKUP(decPlanDiseaseArea,datatableSecondaryEPPenetration,3,FALSE))</f>
        <v>0</v>
      </c>
      <c r="H400" s="473">
        <f>IF(decScenario3SecondaryEndpoint=1,0,VLOOKUP(decPlanDiseaseArea,datatableSecondaryEPPenetration,4,FALSE))</f>
        <v>0</v>
      </c>
      <c r="I400" s="473">
        <f>IF(decScenario3SecondaryEndpoint=1,0,VLOOKUP(decPlanDiseaseArea,datatableSecondaryEPPenetration,5,FALSE))</f>
        <v>0</v>
      </c>
      <c r="K400" s="36" t="b">
        <f>decScenario3EnterRegion2</f>
        <v>0</v>
      </c>
      <c r="L400" s="36"/>
    </row>
    <row r="401" spans="1:12">
      <c r="A401" s="32">
        <v>4</v>
      </c>
      <c r="C401" s="201" t="s">
        <v>613</v>
      </c>
      <c r="E401" s="472"/>
      <c r="F401" s="473">
        <f>IF(decScenario3MAEffort="Early Stage",VLOOKUP(decPlanDiseaseArea,datatableMAPenetration,2,FALSE),0)</f>
        <v>0</v>
      </c>
      <c r="G401" s="473">
        <f>IF(decScenario3MAEffort="Early Stage",VLOOKUP(decPlanDiseaseArea,datatableMAPenetration,3,FALSE),0)</f>
        <v>0</v>
      </c>
      <c r="H401" s="473">
        <f>IF(decScenario3MAEffort="Early Stage",VLOOKUP(decPlanDiseaseArea,datatableMAPenetration,4,FALSE),0)</f>
        <v>0</v>
      </c>
      <c r="I401" s="473">
        <f>IF(decScenario3MAEffort="Early Stage",VLOOKUP(decPlanDiseaseArea,datatableMAPenetration,5,FALSE),0)</f>
        <v>0</v>
      </c>
      <c r="K401" s="36" t="b">
        <f>decScenario3EnterRegion3</f>
        <v>0</v>
      </c>
      <c r="L401" s="36"/>
    </row>
    <row r="402" spans="1:12" ht="15" thickBot="1">
      <c r="C402" s="200" t="s">
        <v>543</v>
      </c>
      <c r="E402" s="472">
        <f>SUM(F402:I402)/calcScenario3NumberofRegionsEntered</f>
        <v>0.2</v>
      </c>
      <c r="F402" s="472">
        <f>IF(decScenario3EnterRegion1,SUM(F398:F401),0)</f>
        <v>0.2</v>
      </c>
      <c r="G402" s="472">
        <f>IF(decScenario3EnterRegion2,SUM(G398:G401),0)</f>
        <v>0</v>
      </c>
      <c r="H402" s="472">
        <f>IF(decScenario3EnterRegion3,SUM(H398:H401),0)</f>
        <v>0</v>
      </c>
      <c r="I402" s="472">
        <f>IF(decScenario3EnterRegion4,SUM(I398:I401),0)</f>
        <v>0</v>
      </c>
      <c r="K402" s="36" t="b">
        <f>decScenario3EnterRegion4</f>
        <v>0</v>
      </c>
      <c r="L402" s="36"/>
    </row>
    <row r="403" spans="1:12" ht="15" thickBot="1">
      <c r="C403" s="200" t="s">
        <v>542</v>
      </c>
      <c r="E403" s="474">
        <f>tlInputScenario3Penetration</f>
        <v>0</v>
      </c>
      <c r="F403" s="474"/>
      <c r="G403" s="474"/>
      <c r="H403" s="474"/>
      <c r="I403" s="474"/>
      <c r="K403" s="461">
        <f>COUNTIF(K399:K402,TRUE)</f>
        <v>1</v>
      </c>
      <c r="L403" s="36" t="s">
        <v>1465</v>
      </c>
    </row>
    <row r="404" spans="1:12">
      <c r="C404" s="200" t="s">
        <v>541</v>
      </c>
      <c r="E404" s="473">
        <f>E402+E403</f>
        <v>0.2</v>
      </c>
      <c r="F404" s="473">
        <f>IF(decScenario3EnterRegion1,F402+F403,0)</f>
        <v>0.2</v>
      </c>
      <c r="G404" s="473">
        <f>IF(decScenario3EnterRegion2,G402+G403,0)</f>
        <v>0</v>
      </c>
      <c r="H404" s="473">
        <f>IF(decScenario3EnterRegion3,H402+H403,0)</f>
        <v>0</v>
      </c>
      <c r="I404" s="473">
        <f>IF(decScenario3EnterRegion4,I402+I403,0)</f>
        <v>0</v>
      </c>
    </row>
    <row r="405" spans="1:12">
      <c r="E405" s="32" t="s">
        <v>1090</v>
      </c>
      <c r="F405" s="32" t="s">
        <v>1091</v>
      </c>
      <c r="G405" s="32" t="s">
        <v>1092</v>
      </c>
      <c r="H405" s="32" t="s">
        <v>1093</v>
      </c>
      <c r="I405" s="32" t="s">
        <v>1094</v>
      </c>
    </row>
    <row r="407" spans="1:12">
      <c r="A407" s="200" t="s">
        <v>494</v>
      </c>
    </row>
    <row r="408" spans="1:12">
      <c r="E408" s="32" t="s">
        <v>552</v>
      </c>
      <c r="F408" s="32" t="s">
        <v>470</v>
      </c>
      <c r="G408" s="32" t="s">
        <v>471</v>
      </c>
      <c r="H408" s="32" t="s">
        <v>472</v>
      </c>
      <c r="I408" s="32" t="s">
        <v>473</v>
      </c>
    </row>
    <row r="409" spans="1:12">
      <c r="C409" s="200" t="s">
        <v>564</v>
      </c>
      <c r="E409" s="456"/>
      <c r="F409" s="456">
        <f>VLOOKUP(decPlanDiseaseArea,datatableBaselineCompliance,2,FALSE)</f>
        <v>0.7</v>
      </c>
      <c r="G409" s="456">
        <f>VLOOKUP(decPlanDiseaseArea,datatableBaselineCompliance,3,FALSE)</f>
        <v>0.7</v>
      </c>
      <c r="H409" s="456">
        <f>VLOOKUP(decPlanDiseaseArea,datatableBaselineCompliance,4,FALSE)</f>
        <v>0.7</v>
      </c>
      <c r="I409" s="456">
        <f>VLOOKUP(decPlanDiseaseArea,datatableBaselineCompliance,5,FALSE)</f>
        <v>0.7</v>
      </c>
    </row>
    <row r="410" spans="1:12">
      <c r="C410" s="201" t="s">
        <v>563</v>
      </c>
      <c r="E410" s="456"/>
      <c r="F410" s="456">
        <f>VLOOKUP(decScenario3DDFrequency,datatableDosageCompliance,2,FALSE)</f>
        <v>0</v>
      </c>
      <c r="G410" s="456">
        <f>VLOOKUP(decScenario3DDFrequency,datatableDosageCompliance,3,FALSE)</f>
        <v>0</v>
      </c>
      <c r="H410" s="456">
        <f>VLOOKUP(decScenario3DDFrequency,datatableDosageCompliance,4,FALSE)</f>
        <v>0</v>
      </c>
      <c r="I410" s="456">
        <f>VLOOKUP(decScenario3DDFrequency,datatableDosageCompliance,5,FALSE)</f>
        <v>0</v>
      </c>
    </row>
    <row r="411" spans="1:12">
      <c r="C411" s="200" t="s">
        <v>543</v>
      </c>
      <c r="E411" s="456">
        <f>SUM(F411:I411)/calcScenario3NumberofRegionsEntered</f>
        <v>0.7</v>
      </c>
      <c r="F411" s="456">
        <f>IF(decScenario3EnterRegion1,SUM(F409:F410),0)</f>
        <v>0.7</v>
      </c>
      <c r="G411" s="456">
        <f>IF(decScenario3EnterRegion2,SUM(G409:G410),0)</f>
        <v>0</v>
      </c>
      <c r="H411" s="456">
        <f>IF(decScenario3EnterRegion3,SUM(H409:H410),0)</f>
        <v>0</v>
      </c>
      <c r="I411" s="456">
        <f>IF(decScenario3EnterRegion4,SUM(I409:I410),0)</f>
        <v>0</v>
      </c>
    </row>
    <row r="412" spans="1:12">
      <c r="C412" s="200" t="s">
        <v>542</v>
      </c>
      <c r="E412" s="459">
        <f>tlInputScenario3Compliance</f>
        <v>0</v>
      </c>
      <c r="F412" s="459"/>
      <c r="G412" s="459"/>
      <c r="H412" s="459"/>
      <c r="I412" s="459"/>
    </row>
    <row r="413" spans="1:12">
      <c r="C413" s="200" t="s">
        <v>541</v>
      </c>
      <c r="E413" s="457">
        <f>E411+E412</f>
        <v>0.7</v>
      </c>
      <c r="F413" s="457">
        <f>IF(decScenario3EnterRegion1,F411+F412,0)</f>
        <v>0.7</v>
      </c>
      <c r="G413" s="457">
        <f>IF(decScenario3EnterRegion2,G411+G412,0)</f>
        <v>0</v>
      </c>
      <c r="H413" s="457">
        <f>IF(decScenario3EnterRegion3,H411+H412,0)</f>
        <v>0</v>
      </c>
      <c r="I413" s="457">
        <f>IF(decScenario3EnterRegion4,I411+I412,0)</f>
        <v>0</v>
      </c>
    </row>
    <row r="414" spans="1:12">
      <c r="E414" s="32" t="s">
        <v>1095</v>
      </c>
      <c r="F414" s="32" t="s">
        <v>1096</v>
      </c>
      <c r="G414" s="32" t="s">
        <v>1097</v>
      </c>
      <c r="H414" s="32" t="s">
        <v>1098</v>
      </c>
      <c r="I414" s="32" t="s">
        <v>1099</v>
      </c>
    </row>
    <row r="416" spans="1:12">
      <c r="A416" s="200" t="s">
        <v>1038</v>
      </c>
    </row>
    <row r="417" spans="1:9">
      <c r="E417" s="32" t="s">
        <v>552</v>
      </c>
      <c r="F417" s="32" t="s">
        <v>470</v>
      </c>
      <c r="G417" s="32" t="s">
        <v>471</v>
      </c>
      <c r="H417" s="32" t="s">
        <v>472</v>
      </c>
      <c r="I417" s="32" t="s">
        <v>473</v>
      </c>
    </row>
    <row r="418" spans="1:9">
      <c r="A418" s="32" t="s">
        <v>553</v>
      </c>
      <c r="C418" s="200" t="s">
        <v>564</v>
      </c>
      <c r="E418" s="476"/>
      <c r="F418" s="476">
        <f>VLOOKUP(decPlanDiseaseArea,datatableBaselinePrice,2,FALSE)</f>
        <v>183.6</v>
      </c>
      <c r="G418" s="476">
        <f>VLOOKUP(decPlanDiseaseArea,datatableBaselinePrice,3,FALSE)</f>
        <v>225</v>
      </c>
      <c r="H418" s="476">
        <f>VLOOKUP(decPlanDiseaseArea,datatableBaselinePrice,4,FALSE)</f>
        <v>108</v>
      </c>
      <c r="I418" s="477">
        <f>VLOOKUP(decPlanDiseaseArea,datatableBaselinePrice,5,FALSE)</f>
        <v>810</v>
      </c>
    </row>
    <row r="419" spans="1:9">
      <c r="A419" s="32">
        <v>7</v>
      </c>
      <c r="B419" s="32" t="s">
        <v>81</v>
      </c>
      <c r="C419" s="201" t="s">
        <v>563</v>
      </c>
      <c r="E419" s="456"/>
      <c r="F419" s="456">
        <f>VLOOKUP(decScenario3DDFrequency,datatableDosagePrice,2,FALSE)</f>
        <v>0</v>
      </c>
      <c r="G419" s="456">
        <f>VLOOKUP(decScenario3DDFrequency,datatableDosagePrice,3,FALSE)</f>
        <v>0</v>
      </c>
      <c r="H419" s="456">
        <f>VLOOKUP(decScenario3DDFrequency,datatableDosagePrice,4,FALSE)</f>
        <v>0</v>
      </c>
      <c r="I419" s="456">
        <f>VLOOKUP(decScenario3DDFrequency,datatableDosagePrice,5,FALSE)</f>
        <v>0</v>
      </c>
    </row>
    <row r="420" spans="1:9">
      <c r="A420" s="32">
        <v>10</v>
      </c>
      <c r="B420" s="32" t="s">
        <v>81</v>
      </c>
      <c r="C420" s="201" t="s">
        <v>488</v>
      </c>
      <c r="E420" s="456"/>
      <c r="F420" s="456">
        <f>IF(decScenario3PrimaryEndpoint=1,0,VLOOKUP(decPlanDiseaseArea,datatablePrimaryEPPrice,2,FALSE))</f>
        <v>0</v>
      </c>
      <c r="G420" s="456">
        <f>IF(decScenario3PrimaryEndpoint=1,0,VLOOKUP(decPlanDiseaseArea,datatablePrimaryEPPrice,3,FALSE))</f>
        <v>0</v>
      </c>
      <c r="H420" s="456">
        <f>IF(decScenario3PrimaryEndpoint=1,0,VLOOKUP(decPlanDiseaseArea,datatablePrimaryEPPrice,4,FALSE))</f>
        <v>0</v>
      </c>
      <c r="I420" s="457">
        <f>IF(decScenario3PrimaryEndpoint=1,0,VLOOKUP(decPlanDiseaseArea,datatablePrimaryEPPrice,5,FALSE))</f>
        <v>0</v>
      </c>
    </row>
    <row r="421" spans="1:9">
      <c r="A421" s="32">
        <v>5</v>
      </c>
      <c r="B421" s="32" t="s">
        <v>81</v>
      </c>
      <c r="C421" s="201" t="s">
        <v>487</v>
      </c>
      <c r="E421" s="456"/>
      <c r="F421" s="456">
        <f>IF(decScenario3SecondaryEndpoint=1,0,VLOOKUP(decPlanDiseaseArea,datatableSecondaryEPPrice,2,FALSE))</f>
        <v>0</v>
      </c>
      <c r="G421" s="456">
        <f>IF(decScenario3SecondaryEndpoint=1,0,VLOOKUP(decPlanDiseaseArea,datatableSecondaryEPPrice,3,FALSE))</f>
        <v>0</v>
      </c>
      <c r="H421" s="456">
        <f>IF(decScenario3SecondaryEndpoint=1,0,VLOOKUP(decPlanDiseaseArea,datatableSecondaryEPPrice,4,FALSE))</f>
        <v>0</v>
      </c>
      <c r="I421" s="457">
        <f>IF(decScenario3SecondaryEndpoint=1,0,VLOOKUP(decPlanDiseaseArea,datatableSecondaryEPPrice,5,FALSE))</f>
        <v>0</v>
      </c>
    </row>
    <row r="422" spans="1:9">
      <c r="A422" s="32">
        <v>4</v>
      </c>
      <c r="C422" s="201" t="s">
        <v>613</v>
      </c>
      <c r="E422" s="456"/>
      <c r="F422" s="456">
        <f>IF(decScenario3MAEffort="Early Stage",VLOOKUP(decPlanDiseaseArea,datatableMAPrice,2,FALSE),0)</f>
        <v>0</v>
      </c>
      <c r="G422" s="456">
        <f>IF(decScenario3MAEffort="Early Stage",VLOOKUP(decPlanDiseaseArea,datatableMAPrice,3,FALSE),0)</f>
        <v>0</v>
      </c>
      <c r="H422" s="457">
        <f>IF(decScenario3MAEffort="Early Stage",VLOOKUP(decPlanDiseaseArea,datatableMAPrice,4,FALSE),0)</f>
        <v>0</v>
      </c>
      <c r="I422" s="457">
        <f>IF(decScenario3MAEffort="Early Stage",VLOOKUP(decPlanDiseaseArea,datatableMAPrice,5,FALSE),0)</f>
        <v>0</v>
      </c>
    </row>
    <row r="423" spans="1:9">
      <c r="C423" s="200" t="s">
        <v>543</v>
      </c>
      <c r="E423" s="476"/>
      <c r="F423" s="476">
        <f>(1+SUM(F419:F422))*F418</f>
        <v>183.6</v>
      </c>
      <c r="G423" s="476">
        <f t="shared" ref="G423:I423" si="46">(1+SUM(G419:G422))*G418</f>
        <v>225</v>
      </c>
      <c r="H423" s="476">
        <f t="shared" si="46"/>
        <v>108</v>
      </c>
      <c r="I423" s="476">
        <f t="shared" si="46"/>
        <v>810</v>
      </c>
    </row>
    <row r="424" spans="1:9">
      <c r="C424" s="200" t="s">
        <v>542</v>
      </c>
      <c r="E424" s="478"/>
      <c r="F424" s="478">
        <f>tlInputScenario3PriceRegion1</f>
        <v>0</v>
      </c>
      <c r="G424" s="478">
        <f>tlInputScenario3PriceRegion2</f>
        <v>0</v>
      </c>
      <c r="H424" s="478">
        <f>tlInputScenario3PriceRegion3</f>
        <v>0</v>
      </c>
      <c r="I424" s="478">
        <f>tlInputScenario3PriceRegion4</f>
        <v>0</v>
      </c>
    </row>
    <row r="425" spans="1:9">
      <c r="C425" s="200" t="s">
        <v>541</v>
      </c>
      <c r="E425" s="477">
        <f>SUM(F425:I425)/calcScenario3NumberofRegionsEntered</f>
        <v>183.6</v>
      </c>
      <c r="F425" s="477">
        <f>IF(decScenario3EnterRegion1,F423+F424,0)</f>
        <v>183.6</v>
      </c>
      <c r="G425" s="477">
        <f>IF(decScenario3EnterRegion2,G423+G424,0)</f>
        <v>0</v>
      </c>
      <c r="H425" s="477">
        <f>IF(decScenario3EnterRegion3,H423+H424,0)</f>
        <v>0</v>
      </c>
      <c r="I425" s="477">
        <f>IF(decScenario3EnterRegion4,I423+I424,0)</f>
        <v>0</v>
      </c>
    </row>
    <row r="426" spans="1:9">
      <c r="E426" s="32" t="s">
        <v>1100</v>
      </c>
      <c r="F426" s="32" t="s">
        <v>1101</v>
      </c>
      <c r="G426" s="32" t="s">
        <v>1102</v>
      </c>
      <c r="H426" s="32" t="s">
        <v>1103</v>
      </c>
      <c r="I426" s="32" t="s">
        <v>1104</v>
      </c>
    </row>
    <row r="428" spans="1:9">
      <c r="A428" s="200" t="s">
        <v>485</v>
      </c>
    </row>
    <row r="429" spans="1:9">
      <c r="E429" s="32" t="s">
        <v>552</v>
      </c>
      <c r="F429" s="32" t="s">
        <v>470</v>
      </c>
      <c r="G429" s="32" t="s">
        <v>471</v>
      </c>
      <c r="H429" s="32" t="s">
        <v>472</v>
      </c>
      <c r="I429" s="32" t="s">
        <v>473</v>
      </c>
    </row>
    <row r="430" spans="1:9">
      <c r="A430" s="32" t="s">
        <v>553</v>
      </c>
      <c r="C430" s="200" t="s">
        <v>564</v>
      </c>
      <c r="E430" s="456">
        <f>AVERAGE(F430:I430)</f>
        <v>0.1</v>
      </c>
      <c r="F430" s="456">
        <f>VLOOKUP(decPlanDiseaseArea,datatableBaselineDiscount,2,FALSE)</f>
        <v>0.1</v>
      </c>
      <c r="G430" s="456">
        <f>VLOOKUP(decPlanDiseaseArea,datatableBaselineDiscount,3,FALSE)</f>
        <v>0.1</v>
      </c>
      <c r="H430" s="456">
        <f>VLOOKUP(decPlanDiseaseArea,datatableBaselineDiscount,4,FALSE)</f>
        <v>0.1</v>
      </c>
      <c r="I430" s="456">
        <f>VLOOKUP(decPlanDiseaseArea,datatableBaselineDiscount,5,FALSE)</f>
        <v>0.1</v>
      </c>
    </row>
    <row r="431" spans="1:9">
      <c r="C431" s="200" t="s">
        <v>543</v>
      </c>
      <c r="E431" s="456">
        <f>SUM(F431:I431)/calcScenario3NumberofRegionsEntered</f>
        <v>0.1</v>
      </c>
      <c r="F431" s="456">
        <f>IF(decScenario3EnterRegion1,SUM(F430),0)</f>
        <v>0.1</v>
      </c>
      <c r="G431" s="456">
        <f>IF(decScenario3EnterRegion2,SUM(G430),0)</f>
        <v>0</v>
      </c>
      <c r="H431" s="456">
        <f>IF(decScenario3EnterRegion3,SUM(H430),0)</f>
        <v>0</v>
      </c>
      <c r="I431" s="456">
        <f>IF(decScenario3EnterRegion4,SUM(I430),0)</f>
        <v>0</v>
      </c>
    </row>
    <row r="432" spans="1:9">
      <c r="C432" s="200" t="s">
        <v>542</v>
      </c>
      <c r="E432" s="459">
        <f>tlInputScenario3DiscountRate</f>
        <v>0</v>
      </c>
      <c r="F432" s="459"/>
      <c r="G432" s="459"/>
      <c r="H432" s="459"/>
      <c r="I432" s="459"/>
    </row>
    <row r="433" spans="1:9">
      <c r="C433" s="200" t="s">
        <v>541</v>
      </c>
      <c r="E433" s="457">
        <f>E431+E432</f>
        <v>0.1</v>
      </c>
      <c r="F433" s="457">
        <f>IF(decScenario3EnterRegion1,F431+F432,0)</f>
        <v>0.1</v>
      </c>
      <c r="G433" s="457">
        <f>IF(decScenario3EnterRegion2,G431+G432,0)</f>
        <v>0</v>
      </c>
      <c r="H433" s="457">
        <f>IF(decScenario3EnterRegion3,H431+H432,0)</f>
        <v>0</v>
      </c>
      <c r="I433" s="457">
        <f>IF(decScenario3EnterRegion4,I431+I432,0)</f>
        <v>0</v>
      </c>
    </row>
    <row r="434" spans="1:9">
      <c r="E434" s="32" t="s">
        <v>1105</v>
      </c>
      <c r="F434" s="32" t="s">
        <v>1106</v>
      </c>
      <c r="G434" s="32" t="s">
        <v>1107</v>
      </c>
      <c r="H434" s="32" t="s">
        <v>1108</v>
      </c>
      <c r="I434" s="32" t="s">
        <v>1109</v>
      </c>
    </row>
    <row r="436" spans="1:9">
      <c r="A436" s="200" t="s">
        <v>558</v>
      </c>
    </row>
    <row r="437" spans="1:9">
      <c r="E437" s="32" t="s">
        <v>552</v>
      </c>
      <c r="F437" s="32" t="s">
        <v>470</v>
      </c>
      <c r="G437" s="32" t="s">
        <v>471</v>
      </c>
      <c r="H437" s="32" t="s">
        <v>472</v>
      </c>
      <c r="I437" s="32" t="s">
        <v>473</v>
      </c>
    </row>
    <row r="438" spans="1:9">
      <c r="A438" s="32" t="s">
        <v>553</v>
      </c>
      <c r="C438" s="200" t="s">
        <v>564</v>
      </c>
      <c r="E438" s="476">
        <f>AVERAGE(F438:I438)</f>
        <v>18.36</v>
      </c>
      <c r="F438" s="476">
        <f>VLOOKUP(decPlanDiseaseArea,datatableBaselineCOGS,2,FALSE)</f>
        <v>18.36</v>
      </c>
      <c r="G438" s="476">
        <f>VLOOKUP(decPlanDiseaseArea,datatableBaselineCOGS,3,FALSE)</f>
        <v>18.36</v>
      </c>
      <c r="H438" s="476">
        <f>VLOOKUP(decPlanDiseaseArea,datatableBaselineCOGS,4,FALSE)</f>
        <v>18.36</v>
      </c>
      <c r="I438" s="476">
        <f>VLOOKUP(decPlanDiseaseArea,datatableBaselineCOGS,5,FALSE)</f>
        <v>18.36</v>
      </c>
    </row>
    <row r="439" spans="1:9">
      <c r="B439" s="32" t="s">
        <v>81</v>
      </c>
      <c r="C439" s="201" t="s">
        <v>563</v>
      </c>
      <c r="E439" s="476">
        <f t="shared" ref="E439:E440" si="47">AVERAGE(F439:I439)</f>
        <v>0</v>
      </c>
      <c r="F439" s="476">
        <f>VLOOKUP(decScenario3DDFrequency,datatableDosageCOGS,2,FALSE)*F438</f>
        <v>0</v>
      </c>
      <c r="G439" s="476">
        <f>VLOOKUP(decScenario3DDFrequency,datatableDosageCOGS,2,FALSE)*G438</f>
        <v>0</v>
      </c>
      <c r="H439" s="476">
        <f>VLOOKUP(decScenario3DDFrequency,datatableDosageCOGS,2,FALSE)*H438</f>
        <v>0</v>
      </c>
      <c r="I439" s="476">
        <f>VLOOKUP(decScenario3DDFrequency,datatableDosageCOGS,2,FALSE)*I438</f>
        <v>0</v>
      </c>
    </row>
    <row r="440" spans="1:9">
      <c r="C440" s="201" t="s">
        <v>587</v>
      </c>
      <c r="E440" s="476">
        <f t="shared" si="47"/>
        <v>0</v>
      </c>
      <c r="F440" s="477">
        <f>IF(VLOOKUP(decPlanDiseaseArea,datatableFormulationAdminDefault,2,FALSE)=decScenario3Administration,0,VLOOKUP(decScenario3Administration,datatableFormulationCOGS,calcMatchFunc,FALSE))</f>
        <v>0</v>
      </c>
      <c r="G440" s="477">
        <f>IF(VLOOKUP(decPlanDiseaseArea,datatableFormulationAdminDefault,2,FALSE)=decScenario3Administration,0,VLOOKUP(decScenario3Administration,datatableFormulationCOGS,calcMatchFunc,FALSE))</f>
        <v>0</v>
      </c>
      <c r="H440" s="477">
        <f>IF(VLOOKUP(decPlanDiseaseArea,datatableFormulationAdminDefault,2,FALSE)=decScenario3Administration,0,VLOOKUP(decScenario3Administration,datatableFormulationCOGS,calcMatchFunc,FALSE))</f>
        <v>0</v>
      </c>
      <c r="I440" s="477">
        <f>IF(VLOOKUP(decPlanDiseaseArea,datatableFormulationAdminDefault,2,FALSE)=decScenario3Administration,0,VLOOKUP(decScenario3Administration,datatableFormulationCOGS,calcMatchFunc,FALSE))</f>
        <v>0</v>
      </c>
    </row>
    <row r="441" spans="1:9">
      <c r="C441" s="200" t="s">
        <v>543</v>
      </c>
      <c r="E441" s="476">
        <f>SUM(F441:I441)/calcScenario3NumberofRegionsEntered</f>
        <v>73.44</v>
      </c>
      <c r="F441" s="476">
        <f>IF(decScenario3EnterRegion1,SUM(F438:F440),0)</f>
        <v>18.36</v>
      </c>
      <c r="G441" s="476">
        <f>IF(decScenario3EnterRegion1,SUM(G438:G440),0)</f>
        <v>18.36</v>
      </c>
      <c r="H441" s="476">
        <f>IF(decScenario3EnterRegion1,SUM(H438:H440),0)</f>
        <v>18.36</v>
      </c>
      <c r="I441" s="476">
        <f>IF(decScenario3EnterRegion1,SUM(I438:I440),0)</f>
        <v>18.36</v>
      </c>
    </row>
    <row r="442" spans="1:9">
      <c r="C442" s="200" t="s">
        <v>542</v>
      </c>
      <c r="E442" s="478">
        <f>tlInputScenario3COGS</f>
        <v>0</v>
      </c>
      <c r="F442" s="478"/>
      <c r="G442" s="478"/>
      <c r="H442" s="478"/>
      <c r="I442" s="478"/>
    </row>
    <row r="443" spans="1:9">
      <c r="C443" s="200" t="s">
        <v>541</v>
      </c>
      <c r="E443" s="477">
        <f>E441+E442</f>
        <v>73.44</v>
      </c>
      <c r="F443" s="477">
        <f>IF(decScenario3EnterRegion1,F441+F442,0)</f>
        <v>18.36</v>
      </c>
      <c r="G443" s="477">
        <f>IF(decScenario3EnterRegion2,G441+G442,0)</f>
        <v>0</v>
      </c>
      <c r="H443" s="477">
        <f>IF(decScenario3EnterRegion3,H441+H442,0)</f>
        <v>0</v>
      </c>
      <c r="I443" s="477">
        <f>IF(decScenario3EnterRegion4,I441+I442,0)</f>
        <v>0</v>
      </c>
    </row>
    <row r="444" spans="1:9">
      <c r="E444" s="32" t="s">
        <v>1110</v>
      </c>
      <c r="F444" s="32" t="s">
        <v>1111</v>
      </c>
      <c r="G444" s="32" t="s">
        <v>1112</v>
      </c>
      <c r="H444" s="32" t="s">
        <v>1113</v>
      </c>
      <c r="I444" s="32" t="s">
        <v>1114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1"/>
  </sheetPr>
  <dimension ref="A1:AQ402"/>
  <sheetViews>
    <sheetView workbookViewId="0">
      <selection activeCell="B25" sqref="B25"/>
    </sheetView>
  </sheetViews>
  <sheetFormatPr defaultRowHeight="14.25"/>
  <cols>
    <col min="1" max="1" width="1.69921875" customWidth="1"/>
    <col min="2" max="2" width="23.69921875" customWidth="1"/>
    <col min="3" max="3" width="7.09765625" customWidth="1"/>
    <col min="4" max="4" width="14.296875" customWidth="1"/>
    <col min="5" max="5" width="12.69921875" style="26" customWidth="1"/>
    <col min="6" max="6" width="15" style="26" customWidth="1"/>
    <col min="7" max="7" width="13.69921875" style="26" customWidth="1"/>
    <col min="8" max="9" width="12.69921875" style="26" customWidth="1"/>
    <col min="10" max="14" width="13.8984375" bestFit="1" customWidth="1"/>
    <col min="17" max="17" width="16.19921875" customWidth="1"/>
    <col min="18" max="21" width="14.8984375" customWidth="1"/>
    <col min="22" max="22" width="11.296875" bestFit="1" customWidth="1"/>
    <col min="24" max="24" width="13.8984375" bestFit="1" customWidth="1"/>
  </cols>
  <sheetData>
    <row r="1" spans="1:14" s="18" customFormat="1">
      <c r="A1" s="18" t="s">
        <v>266</v>
      </c>
      <c r="E1" s="22"/>
      <c r="F1" s="22"/>
      <c r="G1" s="22"/>
      <c r="H1" s="22"/>
      <c r="I1" s="22"/>
    </row>
    <row r="3" spans="1:14" s="1" customFormat="1">
      <c r="A3" s="525" t="s">
        <v>509</v>
      </c>
      <c r="E3" s="17"/>
      <c r="F3" s="17"/>
      <c r="G3" s="17"/>
      <c r="H3" s="17"/>
      <c r="I3" s="17"/>
    </row>
    <row r="4" spans="1:14" ht="15" thickBot="1">
      <c r="A4" s="27" t="s">
        <v>470</v>
      </c>
    </row>
    <row r="5" spans="1:14" ht="15" thickBot="1">
      <c r="B5" t="s">
        <v>519</v>
      </c>
      <c r="C5" s="487" t="b">
        <f>decScenario1EnterRegion1</f>
        <v>1</v>
      </c>
      <c r="E5" t="s">
        <v>1378</v>
      </c>
    </row>
    <row r="6" spans="1:14" ht="15" thickBot="1">
      <c r="B6" t="s">
        <v>1384</v>
      </c>
      <c r="C6" s="499">
        <v>0</v>
      </c>
      <c r="D6" s="490" t="s">
        <v>1379</v>
      </c>
      <c r="E6" s="492">
        <f>calcScenario1AveragePenetration</f>
        <v>0.2</v>
      </c>
    </row>
    <row r="7" spans="1:14" ht="15" thickBot="1">
      <c r="B7" t="s">
        <v>474</v>
      </c>
      <c r="C7" s="489">
        <f>decScenario1PeakMSRegion1</f>
        <v>0.1</v>
      </c>
      <c r="D7" s="490" t="s">
        <v>1380</v>
      </c>
      <c r="E7" s="492">
        <v>0.5</v>
      </c>
    </row>
    <row r="8" spans="1:14" ht="15" thickBot="1">
      <c r="B8" t="s">
        <v>1376</v>
      </c>
      <c r="C8" s="489">
        <f>calcScenario1AverageCompliance</f>
        <v>0.7</v>
      </c>
      <c r="D8" s="490" t="s">
        <v>1381</v>
      </c>
      <c r="E8" s="492">
        <v>1</v>
      </c>
    </row>
    <row r="9" spans="1:14" ht="15" thickBot="1">
      <c r="B9" t="s">
        <v>1377</v>
      </c>
      <c r="C9" s="489">
        <v>-0.02</v>
      </c>
      <c r="D9" s="560" t="s">
        <v>1493</v>
      </c>
      <c r="E9" s="558">
        <v>0.5</v>
      </c>
      <c r="F9" s="490" t="s">
        <v>1492</v>
      </c>
      <c r="G9" s="561">
        <f>INDEX(E16:N16,E10)</f>
        <v>1000000</v>
      </c>
    </row>
    <row r="10" spans="1:14" ht="15" thickBot="1">
      <c r="B10" t="s">
        <v>1388</v>
      </c>
      <c r="C10" s="507">
        <f>1-calcScenario1AverageDiscount</f>
        <v>0.9</v>
      </c>
      <c r="D10" s="560" t="s">
        <v>1491</v>
      </c>
      <c r="E10" s="559">
        <f>MAX(IF(decPlanLOEDate&lt;=Fin!E15,0,F10),1)</f>
        <v>10</v>
      </c>
      <c r="F10" s="559">
        <f>IFERROR(MATCH(decPlanLOEDate,E15:N15,0),0)</f>
        <v>10</v>
      </c>
    </row>
    <row r="11" spans="1:14">
      <c r="E11" t="b">
        <f>decPlanLOEDate&lt;=Fin!E15</f>
        <v>0</v>
      </c>
      <c r="F11" t="b">
        <f>decPlanLOEDate&lt;=Fin!F15</f>
        <v>0</v>
      </c>
      <c r="G11" t="b">
        <f>decPlanLOEDate&lt;=Fin!G15</f>
        <v>0</v>
      </c>
      <c r="H11" t="b">
        <f>decPlanLOEDate&lt;=Fin!H15</f>
        <v>0</v>
      </c>
      <c r="I11" t="b">
        <f>decPlanLOEDate&lt;=Fin!I15</f>
        <v>0</v>
      </c>
      <c r="J11" t="b">
        <f>decPlanLOEDate&lt;=Fin!J15</f>
        <v>0</v>
      </c>
      <c r="K11" t="b">
        <f>decPlanLOEDate&lt;=Fin!K15</f>
        <v>0</v>
      </c>
      <c r="L11" t="b">
        <f>decPlanLOEDate&lt;=Fin!L15</f>
        <v>0</v>
      </c>
      <c r="M11" t="b">
        <f>decPlanLOEDate&lt;=Fin!M15</f>
        <v>0</v>
      </c>
      <c r="N11" t="b">
        <f>decPlanLOEDate&lt;=Fin!N15</f>
        <v>1</v>
      </c>
    </row>
    <row r="12" spans="1:14">
      <c r="E12">
        <f>($E$7^(E15-$D$15))</f>
        <v>0.5</v>
      </c>
      <c r="F12">
        <f t="shared" ref="F12:N12" si="0">($E$7^(F15-$D$15))</f>
        <v>0.25</v>
      </c>
      <c r="G12">
        <f t="shared" si="0"/>
        <v>0.125</v>
      </c>
      <c r="H12">
        <f t="shared" si="0"/>
        <v>6.25E-2</v>
      </c>
      <c r="I12">
        <f t="shared" si="0"/>
        <v>3.125E-2</v>
      </c>
      <c r="J12">
        <f t="shared" si="0"/>
        <v>1.5625E-2</v>
      </c>
      <c r="K12">
        <f t="shared" si="0"/>
        <v>7.8125E-3</v>
      </c>
      <c r="L12">
        <f t="shared" si="0"/>
        <v>3.90625E-3</v>
      </c>
      <c r="M12">
        <f t="shared" si="0"/>
        <v>1.953125E-3</v>
      </c>
      <c r="N12">
        <f t="shared" si="0"/>
        <v>9.765625E-4</v>
      </c>
    </row>
    <row r="13" spans="1:14">
      <c r="E13" s="516">
        <f>(($G9*$C7*($E$8*$E$6^(E12)))*$C8)*$C5*$E9</f>
        <v>15652.475842498527</v>
      </c>
      <c r="F13" s="516">
        <f t="shared" ref="F13:N13" si="1">(($G9*$C7*($E$8*$E$6^(F12)))*$C8)*$C5*$E9</f>
        <v>23405.910674174771</v>
      </c>
      <c r="G13" s="516">
        <f t="shared" si="1"/>
        <v>28621.79018852799</v>
      </c>
      <c r="H13" s="516">
        <f t="shared" si="1"/>
        <v>31650.6343790844</v>
      </c>
      <c r="I13" s="516">
        <f t="shared" si="1"/>
        <v>33283.212033515549</v>
      </c>
      <c r="J13" s="516">
        <f t="shared" si="1"/>
        <v>34130.813368172814</v>
      </c>
      <c r="K13" s="516">
        <f t="shared" si="1"/>
        <v>34562.674489773628</v>
      </c>
      <c r="L13" s="516">
        <f t="shared" si="1"/>
        <v>34780.649895338021</v>
      </c>
      <c r="M13" s="516">
        <f t="shared" si="1"/>
        <v>34890.152569698381</v>
      </c>
      <c r="N13" s="516">
        <f t="shared" si="1"/>
        <v>34945.033122597597</v>
      </c>
    </row>
    <row r="14" spans="1:14">
      <c r="E14" s="516">
        <f>((E16*$C7*($E$8*$E$6^(E12)))*$C8)</f>
        <v>31304.951684997053</v>
      </c>
      <c r="F14" s="516">
        <f t="shared" ref="F14:N14" si="2">((F16*$C7*($E$8*$E$6^(F12)))*$C8)</f>
        <v>46811.821348349542</v>
      </c>
      <c r="G14" s="516">
        <f t="shared" si="2"/>
        <v>57243.58037705598</v>
      </c>
      <c r="H14" s="516">
        <f t="shared" si="2"/>
        <v>63301.268758168801</v>
      </c>
      <c r="I14" s="516">
        <f t="shared" si="2"/>
        <v>66566.424067031097</v>
      </c>
      <c r="J14" s="516">
        <f t="shared" si="2"/>
        <v>68261.626736345628</v>
      </c>
      <c r="K14" s="516">
        <f t="shared" si="2"/>
        <v>69125.348979547256</v>
      </c>
      <c r="L14" s="516">
        <f t="shared" si="2"/>
        <v>69561.299790676043</v>
      </c>
      <c r="M14" s="516">
        <f t="shared" si="2"/>
        <v>69780.305139396762</v>
      </c>
      <c r="N14" s="516">
        <f t="shared" si="2"/>
        <v>69890.066245195194</v>
      </c>
    </row>
    <row r="15" spans="1:14">
      <c r="B15" s="490" t="s">
        <v>1387</v>
      </c>
      <c r="D15">
        <f>E15-1</f>
        <v>2020</v>
      </c>
      <c r="E15" s="529">
        <f>ROUND(finScenario1LaunchDate,0)</f>
        <v>2021</v>
      </c>
      <c r="F15" s="26">
        <f>E15+1</f>
        <v>2022</v>
      </c>
      <c r="G15" s="26">
        <f t="shared" ref="G15:N15" si="3">F15+1</f>
        <v>2023</v>
      </c>
      <c r="H15" s="26">
        <f t="shared" si="3"/>
        <v>2024</v>
      </c>
      <c r="I15" s="26">
        <f t="shared" si="3"/>
        <v>2025</v>
      </c>
      <c r="J15" s="26">
        <f t="shared" si="3"/>
        <v>2026</v>
      </c>
      <c r="K15" s="26">
        <f t="shared" si="3"/>
        <v>2027</v>
      </c>
      <c r="L15" s="26">
        <f t="shared" si="3"/>
        <v>2028</v>
      </c>
      <c r="M15" s="26">
        <f t="shared" si="3"/>
        <v>2029</v>
      </c>
      <c r="N15" s="26">
        <f t="shared" si="3"/>
        <v>2030</v>
      </c>
    </row>
    <row r="16" spans="1:14">
      <c r="B16" s="490" t="s">
        <v>1375</v>
      </c>
      <c r="E16" s="494">
        <f>decScenario1PatPopRegion1*1000</f>
        <v>1000000</v>
      </c>
      <c r="F16" s="494">
        <f t="shared" ref="F16:N16" si="4">E16*(1+$C6)</f>
        <v>1000000</v>
      </c>
      <c r="G16" s="494">
        <f t="shared" si="4"/>
        <v>1000000</v>
      </c>
      <c r="H16" s="494">
        <f t="shared" si="4"/>
        <v>1000000</v>
      </c>
      <c r="I16" s="494">
        <f t="shared" si="4"/>
        <v>1000000</v>
      </c>
      <c r="J16" s="494">
        <f t="shared" si="4"/>
        <v>1000000</v>
      </c>
      <c r="K16" s="494">
        <f t="shared" si="4"/>
        <v>1000000</v>
      </c>
      <c r="L16" s="494">
        <f t="shared" si="4"/>
        <v>1000000</v>
      </c>
      <c r="M16" s="494">
        <f t="shared" si="4"/>
        <v>1000000</v>
      </c>
      <c r="N16" s="494">
        <f t="shared" si="4"/>
        <v>1000000</v>
      </c>
    </row>
    <row r="17" spans="1:14">
      <c r="B17" s="490" t="s">
        <v>1382</v>
      </c>
      <c r="E17" s="494">
        <f t="shared" ref="E17:N17" si="5">IF(E11,E13,E14)</f>
        <v>31304.951684997053</v>
      </c>
      <c r="F17" s="494">
        <f t="shared" si="5"/>
        <v>46811.821348349542</v>
      </c>
      <c r="G17" s="494">
        <f t="shared" si="5"/>
        <v>57243.58037705598</v>
      </c>
      <c r="H17" s="494">
        <f t="shared" si="5"/>
        <v>63301.268758168801</v>
      </c>
      <c r="I17" s="494">
        <f t="shared" si="5"/>
        <v>66566.424067031097</v>
      </c>
      <c r="J17" s="494">
        <f t="shared" si="5"/>
        <v>68261.626736345628</v>
      </c>
      <c r="K17" s="494">
        <f t="shared" si="5"/>
        <v>69125.348979547256</v>
      </c>
      <c r="L17" s="494">
        <f t="shared" si="5"/>
        <v>69561.299790676043</v>
      </c>
      <c r="M17" s="494">
        <f t="shared" si="5"/>
        <v>69780.305139396762</v>
      </c>
      <c r="N17" s="494">
        <f t="shared" si="5"/>
        <v>34945.033122597597</v>
      </c>
    </row>
    <row r="18" spans="1:14">
      <c r="B18" s="490" t="s">
        <v>1383</v>
      </c>
      <c r="C18" s="493"/>
      <c r="E18" s="494">
        <f>calcScenario1Reg1Price</f>
        <v>183.6</v>
      </c>
      <c r="F18" s="494">
        <f t="shared" ref="F18:N18" si="6">E18*(1+$C9)</f>
        <v>179.928</v>
      </c>
      <c r="G18" s="494">
        <f t="shared" si="6"/>
        <v>176.32944000000001</v>
      </c>
      <c r="H18" s="494">
        <f t="shared" si="6"/>
        <v>172.80285119999999</v>
      </c>
      <c r="I18" s="494">
        <f t="shared" si="6"/>
        <v>169.346794176</v>
      </c>
      <c r="J18" s="494">
        <f t="shared" si="6"/>
        <v>165.95985829247999</v>
      </c>
      <c r="K18" s="494">
        <f t="shared" si="6"/>
        <v>162.64066112663039</v>
      </c>
      <c r="L18" s="494">
        <f t="shared" si="6"/>
        <v>159.38784790409778</v>
      </c>
      <c r="M18" s="494">
        <f t="shared" si="6"/>
        <v>156.20009094601582</v>
      </c>
      <c r="N18" s="494">
        <f t="shared" si="6"/>
        <v>153.07608912709551</v>
      </c>
    </row>
    <row r="19" spans="1:14">
      <c r="B19" s="490" t="s">
        <v>1385</v>
      </c>
      <c r="E19" s="494">
        <f>E17*E18</f>
        <v>5747589.1293654591</v>
      </c>
      <c r="F19" s="494">
        <f t="shared" ref="F19:N19" si="7">F17*F18</f>
        <v>8422757.391565837</v>
      </c>
      <c r="G19" s="494">
        <f t="shared" si="7"/>
        <v>10093728.471481269</v>
      </c>
      <c r="H19" s="494">
        <f t="shared" si="7"/>
        <v>10938639.725989051</v>
      </c>
      <c r="I19" s="494">
        <f t="shared" si="7"/>
        <v>11272810.515511848</v>
      </c>
      <c r="J19" s="494">
        <f t="shared" si="7"/>
        <v>11328689.899978084</v>
      </c>
      <c r="K19" s="494">
        <f t="shared" si="7"/>
        <v>11242592.458642611</v>
      </c>
      <c r="L19" s="494">
        <f t="shared" si="7"/>
        <v>11087225.871047622</v>
      </c>
      <c r="M19" s="494">
        <f t="shared" si="7"/>
        <v>10899690.00901451</v>
      </c>
      <c r="N19" s="494">
        <f t="shared" si="7"/>
        <v>5349249.0048240544</v>
      </c>
    </row>
    <row r="20" spans="1:14">
      <c r="B20" s="496" t="s">
        <v>1386</v>
      </c>
      <c r="D20" s="497"/>
      <c r="E20" s="498">
        <f t="shared" ref="E20:N20" si="8">$C10*E19*$C5</f>
        <v>5172830.2164289132</v>
      </c>
      <c r="F20" s="498">
        <f t="shared" si="8"/>
        <v>7580481.6524092536</v>
      </c>
      <c r="G20" s="498">
        <f t="shared" si="8"/>
        <v>9084355.6243331432</v>
      </c>
      <c r="H20" s="498">
        <f t="shared" si="8"/>
        <v>9844775.7533901464</v>
      </c>
      <c r="I20" s="498">
        <f t="shared" si="8"/>
        <v>10145529.463960664</v>
      </c>
      <c r="J20" s="498">
        <f t="shared" si="8"/>
        <v>10195820.909980277</v>
      </c>
      <c r="K20" s="498">
        <f t="shared" si="8"/>
        <v>10118333.21277835</v>
      </c>
      <c r="L20" s="498">
        <f t="shared" si="8"/>
        <v>9978503.2839428596</v>
      </c>
      <c r="M20" s="498">
        <f t="shared" si="8"/>
        <v>9809721.0081130583</v>
      </c>
      <c r="N20" s="498">
        <f t="shared" si="8"/>
        <v>4814324.1043416495</v>
      </c>
    </row>
    <row r="21" spans="1:14">
      <c r="B21" s="503"/>
      <c r="C21" s="506"/>
      <c r="D21" s="504"/>
      <c r="E21" s="505"/>
      <c r="F21" s="505"/>
      <c r="G21" s="505"/>
      <c r="H21" s="505"/>
      <c r="I21" s="505"/>
      <c r="J21" s="505"/>
      <c r="K21" s="505"/>
      <c r="L21" s="505"/>
      <c r="M21" s="505"/>
      <c r="N21" s="505"/>
    </row>
    <row r="22" spans="1:14">
      <c r="B22" t="s">
        <v>267</v>
      </c>
      <c r="E22" s="495">
        <f t="shared" ref="E22:N22" si="9">E17*calcScenario1AverageCOGS*$C5</f>
        <v>2299035.6517461836</v>
      </c>
      <c r="F22" s="495">
        <f t="shared" si="9"/>
        <v>3437860.1598227904</v>
      </c>
      <c r="G22" s="495">
        <f t="shared" si="9"/>
        <v>4203968.5428909911</v>
      </c>
      <c r="H22" s="495">
        <f t="shared" si="9"/>
        <v>4648845.1775999162</v>
      </c>
      <c r="I22" s="495">
        <f t="shared" si="9"/>
        <v>4888638.1834827634</v>
      </c>
      <c r="J22" s="495">
        <f t="shared" si="9"/>
        <v>5013133.8675172227</v>
      </c>
      <c r="K22" s="495">
        <f t="shared" si="9"/>
        <v>5076565.6290579503</v>
      </c>
      <c r="L22" s="495">
        <f t="shared" si="9"/>
        <v>5108581.8566272482</v>
      </c>
      <c r="M22" s="495">
        <f t="shared" si="9"/>
        <v>5124665.609437298</v>
      </c>
      <c r="N22" s="495">
        <f t="shared" si="9"/>
        <v>2566363.2325235675</v>
      </c>
    </row>
    <row r="23" spans="1:14">
      <c r="B23" s="500" t="s">
        <v>272</v>
      </c>
      <c r="C23" s="500"/>
      <c r="D23" s="500"/>
      <c r="E23" s="501">
        <f>E20-E22</f>
        <v>2873794.5646827295</v>
      </c>
      <c r="F23" s="501">
        <f t="shared" ref="F23:N23" si="10">F20-F22</f>
        <v>4142621.4925864632</v>
      </c>
      <c r="G23" s="501">
        <f t="shared" si="10"/>
        <v>4880387.0814421521</v>
      </c>
      <c r="H23" s="501">
        <f t="shared" si="10"/>
        <v>5195930.5757902302</v>
      </c>
      <c r="I23" s="501">
        <f t="shared" si="10"/>
        <v>5256891.280477901</v>
      </c>
      <c r="J23" s="501">
        <f t="shared" si="10"/>
        <v>5182687.0424630539</v>
      </c>
      <c r="K23" s="501">
        <f t="shared" si="10"/>
        <v>5041767.5837204</v>
      </c>
      <c r="L23" s="501">
        <f t="shared" si="10"/>
        <v>4869921.4273156114</v>
      </c>
      <c r="M23" s="501">
        <f t="shared" si="10"/>
        <v>4685055.3986757603</v>
      </c>
      <c r="N23" s="501">
        <f t="shared" si="10"/>
        <v>2247960.8718180819</v>
      </c>
    </row>
    <row r="24" spans="1:14">
      <c r="B24" t="s">
        <v>1195</v>
      </c>
      <c r="E24" s="502">
        <f>IF(E20&gt;0,E23/E20,0)</f>
        <v>0.55555555555555558</v>
      </c>
      <c r="F24" s="502">
        <f t="shared" ref="F24:N24" si="11">IF(F20&gt;0,F23/F20,0)</f>
        <v>0.54648526077097515</v>
      </c>
      <c r="G24" s="502">
        <f t="shared" si="11"/>
        <v>0.53722985792956646</v>
      </c>
      <c r="H24" s="502">
        <f t="shared" si="11"/>
        <v>0.52778556931588405</v>
      </c>
      <c r="I24" s="502">
        <f t="shared" si="11"/>
        <v>0.51814854011824918</v>
      </c>
      <c r="J24" s="502">
        <f t="shared" si="11"/>
        <v>0.50831483685535628</v>
      </c>
      <c r="K24" s="502">
        <f t="shared" si="11"/>
        <v>0.49828044577077163</v>
      </c>
      <c r="L24" s="502">
        <f t="shared" si="11"/>
        <v>0.48804127119466489</v>
      </c>
      <c r="M24" s="502">
        <f t="shared" si="11"/>
        <v>0.477593133872107</v>
      </c>
      <c r="N24" s="502">
        <f t="shared" si="11"/>
        <v>0.46693176925725211</v>
      </c>
    </row>
    <row r="25" spans="1:14">
      <c r="E25" s="502"/>
      <c r="F25" s="502"/>
      <c r="G25" s="502"/>
      <c r="H25" s="502"/>
      <c r="I25" s="502"/>
      <c r="J25" s="502"/>
      <c r="K25" s="502"/>
      <c r="L25" s="502"/>
      <c r="M25" s="502"/>
      <c r="N25" s="502"/>
    </row>
    <row r="26" spans="1:14">
      <c r="B26" s="500" t="s">
        <v>1198</v>
      </c>
      <c r="C26" s="500"/>
      <c r="D26" s="500"/>
      <c r="E26" s="501">
        <f t="shared" ref="E26:N26" si="12">calcScenario1Reg1SnM*E20</f>
        <v>258641.51082144567</v>
      </c>
      <c r="F26" s="501">
        <f t="shared" si="12"/>
        <v>379024.08262046269</v>
      </c>
      <c r="G26" s="501">
        <f t="shared" si="12"/>
        <v>454217.7812166572</v>
      </c>
      <c r="H26" s="501">
        <f t="shared" si="12"/>
        <v>492238.78766950732</v>
      </c>
      <c r="I26" s="501">
        <f t="shared" si="12"/>
        <v>507276.47319803323</v>
      </c>
      <c r="J26" s="501">
        <f t="shared" si="12"/>
        <v>509791.04549901385</v>
      </c>
      <c r="K26" s="501">
        <f t="shared" si="12"/>
        <v>505916.66063891753</v>
      </c>
      <c r="L26" s="501">
        <f t="shared" si="12"/>
        <v>498925.16419714299</v>
      </c>
      <c r="M26" s="501">
        <f t="shared" si="12"/>
        <v>490486.05040565296</v>
      </c>
      <c r="N26" s="501">
        <f t="shared" si="12"/>
        <v>240716.20521708249</v>
      </c>
    </row>
    <row r="27" spans="1:14">
      <c r="E27" s="495"/>
      <c r="F27" s="495"/>
      <c r="G27" s="495"/>
      <c r="H27" s="495"/>
      <c r="I27" s="495"/>
      <c r="J27" s="495"/>
      <c r="K27" s="495"/>
      <c r="L27" s="495"/>
      <c r="M27" s="495"/>
      <c r="N27" s="495"/>
    </row>
    <row r="28" spans="1:14" ht="15" thickBot="1">
      <c r="A28" s="27" t="s">
        <v>471</v>
      </c>
    </row>
    <row r="29" spans="1:14" ht="15" thickBot="1">
      <c r="B29" t="s">
        <v>519</v>
      </c>
      <c r="C29" s="487" t="b">
        <f>decScenario1EnterRegion2</f>
        <v>0</v>
      </c>
      <c r="E29" t="s">
        <v>1378</v>
      </c>
    </row>
    <row r="30" spans="1:14" ht="15" thickBot="1">
      <c r="B30" t="s">
        <v>1384</v>
      </c>
      <c r="C30" s="499">
        <v>0</v>
      </c>
      <c r="D30" s="490" t="s">
        <v>1379</v>
      </c>
      <c r="E30" s="492">
        <f>calcScenario1AveragePenetration</f>
        <v>0.2</v>
      </c>
    </row>
    <row r="31" spans="1:14" ht="15" thickBot="1">
      <c r="B31" t="s">
        <v>474</v>
      </c>
      <c r="C31" s="489">
        <f>decScenario1PeakMSRegion2</f>
        <v>0.1</v>
      </c>
      <c r="D31" s="490" t="s">
        <v>1380</v>
      </c>
      <c r="E31" s="492">
        <v>0.5</v>
      </c>
    </row>
    <row r="32" spans="1:14" ht="15" thickBot="1">
      <c r="B32" t="s">
        <v>1376</v>
      </c>
      <c r="C32" s="489">
        <f>calcScenario1AverageCompliance</f>
        <v>0.7</v>
      </c>
      <c r="D32" s="490" t="s">
        <v>1381</v>
      </c>
      <c r="E32" s="492">
        <v>1</v>
      </c>
    </row>
    <row r="33" spans="2:14" ht="15" thickBot="1">
      <c r="B33" t="s">
        <v>1377</v>
      </c>
      <c r="C33" s="489">
        <v>0</v>
      </c>
      <c r="D33" s="560" t="s">
        <v>1493</v>
      </c>
      <c r="E33" s="558">
        <v>0.5</v>
      </c>
      <c r="F33" s="490" t="s">
        <v>1492</v>
      </c>
      <c r="G33" s="561">
        <f>INDEX(E39:N39,E34)</f>
        <v>500000</v>
      </c>
    </row>
    <row r="34" spans="2:14" ht="15" thickBot="1">
      <c r="B34" t="s">
        <v>1388</v>
      </c>
      <c r="C34" s="507">
        <f>1-calcScenario1AverageDiscount</f>
        <v>0.9</v>
      </c>
      <c r="D34" s="560" t="s">
        <v>1491</v>
      </c>
      <c r="E34" s="559">
        <f>MAX(IF(decPlanLOEDate&lt;=Fin!E38,0,F34),1)</f>
        <v>10</v>
      </c>
      <c r="F34" s="559">
        <f>IFERROR(MATCH(decPlanLOEDate,E38:N38,0),0)</f>
        <v>10</v>
      </c>
    </row>
    <row r="35" spans="2:14">
      <c r="E35" t="b">
        <f>decPlanLOEDate&lt;=Fin!E38</f>
        <v>0</v>
      </c>
      <c r="F35" t="b">
        <f>decPlanLOEDate&lt;=Fin!F38</f>
        <v>0</v>
      </c>
      <c r="G35" t="b">
        <f>decPlanLOEDate&lt;=Fin!G38</f>
        <v>0</v>
      </c>
      <c r="H35" t="b">
        <f>decPlanLOEDate&lt;=Fin!H38</f>
        <v>0</v>
      </c>
      <c r="I35" t="b">
        <f>decPlanLOEDate&lt;=Fin!I38</f>
        <v>0</v>
      </c>
      <c r="J35" t="b">
        <f>decPlanLOEDate&lt;=Fin!J38</f>
        <v>0</v>
      </c>
      <c r="K35" t="b">
        <f>decPlanLOEDate&lt;=Fin!K38</f>
        <v>0</v>
      </c>
      <c r="L35" t="b">
        <f>decPlanLOEDate&lt;=Fin!L38</f>
        <v>0</v>
      </c>
      <c r="M35" t="b">
        <f>decPlanLOEDate&lt;=Fin!M38</f>
        <v>0</v>
      </c>
      <c r="N35" t="b">
        <f>decPlanLOEDate&lt;=Fin!N38</f>
        <v>1</v>
      </c>
    </row>
    <row r="36" spans="2:14">
      <c r="E36">
        <f>(($G33*$C31*($E$8*$E$6^($E$7^(E38-$D$15))))*$C32)*$C29*$E33</f>
        <v>0</v>
      </c>
      <c r="F36">
        <f t="shared" ref="F36:N36" si="13">(($G33*$C31*($E$8*$E$6^($E$7^(F38-$D$15))))*$C32)*$C29*$E33</f>
        <v>0</v>
      </c>
      <c r="G36">
        <f t="shared" si="13"/>
        <v>0</v>
      </c>
      <c r="H36">
        <f t="shared" si="13"/>
        <v>0</v>
      </c>
      <c r="I36">
        <f t="shared" si="13"/>
        <v>0</v>
      </c>
      <c r="J36">
        <f t="shared" si="13"/>
        <v>0</v>
      </c>
      <c r="K36">
        <f t="shared" si="13"/>
        <v>0</v>
      </c>
      <c r="L36">
        <f t="shared" si="13"/>
        <v>0</v>
      </c>
      <c r="M36">
        <f t="shared" si="13"/>
        <v>0</v>
      </c>
      <c r="N36">
        <f t="shared" si="13"/>
        <v>0</v>
      </c>
    </row>
    <row r="37" spans="2:14">
      <c r="E37" s="516">
        <f>((E39*$C31*($E$8*$E$6^($E$7^(E38-$D$15))))*$C32)</f>
        <v>15652.475842498527</v>
      </c>
      <c r="F37" s="516">
        <f t="shared" ref="F37:N37" si="14">((F39*$C31*($E$8*$E$6^($E$7^(F38-$D$15))))*$C32)</f>
        <v>23405.910674174771</v>
      </c>
      <c r="G37" s="516">
        <f t="shared" si="14"/>
        <v>28621.79018852799</v>
      </c>
      <c r="H37" s="516">
        <f t="shared" si="14"/>
        <v>31650.6343790844</v>
      </c>
      <c r="I37" s="516">
        <f t="shared" si="14"/>
        <v>33283.212033515549</v>
      </c>
      <c r="J37" s="516">
        <f t="shared" si="14"/>
        <v>34130.813368172814</v>
      </c>
      <c r="K37" s="516">
        <f t="shared" si="14"/>
        <v>34562.674489773628</v>
      </c>
      <c r="L37" s="516">
        <f t="shared" si="14"/>
        <v>34780.649895338021</v>
      </c>
      <c r="M37" s="516">
        <f t="shared" si="14"/>
        <v>34890.152569698381</v>
      </c>
      <c r="N37" s="516">
        <f t="shared" si="14"/>
        <v>34945.033122597597</v>
      </c>
    </row>
    <row r="38" spans="2:14">
      <c r="B38" s="490" t="s">
        <v>1387</v>
      </c>
      <c r="D38">
        <f>E38-1</f>
        <v>2020</v>
      </c>
      <c r="E38" s="26">
        <f>ROUND(finScenario1LaunchDate,0)</f>
        <v>2021</v>
      </c>
      <c r="F38" s="26">
        <f>E38+1</f>
        <v>2022</v>
      </c>
      <c r="G38" s="26">
        <f t="shared" ref="G38:N38" si="15">F38+1</f>
        <v>2023</v>
      </c>
      <c r="H38" s="26">
        <f t="shared" si="15"/>
        <v>2024</v>
      </c>
      <c r="I38" s="26">
        <f t="shared" si="15"/>
        <v>2025</v>
      </c>
      <c r="J38" s="26">
        <f t="shared" si="15"/>
        <v>2026</v>
      </c>
      <c r="K38" s="26">
        <f t="shared" si="15"/>
        <v>2027</v>
      </c>
      <c r="L38" s="26">
        <f t="shared" si="15"/>
        <v>2028</v>
      </c>
      <c r="M38" s="26">
        <f t="shared" si="15"/>
        <v>2029</v>
      </c>
      <c r="N38" s="26">
        <f t="shared" si="15"/>
        <v>2030</v>
      </c>
    </row>
    <row r="39" spans="2:14">
      <c r="B39" s="490" t="s">
        <v>1375</v>
      </c>
      <c r="E39" s="494">
        <f>decScenario1PatPopRegion2*1000</f>
        <v>500000</v>
      </c>
      <c r="F39" s="494">
        <f t="shared" ref="F39:N39" si="16">E39*(1+$C30)</f>
        <v>500000</v>
      </c>
      <c r="G39" s="494">
        <f t="shared" si="16"/>
        <v>500000</v>
      </c>
      <c r="H39" s="494">
        <f t="shared" si="16"/>
        <v>500000</v>
      </c>
      <c r="I39" s="494">
        <f t="shared" si="16"/>
        <v>500000</v>
      </c>
      <c r="J39" s="494">
        <f t="shared" si="16"/>
        <v>500000</v>
      </c>
      <c r="K39" s="494">
        <f t="shared" si="16"/>
        <v>500000</v>
      </c>
      <c r="L39" s="494">
        <f t="shared" si="16"/>
        <v>500000</v>
      </c>
      <c r="M39" s="494">
        <f t="shared" si="16"/>
        <v>500000</v>
      </c>
      <c r="N39" s="494">
        <f t="shared" si="16"/>
        <v>500000</v>
      </c>
    </row>
    <row r="40" spans="2:14">
      <c r="B40" s="490" t="s">
        <v>1382</v>
      </c>
      <c r="E40" s="494">
        <f t="shared" ref="E40:N40" si="17">IF(E35,E36,E37)</f>
        <v>15652.475842498527</v>
      </c>
      <c r="F40" s="494">
        <f t="shared" si="17"/>
        <v>23405.910674174771</v>
      </c>
      <c r="G40" s="494">
        <f t="shared" si="17"/>
        <v>28621.79018852799</v>
      </c>
      <c r="H40" s="494">
        <f t="shared" si="17"/>
        <v>31650.6343790844</v>
      </c>
      <c r="I40" s="494">
        <f t="shared" si="17"/>
        <v>33283.212033515549</v>
      </c>
      <c r="J40" s="494">
        <f t="shared" si="17"/>
        <v>34130.813368172814</v>
      </c>
      <c r="K40" s="494">
        <f t="shared" si="17"/>
        <v>34562.674489773628</v>
      </c>
      <c r="L40" s="494">
        <f t="shared" si="17"/>
        <v>34780.649895338021</v>
      </c>
      <c r="M40" s="494">
        <f t="shared" si="17"/>
        <v>34890.152569698381</v>
      </c>
      <c r="N40" s="494">
        <f t="shared" si="17"/>
        <v>0</v>
      </c>
    </row>
    <row r="41" spans="2:14">
      <c r="B41" s="490" t="s">
        <v>1383</v>
      </c>
      <c r="C41" s="493"/>
      <c r="E41" s="494">
        <f>calcScenario1Reg2Price</f>
        <v>0</v>
      </c>
      <c r="F41" s="494">
        <f t="shared" ref="F41:N41" si="18">E41*(1+$C33)</f>
        <v>0</v>
      </c>
      <c r="G41" s="494">
        <f t="shared" si="18"/>
        <v>0</v>
      </c>
      <c r="H41" s="494">
        <f t="shared" si="18"/>
        <v>0</v>
      </c>
      <c r="I41" s="494">
        <f t="shared" si="18"/>
        <v>0</v>
      </c>
      <c r="J41" s="494">
        <f t="shared" si="18"/>
        <v>0</v>
      </c>
      <c r="K41" s="494">
        <f t="shared" si="18"/>
        <v>0</v>
      </c>
      <c r="L41" s="494">
        <f t="shared" si="18"/>
        <v>0</v>
      </c>
      <c r="M41" s="494">
        <f t="shared" si="18"/>
        <v>0</v>
      </c>
      <c r="N41" s="494">
        <f t="shared" si="18"/>
        <v>0</v>
      </c>
    </row>
    <row r="42" spans="2:14">
      <c r="B42" s="490" t="s">
        <v>1385</v>
      </c>
      <c r="E42" s="494">
        <f>E40*E41</f>
        <v>0</v>
      </c>
      <c r="F42" s="494">
        <f t="shared" ref="F42" si="19">F40*F41</f>
        <v>0</v>
      </c>
      <c r="G42" s="494">
        <f t="shared" ref="G42" si="20">G40*G41</f>
        <v>0</v>
      </c>
      <c r="H42" s="494">
        <f t="shared" ref="H42" si="21">H40*H41</f>
        <v>0</v>
      </c>
      <c r="I42" s="494">
        <f t="shared" ref="I42" si="22">I40*I41</f>
        <v>0</v>
      </c>
      <c r="J42" s="494">
        <f t="shared" ref="J42" si="23">J40*J41</f>
        <v>0</v>
      </c>
      <c r="K42" s="494">
        <f t="shared" ref="K42" si="24">K40*K41</f>
        <v>0</v>
      </c>
      <c r="L42" s="494">
        <f t="shared" ref="L42" si="25">L40*L41</f>
        <v>0</v>
      </c>
      <c r="M42" s="494">
        <f t="shared" ref="M42" si="26">M40*M41</f>
        <v>0</v>
      </c>
      <c r="N42" s="494">
        <f t="shared" ref="N42" si="27">N40*N41</f>
        <v>0</v>
      </c>
    </row>
    <row r="43" spans="2:14">
      <c r="B43" s="496" t="s">
        <v>1386</v>
      </c>
      <c r="D43" s="497"/>
      <c r="E43" s="498">
        <f t="shared" ref="E43:N43" si="28">$C34*E42*$C29</f>
        <v>0</v>
      </c>
      <c r="F43" s="498">
        <f t="shared" si="28"/>
        <v>0</v>
      </c>
      <c r="G43" s="498">
        <f t="shared" si="28"/>
        <v>0</v>
      </c>
      <c r="H43" s="498">
        <f t="shared" si="28"/>
        <v>0</v>
      </c>
      <c r="I43" s="498">
        <f t="shared" si="28"/>
        <v>0</v>
      </c>
      <c r="J43" s="498">
        <f t="shared" si="28"/>
        <v>0</v>
      </c>
      <c r="K43" s="498">
        <f t="shared" si="28"/>
        <v>0</v>
      </c>
      <c r="L43" s="498">
        <f t="shared" si="28"/>
        <v>0</v>
      </c>
      <c r="M43" s="498">
        <f t="shared" si="28"/>
        <v>0</v>
      </c>
      <c r="N43" s="498">
        <f t="shared" si="28"/>
        <v>0</v>
      </c>
    </row>
    <row r="44" spans="2:14">
      <c r="B44" s="503"/>
      <c r="C44" s="506"/>
      <c r="D44" s="504"/>
      <c r="E44" s="505"/>
      <c r="F44" s="505"/>
      <c r="G44" s="505"/>
      <c r="H44" s="505"/>
      <c r="I44" s="505"/>
      <c r="J44" s="505"/>
      <c r="K44" s="505"/>
      <c r="L44" s="505"/>
      <c r="M44" s="505"/>
      <c r="N44" s="505"/>
    </row>
    <row r="45" spans="2:14">
      <c r="B45" t="s">
        <v>267</v>
      </c>
      <c r="E45" s="495">
        <f t="shared" ref="E45:N45" si="29">E40*calcScenario1AverageCOGS*$C29</f>
        <v>0</v>
      </c>
      <c r="F45" s="495">
        <f t="shared" si="29"/>
        <v>0</v>
      </c>
      <c r="G45" s="495">
        <f t="shared" si="29"/>
        <v>0</v>
      </c>
      <c r="H45" s="495">
        <f t="shared" si="29"/>
        <v>0</v>
      </c>
      <c r="I45" s="495">
        <f t="shared" si="29"/>
        <v>0</v>
      </c>
      <c r="J45" s="495">
        <f t="shared" si="29"/>
        <v>0</v>
      </c>
      <c r="K45" s="495">
        <f t="shared" si="29"/>
        <v>0</v>
      </c>
      <c r="L45" s="495">
        <f t="shared" si="29"/>
        <v>0</v>
      </c>
      <c r="M45" s="495">
        <f t="shared" si="29"/>
        <v>0</v>
      </c>
      <c r="N45" s="495">
        <f t="shared" si="29"/>
        <v>0</v>
      </c>
    </row>
    <row r="46" spans="2:14">
      <c r="B46" s="500" t="s">
        <v>272</v>
      </c>
      <c r="C46" s="500"/>
      <c r="D46" s="500"/>
      <c r="E46" s="501">
        <f>E43-E45</f>
        <v>0</v>
      </c>
      <c r="F46" s="501">
        <f t="shared" ref="F46" si="30">F43-F45</f>
        <v>0</v>
      </c>
      <c r="G46" s="501">
        <f t="shared" ref="G46" si="31">G43-G45</f>
        <v>0</v>
      </c>
      <c r="H46" s="501">
        <f t="shared" ref="H46" si="32">H43-H45</f>
        <v>0</v>
      </c>
      <c r="I46" s="501">
        <f t="shared" ref="I46" si="33">I43-I45</f>
        <v>0</v>
      </c>
      <c r="J46" s="501">
        <f t="shared" ref="J46" si="34">J43-J45</f>
        <v>0</v>
      </c>
      <c r="K46" s="501">
        <f t="shared" ref="K46" si="35">K43-K45</f>
        <v>0</v>
      </c>
      <c r="L46" s="501">
        <f t="shared" ref="L46" si="36">L43-L45</f>
        <v>0</v>
      </c>
      <c r="M46" s="501">
        <f t="shared" ref="M46" si="37">M43-M45</f>
        <v>0</v>
      </c>
      <c r="N46" s="501">
        <f t="shared" ref="N46" si="38">N43-N45</f>
        <v>0</v>
      </c>
    </row>
    <row r="47" spans="2:14">
      <c r="B47" t="s">
        <v>1195</v>
      </c>
      <c r="E47" s="502">
        <f>IF(E43&gt;0,E46/E43,0)</f>
        <v>0</v>
      </c>
      <c r="F47" s="502">
        <f t="shared" ref="F47" si="39">IF(F43&gt;0,F46/F43,0)</f>
        <v>0</v>
      </c>
      <c r="G47" s="502">
        <f t="shared" ref="G47" si="40">IF(G43&gt;0,G46/G43,0)</f>
        <v>0</v>
      </c>
      <c r="H47" s="502">
        <f t="shared" ref="H47" si="41">IF(H43&gt;0,H46/H43,0)</f>
        <v>0</v>
      </c>
      <c r="I47" s="502">
        <f t="shared" ref="I47" si="42">IF(I43&gt;0,I46/I43,0)</f>
        <v>0</v>
      </c>
      <c r="J47" s="502">
        <f t="shared" ref="J47" si="43">IF(J43&gt;0,J46/J43,0)</f>
        <v>0</v>
      </c>
      <c r="K47" s="502">
        <f t="shared" ref="K47" si="44">IF(K43&gt;0,K46/K43,0)</f>
        <v>0</v>
      </c>
      <c r="L47" s="502">
        <f t="shared" ref="L47" si="45">IF(L43&gt;0,L46/L43,0)</f>
        <v>0</v>
      </c>
      <c r="M47" s="502">
        <f t="shared" ref="M47" si="46">IF(M43&gt;0,M46/M43,0)</f>
        <v>0</v>
      </c>
      <c r="N47" s="502">
        <f t="shared" ref="N47" si="47">IF(N43&gt;0,N46/N43,0)</f>
        <v>0</v>
      </c>
    </row>
    <row r="48" spans="2:14">
      <c r="E48" s="502"/>
      <c r="F48" s="502"/>
      <c r="G48" s="502"/>
      <c r="H48" s="502"/>
      <c r="I48" s="502"/>
      <c r="J48" s="502"/>
      <c r="K48" s="502"/>
      <c r="L48" s="502"/>
      <c r="M48" s="502"/>
      <c r="N48" s="502"/>
    </row>
    <row r="49" spans="1:14">
      <c r="B49" s="500" t="s">
        <v>1198</v>
      </c>
      <c r="C49" s="500"/>
      <c r="D49" s="500"/>
      <c r="E49" s="501">
        <f t="shared" ref="E49:N49" si="48">calcScenario1Reg2SnM*E43</f>
        <v>0</v>
      </c>
      <c r="F49" s="501">
        <f t="shared" si="48"/>
        <v>0</v>
      </c>
      <c r="G49" s="501">
        <f t="shared" si="48"/>
        <v>0</v>
      </c>
      <c r="H49" s="501">
        <f t="shared" si="48"/>
        <v>0</v>
      </c>
      <c r="I49" s="501">
        <f t="shared" si="48"/>
        <v>0</v>
      </c>
      <c r="J49" s="501">
        <f t="shared" si="48"/>
        <v>0</v>
      </c>
      <c r="K49" s="501">
        <f t="shared" si="48"/>
        <v>0</v>
      </c>
      <c r="L49" s="501">
        <f t="shared" si="48"/>
        <v>0</v>
      </c>
      <c r="M49" s="501">
        <f t="shared" si="48"/>
        <v>0</v>
      </c>
      <c r="N49" s="501">
        <f t="shared" si="48"/>
        <v>0</v>
      </c>
    </row>
    <row r="50" spans="1:14">
      <c r="E50" s="495"/>
      <c r="F50" s="495"/>
      <c r="G50" s="495"/>
      <c r="H50" s="495"/>
      <c r="I50" s="495"/>
      <c r="J50" s="495"/>
      <c r="K50" s="495"/>
      <c r="L50" s="495"/>
      <c r="M50" s="495"/>
      <c r="N50" s="495"/>
    </row>
    <row r="51" spans="1:14" ht="15" thickBot="1">
      <c r="A51" s="27" t="s">
        <v>472</v>
      </c>
    </row>
    <row r="52" spans="1:14" ht="15" thickBot="1">
      <c r="B52" t="s">
        <v>519</v>
      </c>
      <c r="C52" s="487" t="b">
        <f>decScenario1EnterRegion3</f>
        <v>0</v>
      </c>
      <c r="E52" t="s">
        <v>1378</v>
      </c>
    </row>
    <row r="53" spans="1:14" ht="15" thickBot="1">
      <c r="B53" t="s">
        <v>1384</v>
      </c>
      <c r="C53" s="499">
        <v>0</v>
      </c>
      <c r="D53" s="490" t="s">
        <v>1379</v>
      </c>
      <c r="E53" s="492">
        <f>calcScenario1AveragePenetration</f>
        <v>0.2</v>
      </c>
    </row>
    <row r="54" spans="1:14" ht="15" thickBot="1">
      <c r="B54" t="s">
        <v>474</v>
      </c>
      <c r="C54" s="489">
        <f>decScenario1PeakMSRegion3</f>
        <v>0.1</v>
      </c>
      <c r="D54" s="490" t="s">
        <v>1380</v>
      </c>
      <c r="E54" s="492">
        <v>0.5</v>
      </c>
    </row>
    <row r="55" spans="1:14" ht="15" thickBot="1">
      <c r="B55" t="s">
        <v>1376</v>
      </c>
      <c r="C55" s="489">
        <f>calcScenario1AverageCompliance</f>
        <v>0.7</v>
      </c>
      <c r="D55" s="490" t="s">
        <v>1381</v>
      </c>
      <c r="E55" s="492">
        <v>1</v>
      </c>
    </row>
    <row r="56" spans="1:14" ht="15" thickBot="1">
      <c r="B56" t="s">
        <v>1377</v>
      </c>
      <c r="C56" s="489">
        <v>0</v>
      </c>
      <c r="D56" s="560" t="s">
        <v>1493</v>
      </c>
      <c r="E56" s="558">
        <v>0.5</v>
      </c>
      <c r="F56" s="490" t="s">
        <v>1492</v>
      </c>
      <c r="G56" s="561">
        <f>INDEX(E62:N62,E57)</f>
        <v>2000000</v>
      </c>
    </row>
    <row r="57" spans="1:14" ht="15" thickBot="1">
      <c r="B57" t="s">
        <v>1388</v>
      </c>
      <c r="C57" s="507">
        <f>1-calcScenario1AverageDiscount</f>
        <v>0.9</v>
      </c>
      <c r="D57" s="560" t="s">
        <v>1491</v>
      </c>
      <c r="E57" s="559">
        <f>MAX(IF(decPlanLOEDate&lt;=Fin!E61,0,F57),1)</f>
        <v>10</v>
      </c>
      <c r="F57" s="559">
        <f>IFERROR(MATCH(decPlanLOEDate,E61:N61,0),0)</f>
        <v>10</v>
      </c>
    </row>
    <row r="58" spans="1:14">
      <c r="E58" t="b">
        <f>decPlanLOEDate&lt;=Fin!E61</f>
        <v>0</v>
      </c>
      <c r="F58" t="b">
        <f>decPlanLOEDate&lt;=Fin!F61</f>
        <v>0</v>
      </c>
      <c r="G58" t="b">
        <f>decPlanLOEDate&lt;=Fin!G61</f>
        <v>0</v>
      </c>
      <c r="H58" t="b">
        <f>decPlanLOEDate&lt;=Fin!H61</f>
        <v>0</v>
      </c>
      <c r="I58" t="b">
        <f>decPlanLOEDate&lt;=Fin!I61</f>
        <v>0</v>
      </c>
      <c r="J58" t="b">
        <f>decPlanLOEDate&lt;=Fin!J61</f>
        <v>0</v>
      </c>
      <c r="K58" t="b">
        <f>decPlanLOEDate&lt;=Fin!K61</f>
        <v>0</v>
      </c>
      <c r="L58" t="b">
        <f>decPlanLOEDate&lt;=Fin!L61</f>
        <v>0</v>
      </c>
      <c r="M58" t="b">
        <f>decPlanLOEDate&lt;=Fin!M61</f>
        <v>0</v>
      </c>
      <c r="N58" t="b">
        <f>decPlanLOEDate&lt;=Fin!N61</f>
        <v>1</v>
      </c>
    </row>
    <row r="59" spans="1:14">
      <c r="E59">
        <f>(($G56*$C54*($E$8*$E$6^($E$7^(E61-$D$15))))*$C55)*$C52*$E56</f>
        <v>0</v>
      </c>
      <c r="F59">
        <f t="shared" ref="F59:N59" si="49">(($G56*$C54*($E$8*$E$6^($E$7^(F61-$D$15))))*$C55)*$C52*$E56</f>
        <v>0</v>
      </c>
      <c r="G59">
        <f t="shared" si="49"/>
        <v>0</v>
      </c>
      <c r="H59">
        <f t="shared" si="49"/>
        <v>0</v>
      </c>
      <c r="I59">
        <f t="shared" si="49"/>
        <v>0</v>
      </c>
      <c r="J59">
        <f t="shared" si="49"/>
        <v>0</v>
      </c>
      <c r="K59">
        <f t="shared" si="49"/>
        <v>0</v>
      </c>
      <c r="L59">
        <f t="shared" si="49"/>
        <v>0</v>
      </c>
      <c r="M59">
        <f t="shared" si="49"/>
        <v>0</v>
      </c>
      <c r="N59">
        <f t="shared" si="49"/>
        <v>0</v>
      </c>
    </row>
    <row r="60" spans="1:14">
      <c r="E60" s="516">
        <f>((E62*$C54*($E$8*$E$6^($E$7^(E61-$D$15))))*$C55)</f>
        <v>62609.903369994106</v>
      </c>
      <c r="F60" s="516">
        <f t="shared" ref="F60:N60" si="50">((F62*$C54*($E$8*$E$6^($E$7^(F61-$D$15))))*$C55)</f>
        <v>93623.642696699084</v>
      </c>
      <c r="G60" s="516">
        <f t="shared" si="50"/>
        <v>114487.16075411196</v>
      </c>
      <c r="H60" s="516">
        <f t="shared" si="50"/>
        <v>126602.5375163376</v>
      </c>
      <c r="I60" s="516">
        <f t="shared" si="50"/>
        <v>133132.84813406219</v>
      </c>
      <c r="J60" s="516">
        <f t="shared" si="50"/>
        <v>136523.25347269126</v>
      </c>
      <c r="K60" s="516">
        <f t="shared" si="50"/>
        <v>138250.69795909451</v>
      </c>
      <c r="L60" s="516">
        <f t="shared" si="50"/>
        <v>139122.59958135209</v>
      </c>
      <c r="M60" s="516">
        <f t="shared" si="50"/>
        <v>139560.61027879352</v>
      </c>
      <c r="N60" s="516">
        <f t="shared" si="50"/>
        <v>139780.13249039039</v>
      </c>
    </row>
    <row r="61" spans="1:14">
      <c r="B61" s="490" t="s">
        <v>1387</v>
      </c>
      <c r="D61">
        <f>E61-1</f>
        <v>2020</v>
      </c>
      <c r="E61" s="26">
        <f>ROUND(finScenario1LaunchDate,0)</f>
        <v>2021</v>
      </c>
      <c r="F61" s="26">
        <f>E61+1</f>
        <v>2022</v>
      </c>
      <c r="G61" s="26">
        <f t="shared" ref="G61:N61" si="51">F61+1</f>
        <v>2023</v>
      </c>
      <c r="H61" s="26">
        <f t="shared" si="51"/>
        <v>2024</v>
      </c>
      <c r="I61" s="26">
        <f t="shared" si="51"/>
        <v>2025</v>
      </c>
      <c r="J61" s="26">
        <f t="shared" si="51"/>
        <v>2026</v>
      </c>
      <c r="K61" s="26">
        <f t="shared" si="51"/>
        <v>2027</v>
      </c>
      <c r="L61" s="26">
        <f t="shared" si="51"/>
        <v>2028</v>
      </c>
      <c r="M61" s="26">
        <f t="shared" si="51"/>
        <v>2029</v>
      </c>
      <c r="N61" s="26">
        <f t="shared" si="51"/>
        <v>2030</v>
      </c>
    </row>
    <row r="62" spans="1:14">
      <c r="B62" s="490" t="s">
        <v>1375</v>
      </c>
      <c r="E62" s="494">
        <f>decScenario1PatPopRegion3*1000</f>
        <v>2000000</v>
      </c>
      <c r="F62" s="494">
        <f t="shared" ref="F62:N62" si="52">E62*(1+$C53)</f>
        <v>2000000</v>
      </c>
      <c r="G62" s="494">
        <f t="shared" si="52"/>
        <v>2000000</v>
      </c>
      <c r="H62" s="494">
        <f t="shared" si="52"/>
        <v>2000000</v>
      </c>
      <c r="I62" s="494">
        <f t="shared" si="52"/>
        <v>2000000</v>
      </c>
      <c r="J62" s="494">
        <f t="shared" si="52"/>
        <v>2000000</v>
      </c>
      <c r="K62" s="494">
        <f t="shared" si="52"/>
        <v>2000000</v>
      </c>
      <c r="L62" s="494">
        <f t="shared" si="52"/>
        <v>2000000</v>
      </c>
      <c r="M62" s="494">
        <f t="shared" si="52"/>
        <v>2000000</v>
      </c>
      <c r="N62" s="494">
        <f t="shared" si="52"/>
        <v>2000000</v>
      </c>
    </row>
    <row r="63" spans="1:14">
      <c r="B63" s="490" t="s">
        <v>1382</v>
      </c>
      <c r="E63" s="494">
        <f t="shared" ref="E63:N63" si="53">IF(E58,E59,E60)</f>
        <v>62609.903369994106</v>
      </c>
      <c r="F63" s="494">
        <f t="shared" si="53"/>
        <v>93623.642696699084</v>
      </c>
      <c r="G63" s="494">
        <f t="shared" si="53"/>
        <v>114487.16075411196</v>
      </c>
      <c r="H63" s="494">
        <f t="shared" si="53"/>
        <v>126602.5375163376</v>
      </c>
      <c r="I63" s="494">
        <f t="shared" si="53"/>
        <v>133132.84813406219</v>
      </c>
      <c r="J63" s="494">
        <f t="shared" si="53"/>
        <v>136523.25347269126</v>
      </c>
      <c r="K63" s="494">
        <f t="shared" si="53"/>
        <v>138250.69795909451</v>
      </c>
      <c r="L63" s="494">
        <f t="shared" si="53"/>
        <v>139122.59958135209</v>
      </c>
      <c r="M63" s="494">
        <f t="shared" si="53"/>
        <v>139560.61027879352</v>
      </c>
      <c r="N63" s="494">
        <f t="shared" si="53"/>
        <v>0</v>
      </c>
    </row>
    <row r="64" spans="1:14">
      <c r="B64" s="490" t="s">
        <v>1383</v>
      </c>
      <c r="C64" s="493"/>
      <c r="E64" s="494">
        <f>calcScenario1Reg3Price</f>
        <v>0</v>
      </c>
      <c r="F64" s="494">
        <f>E64*(1+$C56)</f>
        <v>0</v>
      </c>
      <c r="G64" s="494">
        <f t="shared" ref="G64:N64" si="54">F64*(1+$C56)</f>
        <v>0</v>
      </c>
      <c r="H64" s="494">
        <f t="shared" si="54"/>
        <v>0</v>
      </c>
      <c r="I64" s="494">
        <f t="shared" si="54"/>
        <v>0</v>
      </c>
      <c r="J64" s="494">
        <f t="shared" si="54"/>
        <v>0</v>
      </c>
      <c r="K64" s="494">
        <f t="shared" si="54"/>
        <v>0</v>
      </c>
      <c r="L64" s="494">
        <f t="shared" si="54"/>
        <v>0</v>
      </c>
      <c r="M64" s="494">
        <f t="shared" si="54"/>
        <v>0</v>
      </c>
      <c r="N64" s="494">
        <f t="shared" si="54"/>
        <v>0</v>
      </c>
    </row>
    <row r="65" spans="1:14">
      <c r="B65" s="490" t="s">
        <v>1385</v>
      </c>
      <c r="E65" s="494">
        <f>E63*E64</f>
        <v>0</v>
      </c>
      <c r="F65" s="494">
        <f t="shared" ref="F65" si="55">F63*F64</f>
        <v>0</v>
      </c>
      <c r="G65" s="494">
        <f t="shared" ref="G65" si="56">G63*G64</f>
        <v>0</v>
      </c>
      <c r="H65" s="494">
        <f t="shared" ref="H65" si="57">H63*H64</f>
        <v>0</v>
      </c>
      <c r="I65" s="494">
        <f t="shared" ref="I65" si="58">I63*I64</f>
        <v>0</v>
      </c>
      <c r="J65" s="494">
        <f t="shared" ref="J65" si="59">J63*J64</f>
        <v>0</v>
      </c>
      <c r="K65" s="494">
        <f t="shared" ref="K65" si="60">K63*K64</f>
        <v>0</v>
      </c>
      <c r="L65" s="494">
        <f t="shared" ref="L65" si="61">L63*L64</f>
        <v>0</v>
      </c>
      <c r="M65" s="494">
        <f t="shared" ref="M65" si="62">M63*M64</f>
        <v>0</v>
      </c>
      <c r="N65" s="494">
        <f t="shared" ref="N65" si="63">N63*N64</f>
        <v>0</v>
      </c>
    </row>
    <row r="66" spans="1:14">
      <c r="B66" s="496" t="s">
        <v>1386</v>
      </c>
      <c r="D66" s="497"/>
      <c r="E66" s="498">
        <f>$C57*E65*$C52</f>
        <v>0</v>
      </c>
      <c r="F66" s="498">
        <f t="shared" ref="F66" si="64">$C57*F65*$C52</f>
        <v>0</v>
      </c>
      <c r="G66" s="498">
        <f t="shared" ref="G66" si="65">$C57*G65*$C52</f>
        <v>0</v>
      </c>
      <c r="H66" s="498">
        <f t="shared" ref="H66" si="66">$C57*H65*$C52</f>
        <v>0</v>
      </c>
      <c r="I66" s="498">
        <f t="shared" ref="I66" si="67">$C57*I65*$C52</f>
        <v>0</v>
      </c>
      <c r="J66" s="498">
        <f t="shared" ref="J66" si="68">$C57*J65*$C52</f>
        <v>0</v>
      </c>
      <c r="K66" s="498">
        <f t="shared" ref="K66" si="69">$C57*K65*$C52</f>
        <v>0</v>
      </c>
      <c r="L66" s="498">
        <f t="shared" ref="L66" si="70">$C57*L65*$C52</f>
        <v>0</v>
      </c>
      <c r="M66" s="498">
        <f t="shared" ref="M66" si="71">$C57*M65*$C52</f>
        <v>0</v>
      </c>
      <c r="N66" s="498">
        <f t="shared" ref="N66" si="72">$C57*N65*$C52</f>
        <v>0</v>
      </c>
    </row>
    <row r="67" spans="1:14">
      <c r="B67" s="503"/>
      <c r="C67" s="506"/>
      <c r="D67" s="504"/>
      <c r="E67" s="505"/>
      <c r="F67" s="505"/>
      <c r="G67" s="505"/>
      <c r="H67" s="505"/>
      <c r="I67" s="505"/>
      <c r="J67" s="505"/>
      <c r="K67" s="505"/>
      <c r="L67" s="505"/>
      <c r="M67" s="505"/>
      <c r="N67" s="505"/>
    </row>
    <row r="68" spans="1:14">
      <c r="B68" t="s">
        <v>267</v>
      </c>
      <c r="E68" s="495">
        <f t="shared" ref="E68:N68" si="73">E63*calcScenario1AverageCOGS*$C52</f>
        <v>0</v>
      </c>
      <c r="F68" s="495">
        <f t="shared" si="73"/>
        <v>0</v>
      </c>
      <c r="G68" s="495">
        <f t="shared" si="73"/>
        <v>0</v>
      </c>
      <c r="H68" s="495">
        <f t="shared" si="73"/>
        <v>0</v>
      </c>
      <c r="I68" s="495">
        <f t="shared" si="73"/>
        <v>0</v>
      </c>
      <c r="J68" s="495">
        <f t="shared" si="73"/>
        <v>0</v>
      </c>
      <c r="K68" s="495">
        <f t="shared" si="73"/>
        <v>0</v>
      </c>
      <c r="L68" s="495">
        <f t="shared" si="73"/>
        <v>0</v>
      </c>
      <c r="M68" s="495">
        <f t="shared" si="73"/>
        <v>0</v>
      </c>
      <c r="N68" s="495">
        <f t="shared" si="73"/>
        <v>0</v>
      </c>
    </row>
    <row r="69" spans="1:14">
      <c r="B69" s="500" t="s">
        <v>272</v>
      </c>
      <c r="C69" s="500"/>
      <c r="D69" s="500"/>
      <c r="E69" s="501">
        <f>E66-E68</f>
        <v>0</v>
      </c>
      <c r="F69" s="501">
        <f t="shared" ref="F69" si="74">F66-F68</f>
        <v>0</v>
      </c>
      <c r="G69" s="501">
        <f t="shared" ref="G69" si="75">G66-G68</f>
        <v>0</v>
      </c>
      <c r="H69" s="501">
        <f t="shared" ref="H69" si="76">H66-H68</f>
        <v>0</v>
      </c>
      <c r="I69" s="501">
        <f t="shared" ref="I69" si="77">I66-I68</f>
        <v>0</v>
      </c>
      <c r="J69" s="501">
        <f t="shared" ref="J69" si="78">J66-J68</f>
        <v>0</v>
      </c>
      <c r="K69" s="501">
        <f t="shared" ref="K69" si="79">K66-K68</f>
        <v>0</v>
      </c>
      <c r="L69" s="501">
        <f t="shared" ref="L69" si="80">L66-L68</f>
        <v>0</v>
      </c>
      <c r="M69" s="501">
        <f t="shared" ref="M69" si="81">M66-M68</f>
        <v>0</v>
      </c>
      <c r="N69" s="501">
        <f t="shared" ref="N69" si="82">N66-N68</f>
        <v>0</v>
      </c>
    </row>
    <row r="70" spans="1:14">
      <c r="B70" t="s">
        <v>1195</v>
      </c>
      <c r="E70" s="502">
        <f>IF(E66&gt;0,E69/E66,0)</f>
        <v>0</v>
      </c>
      <c r="F70" s="502">
        <f t="shared" ref="F70" si="83">IF(F66&gt;0,F69/F66,0)</f>
        <v>0</v>
      </c>
      <c r="G70" s="502">
        <f t="shared" ref="G70" si="84">IF(G66&gt;0,G69/G66,0)</f>
        <v>0</v>
      </c>
      <c r="H70" s="502">
        <f t="shared" ref="H70" si="85">IF(H66&gt;0,H69/H66,0)</f>
        <v>0</v>
      </c>
      <c r="I70" s="502">
        <f t="shared" ref="I70" si="86">IF(I66&gt;0,I69/I66,0)</f>
        <v>0</v>
      </c>
      <c r="J70" s="502">
        <f t="shared" ref="J70" si="87">IF(J66&gt;0,J69/J66,0)</f>
        <v>0</v>
      </c>
      <c r="K70" s="502">
        <f t="shared" ref="K70" si="88">IF(K66&gt;0,K69/K66,0)</f>
        <v>0</v>
      </c>
      <c r="L70" s="502">
        <f t="shared" ref="L70" si="89">IF(L66&gt;0,L69/L66,0)</f>
        <v>0</v>
      </c>
      <c r="M70" s="502">
        <f t="shared" ref="M70" si="90">IF(M66&gt;0,M69/M66,0)</f>
        <v>0</v>
      </c>
      <c r="N70" s="502">
        <f t="shared" ref="N70" si="91">IF(N66&gt;0,N69/N66,0)</f>
        <v>0</v>
      </c>
    </row>
    <row r="71" spans="1:14">
      <c r="E71" s="502"/>
      <c r="F71" s="502"/>
      <c r="G71" s="502"/>
      <c r="H71" s="502"/>
      <c r="I71" s="502"/>
      <c r="J71" s="502"/>
      <c r="K71" s="502"/>
      <c r="L71" s="502"/>
      <c r="M71" s="502"/>
      <c r="N71" s="502"/>
    </row>
    <row r="72" spans="1:14">
      <c r="B72" s="500" t="s">
        <v>1198</v>
      </c>
      <c r="C72" s="500"/>
      <c r="D72" s="500"/>
      <c r="E72" s="501">
        <f t="shared" ref="E72:N72" si="92">calcScenario1Reg3SnM*E66</f>
        <v>0</v>
      </c>
      <c r="F72" s="501">
        <f t="shared" si="92"/>
        <v>0</v>
      </c>
      <c r="G72" s="501">
        <f t="shared" si="92"/>
        <v>0</v>
      </c>
      <c r="H72" s="501">
        <f t="shared" si="92"/>
        <v>0</v>
      </c>
      <c r="I72" s="501">
        <f t="shared" si="92"/>
        <v>0</v>
      </c>
      <c r="J72" s="501">
        <f t="shared" si="92"/>
        <v>0</v>
      </c>
      <c r="K72" s="501">
        <f t="shared" si="92"/>
        <v>0</v>
      </c>
      <c r="L72" s="501">
        <f t="shared" si="92"/>
        <v>0</v>
      </c>
      <c r="M72" s="501">
        <f t="shared" si="92"/>
        <v>0</v>
      </c>
      <c r="N72" s="501">
        <f t="shared" si="92"/>
        <v>0</v>
      </c>
    </row>
    <row r="73" spans="1:14">
      <c r="E73" s="495"/>
      <c r="F73" s="495"/>
      <c r="G73" s="495"/>
      <c r="H73" s="495"/>
      <c r="I73" s="495"/>
      <c r="J73" s="495"/>
      <c r="K73" s="495"/>
      <c r="L73" s="495"/>
      <c r="M73" s="495"/>
      <c r="N73" s="495"/>
    </row>
    <row r="74" spans="1:14" ht="15" thickBot="1">
      <c r="A74" s="27" t="s">
        <v>1332</v>
      </c>
    </row>
    <row r="75" spans="1:14" ht="15" thickBot="1">
      <c r="B75" t="s">
        <v>519</v>
      </c>
      <c r="C75" s="487" t="b">
        <f>decScenario1EnterRegion4</f>
        <v>0</v>
      </c>
      <c r="E75" t="s">
        <v>1378</v>
      </c>
    </row>
    <row r="76" spans="1:14" ht="15" thickBot="1">
      <c r="B76" t="s">
        <v>1384</v>
      </c>
      <c r="C76" s="499">
        <v>0</v>
      </c>
      <c r="D76" s="490" t="s">
        <v>1379</v>
      </c>
      <c r="E76" s="492">
        <f>calcScenario1AveragePenetration</f>
        <v>0.2</v>
      </c>
    </row>
    <row r="77" spans="1:14" ht="15" thickBot="1">
      <c r="B77" t="s">
        <v>474</v>
      </c>
      <c r="C77" s="489">
        <f>decScenario1PeakMSRegion4</f>
        <v>0.1</v>
      </c>
      <c r="D77" s="490" t="s">
        <v>1380</v>
      </c>
      <c r="E77" s="492">
        <v>0.5</v>
      </c>
    </row>
    <row r="78" spans="1:14" ht="15" thickBot="1">
      <c r="B78" t="s">
        <v>1376</v>
      </c>
      <c r="C78" s="489">
        <f>calcScenario1AverageCompliance</f>
        <v>0.7</v>
      </c>
      <c r="D78" s="490" t="s">
        <v>1381</v>
      </c>
      <c r="E78" s="492">
        <v>1</v>
      </c>
    </row>
    <row r="79" spans="1:14" ht="15" thickBot="1">
      <c r="B79" t="s">
        <v>1377</v>
      </c>
      <c r="C79" s="489">
        <v>0.02</v>
      </c>
      <c r="D79" s="560" t="s">
        <v>1493</v>
      </c>
      <c r="E79" s="558">
        <v>0.5</v>
      </c>
      <c r="F79" s="490" t="s">
        <v>1492</v>
      </c>
      <c r="G79" s="561">
        <f>INDEX(E85:N85,E80)</f>
        <v>3000000</v>
      </c>
    </row>
    <row r="80" spans="1:14" ht="15" thickBot="1">
      <c r="B80" t="s">
        <v>1388</v>
      </c>
      <c r="C80" s="507">
        <f>1-calcScenario1AverageDiscount</f>
        <v>0.9</v>
      </c>
      <c r="D80" s="560" t="s">
        <v>1491</v>
      </c>
      <c r="E80" s="559">
        <f>MAX(IF(decPlanLOEDate&lt;=Fin!E84,0,F80),1)</f>
        <v>10</v>
      </c>
      <c r="F80" s="559">
        <f>IFERROR(MATCH(decPlanLOEDate,E84:N84,0),0)</f>
        <v>10</v>
      </c>
    </row>
    <row r="81" spans="2:14">
      <c r="E81" t="b">
        <f>decPlanLOEDate&lt;=Fin!E84</f>
        <v>0</v>
      </c>
      <c r="F81" t="b">
        <f>decPlanLOEDate&lt;=Fin!F84</f>
        <v>0</v>
      </c>
      <c r="G81" t="b">
        <f>decPlanLOEDate&lt;=Fin!G84</f>
        <v>0</v>
      </c>
      <c r="H81" t="b">
        <f>decPlanLOEDate&lt;=Fin!H84</f>
        <v>0</v>
      </c>
      <c r="I81" t="b">
        <f>decPlanLOEDate&lt;=Fin!I84</f>
        <v>0</v>
      </c>
      <c r="J81" t="b">
        <f>decPlanLOEDate&lt;=Fin!J84</f>
        <v>0</v>
      </c>
      <c r="K81" t="b">
        <f>decPlanLOEDate&lt;=Fin!K84</f>
        <v>0</v>
      </c>
      <c r="L81" t="b">
        <f>decPlanLOEDate&lt;=Fin!L84</f>
        <v>0</v>
      </c>
      <c r="M81" t="b">
        <f>decPlanLOEDate&lt;=Fin!M84</f>
        <v>0</v>
      </c>
      <c r="N81" t="b">
        <f>decPlanLOEDate&lt;=Fin!N84</f>
        <v>1</v>
      </c>
    </row>
    <row r="82" spans="2:14">
      <c r="E82">
        <f>(($G79*$C77*($E$8*$E$6^($E$7^(E84-$D$15))))*$C78)*$C75*$E79</f>
        <v>0</v>
      </c>
      <c r="F82">
        <f t="shared" ref="F82:N82" si="93">(($G79*$C77*($E$8*$E$6^($E$7^(F84-$D$15))))*$C78)*$C75*$E79</f>
        <v>0</v>
      </c>
      <c r="G82">
        <f t="shared" si="93"/>
        <v>0</v>
      </c>
      <c r="H82">
        <f t="shared" si="93"/>
        <v>0</v>
      </c>
      <c r="I82">
        <f t="shared" si="93"/>
        <v>0</v>
      </c>
      <c r="J82">
        <f t="shared" si="93"/>
        <v>0</v>
      </c>
      <c r="K82">
        <f t="shared" si="93"/>
        <v>0</v>
      </c>
      <c r="L82">
        <f t="shared" si="93"/>
        <v>0</v>
      </c>
      <c r="M82">
        <f t="shared" si="93"/>
        <v>0</v>
      </c>
      <c r="N82">
        <f t="shared" si="93"/>
        <v>0</v>
      </c>
    </row>
    <row r="83" spans="2:14">
      <c r="E83" s="516">
        <f>((E85*$C77*($E$8*$E$6^($E$7^(E84-$D$15))))*$C78)</f>
        <v>93914.85505499116</v>
      </c>
      <c r="F83" s="516">
        <f t="shared" ref="F83:N83" si="94">((F85*$C77*($E$8*$E$6^($E$7^(F84-$D$15))))*$C78)</f>
        <v>140435.46404504863</v>
      </c>
      <c r="G83" s="516">
        <f t="shared" si="94"/>
        <v>171730.74113116795</v>
      </c>
      <c r="H83" s="516">
        <f t="shared" si="94"/>
        <v>189903.80627450644</v>
      </c>
      <c r="I83" s="516">
        <f t="shared" si="94"/>
        <v>199699.27220109326</v>
      </c>
      <c r="J83" s="516">
        <f t="shared" si="94"/>
        <v>204784.88020903687</v>
      </c>
      <c r="K83" s="516">
        <f t="shared" si="94"/>
        <v>207376.04693864175</v>
      </c>
      <c r="L83" s="516">
        <f t="shared" si="94"/>
        <v>208683.89937202816</v>
      </c>
      <c r="M83" s="516">
        <f t="shared" si="94"/>
        <v>209340.9154181903</v>
      </c>
      <c r="N83" s="516">
        <f t="shared" si="94"/>
        <v>209670.19873558558</v>
      </c>
    </row>
    <row r="84" spans="2:14">
      <c r="B84" s="490" t="s">
        <v>1387</v>
      </c>
      <c r="D84">
        <f>E84-1</f>
        <v>2020</v>
      </c>
      <c r="E84" s="26">
        <f>ROUND(finScenario1LaunchDate,0)</f>
        <v>2021</v>
      </c>
      <c r="F84" s="26">
        <f>E84+1</f>
        <v>2022</v>
      </c>
      <c r="G84" s="26">
        <f t="shared" ref="G84:N84" si="95">F84+1</f>
        <v>2023</v>
      </c>
      <c r="H84" s="26">
        <f t="shared" si="95"/>
        <v>2024</v>
      </c>
      <c r="I84" s="26">
        <f t="shared" si="95"/>
        <v>2025</v>
      </c>
      <c r="J84" s="26">
        <f t="shared" si="95"/>
        <v>2026</v>
      </c>
      <c r="K84" s="26">
        <f t="shared" si="95"/>
        <v>2027</v>
      </c>
      <c r="L84" s="26">
        <f t="shared" si="95"/>
        <v>2028</v>
      </c>
      <c r="M84" s="26">
        <f t="shared" si="95"/>
        <v>2029</v>
      </c>
      <c r="N84" s="26">
        <f t="shared" si="95"/>
        <v>2030</v>
      </c>
    </row>
    <row r="85" spans="2:14">
      <c r="B85" s="490" t="s">
        <v>1375</v>
      </c>
      <c r="E85" s="494">
        <f>decScenario1PatPopRegion4*1000</f>
        <v>3000000</v>
      </c>
      <c r="F85" s="494">
        <f t="shared" ref="F85:N85" si="96">E85*(1+$C76)</f>
        <v>3000000</v>
      </c>
      <c r="G85" s="494">
        <f t="shared" si="96"/>
        <v>3000000</v>
      </c>
      <c r="H85" s="494">
        <f t="shared" si="96"/>
        <v>3000000</v>
      </c>
      <c r="I85" s="494">
        <f t="shared" si="96"/>
        <v>3000000</v>
      </c>
      <c r="J85" s="494">
        <f t="shared" si="96"/>
        <v>3000000</v>
      </c>
      <c r="K85" s="494">
        <f t="shared" si="96"/>
        <v>3000000</v>
      </c>
      <c r="L85" s="494">
        <f t="shared" si="96"/>
        <v>3000000</v>
      </c>
      <c r="M85" s="494">
        <f t="shared" si="96"/>
        <v>3000000</v>
      </c>
      <c r="N85" s="494">
        <f t="shared" si="96"/>
        <v>3000000</v>
      </c>
    </row>
    <row r="86" spans="2:14">
      <c r="B86" s="490" t="s">
        <v>1382</v>
      </c>
      <c r="E86" s="494">
        <f t="shared" ref="E86:N86" si="97">IF(E81,E82,E83)</f>
        <v>93914.85505499116</v>
      </c>
      <c r="F86" s="494">
        <f t="shared" si="97"/>
        <v>140435.46404504863</v>
      </c>
      <c r="G86" s="494">
        <f t="shared" si="97"/>
        <v>171730.74113116795</v>
      </c>
      <c r="H86" s="494">
        <f t="shared" si="97"/>
        <v>189903.80627450644</v>
      </c>
      <c r="I86" s="494">
        <f t="shared" si="97"/>
        <v>199699.27220109326</v>
      </c>
      <c r="J86" s="494">
        <f t="shared" si="97"/>
        <v>204784.88020903687</v>
      </c>
      <c r="K86" s="494">
        <f t="shared" si="97"/>
        <v>207376.04693864175</v>
      </c>
      <c r="L86" s="494">
        <f t="shared" si="97"/>
        <v>208683.89937202816</v>
      </c>
      <c r="M86" s="494">
        <f t="shared" si="97"/>
        <v>209340.9154181903</v>
      </c>
      <c r="N86" s="494">
        <f t="shared" si="97"/>
        <v>0</v>
      </c>
    </row>
    <row r="87" spans="2:14">
      <c r="B87" s="490" t="s">
        <v>1383</v>
      </c>
      <c r="C87" s="493"/>
      <c r="E87" s="494">
        <f>calcScenario1Reg4Price</f>
        <v>0</v>
      </c>
      <c r="F87" s="494">
        <f>E87*(1+$C79)</f>
        <v>0</v>
      </c>
      <c r="G87" s="494">
        <f t="shared" ref="G87:N87" si="98">F87*(1+$C79)</f>
        <v>0</v>
      </c>
      <c r="H87" s="494">
        <f t="shared" si="98"/>
        <v>0</v>
      </c>
      <c r="I87" s="494">
        <f t="shared" si="98"/>
        <v>0</v>
      </c>
      <c r="J87" s="494">
        <f t="shared" si="98"/>
        <v>0</v>
      </c>
      <c r="K87" s="494">
        <f t="shared" si="98"/>
        <v>0</v>
      </c>
      <c r="L87" s="494">
        <f t="shared" si="98"/>
        <v>0</v>
      </c>
      <c r="M87" s="494">
        <f t="shared" si="98"/>
        <v>0</v>
      </c>
      <c r="N87" s="494">
        <f t="shared" si="98"/>
        <v>0</v>
      </c>
    </row>
    <row r="88" spans="2:14">
      <c r="B88" s="490" t="s">
        <v>1385</v>
      </c>
      <c r="E88" s="494">
        <f>E86*E87</f>
        <v>0</v>
      </c>
      <c r="F88" s="494">
        <f t="shared" ref="F88" si="99">F86*F87</f>
        <v>0</v>
      </c>
      <c r="G88" s="494">
        <f t="shared" ref="G88" si="100">G86*G87</f>
        <v>0</v>
      </c>
      <c r="H88" s="494">
        <f t="shared" ref="H88" si="101">H86*H87</f>
        <v>0</v>
      </c>
      <c r="I88" s="494">
        <f t="shared" ref="I88" si="102">I86*I87</f>
        <v>0</v>
      </c>
      <c r="J88" s="494">
        <f t="shared" ref="J88" si="103">J86*J87</f>
        <v>0</v>
      </c>
      <c r="K88" s="494">
        <f t="shared" ref="K88" si="104">K86*K87</f>
        <v>0</v>
      </c>
      <c r="L88" s="494">
        <f t="shared" ref="L88" si="105">L86*L87</f>
        <v>0</v>
      </c>
      <c r="M88" s="494">
        <f t="shared" ref="M88" si="106">M86*M87</f>
        <v>0</v>
      </c>
      <c r="N88" s="494">
        <f t="shared" ref="N88" si="107">N86*N87</f>
        <v>0</v>
      </c>
    </row>
    <row r="89" spans="2:14">
      <c r="B89" s="496" t="s">
        <v>1386</v>
      </c>
      <c r="D89" s="497"/>
      <c r="E89" s="498">
        <f>$C80*E88*$C75</f>
        <v>0</v>
      </c>
      <c r="F89" s="498">
        <f t="shared" ref="F89" si="108">$C80*F88*$C75</f>
        <v>0</v>
      </c>
      <c r="G89" s="498">
        <f t="shared" ref="G89" si="109">$C80*G88*$C75</f>
        <v>0</v>
      </c>
      <c r="H89" s="498">
        <f t="shared" ref="H89" si="110">$C80*H88*$C75</f>
        <v>0</v>
      </c>
      <c r="I89" s="498">
        <f t="shared" ref="I89" si="111">$C80*I88*$C75</f>
        <v>0</v>
      </c>
      <c r="J89" s="498">
        <f t="shared" ref="J89" si="112">$C80*J88*$C75</f>
        <v>0</v>
      </c>
      <c r="K89" s="498">
        <f t="shared" ref="K89" si="113">$C80*K88*$C75</f>
        <v>0</v>
      </c>
      <c r="L89" s="498">
        <f t="shared" ref="L89" si="114">$C80*L88*$C75</f>
        <v>0</v>
      </c>
      <c r="M89" s="498">
        <f t="shared" ref="M89" si="115">$C80*M88*$C75</f>
        <v>0</v>
      </c>
      <c r="N89" s="498">
        <f t="shared" ref="N89" si="116">$C80*N88*$C75</f>
        <v>0</v>
      </c>
    </row>
    <row r="90" spans="2:14">
      <c r="B90" s="503"/>
      <c r="C90" s="506"/>
      <c r="D90" s="504"/>
      <c r="E90" s="505"/>
      <c r="F90" s="505"/>
      <c r="G90" s="505"/>
      <c r="H90" s="505"/>
      <c r="I90" s="505"/>
      <c r="J90" s="505"/>
      <c r="K90" s="505"/>
      <c r="L90" s="505"/>
      <c r="M90" s="505"/>
      <c r="N90" s="505"/>
    </row>
    <row r="91" spans="2:14">
      <c r="B91" t="s">
        <v>267</v>
      </c>
      <c r="E91" s="495">
        <f t="shared" ref="E91:N91" si="117">E86*calcScenario1AverageCOGS*$C75</f>
        <v>0</v>
      </c>
      <c r="F91" s="495">
        <f t="shared" si="117"/>
        <v>0</v>
      </c>
      <c r="G91" s="495">
        <f t="shared" si="117"/>
        <v>0</v>
      </c>
      <c r="H91" s="495">
        <f t="shared" si="117"/>
        <v>0</v>
      </c>
      <c r="I91" s="495">
        <f t="shared" si="117"/>
        <v>0</v>
      </c>
      <c r="J91" s="495">
        <f t="shared" si="117"/>
        <v>0</v>
      </c>
      <c r="K91" s="495">
        <f t="shared" si="117"/>
        <v>0</v>
      </c>
      <c r="L91" s="495">
        <f t="shared" si="117"/>
        <v>0</v>
      </c>
      <c r="M91" s="495">
        <f t="shared" si="117"/>
        <v>0</v>
      </c>
      <c r="N91" s="495">
        <f t="shared" si="117"/>
        <v>0</v>
      </c>
    </row>
    <row r="92" spans="2:14">
      <c r="B92" s="500" t="s">
        <v>272</v>
      </c>
      <c r="C92" s="500"/>
      <c r="D92" s="500"/>
      <c r="E92" s="501">
        <f>E89-E91</f>
        <v>0</v>
      </c>
      <c r="F92" s="501">
        <f t="shared" ref="F92" si="118">F89-F91</f>
        <v>0</v>
      </c>
      <c r="G92" s="501">
        <f t="shared" ref="G92" si="119">G89-G91</f>
        <v>0</v>
      </c>
      <c r="H92" s="501">
        <f t="shared" ref="H92" si="120">H89-H91</f>
        <v>0</v>
      </c>
      <c r="I92" s="501">
        <f t="shared" ref="I92" si="121">I89-I91</f>
        <v>0</v>
      </c>
      <c r="J92" s="501">
        <f t="shared" ref="J92" si="122">J89-J91</f>
        <v>0</v>
      </c>
      <c r="K92" s="501">
        <f t="shared" ref="K92" si="123">K89-K91</f>
        <v>0</v>
      </c>
      <c r="L92" s="501">
        <f t="shared" ref="L92" si="124">L89-L91</f>
        <v>0</v>
      </c>
      <c r="M92" s="501">
        <f t="shared" ref="M92" si="125">M89-M91</f>
        <v>0</v>
      </c>
      <c r="N92" s="501">
        <f t="shared" ref="N92" si="126">N89-N91</f>
        <v>0</v>
      </c>
    </row>
    <row r="93" spans="2:14">
      <c r="B93" t="s">
        <v>1195</v>
      </c>
      <c r="E93" s="502">
        <f>IF(E89&gt;0,E92/E89,0)</f>
        <v>0</v>
      </c>
      <c r="F93" s="502">
        <f t="shared" ref="F93" si="127">IF(F89&gt;0,F92/F89,0)</f>
        <v>0</v>
      </c>
      <c r="G93" s="502">
        <f t="shared" ref="G93" si="128">IF(G89&gt;0,G92/G89,0)</f>
        <v>0</v>
      </c>
      <c r="H93" s="502">
        <f t="shared" ref="H93" si="129">IF(H89&gt;0,H92/H89,0)</f>
        <v>0</v>
      </c>
      <c r="I93" s="502">
        <f t="shared" ref="I93" si="130">IF(I89&gt;0,I92/I89,0)</f>
        <v>0</v>
      </c>
      <c r="J93" s="502">
        <f t="shared" ref="J93" si="131">IF(J89&gt;0,J92/J89,0)</f>
        <v>0</v>
      </c>
      <c r="K93" s="502">
        <f t="shared" ref="K93" si="132">IF(K89&gt;0,K92/K89,0)</f>
        <v>0</v>
      </c>
      <c r="L93" s="502">
        <f t="shared" ref="L93" si="133">IF(L89&gt;0,L92/L89,0)</f>
        <v>0</v>
      </c>
      <c r="M93" s="502">
        <f t="shared" ref="M93" si="134">IF(M89&gt;0,M92/M89,0)</f>
        <v>0</v>
      </c>
      <c r="N93" s="502">
        <f t="shared" ref="N93" si="135">IF(N89&gt;0,N92/N89,0)</f>
        <v>0</v>
      </c>
    </row>
    <row r="94" spans="2:14">
      <c r="E94" s="502"/>
      <c r="F94" s="502"/>
      <c r="G94" s="502"/>
      <c r="H94" s="502"/>
      <c r="I94" s="502"/>
      <c r="J94" s="502"/>
      <c r="K94" s="502"/>
      <c r="L94" s="502"/>
      <c r="M94" s="502"/>
      <c r="N94" s="502"/>
    </row>
    <row r="95" spans="2:14">
      <c r="B95" s="500" t="s">
        <v>1198</v>
      </c>
      <c r="C95" s="500"/>
      <c r="D95" s="500"/>
      <c r="E95" s="501">
        <f t="shared" ref="E95:N95" si="136">calcScenario1Reg4SnM*E89</f>
        <v>0</v>
      </c>
      <c r="F95" s="501">
        <f t="shared" si="136"/>
        <v>0</v>
      </c>
      <c r="G95" s="501">
        <f t="shared" si="136"/>
        <v>0</v>
      </c>
      <c r="H95" s="501">
        <f t="shared" si="136"/>
        <v>0</v>
      </c>
      <c r="I95" s="501">
        <f t="shared" si="136"/>
        <v>0</v>
      </c>
      <c r="J95" s="501">
        <f t="shared" si="136"/>
        <v>0</v>
      </c>
      <c r="K95" s="501">
        <f t="shared" si="136"/>
        <v>0</v>
      </c>
      <c r="L95" s="501">
        <f t="shared" si="136"/>
        <v>0</v>
      </c>
      <c r="M95" s="501">
        <f t="shared" si="136"/>
        <v>0</v>
      </c>
      <c r="N95" s="501">
        <f t="shared" si="136"/>
        <v>0</v>
      </c>
    </row>
    <row r="96" spans="2:14" ht="15" thickBot="1">
      <c r="E96" s="495"/>
      <c r="F96" s="495"/>
      <c r="G96" s="495"/>
      <c r="H96" s="495"/>
      <c r="I96" s="495"/>
      <c r="J96" s="495"/>
      <c r="K96" s="495"/>
      <c r="L96" s="495"/>
      <c r="M96" s="495"/>
      <c r="N96" s="495"/>
    </row>
    <row r="97" spans="1:33" ht="15" thickBot="1">
      <c r="A97" s="27" t="s">
        <v>55</v>
      </c>
      <c r="D97" t="s">
        <v>480</v>
      </c>
      <c r="E97" s="507">
        <f>E100/E99</f>
        <v>3.130495168499705E-2</v>
      </c>
    </row>
    <row r="98" spans="1:33">
      <c r="B98" s="490" t="s">
        <v>1387</v>
      </c>
      <c r="D98" s="516">
        <f>E98-1</f>
        <v>2020.325</v>
      </c>
      <c r="E98" s="529">
        <f>D136</f>
        <v>2021.325</v>
      </c>
      <c r="F98" s="529">
        <f>E98+1</f>
        <v>2022.325</v>
      </c>
      <c r="G98" s="529">
        <f t="shared" ref="G98:N98" si="137">F98+1</f>
        <v>2023.325</v>
      </c>
      <c r="H98" s="529">
        <f t="shared" si="137"/>
        <v>2024.325</v>
      </c>
      <c r="I98" s="529">
        <f t="shared" si="137"/>
        <v>2025.325</v>
      </c>
      <c r="J98" s="529">
        <f t="shared" si="137"/>
        <v>2026.325</v>
      </c>
      <c r="K98" s="529">
        <f t="shared" si="137"/>
        <v>2027.325</v>
      </c>
      <c r="L98" s="529">
        <f t="shared" si="137"/>
        <v>2028.325</v>
      </c>
      <c r="M98" s="529">
        <f t="shared" si="137"/>
        <v>2029.325</v>
      </c>
      <c r="N98" s="529">
        <f t="shared" si="137"/>
        <v>2030.325</v>
      </c>
    </row>
    <row r="99" spans="1:33">
      <c r="B99" s="490" t="s">
        <v>1375</v>
      </c>
      <c r="D99">
        <v>0</v>
      </c>
      <c r="E99" s="494">
        <f t="shared" ref="E99:N99" si="138">E16+E39+E62+E85</f>
        <v>6500000</v>
      </c>
      <c r="F99" s="494">
        <f t="shared" si="138"/>
        <v>6500000</v>
      </c>
      <c r="G99" s="494">
        <f t="shared" si="138"/>
        <v>6500000</v>
      </c>
      <c r="H99" s="494">
        <f t="shared" si="138"/>
        <v>6500000</v>
      </c>
      <c r="I99" s="494">
        <f t="shared" si="138"/>
        <v>6500000</v>
      </c>
      <c r="J99" s="494">
        <f t="shared" si="138"/>
        <v>6500000</v>
      </c>
      <c r="K99" s="494">
        <f t="shared" si="138"/>
        <v>6500000</v>
      </c>
      <c r="L99" s="494">
        <f t="shared" si="138"/>
        <v>6500000</v>
      </c>
      <c r="M99" s="494">
        <f t="shared" si="138"/>
        <v>6500000</v>
      </c>
      <c r="N99" s="494">
        <f t="shared" si="138"/>
        <v>6500000</v>
      </c>
      <c r="Q99" s="566"/>
      <c r="R99" s="567"/>
      <c r="S99" s="504"/>
      <c r="T99" s="504"/>
      <c r="U99" s="504"/>
      <c r="V99" s="504"/>
      <c r="W99" s="504"/>
      <c r="X99" s="504"/>
      <c r="Y99" s="504"/>
      <c r="Z99" s="504"/>
      <c r="AA99" s="504"/>
      <c r="AB99" s="504"/>
      <c r="AC99" s="504"/>
      <c r="AD99" s="504"/>
      <c r="AE99" s="504"/>
      <c r="AF99" s="504"/>
      <c r="AG99" s="504"/>
    </row>
    <row r="100" spans="1:33">
      <c r="B100" s="490" t="s">
        <v>1382</v>
      </c>
      <c r="D100">
        <v>0</v>
      </c>
      <c r="E100" s="494">
        <f t="shared" ref="E100:N100" si="139">E17+E40+E63+E86</f>
        <v>203482.18595248082</v>
      </c>
      <c r="F100" s="494">
        <f t="shared" si="139"/>
        <v>304276.83876427205</v>
      </c>
      <c r="G100" s="494">
        <f t="shared" si="139"/>
        <v>372083.27245086385</v>
      </c>
      <c r="H100" s="494">
        <f t="shared" si="139"/>
        <v>411458.24692809721</v>
      </c>
      <c r="I100" s="494">
        <f t="shared" si="139"/>
        <v>432681.75643570209</v>
      </c>
      <c r="J100" s="494">
        <f t="shared" si="139"/>
        <v>443700.57378624659</v>
      </c>
      <c r="K100" s="494">
        <f t="shared" si="139"/>
        <v>449314.76836705714</v>
      </c>
      <c r="L100" s="494">
        <f t="shared" si="139"/>
        <v>452148.44863939431</v>
      </c>
      <c r="M100" s="494">
        <f t="shared" si="139"/>
        <v>453571.983406079</v>
      </c>
      <c r="N100" s="494">
        <f t="shared" si="139"/>
        <v>34945.033122597597</v>
      </c>
      <c r="Q100" s="566"/>
      <c r="R100" s="504"/>
      <c r="S100" s="504"/>
      <c r="T100" s="504"/>
      <c r="U100" s="504"/>
      <c r="V100" s="504"/>
      <c r="W100" s="504"/>
      <c r="X100" s="504"/>
      <c r="Y100" s="504"/>
      <c r="Z100" s="504"/>
      <c r="AA100" s="504"/>
      <c r="AB100" s="504"/>
      <c r="AC100" s="504"/>
      <c r="AD100" s="504"/>
      <c r="AE100" s="504"/>
      <c r="AF100" s="504"/>
      <c r="AG100" s="504"/>
    </row>
    <row r="101" spans="1:33">
      <c r="B101" s="490" t="s">
        <v>1383</v>
      </c>
      <c r="C101" s="493"/>
      <c r="D101">
        <v>0</v>
      </c>
      <c r="E101" s="494">
        <f t="shared" ref="E101:N101" si="140">E18+E41+E64+E87</f>
        <v>183.6</v>
      </c>
      <c r="F101" s="494">
        <f t="shared" si="140"/>
        <v>179.928</v>
      </c>
      <c r="G101" s="494">
        <f t="shared" si="140"/>
        <v>176.32944000000001</v>
      </c>
      <c r="H101" s="494">
        <f t="shared" si="140"/>
        <v>172.80285119999999</v>
      </c>
      <c r="I101" s="494">
        <f t="shared" si="140"/>
        <v>169.346794176</v>
      </c>
      <c r="J101" s="494">
        <f t="shared" si="140"/>
        <v>165.95985829247999</v>
      </c>
      <c r="K101" s="494">
        <f t="shared" si="140"/>
        <v>162.64066112663039</v>
      </c>
      <c r="L101" s="494">
        <f t="shared" si="140"/>
        <v>159.38784790409778</v>
      </c>
      <c r="M101" s="494">
        <f t="shared" si="140"/>
        <v>156.20009094601582</v>
      </c>
      <c r="N101" s="494">
        <f t="shared" si="140"/>
        <v>153.07608912709551</v>
      </c>
      <c r="Q101" s="566"/>
      <c r="R101" s="504"/>
      <c r="S101" s="504"/>
      <c r="T101" s="504"/>
      <c r="U101" s="504"/>
      <c r="V101" s="504"/>
      <c r="W101" s="504"/>
      <c r="X101" s="504"/>
      <c r="Y101" s="504"/>
      <c r="Z101" s="504"/>
      <c r="AA101" s="504"/>
      <c r="AB101" s="504"/>
      <c r="AC101" s="504"/>
      <c r="AD101" s="504"/>
      <c r="AE101" s="504"/>
      <c r="AF101" s="504"/>
      <c r="AG101" s="504"/>
    </row>
    <row r="102" spans="1:33">
      <c r="B102" s="490" t="s">
        <v>1385</v>
      </c>
      <c r="D102">
        <v>0</v>
      </c>
      <c r="E102" s="494">
        <f t="shared" ref="E102:N102" si="141">E19+E42+E65+E88</f>
        <v>5747589.1293654591</v>
      </c>
      <c r="F102" s="494">
        <f t="shared" si="141"/>
        <v>8422757.391565837</v>
      </c>
      <c r="G102" s="494">
        <f t="shared" si="141"/>
        <v>10093728.471481269</v>
      </c>
      <c r="H102" s="494">
        <f t="shared" si="141"/>
        <v>10938639.725989051</v>
      </c>
      <c r="I102" s="494">
        <f t="shared" si="141"/>
        <v>11272810.515511848</v>
      </c>
      <c r="J102" s="494">
        <f t="shared" si="141"/>
        <v>11328689.899978084</v>
      </c>
      <c r="K102" s="494">
        <f t="shared" si="141"/>
        <v>11242592.458642611</v>
      </c>
      <c r="L102" s="494">
        <f t="shared" si="141"/>
        <v>11087225.871047622</v>
      </c>
      <c r="M102" s="494">
        <f t="shared" si="141"/>
        <v>10899690.00901451</v>
      </c>
      <c r="N102" s="494">
        <f t="shared" si="141"/>
        <v>5349249.0048240544</v>
      </c>
      <c r="Q102" s="566"/>
      <c r="R102" s="504"/>
      <c r="S102" s="504"/>
      <c r="T102" s="504"/>
      <c r="U102" s="504"/>
      <c r="V102" s="504"/>
      <c r="W102" s="504"/>
      <c r="X102" s="504"/>
      <c r="Y102" s="504"/>
      <c r="Z102" s="504"/>
      <c r="AA102" s="504"/>
      <c r="AB102" s="504"/>
      <c r="AC102" s="504"/>
      <c r="AD102" s="504"/>
      <c r="AE102" s="504"/>
      <c r="AF102" s="504"/>
      <c r="AG102" s="504"/>
    </row>
    <row r="103" spans="1:33">
      <c r="B103" s="496" t="s">
        <v>1386</v>
      </c>
      <c r="D103" s="497">
        <v>0</v>
      </c>
      <c r="E103" s="498">
        <f t="shared" ref="E103:N103" si="142">E20+E43+E66+E89</f>
        <v>5172830.2164289132</v>
      </c>
      <c r="F103" s="498">
        <f t="shared" si="142"/>
        <v>7580481.6524092536</v>
      </c>
      <c r="G103" s="498">
        <f t="shared" si="142"/>
        <v>9084355.6243331432</v>
      </c>
      <c r="H103" s="498">
        <f t="shared" si="142"/>
        <v>9844775.7533901464</v>
      </c>
      <c r="I103" s="498">
        <f t="shared" si="142"/>
        <v>10145529.463960664</v>
      </c>
      <c r="J103" s="498">
        <f t="shared" si="142"/>
        <v>10195820.909980277</v>
      </c>
      <c r="K103" s="498">
        <f t="shared" si="142"/>
        <v>10118333.21277835</v>
      </c>
      <c r="L103" s="498">
        <f t="shared" si="142"/>
        <v>9978503.2839428596</v>
      </c>
      <c r="M103" s="498">
        <f t="shared" si="142"/>
        <v>9809721.0081130583</v>
      </c>
      <c r="N103" s="498">
        <f t="shared" si="142"/>
        <v>4814324.1043416495</v>
      </c>
      <c r="Q103" s="566"/>
      <c r="R103" s="504"/>
      <c r="S103" s="504"/>
      <c r="T103" s="504"/>
      <c r="U103" s="504"/>
      <c r="V103" s="504"/>
      <c r="W103" s="504"/>
      <c r="X103" s="504"/>
      <c r="Y103" s="504"/>
      <c r="Z103" s="504"/>
      <c r="AA103" s="504"/>
      <c r="AB103" s="504"/>
      <c r="AC103" s="504"/>
      <c r="AD103" s="504"/>
      <c r="AE103" s="504"/>
      <c r="AF103" s="504"/>
      <c r="AG103" s="504"/>
    </row>
    <row r="104" spans="1:33">
      <c r="B104" s="503"/>
      <c r="C104" s="506"/>
      <c r="D104" s="504"/>
      <c r="E104" s="505"/>
      <c r="F104" s="505"/>
      <c r="G104" s="505"/>
      <c r="H104" s="505"/>
      <c r="I104" s="505"/>
      <c r="J104" s="505"/>
      <c r="K104" s="505"/>
      <c r="L104" s="505"/>
      <c r="M104" s="505"/>
      <c r="N104" s="505"/>
      <c r="Q104" s="566"/>
      <c r="R104" s="504"/>
      <c r="S104" s="504"/>
      <c r="T104" s="504"/>
      <c r="U104" s="504"/>
      <c r="V104" s="504"/>
      <c r="W104" s="504"/>
      <c r="X104" s="504"/>
      <c r="Y104" s="504"/>
      <c r="Z104" s="504"/>
      <c r="AA104" s="504"/>
      <c r="AB104" s="504"/>
      <c r="AC104" s="504"/>
      <c r="AD104" s="504"/>
      <c r="AE104" s="504"/>
      <c r="AF104" s="504"/>
      <c r="AG104" s="504"/>
    </row>
    <row r="105" spans="1:33">
      <c r="B105" t="s">
        <v>267</v>
      </c>
      <c r="D105">
        <v>0</v>
      </c>
      <c r="E105" s="495">
        <f t="shared" ref="E105:N105" si="143">E22+E45+E68+E91</f>
        <v>2299035.6517461836</v>
      </c>
      <c r="F105" s="495">
        <f t="shared" si="143"/>
        <v>3437860.1598227904</v>
      </c>
      <c r="G105" s="495">
        <f t="shared" si="143"/>
        <v>4203968.5428909911</v>
      </c>
      <c r="H105" s="495">
        <f t="shared" si="143"/>
        <v>4648845.1775999162</v>
      </c>
      <c r="I105" s="495">
        <f t="shared" si="143"/>
        <v>4888638.1834827634</v>
      </c>
      <c r="J105" s="495">
        <f t="shared" si="143"/>
        <v>5013133.8675172227</v>
      </c>
      <c r="K105" s="495">
        <f t="shared" si="143"/>
        <v>5076565.6290579503</v>
      </c>
      <c r="L105" s="495">
        <f t="shared" si="143"/>
        <v>5108581.8566272482</v>
      </c>
      <c r="M105" s="495">
        <f t="shared" si="143"/>
        <v>5124665.609437298</v>
      </c>
      <c r="N105" s="495">
        <f t="shared" si="143"/>
        <v>2566363.2325235675</v>
      </c>
      <c r="Q105" s="566"/>
      <c r="R105" s="504"/>
      <c r="S105" s="504"/>
      <c r="T105" s="504"/>
      <c r="U105" s="504"/>
      <c r="V105" s="504"/>
      <c r="W105" s="504"/>
      <c r="X105" s="504"/>
      <c r="Y105" s="504"/>
      <c r="Z105" s="504"/>
      <c r="AA105" s="504"/>
      <c r="AB105" s="504"/>
      <c r="AC105" s="504"/>
      <c r="AD105" s="504"/>
      <c r="AE105" s="504"/>
      <c r="AF105" s="504"/>
      <c r="AG105" s="504"/>
    </row>
    <row r="106" spans="1:33">
      <c r="B106" s="500" t="s">
        <v>272</v>
      </c>
      <c r="C106" s="500"/>
      <c r="D106" s="500">
        <v>0</v>
      </c>
      <c r="E106" s="501">
        <f t="shared" ref="E106:N106" si="144">E23+E46+E69+E92</f>
        <v>2873794.5646827295</v>
      </c>
      <c r="F106" s="501">
        <f t="shared" si="144"/>
        <v>4142621.4925864632</v>
      </c>
      <c r="G106" s="501">
        <f t="shared" si="144"/>
        <v>4880387.0814421521</v>
      </c>
      <c r="H106" s="501">
        <f t="shared" si="144"/>
        <v>5195930.5757902302</v>
      </c>
      <c r="I106" s="501">
        <f t="shared" si="144"/>
        <v>5256891.280477901</v>
      </c>
      <c r="J106" s="501">
        <f t="shared" si="144"/>
        <v>5182687.0424630539</v>
      </c>
      <c r="K106" s="501">
        <f t="shared" si="144"/>
        <v>5041767.5837204</v>
      </c>
      <c r="L106" s="501">
        <f t="shared" si="144"/>
        <v>4869921.4273156114</v>
      </c>
      <c r="M106" s="501">
        <f t="shared" si="144"/>
        <v>4685055.3986757603</v>
      </c>
      <c r="N106" s="501">
        <f t="shared" si="144"/>
        <v>2247960.8718180819</v>
      </c>
      <c r="Q106" s="566"/>
      <c r="R106" s="504" t="s">
        <v>540</v>
      </c>
      <c r="S106" s="504" t="s">
        <v>465</v>
      </c>
      <c r="T106" s="504" t="s">
        <v>466</v>
      </c>
      <c r="U106" s="504" t="s">
        <v>467</v>
      </c>
      <c r="V106" s="504"/>
      <c r="W106" s="504"/>
      <c r="X106" s="504"/>
      <c r="Y106" s="504"/>
      <c r="Z106" s="504"/>
      <c r="AA106" s="504"/>
      <c r="AB106" s="504"/>
      <c r="AC106" s="504"/>
      <c r="AD106" s="504"/>
      <c r="AE106" s="504"/>
      <c r="AF106" s="504"/>
      <c r="AG106" s="504"/>
    </row>
    <row r="107" spans="1:33">
      <c r="B107" t="s">
        <v>1195</v>
      </c>
      <c r="D107">
        <v>0</v>
      </c>
      <c r="E107" s="502">
        <f>IF(E103&gt;0,E106/E103,0)</f>
        <v>0.55555555555555558</v>
      </c>
      <c r="F107" s="502">
        <f t="shared" ref="F107" si="145">IF(F103&gt;0,F106/F103,0)</f>
        <v>0.54648526077097515</v>
      </c>
      <c r="G107" s="502">
        <f t="shared" ref="G107" si="146">IF(G103&gt;0,G106/G103,0)</f>
        <v>0.53722985792956646</v>
      </c>
      <c r="H107" s="502">
        <f t="shared" ref="H107" si="147">IF(H103&gt;0,H106/H103,0)</f>
        <v>0.52778556931588405</v>
      </c>
      <c r="I107" s="502">
        <f t="shared" ref="I107" si="148">IF(I103&gt;0,I106/I103,0)</f>
        <v>0.51814854011824918</v>
      </c>
      <c r="J107" s="502">
        <f t="shared" ref="J107" si="149">IF(J103&gt;0,J106/J103,0)</f>
        <v>0.50831483685535628</v>
      </c>
      <c r="K107" s="502">
        <f t="shared" ref="K107" si="150">IF(K103&gt;0,K106/K103,0)</f>
        <v>0.49828044577077163</v>
      </c>
      <c r="L107" s="502">
        <f t="shared" ref="L107" si="151">IF(L103&gt;0,L106/L103,0)</f>
        <v>0.48804127119466489</v>
      </c>
      <c r="M107" s="502">
        <f t="shared" ref="M107" si="152">IF(M103&gt;0,M106/M103,0)</f>
        <v>0.477593133872107</v>
      </c>
      <c r="N107" s="502">
        <f t="shared" ref="N107" si="153">IF(N103&gt;0,N106/N103,0)</f>
        <v>0.46693176925725211</v>
      </c>
      <c r="Q107" s="490" t="s">
        <v>460</v>
      </c>
      <c r="R107" s="504">
        <f>calcScenario1ResearchRnDCost</f>
        <v>800000</v>
      </c>
      <c r="S107" s="504">
        <f>calcScenario1Ph1RnDCost</f>
        <v>3300000</v>
      </c>
      <c r="T107" s="504">
        <f>calcScenario1Ph2RnDCost</f>
        <v>13200000</v>
      </c>
      <c r="U107" s="504">
        <f>calcScenario1Ph3RnDCost</f>
        <v>44000000</v>
      </c>
      <c r="V107" s="504"/>
      <c r="W107" s="504"/>
      <c r="X107" s="504"/>
      <c r="Y107" s="504"/>
      <c r="Z107" s="504"/>
      <c r="AA107" s="504"/>
      <c r="AB107" s="504"/>
      <c r="AC107" s="504"/>
      <c r="AD107" s="504"/>
      <c r="AE107" s="504"/>
      <c r="AF107" s="504"/>
      <c r="AG107" s="504"/>
    </row>
    <row r="108" spans="1:33">
      <c r="E108" s="502"/>
      <c r="F108" s="502"/>
      <c r="G108" s="502"/>
      <c r="H108" s="502"/>
      <c r="I108" s="502"/>
      <c r="J108" s="502"/>
      <c r="K108" s="502"/>
      <c r="L108" s="502"/>
      <c r="M108" s="502"/>
      <c r="N108" s="502"/>
      <c r="Q108" s="490" t="s">
        <v>1390</v>
      </c>
      <c r="R108" s="504">
        <f>decPlanInLicenseCost*1000000/4</f>
        <v>0</v>
      </c>
      <c r="S108" s="504">
        <f>decPlanInLicenseCost*1000000/4</f>
        <v>0</v>
      </c>
      <c r="T108" s="504">
        <f>decPlanInLicenseCost*1000000/4</f>
        <v>0</v>
      </c>
      <c r="U108" s="504">
        <f>decPlanInLicenseCost*1000000/4</f>
        <v>0</v>
      </c>
      <c r="V108" s="504"/>
      <c r="W108" s="504"/>
      <c r="X108" s="504"/>
      <c r="Y108" s="504"/>
      <c r="Z108" s="504"/>
      <c r="AA108" s="504"/>
      <c r="AB108" s="504"/>
      <c r="AC108" s="504"/>
      <c r="AD108" s="504"/>
      <c r="AE108" s="504"/>
      <c r="AF108" s="504"/>
      <c r="AG108" s="504"/>
    </row>
    <row r="109" spans="1:33">
      <c r="B109" s="500" t="s">
        <v>1198</v>
      </c>
      <c r="C109" s="500"/>
      <c r="D109" s="500">
        <v>0</v>
      </c>
      <c r="E109" s="501">
        <f t="shared" ref="E109:N109" si="154">E26+E49+E72+E95</f>
        <v>258641.51082144567</v>
      </c>
      <c r="F109" s="501">
        <f t="shared" si="154"/>
        <v>379024.08262046269</v>
      </c>
      <c r="G109" s="501">
        <f t="shared" si="154"/>
        <v>454217.7812166572</v>
      </c>
      <c r="H109" s="501">
        <f t="shared" si="154"/>
        <v>492238.78766950732</v>
      </c>
      <c r="I109" s="501">
        <f t="shared" si="154"/>
        <v>507276.47319803323</v>
      </c>
      <c r="J109" s="501">
        <f t="shared" si="154"/>
        <v>509791.04549901385</v>
      </c>
      <c r="K109" s="501">
        <f t="shared" si="154"/>
        <v>505916.66063891753</v>
      </c>
      <c r="L109" s="501">
        <f t="shared" si="154"/>
        <v>498925.16419714299</v>
      </c>
      <c r="M109" s="501">
        <f t="shared" si="154"/>
        <v>490486.05040565296</v>
      </c>
      <c r="N109" s="501">
        <f t="shared" si="154"/>
        <v>240716.20521708249</v>
      </c>
      <c r="Q109" s="490" t="s">
        <v>690</v>
      </c>
      <c r="R109" s="504">
        <f>calcScenario1ResearchFTECost</f>
        <v>80000</v>
      </c>
      <c r="S109" s="504">
        <f>calcScenario1Ph1FTECost</f>
        <v>330000</v>
      </c>
      <c r="T109" s="504">
        <f>calcScenario1Ph2FTECost</f>
        <v>1320000</v>
      </c>
      <c r="U109" s="504">
        <f>calcScenario1Ph3FTECost</f>
        <v>4400000</v>
      </c>
      <c r="V109" s="504"/>
      <c r="W109" s="504"/>
      <c r="X109" s="504"/>
      <c r="Y109" s="504"/>
      <c r="Z109" s="504"/>
      <c r="AA109" s="504"/>
      <c r="AB109" s="504"/>
      <c r="AC109" s="504"/>
      <c r="AD109" s="504"/>
      <c r="AE109" s="504"/>
      <c r="AF109" s="504"/>
      <c r="AG109" s="504"/>
    </row>
    <row r="110" spans="1:33">
      <c r="B110" s="504"/>
      <c r="C110" s="504"/>
      <c r="D110" s="504"/>
      <c r="E110" s="508"/>
      <c r="F110" s="508"/>
      <c r="G110" s="508"/>
      <c r="H110" s="508"/>
      <c r="I110" s="508"/>
      <c r="J110" s="508"/>
      <c r="K110" s="508"/>
      <c r="L110" s="508"/>
      <c r="M110" s="508"/>
      <c r="N110" s="508"/>
      <c r="Q110" s="566" t="s">
        <v>55</v>
      </c>
      <c r="R110" s="504">
        <f>SUM(R107:R109)</f>
        <v>880000</v>
      </c>
      <c r="S110" s="504">
        <f t="shared" ref="S110:U110" si="155">SUM(S107:S109)</f>
        <v>3630000</v>
      </c>
      <c r="T110" s="504">
        <f t="shared" si="155"/>
        <v>14520000</v>
      </c>
      <c r="U110" s="504">
        <f t="shared" si="155"/>
        <v>48400000</v>
      </c>
      <c r="V110" s="568">
        <f>SUM(R110:U110)</f>
        <v>67430000</v>
      </c>
      <c r="W110" s="573">
        <f>calcScenario1TotTimeReq</f>
        <v>4.3249999999999993</v>
      </c>
      <c r="X110" s="572">
        <f>V110/W110</f>
        <v>15590751.445086708</v>
      </c>
      <c r="Y110" s="504"/>
      <c r="Z110" s="504"/>
      <c r="AA110" s="504"/>
      <c r="AB110" s="504"/>
      <c r="AC110" s="504"/>
      <c r="AD110" s="504"/>
      <c r="AE110" s="504"/>
      <c r="AF110" s="504"/>
      <c r="AG110" s="504"/>
    </row>
    <row r="111" spans="1:33" ht="15" thickBot="1">
      <c r="B111" s="512" t="s">
        <v>492</v>
      </c>
      <c r="C111" s="513">
        <f>decScenario1Royalty</f>
        <v>0</v>
      </c>
      <c r="D111" s="500">
        <v>0</v>
      </c>
      <c r="E111" s="501">
        <f>$C111*E103</f>
        <v>0</v>
      </c>
      <c r="F111" s="501">
        <f t="shared" ref="F111:N111" si="156">$C111*F103</f>
        <v>0</v>
      </c>
      <c r="G111" s="501">
        <f t="shared" si="156"/>
        <v>0</v>
      </c>
      <c r="H111" s="501">
        <f t="shared" si="156"/>
        <v>0</v>
      </c>
      <c r="I111" s="501">
        <f t="shared" si="156"/>
        <v>0</v>
      </c>
      <c r="J111" s="501">
        <f t="shared" si="156"/>
        <v>0</v>
      </c>
      <c r="K111" s="501">
        <f t="shared" si="156"/>
        <v>0</v>
      </c>
      <c r="L111" s="501">
        <f t="shared" si="156"/>
        <v>0</v>
      </c>
      <c r="M111" s="501">
        <f t="shared" si="156"/>
        <v>0</v>
      </c>
      <c r="N111" s="501">
        <f t="shared" si="156"/>
        <v>0</v>
      </c>
      <c r="Q111" s="566" t="s">
        <v>616</v>
      </c>
      <c r="R111" s="570">
        <f>calcScenario1ResearchPTS</f>
        <v>0.9</v>
      </c>
      <c r="S111" s="570">
        <f>calcScenario1ResearchPTS</f>
        <v>0.9</v>
      </c>
      <c r="T111" s="570">
        <f>calcScenario1ResearchPTS</f>
        <v>0.9</v>
      </c>
      <c r="U111" s="570">
        <f>calcScenario1ResearchPTS</f>
        <v>0.9</v>
      </c>
      <c r="V111" s="504"/>
      <c r="W111" s="504"/>
      <c r="X111" s="504"/>
      <c r="Y111" s="504"/>
      <c r="Z111" s="504"/>
      <c r="AA111" s="504"/>
      <c r="AB111" s="504"/>
      <c r="AC111" s="504"/>
      <c r="AD111" s="504"/>
      <c r="AE111" s="504"/>
      <c r="AF111" s="504"/>
      <c r="AG111" s="504"/>
    </row>
    <row r="112" spans="1:33" ht="15" thickBot="1">
      <c r="B112" s="504"/>
      <c r="C112" s="504"/>
      <c r="D112" s="504"/>
      <c r="E112" s="508"/>
      <c r="F112" s="508"/>
      <c r="G112" s="508"/>
      <c r="H112" s="508"/>
      <c r="I112" s="508"/>
      <c r="J112" s="508"/>
      <c r="K112" s="508"/>
      <c r="L112" s="508"/>
      <c r="M112" s="508"/>
      <c r="N112" s="508"/>
      <c r="Q112" s="566"/>
      <c r="R112" s="511">
        <f>R110*R111</f>
        <v>792000</v>
      </c>
      <c r="S112" s="511">
        <f t="shared" ref="S112:U112" si="157">S110*S111</f>
        <v>3267000</v>
      </c>
      <c r="T112" s="511">
        <f t="shared" si="157"/>
        <v>13068000</v>
      </c>
      <c r="U112" s="511">
        <f t="shared" si="157"/>
        <v>43560000</v>
      </c>
      <c r="V112" s="571">
        <f>SUM(R112:U112)</f>
        <v>60687000</v>
      </c>
      <c r="W112" s="573">
        <f>calcScenario1TotTimeReq</f>
        <v>4.3249999999999993</v>
      </c>
      <c r="X112" s="572">
        <f>V112/W112</f>
        <v>14031676.300578037</v>
      </c>
      <c r="Y112" s="504"/>
      <c r="Z112" s="504"/>
      <c r="AA112" s="504"/>
      <c r="AB112" s="504"/>
      <c r="AC112" s="504"/>
      <c r="AD112" s="504"/>
      <c r="AE112" s="504"/>
      <c r="AF112" s="504"/>
      <c r="AG112" s="504"/>
    </row>
    <row r="113" spans="2:43" ht="15" thickBot="1">
      <c r="B113" s="490" t="s">
        <v>690</v>
      </c>
      <c r="D113" s="509">
        <f>calcScenario1TotFTECost</f>
        <v>6130000</v>
      </c>
      <c r="E113" s="514">
        <v>0</v>
      </c>
      <c r="F113" s="514">
        <v>0</v>
      </c>
      <c r="G113" s="514">
        <v>0</v>
      </c>
      <c r="H113" s="514">
        <v>0</v>
      </c>
      <c r="I113" s="514">
        <v>0</v>
      </c>
      <c r="J113" s="514">
        <v>0</v>
      </c>
      <c r="K113" s="514">
        <v>0</v>
      </c>
      <c r="L113" s="514">
        <v>0</v>
      </c>
      <c r="M113" s="514">
        <v>0</v>
      </c>
      <c r="N113" s="502"/>
      <c r="V113" s="504"/>
      <c r="W113" s="574">
        <f>ROUND(W112,0)</f>
        <v>4</v>
      </c>
      <c r="X113" s="504"/>
      <c r="Y113" s="504"/>
      <c r="Z113" s="504"/>
      <c r="AA113" s="504"/>
      <c r="AB113" s="504"/>
      <c r="AC113" s="504"/>
      <c r="AD113" s="504"/>
      <c r="AE113" s="504"/>
      <c r="AF113" s="504"/>
      <c r="AG113" s="504"/>
    </row>
    <row r="114" spans="2:43" ht="15" thickBot="1">
      <c r="B114" s="490" t="s">
        <v>460</v>
      </c>
      <c r="C114" s="488">
        <v>0.01</v>
      </c>
      <c r="D114" s="509">
        <f>calcScenario1TotRnDCost</f>
        <v>61300000</v>
      </c>
      <c r="E114" s="514">
        <f>$C114*E103</f>
        <v>51728.302164289133</v>
      </c>
      <c r="F114" s="514">
        <f t="shared" ref="F114:N114" si="158">$C114*F103</f>
        <v>75804.816524092545</v>
      </c>
      <c r="G114" s="514">
        <f t="shared" si="158"/>
        <v>90843.556243331434</v>
      </c>
      <c r="H114" s="514">
        <f t="shared" si="158"/>
        <v>98447.757533901473</v>
      </c>
      <c r="I114" s="514">
        <f t="shared" si="158"/>
        <v>101455.29463960664</v>
      </c>
      <c r="J114" s="514">
        <f t="shared" si="158"/>
        <v>101958.20909980277</v>
      </c>
      <c r="K114" s="514">
        <f t="shared" si="158"/>
        <v>101183.33212778351</v>
      </c>
      <c r="L114" s="514">
        <f t="shared" si="158"/>
        <v>99785.032839428604</v>
      </c>
      <c r="M114" s="514">
        <f t="shared" si="158"/>
        <v>98097.210081130586</v>
      </c>
      <c r="N114" s="514">
        <f t="shared" si="158"/>
        <v>48143.241043416492</v>
      </c>
      <c r="Q114" s="566"/>
      <c r="R114">
        <v>0</v>
      </c>
      <c r="S114">
        <v>1</v>
      </c>
      <c r="T114">
        <v>2</v>
      </c>
      <c r="U114">
        <v>3</v>
      </c>
      <c r="V114">
        <v>4</v>
      </c>
      <c r="W114">
        <v>5</v>
      </c>
      <c r="X114">
        <v>6</v>
      </c>
      <c r="Y114">
        <v>7</v>
      </c>
      <c r="Z114">
        <v>8</v>
      </c>
      <c r="AA114">
        <v>9</v>
      </c>
      <c r="AB114">
        <v>10</v>
      </c>
      <c r="AC114">
        <v>11</v>
      </c>
      <c r="AD114">
        <v>12</v>
      </c>
      <c r="AE114">
        <v>13</v>
      </c>
      <c r="AF114">
        <v>14</v>
      </c>
      <c r="AG114">
        <v>15</v>
      </c>
      <c r="AH114">
        <v>16</v>
      </c>
      <c r="AI114">
        <v>17</v>
      </c>
      <c r="AJ114">
        <v>18</v>
      </c>
      <c r="AK114">
        <v>19</v>
      </c>
      <c r="AL114">
        <v>20</v>
      </c>
      <c r="AM114">
        <v>21</v>
      </c>
      <c r="AN114">
        <v>22</v>
      </c>
      <c r="AO114">
        <v>23</v>
      </c>
      <c r="AP114">
        <v>24</v>
      </c>
      <c r="AQ114">
        <v>25</v>
      </c>
    </row>
    <row r="115" spans="2:43">
      <c r="B115" s="490" t="s">
        <v>1390</v>
      </c>
      <c r="D115" s="509">
        <f>decPlanInLicenseCost*1000000</f>
        <v>0</v>
      </c>
      <c r="E115" s="514">
        <v>0</v>
      </c>
      <c r="F115" s="514">
        <v>0</v>
      </c>
      <c r="G115" s="514">
        <v>0</v>
      </c>
      <c r="H115" s="514">
        <v>0</v>
      </c>
      <c r="I115" s="514">
        <v>0</v>
      </c>
      <c r="J115" s="514">
        <v>0</v>
      </c>
      <c r="K115" s="514">
        <v>0</v>
      </c>
      <c r="L115" s="514">
        <v>0</v>
      </c>
      <c r="M115" s="514">
        <v>0</v>
      </c>
      <c r="N115" s="502"/>
      <c r="Q115" s="490"/>
      <c r="R115" s="509"/>
    </row>
    <row r="116" spans="2:43">
      <c r="B116" s="500" t="s">
        <v>1197</v>
      </c>
      <c r="C116" s="500"/>
      <c r="D116" s="510">
        <f>SUM(D113:D114)</f>
        <v>67430000</v>
      </c>
      <c r="E116" s="510">
        <f t="shared" ref="E116:N116" si="159">SUM(E113:E115)</f>
        <v>51728.302164289133</v>
      </c>
      <c r="F116" s="510">
        <f t="shared" si="159"/>
        <v>75804.816524092545</v>
      </c>
      <c r="G116" s="510">
        <f t="shared" si="159"/>
        <v>90843.556243331434</v>
      </c>
      <c r="H116" s="510">
        <f t="shared" si="159"/>
        <v>98447.757533901473</v>
      </c>
      <c r="I116" s="510">
        <f t="shared" si="159"/>
        <v>101455.29463960664</v>
      </c>
      <c r="J116" s="510">
        <f t="shared" si="159"/>
        <v>101958.20909980277</v>
      </c>
      <c r="K116" s="510">
        <f t="shared" si="159"/>
        <v>101183.33212778351</v>
      </c>
      <c r="L116" s="510">
        <f t="shared" si="159"/>
        <v>99785.032839428604</v>
      </c>
      <c r="M116" s="510">
        <f t="shared" si="159"/>
        <v>98097.210081130586</v>
      </c>
      <c r="N116" s="510">
        <f t="shared" si="159"/>
        <v>48143.241043416492</v>
      </c>
      <c r="Q116" s="490" t="s">
        <v>1197</v>
      </c>
      <c r="R116">
        <f>IF(R114&lt;$W113,$X112,0)*(-1)</f>
        <v>-14031676.300578037</v>
      </c>
      <c r="S116">
        <f t="shared" ref="S116:AG116" si="160">IF(S114&lt;$W113,$X112,0)*(-1)</f>
        <v>-14031676.300578037</v>
      </c>
      <c r="T116">
        <f t="shared" si="160"/>
        <v>-14031676.300578037</v>
      </c>
      <c r="U116">
        <f t="shared" si="160"/>
        <v>-14031676.300578037</v>
      </c>
      <c r="V116">
        <f t="shared" si="160"/>
        <v>0</v>
      </c>
      <c r="W116">
        <f t="shared" si="160"/>
        <v>0</v>
      </c>
      <c r="X116">
        <f t="shared" si="160"/>
        <v>0</v>
      </c>
      <c r="Y116">
        <f t="shared" si="160"/>
        <v>0</v>
      </c>
      <c r="Z116">
        <f t="shared" si="160"/>
        <v>0</v>
      </c>
      <c r="AA116">
        <f t="shared" si="160"/>
        <v>0</v>
      </c>
      <c r="AB116">
        <f t="shared" si="160"/>
        <v>0</v>
      </c>
      <c r="AC116">
        <f t="shared" si="160"/>
        <v>0</v>
      </c>
      <c r="AD116">
        <f t="shared" si="160"/>
        <v>0</v>
      </c>
      <c r="AE116">
        <f t="shared" si="160"/>
        <v>0</v>
      </c>
      <c r="AF116">
        <f t="shared" si="160"/>
        <v>0</v>
      </c>
      <c r="AG116">
        <f t="shared" si="160"/>
        <v>0</v>
      </c>
      <c r="AH116">
        <f t="shared" ref="AH116:AQ116" si="161">IF(AH114&lt;$W113,$X112,0)*(-1)</f>
        <v>0</v>
      </c>
      <c r="AI116">
        <f t="shared" si="161"/>
        <v>0</v>
      </c>
      <c r="AJ116">
        <f t="shared" si="161"/>
        <v>0</v>
      </c>
      <c r="AK116">
        <f t="shared" si="161"/>
        <v>0</v>
      </c>
      <c r="AL116">
        <f t="shared" si="161"/>
        <v>0</v>
      </c>
      <c r="AM116">
        <f t="shared" si="161"/>
        <v>0</v>
      </c>
      <c r="AN116">
        <f t="shared" si="161"/>
        <v>0</v>
      </c>
      <c r="AO116">
        <f t="shared" si="161"/>
        <v>0</v>
      </c>
      <c r="AP116">
        <f t="shared" si="161"/>
        <v>0</v>
      </c>
      <c r="AQ116">
        <f t="shared" si="161"/>
        <v>0</v>
      </c>
    </row>
    <row r="117" spans="2:43">
      <c r="B117" s="504"/>
      <c r="C117" s="504"/>
      <c r="D117" s="511"/>
      <c r="Q117" s="490"/>
      <c r="R117" s="511"/>
      <c r="S117" s="511"/>
      <c r="T117" s="511"/>
      <c r="U117" s="511"/>
      <c r="V117" s="511"/>
      <c r="W117" s="511"/>
      <c r="X117" s="511"/>
      <c r="Y117" s="511"/>
      <c r="Z117" s="511"/>
      <c r="AA117" s="511"/>
      <c r="AB117" s="511"/>
      <c r="AC117" s="511"/>
      <c r="AD117" s="511"/>
      <c r="AE117" s="511"/>
      <c r="AF117" s="511"/>
      <c r="AG117" s="511"/>
      <c r="AH117" s="511"/>
      <c r="AI117" s="511"/>
      <c r="AJ117" s="511"/>
      <c r="AK117" s="511"/>
      <c r="AL117" s="511"/>
      <c r="AM117" s="511"/>
      <c r="AN117" s="511"/>
      <c r="AO117" s="511"/>
      <c r="AP117" s="511"/>
      <c r="AQ117" s="511"/>
    </row>
    <row r="118" spans="2:43">
      <c r="B118" s="568" t="s">
        <v>1389</v>
      </c>
      <c r="C118" s="504"/>
      <c r="D118" s="511">
        <f>D109+D111+D116</f>
        <v>67430000</v>
      </c>
      <c r="E118" s="511">
        <f t="shared" ref="E118:N118" si="162">E109+E111+E116</f>
        <v>310369.81298573478</v>
      </c>
      <c r="F118" s="511">
        <f t="shared" si="162"/>
        <v>454828.89914455521</v>
      </c>
      <c r="G118" s="511">
        <f t="shared" si="162"/>
        <v>545061.33745998866</v>
      </c>
      <c r="H118" s="511">
        <f t="shared" si="162"/>
        <v>590686.54520340881</v>
      </c>
      <c r="I118" s="511">
        <f t="shared" si="162"/>
        <v>608731.7678376399</v>
      </c>
      <c r="J118" s="511">
        <f t="shared" si="162"/>
        <v>611749.25459881662</v>
      </c>
      <c r="K118" s="511">
        <f t="shared" si="162"/>
        <v>607099.99276670103</v>
      </c>
      <c r="L118" s="511">
        <f t="shared" si="162"/>
        <v>598710.19703657157</v>
      </c>
      <c r="M118" s="511">
        <f t="shared" si="162"/>
        <v>588583.26048678358</v>
      </c>
      <c r="N118" s="511">
        <f t="shared" si="162"/>
        <v>288859.44626049895</v>
      </c>
      <c r="Q118" s="490" t="s">
        <v>1389</v>
      </c>
      <c r="R118" s="511">
        <f>R116</f>
        <v>-14031676.300578037</v>
      </c>
      <c r="S118" s="511">
        <f t="shared" ref="S118:AG118" si="163">S116</f>
        <v>-14031676.300578037</v>
      </c>
      <c r="T118" s="511">
        <f t="shared" si="163"/>
        <v>-14031676.300578037</v>
      </c>
      <c r="U118" s="511">
        <f t="shared" si="163"/>
        <v>-14031676.300578037</v>
      </c>
      <c r="V118" s="511">
        <f t="shared" si="163"/>
        <v>0</v>
      </c>
      <c r="W118" s="511">
        <f t="shared" si="163"/>
        <v>0</v>
      </c>
      <c r="X118" s="511">
        <f t="shared" si="163"/>
        <v>0</v>
      </c>
      <c r="Y118" s="511">
        <f t="shared" si="163"/>
        <v>0</v>
      </c>
      <c r="Z118" s="511">
        <f t="shared" si="163"/>
        <v>0</v>
      </c>
      <c r="AA118" s="511">
        <f t="shared" si="163"/>
        <v>0</v>
      </c>
      <c r="AB118" s="511">
        <f t="shared" si="163"/>
        <v>0</v>
      </c>
      <c r="AC118" s="511">
        <f t="shared" si="163"/>
        <v>0</v>
      </c>
      <c r="AD118" s="511">
        <f t="shared" si="163"/>
        <v>0</v>
      </c>
      <c r="AE118" s="511">
        <f t="shared" si="163"/>
        <v>0</v>
      </c>
      <c r="AF118" s="511">
        <f t="shared" si="163"/>
        <v>0</v>
      </c>
      <c r="AG118" s="511">
        <f t="shared" si="163"/>
        <v>0</v>
      </c>
      <c r="AH118" s="511">
        <f t="shared" ref="AH118:AQ118" si="164">AH116</f>
        <v>0</v>
      </c>
      <c r="AI118" s="511">
        <f t="shared" si="164"/>
        <v>0</v>
      </c>
      <c r="AJ118" s="511">
        <f t="shared" si="164"/>
        <v>0</v>
      </c>
      <c r="AK118" s="511">
        <f t="shared" si="164"/>
        <v>0</v>
      </c>
      <c r="AL118" s="511">
        <f t="shared" si="164"/>
        <v>0</v>
      </c>
      <c r="AM118" s="511">
        <f t="shared" si="164"/>
        <v>0</v>
      </c>
      <c r="AN118" s="511">
        <f t="shared" si="164"/>
        <v>0</v>
      </c>
      <c r="AO118" s="511">
        <f t="shared" si="164"/>
        <v>0</v>
      </c>
      <c r="AP118" s="511">
        <f t="shared" si="164"/>
        <v>0</v>
      </c>
      <c r="AQ118" s="511">
        <f t="shared" si="164"/>
        <v>0</v>
      </c>
    </row>
    <row r="119" spans="2:43">
      <c r="B119" s="504" t="s">
        <v>1201</v>
      </c>
      <c r="C119" s="504"/>
      <c r="D119" s="505">
        <f>D103-D105-D118</f>
        <v>-67430000</v>
      </c>
      <c r="E119" s="505">
        <f t="shared" ref="E119:N119" si="165">E103-E105-E118</f>
        <v>2563424.7516969945</v>
      </c>
      <c r="F119" s="505">
        <f t="shared" si="165"/>
        <v>3687792.5934419082</v>
      </c>
      <c r="G119" s="505">
        <f t="shared" si="165"/>
        <v>4335325.7439821633</v>
      </c>
      <c r="H119" s="505">
        <f t="shared" si="165"/>
        <v>4605244.030586821</v>
      </c>
      <c r="I119" s="505">
        <f t="shared" si="165"/>
        <v>4648159.5126402611</v>
      </c>
      <c r="J119" s="511">
        <f t="shared" si="165"/>
        <v>4570937.7878642371</v>
      </c>
      <c r="K119" s="511">
        <f t="shared" si="165"/>
        <v>4434667.5909536993</v>
      </c>
      <c r="L119" s="511">
        <f t="shared" si="165"/>
        <v>4271211.2302790396</v>
      </c>
      <c r="M119" s="511">
        <f t="shared" si="165"/>
        <v>4096472.1381889768</v>
      </c>
      <c r="N119" s="511">
        <f t="shared" si="165"/>
        <v>1959101.4255575831</v>
      </c>
      <c r="Q119" s="490" t="s">
        <v>1201</v>
      </c>
      <c r="R119" s="511">
        <f>R118</f>
        <v>-14031676.300578037</v>
      </c>
      <c r="S119" s="511">
        <f t="shared" ref="S119:AG119" si="166">S118</f>
        <v>-14031676.300578037</v>
      </c>
      <c r="T119" s="511">
        <f t="shared" si="166"/>
        <v>-14031676.300578037</v>
      </c>
      <c r="U119" s="511">
        <f t="shared" si="166"/>
        <v>-14031676.300578037</v>
      </c>
      <c r="V119" s="511">
        <f t="shared" si="166"/>
        <v>0</v>
      </c>
      <c r="W119" s="511">
        <f t="shared" si="166"/>
        <v>0</v>
      </c>
      <c r="X119" s="511">
        <f t="shared" si="166"/>
        <v>0</v>
      </c>
      <c r="Y119" s="511">
        <f t="shared" si="166"/>
        <v>0</v>
      </c>
      <c r="Z119" s="511">
        <f t="shared" si="166"/>
        <v>0</v>
      </c>
      <c r="AA119" s="511">
        <f t="shared" si="166"/>
        <v>0</v>
      </c>
      <c r="AB119" s="511">
        <f t="shared" si="166"/>
        <v>0</v>
      </c>
      <c r="AC119" s="511">
        <f t="shared" si="166"/>
        <v>0</v>
      </c>
      <c r="AD119" s="511">
        <f t="shared" si="166"/>
        <v>0</v>
      </c>
      <c r="AE119" s="511">
        <f t="shared" si="166"/>
        <v>0</v>
      </c>
      <c r="AF119" s="511">
        <f t="shared" si="166"/>
        <v>0</v>
      </c>
      <c r="AG119" s="511">
        <f t="shared" si="166"/>
        <v>0</v>
      </c>
      <c r="AH119" s="511">
        <f t="shared" ref="AH119" si="167">AH118</f>
        <v>0</v>
      </c>
      <c r="AI119" s="511">
        <f t="shared" ref="AI119" si="168">AI118</f>
        <v>0</v>
      </c>
      <c r="AJ119" s="511">
        <f t="shared" ref="AJ119" si="169">AJ118</f>
        <v>0</v>
      </c>
      <c r="AK119" s="511">
        <f t="shared" ref="AK119" si="170">AK118</f>
        <v>0</v>
      </c>
      <c r="AL119" s="511">
        <f t="shared" ref="AL119" si="171">AL118</f>
        <v>0</v>
      </c>
      <c r="AM119" s="511">
        <f t="shared" ref="AM119" si="172">AM118</f>
        <v>0</v>
      </c>
      <c r="AN119" s="511">
        <f t="shared" ref="AN119" si="173">AN118</f>
        <v>0</v>
      </c>
      <c r="AO119" s="511">
        <f t="shared" ref="AO119" si="174">AO118</f>
        <v>0</v>
      </c>
      <c r="AP119" s="511">
        <f t="shared" ref="AP119" si="175">AP118</f>
        <v>0</v>
      </c>
      <c r="AQ119" s="511">
        <f t="shared" ref="AQ119" si="176">AQ118</f>
        <v>0</v>
      </c>
    </row>
    <row r="120" spans="2:43" ht="15" thickBot="1">
      <c r="B120" s="504" t="s">
        <v>1499</v>
      </c>
      <c r="C120" s="499">
        <v>0.4</v>
      </c>
      <c r="D120" s="569">
        <f>$C120*D119</f>
        <v>-26972000</v>
      </c>
      <c r="E120" s="569">
        <f t="shared" ref="E120:N120" si="177">$C120*E119</f>
        <v>1025369.9006787979</v>
      </c>
      <c r="F120" s="569">
        <f t="shared" si="177"/>
        <v>1475117.0373767633</v>
      </c>
      <c r="G120" s="569">
        <f t="shared" si="177"/>
        <v>1734130.2975928653</v>
      </c>
      <c r="H120" s="569">
        <f t="shared" si="177"/>
        <v>1842097.6122347284</v>
      </c>
      <c r="I120" s="569">
        <f t="shared" si="177"/>
        <v>1859263.8050561044</v>
      </c>
      <c r="J120" s="569">
        <f t="shared" si="177"/>
        <v>1828375.1151456949</v>
      </c>
      <c r="K120" s="569">
        <f t="shared" si="177"/>
        <v>1773867.0363814798</v>
      </c>
      <c r="L120" s="569">
        <f t="shared" si="177"/>
        <v>1708484.4921116158</v>
      </c>
      <c r="M120" s="569">
        <f t="shared" si="177"/>
        <v>1638588.8552755909</v>
      </c>
      <c r="N120" s="569">
        <f t="shared" si="177"/>
        <v>783640.57022303331</v>
      </c>
      <c r="Q120" s="490" t="s">
        <v>1499</v>
      </c>
      <c r="R120" s="511">
        <v>0</v>
      </c>
      <c r="S120" s="511">
        <v>0</v>
      </c>
      <c r="T120" s="511">
        <v>0</v>
      </c>
      <c r="U120" s="511">
        <v>0</v>
      </c>
      <c r="V120" s="511">
        <v>0</v>
      </c>
      <c r="W120" s="511">
        <v>0</v>
      </c>
      <c r="X120" s="511">
        <v>0</v>
      </c>
      <c r="Y120" s="511">
        <v>0</v>
      </c>
      <c r="Z120" s="511">
        <v>0</v>
      </c>
      <c r="AA120" s="511">
        <v>0</v>
      </c>
      <c r="AB120" s="511">
        <v>0</v>
      </c>
      <c r="AC120" s="511">
        <v>0</v>
      </c>
      <c r="AD120" s="511">
        <v>0</v>
      </c>
      <c r="AE120" s="511">
        <v>0</v>
      </c>
      <c r="AF120" s="511">
        <v>0</v>
      </c>
      <c r="AG120" s="511">
        <v>0</v>
      </c>
      <c r="AH120" s="511">
        <v>0</v>
      </c>
      <c r="AI120" s="511">
        <v>0</v>
      </c>
      <c r="AJ120" s="511">
        <v>0</v>
      </c>
      <c r="AK120" s="511">
        <v>0</v>
      </c>
      <c r="AL120" s="511">
        <v>0</v>
      </c>
      <c r="AM120" s="511">
        <v>0</v>
      </c>
      <c r="AN120" s="511">
        <v>0</v>
      </c>
      <c r="AO120" s="511">
        <v>0</v>
      </c>
      <c r="AP120" s="511">
        <v>0</v>
      </c>
      <c r="AQ120" s="511">
        <v>0</v>
      </c>
    </row>
    <row r="121" spans="2:43">
      <c r="B121" s="500" t="s">
        <v>1498</v>
      </c>
      <c r="C121" s="504"/>
      <c r="D121" s="517">
        <f>IF(D119&lt;0,D119,D119-D120)</f>
        <v>-67430000</v>
      </c>
      <c r="E121" s="518">
        <f t="shared" ref="E121:N121" si="178">IF(E119&lt;0,E119,E119-E120)</f>
        <v>1538054.8510181967</v>
      </c>
      <c r="F121" s="518">
        <f t="shared" si="178"/>
        <v>2212675.5560651449</v>
      </c>
      <c r="G121" s="518">
        <f t="shared" si="178"/>
        <v>2601195.446389298</v>
      </c>
      <c r="H121" s="518">
        <f t="shared" si="178"/>
        <v>2763146.4183520926</v>
      </c>
      <c r="I121" s="518">
        <f t="shared" si="178"/>
        <v>2788895.7075841567</v>
      </c>
      <c r="J121" s="510">
        <f t="shared" si="178"/>
        <v>2742562.6727185422</v>
      </c>
      <c r="K121" s="510">
        <f t="shared" si="178"/>
        <v>2660800.5545722195</v>
      </c>
      <c r="L121" s="510">
        <f t="shared" si="178"/>
        <v>2562726.7381674238</v>
      </c>
      <c r="M121" s="510">
        <f t="shared" si="178"/>
        <v>2457883.2829133859</v>
      </c>
      <c r="N121" s="510">
        <f t="shared" si="178"/>
        <v>1175460.8553345497</v>
      </c>
      <c r="Q121" s="490" t="s">
        <v>1498</v>
      </c>
      <c r="R121" s="569">
        <v>0</v>
      </c>
      <c r="S121" s="569">
        <v>0</v>
      </c>
      <c r="T121" s="569">
        <v>0</v>
      </c>
      <c r="U121" s="569">
        <v>0</v>
      </c>
      <c r="V121" s="569">
        <v>0</v>
      </c>
      <c r="W121" s="569">
        <v>0</v>
      </c>
      <c r="X121" s="569">
        <v>0</v>
      </c>
      <c r="Y121" s="569">
        <v>0</v>
      </c>
      <c r="Z121" s="569">
        <v>0</v>
      </c>
      <c r="AA121" s="569">
        <v>0</v>
      </c>
      <c r="AB121" s="569">
        <v>0</v>
      </c>
      <c r="AC121" s="569">
        <v>0</v>
      </c>
      <c r="AD121" s="569">
        <v>0</v>
      </c>
      <c r="AE121" s="569">
        <v>0</v>
      </c>
      <c r="AF121" s="569">
        <v>0</v>
      </c>
      <c r="AG121" s="569">
        <v>0</v>
      </c>
      <c r="AH121" s="569">
        <v>0</v>
      </c>
      <c r="AI121" s="569">
        <v>0</v>
      </c>
      <c r="AJ121" s="569">
        <v>0</v>
      </c>
      <c r="AK121" s="569">
        <v>0</v>
      </c>
      <c r="AL121" s="569">
        <v>0</v>
      </c>
      <c r="AM121" s="569">
        <v>0</v>
      </c>
      <c r="AN121" s="569">
        <v>0</v>
      </c>
      <c r="AO121" s="569">
        <v>0</v>
      </c>
      <c r="AP121" s="569">
        <v>0</v>
      </c>
      <c r="AQ121" s="569">
        <v>0</v>
      </c>
    </row>
    <row r="122" spans="2:43">
      <c r="B122" s="504" t="s">
        <v>1391</v>
      </c>
      <c r="C122" s="504"/>
      <c r="D122" s="519">
        <f t="shared" ref="D122:N122" si="179">IF(D103=0,0,D121/D103)</f>
        <v>0</v>
      </c>
      <c r="E122" s="519">
        <f t="shared" si="179"/>
        <v>0.29733333333333328</v>
      </c>
      <c r="F122" s="519">
        <f t="shared" si="179"/>
        <v>0.29189115646258507</v>
      </c>
      <c r="G122" s="519">
        <f t="shared" si="179"/>
        <v>0.28633791475773984</v>
      </c>
      <c r="H122" s="519">
        <f t="shared" si="179"/>
        <v>0.28067134158953044</v>
      </c>
      <c r="I122" s="519">
        <f t="shared" si="179"/>
        <v>0.27488912407094951</v>
      </c>
      <c r="J122" s="519">
        <f t="shared" si="179"/>
        <v>0.26898890211321369</v>
      </c>
      <c r="K122" s="519">
        <f t="shared" si="179"/>
        <v>0.26296826746246299</v>
      </c>
      <c r="L122" s="519">
        <f t="shared" si="179"/>
        <v>0.25682476271679894</v>
      </c>
      <c r="M122" s="519">
        <f t="shared" si="179"/>
        <v>0.2505558803232642</v>
      </c>
      <c r="N122" s="519">
        <f t="shared" si="179"/>
        <v>0.24415906155435124</v>
      </c>
      <c r="Q122" s="490" t="s">
        <v>1391</v>
      </c>
      <c r="R122" s="519">
        <v>0</v>
      </c>
      <c r="S122" s="519">
        <v>0</v>
      </c>
      <c r="T122" s="519">
        <v>0</v>
      </c>
      <c r="U122" s="519">
        <v>0</v>
      </c>
      <c r="V122" s="519">
        <v>0</v>
      </c>
      <c r="W122" s="519">
        <v>0</v>
      </c>
      <c r="X122" s="519">
        <v>0</v>
      </c>
      <c r="Y122" s="519">
        <v>0</v>
      </c>
      <c r="Z122" s="519">
        <v>0</v>
      </c>
      <c r="AA122" s="519">
        <v>0</v>
      </c>
      <c r="AB122" s="519">
        <v>0</v>
      </c>
      <c r="AC122" s="519">
        <v>0</v>
      </c>
      <c r="AD122" s="519">
        <v>0</v>
      </c>
      <c r="AE122" s="519">
        <v>0</v>
      </c>
      <c r="AF122" s="519">
        <v>0</v>
      </c>
      <c r="AG122" s="519">
        <v>0</v>
      </c>
      <c r="AH122" s="519">
        <v>0</v>
      </c>
      <c r="AI122" s="519">
        <v>0</v>
      </c>
      <c r="AJ122" s="519">
        <v>0</v>
      </c>
      <c r="AK122" s="519">
        <v>0</v>
      </c>
      <c r="AL122" s="519">
        <v>0</v>
      </c>
      <c r="AM122" s="519">
        <v>0</v>
      </c>
      <c r="AN122" s="519">
        <v>0</v>
      </c>
      <c r="AO122" s="519">
        <v>0</v>
      </c>
      <c r="AP122" s="519">
        <v>0</v>
      </c>
      <c r="AQ122" s="519">
        <v>0</v>
      </c>
    </row>
    <row r="123" spans="2:43">
      <c r="D123" s="515"/>
      <c r="E123" s="494"/>
      <c r="F123" s="494"/>
      <c r="G123" s="494"/>
      <c r="H123" s="494"/>
      <c r="I123" s="494"/>
      <c r="J123" s="509"/>
      <c r="K123" s="509"/>
      <c r="L123" s="509"/>
      <c r="M123" s="509"/>
      <c r="N123" s="509"/>
      <c r="Q123" s="490"/>
      <c r="R123" s="515"/>
      <c r="S123" s="515"/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/>
      <c r="AI123" s="515"/>
      <c r="AJ123" s="515"/>
      <c r="AK123" s="515"/>
      <c r="AL123" s="515"/>
      <c r="AM123" s="515"/>
      <c r="AN123" s="515"/>
      <c r="AO123" s="515"/>
      <c r="AP123" s="515"/>
      <c r="AQ123" s="515"/>
    </row>
    <row r="124" spans="2:43" ht="15" thickBot="1">
      <c r="B124" t="s">
        <v>1196</v>
      </c>
      <c r="D124" s="515">
        <f t="shared" ref="D124:N124" si="180">D121</f>
        <v>-67430000</v>
      </c>
      <c r="E124" s="515">
        <f t="shared" si="180"/>
        <v>1538054.8510181967</v>
      </c>
      <c r="F124" s="515">
        <f t="shared" si="180"/>
        <v>2212675.5560651449</v>
      </c>
      <c r="G124" s="515">
        <f t="shared" si="180"/>
        <v>2601195.446389298</v>
      </c>
      <c r="H124" s="515">
        <f t="shared" si="180"/>
        <v>2763146.4183520926</v>
      </c>
      <c r="I124" s="515">
        <f t="shared" si="180"/>
        <v>2788895.7075841567</v>
      </c>
      <c r="J124" s="515">
        <f t="shared" si="180"/>
        <v>2742562.6727185422</v>
      </c>
      <c r="K124" s="515">
        <f t="shared" si="180"/>
        <v>2660800.5545722195</v>
      </c>
      <c r="L124" s="515">
        <f t="shared" si="180"/>
        <v>2562726.7381674238</v>
      </c>
      <c r="M124" s="515">
        <f t="shared" si="180"/>
        <v>2457883.2829133859</v>
      </c>
      <c r="N124" s="515">
        <f t="shared" si="180"/>
        <v>1175460.8553345497</v>
      </c>
      <c r="Q124" s="490" t="s">
        <v>1196</v>
      </c>
      <c r="R124" s="509">
        <f>IF(R114&lt;$W113,$X110,0)*(-1)</f>
        <v>-15590751.445086708</v>
      </c>
      <c r="S124" s="515">
        <f t="shared" ref="S124:V124" si="181">S119</f>
        <v>-14031676.300578037</v>
      </c>
      <c r="T124" s="515">
        <f t="shared" si="181"/>
        <v>-14031676.300578037</v>
      </c>
      <c r="U124" s="515">
        <f t="shared" si="181"/>
        <v>-14031676.300578037</v>
      </c>
      <c r="V124" s="515">
        <f t="shared" si="181"/>
        <v>0</v>
      </c>
      <c r="W124" s="515">
        <v>0</v>
      </c>
      <c r="X124" s="515">
        <v>0</v>
      </c>
      <c r="Y124" s="515">
        <v>0</v>
      </c>
      <c r="Z124" s="515">
        <v>0</v>
      </c>
      <c r="AA124" s="515">
        <v>0</v>
      </c>
      <c r="AB124" s="515">
        <v>0</v>
      </c>
      <c r="AC124" s="515">
        <v>0</v>
      </c>
      <c r="AD124" s="515">
        <v>0</v>
      </c>
      <c r="AE124" s="515">
        <v>0</v>
      </c>
      <c r="AF124" s="515">
        <v>0</v>
      </c>
      <c r="AG124" s="515">
        <v>0</v>
      </c>
      <c r="AH124" s="515">
        <v>0</v>
      </c>
      <c r="AI124" s="515">
        <v>0</v>
      </c>
      <c r="AJ124" s="515">
        <v>0</v>
      </c>
      <c r="AK124" s="515">
        <v>0</v>
      </c>
      <c r="AL124" s="515">
        <v>0</v>
      </c>
      <c r="AM124" s="515">
        <v>0</v>
      </c>
      <c r="AN124" s="515">
        <v>0</v>
      </c>
      <c r="AO124" s="515">
        <v>0</v>
      </c>
      <c r="AP124" s="515">
        <v>0</v>
      </c>
      <c r="AQ124" s="515">
        <v>0</v>
      </c>
    </row>
    <row r="125" spans="2:43" ht="15" thickBot="1">
      <c r="B125" t="s">
        <v>1392</v>
      </c>
      <c r="C125" s="507">
        <f>calcScenario1TotPOS</f>
        <v>0.22792184999999998</v>
      </c>
      <c r="D125" s="515">
        <f>D124</f>
        <v>-67430000</v>
      </c>
      <c r="E125" s="515">
        <f>$C125*E124</f>
        <v>350556.30704554176</v>
      </c>
      <c r="F125" s="515">
        <f t="shared" ref="F125:N125" si="182">$C125*F124</f>
        <v>504317.10618814651</v>
      </c>
      <c r="G125" s="515">
        <f t="shared" si="182"/>
        <v>592869.2783526245</v>
      </c>
      <c r="H125" s="515">
        <f t="shared" si="182"/>
        <v>629781.44349168288</v>
      </c>
      <c r="I125" s="515">
        <f t="shared" si="182"/>
        <v>635650.26912963996</v>
      </c>
      <c r="J125" s="515">
        <f t="shared" si="182"/>
        <v>625089.95810695458</v>
      </c>
      <c r="K125" s="515">
        <f t="shared" si="182"/>
        <v>606454.58487912617</v>
      </c>
      <c r="L125" s="515">
        <f t="shared" si="182"/>
        <v>584101.41920758481</v>
      </c>
      <c r="M125" s="515">
        <f t="shared" si="182"/>
        <v>560205.30492569227</v>
      </c>
      <c r="N125" s="515">
        <f t="shared" si="182"/>
        <v>267913.2127504329</v>
      </c>
      <c r="Q125" s="490" t="s">
        <v>1392</v>
      </c>
      <c r="R125" s="509">
        <f>IF(R114&lt;$W113,$X112,0)*(-1)</f>
        <v>-14031676.300578037</v>
      </c>
      <c r="S125" s="515">
        <f t="shared" ref="S125:AG125" si="183">S119</f>
        <v>-14031676.300578037</v>
      </c>
      <c r="T125" s="515">
        <f t="shared" si="183"/>
        <v>-14031676.300578037</v>
      </c>
      <c r="U125" s="515">
        <f t="shared" si="183"/>
        <v>-14031676.300578037</v>
      </c>
      <c r="V125" s="515">
        <f t="shared" si="183"/>
        <v>0</v>
      </c>
      <c r="W125" s="515">
        <f t="shared" si="183"/>
        <v>0</v>
      </c>
      <c r="X125" s="515">
        <f t="shared" si="183"/>
        <v>0</v>
      </c>
      <c r="Y125" s="515">
        <f t="shared" si="183"/>
        <v>0</v>
      </c>
      <c r="Z125" s="515">
        <f t="shared" si="183"/>
        <v>0</v>
      </c>
      <c r="AA125" s="515">
        <f t="shared" si="183"/>
        <v>0</v>
      </c>
      <c r="AB125" s="515">
        <f t="shared" si="183"/>
        <v>0</v>
      </c>
      <c r="AC125" s="515">
        <f t="shared" si="183"/>
        <v>0</v>
      </c>
      <c r="AD125" s="515">
        <f t="shared" si="183"/>
        <v>0</v>
      </c>
      <c r="AE125" s="515">
        <f t="shared" si="183"/>
        <v>0</v>
      </c>
      <c r="AF125" s="515">
        <f t="shared" si="183"/>
        <v>0</v>
      </c>
      <c r="AG125" s="515">
        <f t="shared" si="183"/>
        <v>0</v>
      </c>
      <c r="AH125" s="515">
        <f t="shared" ref="AH125:AQ125" si="184">AH119</f>
        <v>0</v>
      </c>
      <c r="AI125" s="515">
        <f t="shared" si="184"/>
        <v>0</v>
      </c>
      <c r="AJ125" s="515">
        <f t="shared" si="184"/>
        <v>0</v>
      </c>
      <c r="AK125" s="515">
        <f t="shared" si="184"/>
        <v>0</v>
      </c>
      <c r="AL125" s="515">
        <f t="shared" si="184"/>
        <v>0</v>
      </c>
      <c r="AM125" s="515">
        <f t="shared" si="184"/>
        <v>0</v>
      </c>
      <c r="AN125" s="515">
        <f t="shared" si="184"/>
        <v>0</v>
      </c>
      <c r="AO125" s="515">
        <f t="shared" si="184"/>
        <v>0</v>
      </c>
      <c r="AP125" s="515">
        <f t="shared" si="184"/>
        <v>0</v>
      </c>
      <c r="AQ125" s="515">
        <f t="shared" si="184"/>
        <v>0</v>
      </c>
    </row>
    <row r="126" spans="2:43">
      <c r="D126">
        <v>0</v>
      </c>
      <c r="E126" s="26">
        <v>1</v>
      </c>
      <c r="F126" s="26">
        <v>2</v>
      </c>
      <c r="G126" s="26">
        <v>3</v>
      </c>
      <c r="H126" s="26">
        <v>4</v>
      </c>
      <c r="I126" s="26">
        <v>5</v>
      </c>
      <c r="J126" s="26">
        <v>6</v>
      </c>
      <c r="K126" s="26">
        <v>7</v>
      </c>
      <c r="L126" s="26">
        <v>8</v>
      </c>
      <c r="M126" s="26">
        <v>9</v>
      </c>
      <c r="N126" s="26">
        <v>10</v>
      </c>
      <c r="Q126" s="490"/>
    </row>
    <row r="127" spans="2:43">
      <c r="B127" t="s">
        <v>1393</v>
      </c>
      <c r="D127" s="562">
        <f t="shared" ref="D127" si="185">1/(1+$C133)^D126</f>
        <v>1</v>
      </c>
      <c r="E127" s="562">
        <f>1/(1+$C133)^E126</f>
        <v>0.94339622641509424</v>
      </c>
      <c r="F127" s="562">
        <f t="shared" ref="F127:N127" si="186">1/(1+$C133)^F126</f>
        <v>0.88999644001423983</v>
      </c>
      <c r="G127" s="562">
        <f t="shared" si="186"/>
        <v>0.8396192830323016</v>
      </c>
      <c r="H127" s="562">
        <f t="shared" si="186"/>
        <v>0.79209366323802044</v>
      </c>
      <c r="I127" s="562">
        <f t="shared" si="186"/>
        <v>0.74725817286605689</v>
      </c>
      <c r="J127" s="562">
        <f t="shared" si="186"/>
        <v>0.70496054043967626</v>
      </c>
      <c r="K127" s="562">
        <f t="shared" si="186"/>
        <v>0.66505711362233599</v>
      </c>
      <c r="L127" s="562">
        <f t="shared" si="186"/>
        <v>0.62741237134182648</v>
      </c>
      <c r="M127" s="562">
        <f t="shared" si="186"/>
        <v>0.59189846353002495</v>
      </c>
      <c r="N127" s="562">
        <f t="shared" si="186"/>
        <v>0.55839477691511785</v>
      </c>
      <c r="Q127" s="490" t="s">
        <v>1393</v>
      </c>
      <c r="R127" s="562">
        <f>1/(1+$C133)^R114</f>
        <v>1</v>
      </c>
    </row>
    <row r="128" spans="2:43">
      <c r="B128" t="s">
        <v>1214</v>
      </c>
      <c r="D128" s="515">
        <f>D127*D125</f>
        <v>-67430000</v>
      </c>
      <c r="E128" s="515">
        <f t="shared" ref="E128:N128" si="187">E127*E125</f>
        <v>330713.49721277523</v>
      </c>
      <c r="F128" s="515">
        <f t="shared" si="187"/>
        <v>448840.42914573377</v>
      </c>
      <c r="G128" s="515">
        <f t="shared" si="187"/>
        <v>497784.47842230863</v>
      </c>
      <c r="H128" s="515">
        <f t="shared" si="187"/>
        <v>498845.89061465545</v>
      </c>
      <c r="I128" s="515">
        <f t="shared" si="187"/>
        <v>474994.85869163211</v>
      </c>
      <c r="J128" s="515">
        <f t="shared" si="187"/>
        <v>440663.75469049328</v>
      </c>
      <c r="K128" s="515">
        <f t="shared" si="187"/>
        <v>403326.93576274364</v>
      </c>
      <c r="L128" s="515">
        <f t="shared" si="187"/>
        <v>366472.45652915706</v>
      </c>
      <c r="M128" s="515">
        <f t="shared" si="187"/>
        <v>331584.65924688638</v>
      </c>
      <c r="N128" s="515">
        <f t="shared" si="187"/>
        <v>149601.33866639048</v>
      </c>
      <c r="Q128" s="490" t="s">
        <v>1214</v>
      </c>
      <c r="R128" s="515"/>
    </row>
    <row r="129" spans="1:18">
      <c r="B129" t="s">
        <v>1394</v>
      </c>
      <c r="D129" s="515">
        <f>D128</f>
        <v>-67430000</v>
      </c>
      <c r="E129" s="495">
        <f>D129+E128</f>
        <v>-67099286.502787225</v>
      </c>
      <c r="F129" s="495">
        <f t="shared" ref="F129:N129" si="188">E129+F128</f>
        <v>-66650446.073641494</v>
      </c>
      <c r="G129" s="495">
        <f t="shared" si="188"/>
        <v>-66152661.595219187</v>
      </c>
      <c r="H129" s="495">
        <f t="shared" si="188"/>
        <v>-65653815.704604529</v>
      </c>
      <c r="I129" s="495">
        <f t="shared" si="188"/>
        <v>-65178820.845912896</v>
      </c>
      <c r="J129" s="495">
        <f t="shared" si="188"/>
        <v>-64738157.091222405</v>
      </c>
      <c r="K129" s="495">
        <f t="shared" si="188"/>
        <v>-64334830.155459665</v>
      </c>
      <c r="L129" s="495">
        <f t="shared" si="188"/>
        <v>-63968357.698930509</v>
      </c>
      <c r="M129" s="495">
        <f t="shared" si="188"/>
        <v>-63636773.039683625</v>
      </c>
      <c r="N129" s="495">
        <f t="shared" si="188"/>
        <v>-63487171.701017238</v>
      </c>
      <c r="O129" s="495"/>
      <c r="Q129" s="490" t="s">
        <v>1394</v>
      </c>
      <c r="R129" s="515"/>
    </row>
    <row r="130" spans="1:18">
      <c r="E130" t="b">
        <f t="shared" ref="E130:N130" si="189">E129&lt;0</f>
        <v>1</v>
      </c>
      <c r="F130" t="b">
        <f t="shared" si="189"/>
        <v>1</v>
      </c>
      <c r="G130" t="b">
        <f t="shared" si="189"/>
        <v>1</v>
      </c>
      <c r="H130" t="b">
        <f t="shared" si="189"/>
        <v>1</v>
      </c>
      <c r="I130" t="b">
        <f t="shared" si="189"/>
        <v>1</v>
      </c>
      <c r="J130" t="b">
        <f t="shared" si="189"/>
        <v>1</v>
      </c>
      <c r="K130" t="b">
        <f t="shared" si="189"/>
        <v>1</v>
      </c>
      <c r="L130" t="b">
        <f t="shared" si="189"/>
        <v>1</v>
      </c>
      <c r="M130" t="b">
        <f t="shared" si="189"/>
        <v>1</v>
      </c>
      <c r="N130" t="b">
        <f t="shared" si="189"/>
        <v>1</v>
      </c>
      <c r="O130" s="495">
        <f>COUNTIF(E130:N130,TRUE)</f>
        <v>10</v>
      </c>
    </row>
    <row r="131" spans="1:18">
      <c r="B131" t="s">
        <v>1199</v>
      </c>
    </row>
    <row r="132" spans="1:18" ht="15" thickBot="1">
      <c r="B132" t="s">
        <v>615</v>
      </c>
      <c r="D132" s="521">
        <f>(SUM(E125:N125))/(-1*D125)</f>
        <v>7.9444444373089534E-2</v>
      </c>
      <c r="E132" s="534" t="s">
        <v>1399</v>
      </c>
    </row>
    <row r="133" spans="1:18" ht="15" thickBot="1">
      <c r="B133" t="s">
        <v>1208</v>
      </c>
      <c r="C133" s="487">
        <f>decScenario1EPVRate</f>
        <v>0.06</v>
      </c>
      <c r="D133" s="431">
        <f>NPV(C133,E125:N125)+D125</f>
        <v>-63487171.701017223</v>
      </c>
      <c r="E133" s="534" t="s">
        <v>1400</v>
      </c>
    </row>
    <row r="134" spans="1:18" ht="15" thickBot="1">
      <c r="B134" t="s">
        <v>1209</v>
      </c>
      <c r="C134" s="491">
        <f>decScenario1NPVRate</f>
        <v>0.12</v>
      </c>
      <c r="D134" s="431">
        <f>NPV(C134,E124:N124)+D124</f>
        <v>-54209876.689616203</v>
      </c>
      <c r="E134" s="534" t="s">
        <v>1401</v>
      </c>
    </row>
    <row r="135" spans="1:18">
      <c r="B135" t="s">
        <v>1210</v>
      </c>
      <c r="D135" s="509">
        <f>MAX(D103:N103)</f>
        <v>10195820.909980277</v>
      </c>
      <c r="E135" s="534" t="s">
        <v>1402</v>
      </c>
    </row>
    <row r="136" spans="1:18">
      <c r="B136" t="s">
        <v>491</v>
      </c>
      <c r="D136" s="516">
        <f>decPlanProjectStartDate+calcScenario1TotTimeReq</f>
        <v>2021.325</v>
      </c>
      <c r="E136" s="534" t="s">
        <v>1403</v>
      </c>
    </row>
    <row r="137" spans="1:18">
      <c r="B137" t="s">
        <v>1211</v>
      </c>
      <c r="D137" s="509">
        <f>calcScenario1TotRnDCost</f>
        <v>61300000</v>
      </c>
      <c r="E137" s="534" t="s">
        <v>1404</v>
      </c>
    </row>
    <row r="138" spans="1:18">
      <c r="B138" t="s">
        <v>616</v>
      </c>
      <c r="D138" s="521">
        <f>calcScenario1TotPOS</f>
        <v>0.22792184999999998</v>
      </c>
      <c r="E138" s="534" t="s">
        <v>1405</v>
      </c>
    </row>
    <row r="139" spans="1:18">
      <c r="B139" t="s">
        <v>1202</v>
      </c>
      <c r="D139" s="516">
        <f>D136+O130</f>
        <v>2031.325</v>
      </c>
      <c r="E139" s="534" t="s">
        <v>1406</v>
      </c>
    </row>
    <row r="140" spans="1:18">
      <c r="B140" t="s">
        <v>1207</v>
      </c>
      <c r="D140" s="520">
        <f>IRR(D124:N124)</f>
        <v>-0.1603182220910816</v>
      </c>
      <c r="E140" s="534" t="s">
        <v>1407</v>
      </c>
    </row>
    <row r="143" spans="1:18" s="1" customFormat="1">
      <c r="A143" s="525" t="s">
        <v>510</v>
      </c>
      <c r="E143" s="17"/>
      <c r="F143" s="17"/>
      <c r="G143" s="17"/>
      <c r="H143" s="17"/>
      <c r="I143" s="17"/>
    </row>
    <row r="144" spans="1:18" ht="15" thickBot="1">
      <c r="A144" s="27" t="s">
        <v>470</v>
      </c>
    </row>
    <row r="145" spans="2:14" ht="15" thickBot="1">
      <c r="B145" t="s">
        <v>519</v>
      </c>
      <c r="C145" s="487" t="b">
        <f>decScenario2EnterRegion1</f>
        <v>1</v>
      </c>
      <c r="E145" t="s">
        <v>1378</v>
      </c>
    </row>
    <row r="146" spans="2:14" ht="15" thickBot="1">
      <c r="B146" t="s">
        <v>1384</v>
      </c>
      <c r="C146" s="499">
        <v>0</v>
      </c>
      <c r="D146" s="490" t="s">
        <v>1379</v>
      </c>
      <c r="E146" s="492">
        <f>calcScenario2AveragePenetration</f>
        <v>0.2</v>
      </c>
    </row>
    <row r="147" spans="2:14" ht="15" thickBot="1">
      <c r="B147" t="s">
        <v>474</v>
      </c>
      <c r="C147" s="489">
        <f>decScenario2PeakMSRegion1</f>
        <v>0.1</v>
      </c>
      <c r="D147" s="490" t="s">
        <v>1380</v>
      </c>
      <c r="E147" s="492">
        <v>0.5</v>
      </c>
    </row>
    <row r="148" spans="2:14" ht="15" thickBot="1">
      <c r="B148" t="s">
        <v>1376</v>
      </c>
      <c r="C148" s="489">
        <f>calcScenario2AverageCompliance</f>
        <v>0.7</v>
      </c>
      <c r="D148" s="490" t="s">
        <v>1381</v>
      </c>
      <c r="E148" s="492">
        <v>1</v>
      </c>
    </row>
    <row r="149" spans="2:14" ht="15" thickBot="1">
      <c r="B149" t="s">
        <v>1377</v>
      </c>
      <c r="C149" s="489">
        <v>-0.02</v>
      </c>
      <c r="D149" s="560" t="s">
        <v>1493</v>
      </c>
      <c r="E149" s="558">
        <v>0.5</v>
      </c>
      <c r="F149" s="490" t="s">
        <v>1492</v>
      </c>
      <c r="G149" s="561">
        <f>INDEX(E153:N153,E150)</f>
        <v>1000000</v>
      </c>
    </row>
    <row r="150" spans="2:14" ht="15" thickBot="1">
      <c r="B150" t="s">
        <v>1388</v>
      </c>
      <c r="C150" s="507">
        <f>1-calcScenario2AverageDiscount</f>
        <v>0.9</v>
      </c>
      <c r="D150" s="560" t="s">
        <v>1491</v>
      </c>
      <c r="E150" s="559">
        <f>MAX(IF(decPlanLOEDate&lt;=Fin!E152,0,F150),1)</f>
        <v>10</v>
      </c>
      <c r="F150" s="559">
        <f>IFERROR(MATCH(decPlanLOEDate,E152:N152,0),0)</f>
        <v>10</v>
      </c>
    </row>
    <row r="151" spans="2:14">
      <c r="E151" t="b">
        <f>decPlanLOEDate&lt;=Fin!E152</f>
        <v>0</v>
      </c>
      <c r="F151" t="b">
        <f>decPlanLOEDate&lt;=Fin!F152</f>
        <v>0</v>
      </c>
      <c r="G151" t="b">
        <f>decPlanLOEDate&lt;=Fin!G152</f>
        <v>0</v>
      </c>
      <c r="H151" t="b">
        <f>decPlanLOEDate&lt;=Fin!H152</f>
        <v>0</v>
      </c>
      <c r="I151" t="b">
        <f>decPlanLOEDate&lt;=Fin!I152</f>
        <v>0</v>
      </c>
      <c r="J151" t="b">
        <f>decPlanLOEDate&lt;=Fin!J152</f>
        <v>0</v>
      </c>
      <c r="K151" t="b">
        <f>decPlanLOEDate&lt;=Fin!K152</f>
        <v>0</v>
      </c>
      <c r="L151" t="b">
        <f>decPlanLOEDate&lt;=Fin!L152</f>
        <v>0</v>
      </c>
      <c r="M151" t="b">
        <f>decPlanLOEDate&lt;=Fin!M152</f>
        <v>0</v>
      </c>
      <c r="N151" t="b">
        <f>decPlanLOEDate&lt;=Fin!N152</f>
        <v>1</v>
      </c>
    </row>
    <row r="152" spans="2:14">
      <c r="B152" s="490" t="s">
        <v>1387</v>
      </c>
      <c r="D152">
        <f>E152-1</f>
        <v>2020</v>
      </c>
      <c r="E152" s="26">
        <f>ROUND(finScenario2LaunchDate,0)</f>
        <v>2021</v>
      </c>
      <c r="F152" s="26">
        <f>E152+1</f>
        <v>2022</v>
      </c>
      <c r="G152" s="26">
        <f t="shared" ref="G152:N152" si="190">F152+1</f>
        <v>2023</v>
      </c>
      <c r="H152" s="26">
        <f t="shared" si="190"/>
        <v>2024</v>
      </c>
      <c r="I152" s="26">
        <f t="shared" si="190"/>
        <v>2025</v>
      </c>
      <c r="J152" s="26">
        <f t="shared" si="190"/>
        <v>2026</v>
      </c>
      <c r="K152" s="26">
        <f t="shared" si="190"/>
        <v>2027</v>
      </c>
      <c r="L152" s="26">
        <f t="shared" si="190"/>
        <v>2028</v>
      </c>
      <c r="M152" s="26">
        <f t="shared" si="190"/>
        <v>2029</v>
      </c>
      <c r="N152" s="26">
        <f t="shared" si="190"/>
        <v>2030</v>
      </c>
    </row>
    <row r="153" spans="2:14">
      <c r="B153" s="490" t="s">
        <v>1375</v>
      </c>
      <c r="E153" s="494">
        <f>decScenario2PatPopRegion1*1000</f>
        <v>1000000</v>
      </c>
      <c r="F153" s="494">
        <f t="shared" ref="F153:N153" si="191">E153*(1+$C146)</f>
        <v>1000000</v>
      </c>
      <c r="G153" s="494">
        <f t="shared" si="191"/>
        <v>1000000</v>
      </c>
      <c r="H153" s="494">
        <f t="shared" si="191"/>
        <v>1000000</v>
      </c>
      <c r="I153" s="494">
        <f t="shared" si="191"/>
        <v>1000000</v>
      </c>
      <c r="J153" s="494">
        <f t="shared" si="191"/>
        <v>1000000</v>
      </c>
      <c r="K153" s="494">
        <f t="shared" si="191"/>
        <v>1000000</v>
      </c>
      <c r="L153" s="494">
        <f t="shared" si="191"/>
        <v>1000000</v>
      </c>
      <c r="M153" s="494">
        <f t="shared" si="191"/>
        <v>1000000</v>
      </c>
      <c r="N153" s="494">
        <f t="shared" si="191"/>
        <v>1000000</v>
      </c>
    </row>
    <row r="154" spans="2:14">
      <c r="B154" s="490" t="s">
        <v>1382</v>
      </c>
      <c r="E154" s="494">
        <f>IF(decPlanLOEDate&lt;=Fin!E152,(($G149*$C147*($E$148*$E$146^($E$147^(E152-$D$152))))*$C148)*$C145*$E149,((E153*$C147*($E$148*$E$146^($E$147^(E152-$D$152))))*$C148))</f>
        <v>31304.951684997053</v>
      </c>
      <c r="F154" s="494">
        <f>IF(decPlanLOEDate&lt;=Fin!F152,(($G149*$C147*($E$148*$E$146^($E$147^(F152-$D$152))))*$C148)*$C145*$E149,((F153*$C147*($E$148*$E$146^($E$147^(F152-$D$152))))*$C148))</f>
        <v>46811.821348349542</v>
      </c>
      <c r="G154" s="494">
        <f>IF(decPlanLOEDate&lt;=Fin!G152,(($G149*$C147*($E$148*$E$146^($E$147^(G152-$D$152))))*$C148)*$C145*$E149,((G153*$C147*($E$148*$E$146^($E$147^(G152-$D$152))))*$C148))</f>
        <v>57243.58037705598</v>
      </c>
      <c r="H154" s="494">
        <f>IF(decPlanLOEDate&lt;=Fin!H152,(($G149*$C147*($E$148*$E$146^($E$147^(H152-$D$152))))*$C148)*$C145*$E149,((H153*$C147*($E$148*$E$146^($E$147^(H152-$D$152))))*$C148))</f>
        <v>63301.268758168801</v>
      </c>
      <c r="I154" s="494">
        <f>IF(decPlanLOEDate&lt;=Fin!I152,(($G149*$C147*($E$148*$E$146^($E$147^(I152-$D$152))))*$C148)*$C145*$E149,((I153*$C147*($E$148*$E$146^($E$147^(I152-$D$152))))*$C148))</f>
        <v>66566.424067031097</v>
      </c>
      <c r="J154" s="494">
        <f>IF(decPlanLOEDate&lt;=Fin!J152,(($G149*$C147*($E$148*$E$146^($E$147^(J152-$D$152))))*$C148)*$C145*$E149,((J153*$C147*($E$148*$E$146^($E$147^(J152-$D$152))))*$C148))</f>
        <v>68261.626736345628</v>
      </c>
      <c r="K154" s="494">
        <f>IF(decPlanLOEDate&lt;=Fin!K152,(($G149*$C147*($E$148*$E$146^($E$147^(K152-$D$152))))*$C148)*$C145*$E149,((K153*$C147*($E$148*$E$146^($E$147^(K152-$D$152))))*$C148))</f>
        <v>69125.348979547256</v>
      </c>
      <c r="L154" s="494">
        <f>IF(decPlanLOEDate&lt;=Fin!L152,(($G149*$C147*($E$148*$E$146^($E$147^(L152-$D$152))))*$C148)*$C145*$E149,((L153*$C147*($E$148*$E$146^($E$147^(L152-$D$152))))*$C148))</f>
        <v>69561.299790676043</v>
      </c>
      <c r="M154" s="494">
        <f>IF(decPlanLOEDate&lt;=Fin!M152,(($G149*$C147*($E$148*$E$146^($E$147^(M152-$D$152))))*$C148)*$C145*$E149,((M153*$C147*($E$148*$E$146^($E$147^(M152-$D$152))))*$C148))</f>
        <v>69780.305139396762</v>
      </c>
      <c r="N154" s="494">
        <f>IF(decPlanLOEDate&lt;=Fin!N152,(($G149*$C147*($E$148*$E$146^($E$147^(N152-$D$152))))*$C148)*$C145*$E149,((N153*$C147*($E$148*$E$146^($E$147^(N152-$D$152))))*$C148))</f>
        <v>34945.033122597597</v>
      </c>
    </row>
    <row r="155" spans="2:14">
      <c r="B155" s="490" t="s">
        <v>1383</v>
      </c>
      <c r="C155" s="493"/>
      <c r="E155" s="494">
        <f>calcScenario2Reg1Price</f>
        <v>183.6</v>
      </c>
      <c r="F155" s="494">
        <f t="shared" ref="F155:N155" si="192">E155*(1+$C149)</f>
        <v>179.928</v>
      </c>
      <c r="G155" s="494">
        <f t="shared" si="192"/>
        <v>176.32944000000001</v>
      </c>
      <c r="H155" s="494">
        <f t="shared" si="192"/>
        <v>172.80285119999999</v>
      </c>
      <c r="I155" s="494">
        <f t="shared" si="192"/>
        <v>169.346794176</v>
      </c>
      <c r="J155" s="494">
        <f t="shared" si="192"/>
        <v>165.95985829247999</v>
      </c>
      <c r="K155" s="494">
        <f t="shared" si="192"/>
        <v>162.64066112663039</v>
      </c>
      <c r="L155" s="494">
        <f t="shared" si="192"/>
        <v>159.38784790409778</v>
      </c>
      <c r="M155" s="494">
        <f t="shared" si="192"/>
        <v>156.20009094601582</v>
      </c>
      <c r="N155" s="494">
        <f t="shared" si="192"/>
        <v>153.07608912709551</v>
      </c>
    </row>
    <row r="156" spans="2:14">
      <c r="B156" s="490" t="s">
        <v>1385</v>
      </c>
      <c r="E156" s="494">
        <f>E154*E155</f>
        <v>5747589.1293654591</v>
      </c>
      <c r="F156" s="494">
        <f t="shared" ref="F156:N156" si="193">F154*F155</f>
        <v>8422757.391565837</v>
      </c>
      <c r="G156" s="494">
        <f t="shared" si="193"/>
        <v>10093728.471481269</v>
      </c>
      <c r="H156" s="494">
        <f t="shared" si="193"/>
        <v>10938639.725989051</v>
      </c>
      <c r="I156" s="494">
        <f t="shared" si="193"/>
        <v>11272810.515511848</v>
      </c>
      <c r="J156" s="494">
        <f t="shared" si="193"/>
        <v>11328689.899978084</v>
      </c>
      <c r="K156" s="494">
        <f t="shared" si="193"/>
        <v>11242592.458642611</v>
      </c>
      <c r="L156" s="494">
        <f t="shared" si="193"/>
        <v>11087225.871047622</v>
      </c>
      <c r="M156" s="494">
        <f t="shared" si="193"/>
        <v>10899690.00901451</v>
      </c>
      <c r="N156" s="494">
        <f t="shared" si="193"/>
        <v>5349249.0048240544</v>
      </c>
    </row>
    <row r="157" spans="2:14">
      <c r="B157" s="496" t="s">
        <v>1386</v>
      </c>
      <c r="D157" s="497"/>
      <c r="E157" s="498">
        <f t="shared" ref="E157:N157" si="194">$C150*E156*$C145</f>
        <v>5172830.2164289132</v>
      </c>
      <c r="F157" s="498">
        <f t="shared" si="194"/>
        <v>7580481.6524092536</v>
      </c>
      <c r="G157" s="498">
        <f t="shared" si="194"/>
        <v>9084355.6243331432</v>
      </c>
      <c r="H157" s="498">
        <f t="shared" si="194"/>
        <v>9844775.7533901464</v>
      </c>
      <c r="I157" s="498">
        <f t="shared" si="194"/>
        <v>10145529.463960664</v>
      </c>
      <c r="J157" s="498">
        <f t="shared" si="194"/>
        <v>10195820.909980277</v>
      </c>
      <c r="K157" s="498">
        <f t="shared" si="194"/>
        <v>10118333.21277835</v>
      </c>
      <c r="L157" s="498">
        <f t="shared" si="194"/>
        <v>9978503.2839428596</v>
      </c>
      <c r="M157" s="498">
        <f t="shared" si="194"/>
        <v>9809721.0081130583</v>
      </c>
      <c r="N157" s="498">
        <f t="shared" si="194"/>
        <v>4814324.1043416495</v>
      </c>
    </row>
    <row r="158" spans="2:14">
      <c r="B158" s="503"/>
      <c r="C158" s="506"/>
      <c r="D158" s="504"/>
      <c r="E158" s="505"/>
      <c r="F158" s="505"/>
      <c r="G158" s="505"/>
      <c r="H158" s="505"/>
      <c r="I158" s="505"/>
      <c r="J158" s="505"/>
      <c r="K158" s="505"/>
      <c r="L158" s="505"/>
      <c r="M158" s="505"/>
      <c r="N158" s="505"/>
    </row>
    <row r="159" spans="2:14">
      <c r="B159" t="s">
        <v>267</v>
      </c>
      <c r="E159" s="495">
        <f t="shared" ref="E159:N159" si="195">E154*calcScenario2AverageCOGS*$C145</f>
        <v>2299035.6517461836</v>
      </c>
      <c r="F159" s="495">
        <f t="shared" si="195"/>
        <v>3437860.1598227904</v>
      </c>
      <c r="G159" s="495">
        <f t="shared" si="195"/>
        <v>4203968.5428909911</v>
      </c>
      <c r="H159" s="495">
        <f t="shared" si="195"/>
        <v>4648845.1775999162</v>
      </c>
      <c r="I159" s="495">
        <f t="shared" si="195"/>
        <v>4888638.1834827634</v>
      </c>
      <c r="J159" s="495">
        <f t="shared" si="195"/>
        <v>5013133.8675172227</v>
      </c>
      <c r="K159" s="495">
        <f t="shared" si="195"/>
        <v>5076565.6290579503</v>
      </c>
      <c r="L159" s="495">
        <f t="shared" si="195"/>
        <v>5108581.8566272482</v>
      </c>
      <c r="M159" s="495">
        <f t="shared" si="195"/>
        <v>5124665.609437298</v>
      </c>
      <c r="N159" s="495">
        <f t="shared" si="195"/>
        <v>2566363.2325235675</v>
      </c>
    </row>
    <row r="160" spans="2:14">
      <c r="B160" s="500" t="s">
        <v>272</v>
      </c>
      <c r="C160" s="500"/>
      <c r="D160" s="500"/>
      <c r="E160" s="501">
        <f>E157-E159</f>
        <v>2873794.5646827295</v>
      </c>
      <c r="F160" s="501">
        <f t="shared" ref="F160:N160" si="196">F157-F159</f>
        <v>4142621.4925864632</v>
      </c>
      <c r="G160" s="501">
        <f t="shared" si="196"/>
        <v>4880387.0814421521</v>
      </c>
      <c r="H160" s="501">
        <f t="shared" si="196"/>
        <v>5195930.5757902302</v>
      </c>
      <c r="I160" s="501">
        <f t="shared" si="196"/>
        <v>5256891.280477901</v>
      </c>
      <c r="J160" s="501">
        <f t="shared" si="196"/>
        <v>5182687.0424630539</v>
      </c>
      <c r="K160" s="501">
        <f t="shared" si="196"/>
        <v>5041767.5837204</v>
      </c>
      <c r="L160" s="501">
        <f t="shared" si="196"/>
        <v>4869921.4273156114</v>
      </c>
      <c r="M160" s="501">
        <f t="shared" si="196"/>
        <v>4685055.3986757603</v>
      </c>
      <c r="N160" s="501">
        <f t="shared" si="196"/>
        <v>2247960.8718180819</v>
      </c>
    </row>
    <row r="161" spans="1:14">
      <c r="B161" t="s">
        <v>1195</v>
      </c>
      <c r="E161" s="502">
        <f>IF(E157&gt;0,E160/E157,0)</f>
        <v>0.55555555555555558</v>
      </c>
      <c r="F161" s="502">
        <f t="shared" ref="F161:N161" si="197">IF(F157&gt;0,F160/F157,0)</f>
        <v>0.54648526077097515</v>
      </c>
      <c r="G161" s="502">
        <f t="shared" si="197"/>
        <v>0.53722985792956646</v>
      </c>
      <c r="H161" s="502">
        <f t="shared" si="197"/>
        <v>0.52778556931588405</v>
      </c>
      <c r="I161" s="502">
        <f t="shared" si="197"/>
        <v>0.51814854011824918</v>
      </c>
      <c r="J161" s="502">
        <f t="shared" si="197"/>
        <v>0.50831483685535628</v>
      </c>
      <c r="K161" s="502">
        <f t="shared" si="197"/>
        <v>0.49828044577077163</v>
      </c>
      <c r="L161" s="502">
        <f t="shared" si="197"/>
        <v>0.48804127119466489</v>
      </c>
      <c r="M161" s="502">
        <f t="shared" si="197"/>
        <v>0.477593133872107</v>
      </c>
      <c r="N161" s="502">
        <f t="shared" si="197"/>
        <v>0.46693176925725211</v>
      </c>
    </row>
    <row r="162" spans="1:14">
      <c r="E162" s="502"/>
      <c r="F162" s="502"/>
      <c r="G162" s="502"/>
      <c r="H162" s="502"/>
      <c r="I162" s="502"/>
      <c r="J162" s="502"/>
      <c r="K162" s="502"/>
      <c r="L162" s="502"/>
      <c r="M162" s="502"/>
      <c r="N162" s="502"/>
    </row>
    <row r="163" spans="1:14">
      <c r="B163" s="500" t="s">
        <v>1198</v>
      </c>
      <c r="C163" s="500"/>
      <c r="D163" s="500"/>
      <c r="E163" s="501">
        <f t="shared" ref="E163:N163" si="198">calcScenario2Reg1SnM*E157</f>
        <v>258641.51082144567</v>
      </c>
      <c r="F163" s="501">
        <f t="shared" si="198"/>
        <v>379024.08262046269</v>
      </c>
      <c r="G163" s="501">
        <f t="shared" si="198"/>
        <v>454217.7812166572</v>
      </c>
      <c r="H163" s="501">
        <f t="shared" si="198"/>
        <v>492238.78766950732</v>
      </c>
      <c r="I163" s="501">
        <f t="shared" si="198"/>
        <v>507276.47319803323</v>
      </c>
      <c r="J163" s="501">
        <f t="shared" si="198"/>
        <v>509791.04549901385</v>
      </c>
      <c r="K163" s="501">
        <f t="shared" si="198"/>
        <v>505916.66063891753</v>
      </c>
      <c r="L163" s="501">
        <f t="shared" si="198"/>
        <v>498925.16419714299</v>
      </c>
      <c r="M163" s="501">
        <f t="shared" si="198"/>
        <v>490486.05040565296</v>
      </c>
      <c r="N163" s="501">
        <f t="shared" si="198"/>
        <v>240716.20521708249</v>
      </c>
    </row>
    <row r="164" spans="1:14">
      <c r="E164" s="495"/>
      <c r="F164" s="495"/>
      <c r="G164" s="495"/>
      <c r="H164" s="495"/>
      <c r="I164" s="495"/>
      <c r="J164" s="495"/>
      <c r="K164" s="495"/>
      <c r="L164" s="495"/>
      <c r="M164" s="495"/>
      <c r="N164" s="495"/>
    </row>
    <row r="165" spans="1:14" ht="15" thickBot="1">
      <c r="A165" s="27" t="s">
        <v>471</v>
      </c>
    </row>
    <row r="166" spans="1:14" ht="15" thickBot="1">
      <c r="B166" t="s">
        <v>519</v>
      </c>
      <c r="C166" s="487" t="b">
        <f>decScenario2EnterRegion2</f>
        <v>0</v>
      </c>
      <c r="E166" t="s">
        <v>1378</v>
      </c>
    </row>
    <row r="167" spans="1:14" ht="15" thickBot="1">
      <c r="B167" t="s">
        <v>1384</v>
      </c>
      <c r="C167" s="499">
        <v>0</v>
      </c>
      <c r="D167" s="490" t="s">
        <v>1379</v>
      </c>
      <c r="E167" s="492">
        <f>calcScenario2AveragePenetration</f>
        <v>0.2</v>
      </c>
    </row>
    <row r="168" spans="1:14" ht="15" thickBot="1">
      <c r="B168" t="s">
        <v>474</v>
      </c>
      <c r="C168" s="489">
        <f>decScenario2PeakMSRegion2</f>
        <v>0.1</v>
      </c>
      <c r="D168" s="490" t="s">
        <v>1380</v>
      </c>
      <c r="E168" s="492">
        <v>0.5</v>
      </c>
    </row>
    <row r="169" spans="1:14" ht="15" thickBot="1">
      <c r="B169" t="s">
        <v>1376</v>
      </c>
      <c r="C169" s="489">
        <f>calcScenario2AverageCompliance</f>
        <v>0.7</v>
      </c>
      <c r="D169" s="490" t="s">
        <v>1381</v>
      </c>
      <c r="E169" s="492">
        <v>1</v>
      </c>
    </row>
    <row r="170" spans="1:14" ht="15" thickBot="1">
      <c r="B170" t="s">
        <v>1377</v>
      </c>
      <c r="C170" s="489">
        <v>0</v>
      </c>
      <c r="D170" s="560" t="s">
        <v>1493</v>
      </c>
      <c r="E170" s="558">
        <v>0.5</v>
      </c>
      <c r="F170" s="490" t="s">
        <v>1492</v>
      </c>
      <c r="G170" s="561">
        <f>INDEX(E174:N174,E171)</f>
        <v>500000</v>
      </c>
    </row>
    <row r="171" spans="1:14" ht="15" thickBot="1">
      <c r="B171" t="s">
        <v>1388</v>
      </c>
      <c r="C171" s="507">
        <f>1-calcScenario2AverageDiscount</f>
        <v>0.9</v>
      </c>
      <c r="D171" s="560" t="s">
        <v>1491</v>
      </c>
      <c r="E171" s="559">
        <f>MAX(IF(decPlanLOEDate&lt;=Fin!E173,0,F171),1)</f>
        <v>10</v>
      </c>
      <c r="F171" s="559">
        <f>IFERROR(MATCH(decPlanLOEDate,E173:N173,0),0)</f>
        <v>10</v>
      </c>
    </row>
    <row r="172" spans="1:14">
      <c r="E172" t="b">
        <f>decPlanLOEDate&lt;=Fin!E175</f>
        <v>1</v>
      </c>
      <c r="F172" t="b">
        <f>decPlanLOEDate&lt;=Fin!F175</f>
        <v>1</v>
      </c>
      <c r="G172" t="b">
        <f>decPlanLOEDate&lt;=Fin!G175</f>
        <v>1</v>
      </c>
      <c r="H172" t="b">
        <f>decPlanLOEDate&lt;=Fin!H175</f>
        <v>1</v>
      </c>
      <c r="I172" t="b">
        <f>decPlanLOEDate&lt;=Fin!I175</f>
        <v>1</v>
      </c>
      <c r="J172" t="b">
        <f>decPlanLOEDate&lt;=Fin!J175</f>
        <v>1</v>
      </c>
      <c r="K172" t="b">
        <f>decPlanLOEDate&lt;=Fin!K175</f>
        <v>1</v>
      </c>
      <c r="L172" t="b">
        <f>decPlanLOEDate&lt;=Fin!L175</f>
        <v>1</v>
      </c>
      <c r="M172" t="b">
        <f>decPlanLOEDate&lt;=Fin!M175</f>
        <v>1</v>
      </c>
      <c r="N172" t="b">
        <f>decPlanLOEDate&lt;=Fin!N175</f>
        <v>0</v>
      </c>
    </row>
    <row r="173" spans="1:14">
      <c r="B173" s="490" t="s">
        <v>1387</v>
      </c>
      <c r="D173">
        <f>E173-1</f>
        <v>2020</v>
      </c>
      <c r="E173" s="26">
        <f>ROUND(finScenario2LaunchDate,0)</f>
        <v>2021</v>
      </c>
      <c r="F173" s="26">
        <f>E173+1</f>
        <v>2022</v>
      </c>
      <c r="G173" s="26">
        <f t="shared" ref="G173:N173" si="199">F173+1</f>
        <v>2023</v>
      </c>
      <c r="H173" s="26">
        <f t="shared" si="199"/>
        <v>2024</v>
      </c>
      <c r="I173" s="26">
        <f t="shared" si="199"/>
        <v>2025</v>
      </c>
      <c r="J173" s="26">
        <f t="shared" si="199"/>
        <v>2026</v>
      </c>
      <c r="K173" s="26">
        <f t="shared" si="199"/>
        <v>2027</v>
      </c>
      <c r="L173" s="26">
        <f t="shared" si="199"/>
        <v>2028</v>
      </c>
      <c r="M173" s="26">
        <f t="shared" si="199"/>
        <v>2029</v>
      </c>
      <c r="N173" s="26">
        <f t="shared" si="199"/>
        <v>2030</v>
      </c>
    </row>
    <row r="174" spans="1:14">
      <c r="B174" s="490" t="s">
        <v>1375</v>
      </c>
      <c r="E174" s="494">
        <f>decScenario2PatPopRegion2*1000</f>
        <v>500000</v>
      </c>
      <c r="F174" s="494">
        <f t="shared" ref="F174:N174" si="200">E174*(1+$C167)</f>
        <v>500000</v>
      </c>
      <c r="G174" s="494">
        <f t="shared" si="200"/>
        <v>500000</v>
      </c>
      <c r="H174" s="494">
        <f t="shared" si="200"/>
        <v>500000</v>
      </c>
      <c r="I174" s="494">
        <f t="shared" si="200"/>
        <v>500000</v>
      </c>
      <c r="J174" s="494">
        <f t="shared" si="200"/>
        <v>500000</v>
      </c>
      <c r="K174" s="494">
        <f t="shared" si="200"/>
        <v>500000</v>
      </c>
      <c r="L174" s="494">
        <f t="shared" si="200"/>
        <v>500000</v>
      </c>
      <c r="M174" s="494">
        <f t="shared" si="200"/>
        <v>500000</v>
      </c>
      <c r="N174" s="494">
        <f t="shared" si="200"/>
        <v>500000</v>
      </c>
    </row>
    <row r="175" spans="1:14">
      <c r="B175" s="490" t="s">
        <v>1382</v>
      </c>
      <c r="E175" s="494">
        <f>IF(decPlanLOEDate&lt;=Fin!E173,(($G170*$C168*($E$148*$E$146^($E$147^(E173-$D$152))))*$C169)*$C166*$E170,((E174*$C168*($E$148*$E$146^($E$147^(E173-$D$152))))*$C169))</f>
        <v>15652.475842498527</v>
      </c>
      <c r="F175" s="494">
        <f>IF(decPlanLOEDate&lt;=Fin!F173,(($G170*$C168*($E$148*$E$146^($E$147^(F173-$D$152))))*$C169)*$C166*$E170,((F174*$C168*($E$148*$E$146^($E$147^(F173-$D$152))))*$C169))</f>
        <v>23405.910674174771</v>
      </c>
      <c r="G175" s="494">
        <f>IF(decPlanLOEDate&lt;=Fin!G173,(($G170*$C168*($E$148*$E$146^($E$147^(G173-$D$152))))*$C169)*$C166*$E170,((G174*$C168*($E$148*$E$146^($E$147^(G173-$D$152))))*$C169))</f>
        <v>28621.79018852799</v>
      </c>
      <c r="H175" s="494">
        <f>IF(decPlanLOEDate&lt;=Fin!H173,(($G170*$C168*($E$148*$E$146^($E$147^(H173-$D$152))))*$C169)*$C166*$E170,((H174*$C168*($E$148*$E$146^($E$147^(H173-$D$152))))*$C169))</f>
        <v>31650.6343790844</v>
      </c>
      <c r="I175" s="494">
        <f>IF(decPlanLOEDate&lt;=Fin!I173,(($G170*$C168*($E$148*$E$146^($E$147^(I173-$D$152))))*$C169)*$C166*$E170,((I174*$C168*($E$148*$E$146^($E$147^(I173-$D$152))))*$C169))</f>
        <v>33283.212033515549</v>
      </c>
      <c r="J175" s="494">
        <f>IF(decPlanLOEDate&lt;=Fin!J173,(($G170*$C168*($E$148*$E$146^($E$147^(J173-$D$152))))*$C169)*$C166*$E170,((J174*$C168*($E$148*$E$146^($E$147^(J173-$D$152))))*$C169))</f>
        <v>34130.813368172814</v>
      </c>
      <c r="K175" s="494">
        <f>IF(decPlanLOEDate&lt;=Fin!K173,(($G170*$C168*($E$148*$E$146^($E$147^(K173-$D$152))))*$C169)*$C166*$E170,((K174*$C168*($E$148*$E$146^($E$147^(K173-$D$152))))*$C169))</f>
        <v>34562.674489773628</v>
      </c>
      <c r="L175" s="494">
        <f>IF(decPlanLOEDate&lt;=Fin!L173,(($G170*$C168*($E$148*$E$146^($E$147^(L173-$D$152))))*$C169)*$C166*$E170,((L174*$C168*($E$148*$E$146^($E$147^(L173-$D$152))))*$C169))</f>
        <v>34780.649895338021</v>
      </c>
      <c r="M175" s="494">
        <f>IF(decPlanLOEDate&lt;=Fin!M173,(($G170*$C168*($E$148*$E$146^($E$147^(M173-$D$152))))*$C169)*$C166*$E170,((M174*$C168*($E$148*$E$146^($E$147^(M173-$D$152))))*$C169))</f>
        <v>34890.152569698381</v>
      </c>
      <c r="N175" s="494">
        <f>IF(decPlanLOEDate&lt;=Fin!N173,(($G170*$C168*($E$148*$E$146^($E$147^(N173-$D$152))))*$C169)*$C166*$E170,((N174*$C168*($E$148*$E$146^($E$147^(N173-$D$152))))*$C169))</f>
        <v>0</v>
      </c>
    </row>
    <row r="176" spans="1:14">
      <c r="B176" s="490" t="s">
        <v>1383</v>
      </c>
      <c r="C176" s="493"/>
      <c r="E176" s="494">
        <f>calcScenario2Reg2Price</f>
        <v>0</v>
      </c>
      <c r="F176" s="494">
        <f>E176*(1+$C170)</f>
        <v>0</v>
      </c>
      <c r="G176" s="494">
        <f t="shared" ref="G176" si="201">F176*(1+$C170)</f>
        <v>0</v>
      </c>
      <c r="H176" s="494">
        <f t="shared" ref="H176" si="202">G176*(1+$C170)</f>
        <v>0</v>
      </c>
      <c r="I176" s="494">
        <f t="shared" ref="I176" si="203">H176*(1+$C170)</f>
        <v>0</v>
      </c>
      <c r="J176" s="494">
        <f t="shared" ref="J176" si="204">I176*(1+$C170)</f>
        <v>0</v>
      </c>
      <c r="K176" s="494">
        <f t="shared" ref="K176" si="205">J176*(1+$C170)</f>
        <v>0</v>
      </c>
      <c r="L176" s="494">
        <f t="shared" ref="L176" si="206">K176*(1+$C170)</f>
        <v>0</v>
      </c>
      <c r="M176" s="494">
        <f t="shared" ref="M176" si="207">L176*(1+$C170)</f>
        <v>0</v>
      </c>
      <c r="N176" s="494">
        <f t="shared" ref="N176" si="208">M176*(1+$C170)</f>
        <v>0</v>
      </c>
    </row>
    <row r="177" spans="1:14">
      <c r="B177" s="490" t="s">
        <v>1385</v>
      </c>
      <c r="E177" s="494">
        <f>E175*E176</f>
        <v>0</v>
      </c>
      <c r="F177" s="494">
        <f t="shared" ref="F177:N177" si="209">F175*F176</f>
        <v>0</v>
      </c>
      <c r="G177" s="494">
        <f t="shared" si="209"/>
        <v>0</v>
      </c>
      <c r="H177" s="494">
        <f t="shared" si="209"/>
        <v>0</v>
      </c>
      <c r="I177" s="494">
        <f t="shared" si="209"/>
        <v>0</v>
      </c>
      <c r="J177" s="494">
        <f t="shared" si="209"/>
        <v>0</v>
      </c>
      <c r="K177" s="494">
        <f t="shared" si="209"/>
        <v>0</v>
      </c>
      <c r="L177" s="494">
        <f t="shared" si="209"/>
        <v>0</v>
      </c>
      <c r="M177" s="494">
        <f t="shared" si="209"/>
        <v>0</v>
      </c>
      <c r="N177" s="494">
        <f t="shared" si="209"/>
        <v>0</v>
      </c>
    </row>
    <row r="178" spans="1:14">
      <c r="B178" s="496" t="s">
        <v>1386</v>
      </c>
      <c r="D178" s="497"/>
      <c r="E178" s="498">
        <f>$C171*E177*$C166</f>
        <v>0</v>
      </c>
      <c r="F178" s="498">
        <f t="shared" ref="F178" si="210">$C171*F177*$C166</f>
        <v>0</v>
      </c>
      <c r="G178" s="498">
        <f t="shared" ref="G178" si="211">$C171*G177*$C166</f>
        <v>0</v>
      </c>
      <c r="H178" s="498">
        <f t="shared" ref="H178" si="212">$C171*H177*$C166</f>
        <v>0</v>
      </c>
      <c r="I178" s="498">
        <f t="shared" ref="I178" si="213">$C171*I177*$C166</f>
        <v>0</v>
      </c>
      <c r="J178" s="498">
        <f t="shared" ref="J178" si="214">$C171*J177*$C166</f>
        <v>0</v>
      </c>
      <c r="K178" s="498">
        <f t="shared" ref="K178" si="215">$C171*K177*$C166</f>
        <v>0</v>
      </c>
      <c r="L178" s="498">
        <f t="shared" ref="L178" si="216">$C171*L177*$C166</f>
        <v>0</v>
      </c>
      <c r="M178" s="498">
        <f t="shared" ref="M178" si="217">$C171*M177*$C166</f>
        <v>0</v>
      </c>
      <c r="N178" s="498">
        <f t="shared" ref="N178" si="218">$C171*N177*$C166</f>
        <v>0</v>
      </c>
    </row>
    <row r="179" spans="1:14">
      <c r="B179" s="503"/>
      <c r="C179" s="506"/>
      <c r="D179" s="504"/>
      <c r="E179" s="505"/>
      <c r="F179" s="505"/>
      <c r="G179" s="505"/>
      <c r="H179" s="505"/>
      <c r="I179" s="505"/>
      <c r="J179" s="505"/>
      <c r="K179" s="505"/>
      <c r="L179" s="505"/>
      <c r="M179" s="505"/>
      <c r="N179" s="505"/>
    </row>
    <row r="180" spans="1:14">
      <c r="B180" t="s">
        <v>267</v>
      </c>
      <c r="E180" s="495">
        <f t="shared" ref="E180:N180" si="219">E175*calcScenario2AverageCOGS*$C166</f>
        <v>0</v>
      </c>
      <c r="F180" s="495">
        <f t="shared" si="219"/>
        <v>0</v>
      </c>
      <c r="G180" s="495">
        <f t="shared" si="219"/>
        <v>0</v>
      </c>
      <c r="H180" s="495">
        <f t="shared" si="219"/>
        <v>0</v>
      </c>
      <c r="I180" s="495">
        <f t="shared" si="219"/>
        <v>0</v>
      </c>
      <c r="J180" s="495">
        <f t="shared" si="219"/>
        <v>0</v>
      </c>
      <c r="K180" s="495">
        <f t="shared" si="219"/>
        <v>0</v>
      </c>
      <c r="L180" s="495">
        <f t="shared" si="219"/>
        <v>0</v>
      </c>
      <c r="M180" s="495">
        <f t="shared" si="219"/>
        <v>0</v>
      </c>
      <c r="N180" s="495">
        <f t="shared" si="219"/>
        <v>0</v>
      </c>
    </row>
    <row r="181" spans="1:14">
      <c r="B181" s="500" t="s">
        <v>272</v>
      </c>
      <c r="C181" s="500"/>
      <c r="D181" s="500"/>
      <c r="E181" s="501">
        <f>E178-E180</f>
        <v>0</v>
      </c>
      <c r="F181" s="501">
        <f t="shared" ref="F181:N181" si="220">F178-F180</f>
        <v>0</v>
      </c>
      <c r="G181" s="501">
        <f t="shared" si="220"/>
        <v>0</v>
      </c>
      <c r="H181" s="501">
        <f t="shared" si="220"/>
        <v>0</v>
      </c>
      <c r="I181" s="501">
        <f t="shared" si="220"/>
        <v>0</v>
      </c>
      <c r="J181" s="501">
        <f t="shared" si="220"/>
        <v>0</v>
      </c>
      <c r="K181" s="501">
        <f t="shared" si="220"/>
        <v>0</v>
      </c>
      <c r="L181" s="501">
        <f t="shared" si="220"/>
        <v>0</v>
      </c>
      <c r="M181" s="501">
        <f t="shared" si="220"/>
        <v>0</v>
      </c>
      <c r="N181" s="501">
        <f t="shared" si="220"/>
        <v>0</v>
      </c>
    </row>
    <row r="182" spans="1:14">
      <c r="B182" t="s">
        <v>1195</v>
      </c>
      <c r="E182" s="502">
        <f>IF(E178&gt;0,E181/E178,0)</f>
        <v>0</v>
      </c>
      <c r="F182" s="502">
        <f t="shared" ref="F182:N182" si="221">IF(F178&gt;0,F181/F178,0)</f>
        <v>0</v>
      </c>
      <c r="G182" s="502">
        <f t="shared" si="221"/>
        <v>0</v>
      </c>
      <c r="H182" s="502">
        <f t="shared" si="221"/>
        <v>0</v>
      </c>
      <c r="I182" s="502">
        <f t="shared" si="221"/>
        <v>0</v>
      </c>
      <c r="J182" s="502">
        <f t="shared" si="221"/>
        <v>0</v>
      </c>
      <c r="K182" s="502">
        <f t="shared" si="221"/>
        <v>0</v>
      </c>
      <c r="L182" s="502">
        <f t="shared" si="221"/>
        <v>0</v>
      </c>
      <c r="M182" s="502">
        <f t="shared" si="221"/>
        <v>0</v>
      </c>
      <c r="N182" s="502">
        <f t="shared" si="221"/>
        <v>0</v>
      </c>
    </row>
    <row r="183" spans="1:14">
      <c r="E183" s="502"/>
      <c r="F183" s="502"/>
      <c r="G183" s="502"/>
      <c r="H183" s="502"/>
      <c r="I183" s="502"/>
      <c r="J183" s="502"/>
      <c r="K183" s="502"/>
      <c r="L183" s="502"/>
      <c r="M183" s="502"/>
      <c r="N183" s="502"/>
    </row>
    <row r="184" spans="1:14">
      <c r="B184" s="500" t="s">
        <v>1198</v>
      </c>
      <c r="C184" s="500"/>
      <c r="D184" s="500"/>
      <c r="E184" s="501">
        <f t="shared" ref="E184:N184" si="222">calcScenario2Reg2SnM*E178</f>
        <v>0</v>
      </c>
      <c r="F184" s="501">
        <f t="shared" si="222"/>
        <v>0</v>
      </c>
      <c r="G184" s="501">
        <f t="shared" si="222"/>
        <v>0</v>
      </c>
      <c r="H184" s="501">
        <f t="shared" si="222"/>
        <v>0</v>
      </c>
      <c r="I184" s="501">
        <f t="shared" si="222"/>
        <v>0</v>
      </c>
      <c r="J184" s="501">
        <f t="shared" si="222"/>
        <v>0</v>
      </c>
      <c r="K184" s="501">
        <f t="shared" si="222"/>
        <v>0</v>
      </c>
      <c r="L184" s="501">
        <f t="shared" si="222"/>
        <v>0</v>
      </c>
      <c r="M184" s="501">
        <f t="shared" si="222"/>
        <v>0</v>
      </c>
      <c r="N184" s="501">
        <f t="shared" si="222"/>
        <v>0</v>
      </c>
    </row>
    <row r="185" spans="1:14">
      <c r="E185" s="495"/>
      <c r="F185" s="495"/>
      <c r="G185" s="495"/>
      <c r="H185" s="495"/>
      <c r="I185" s="495"/>
      <c r="J185" s="495"/>
      <c r="K185" s="495"/>
      <c r="L185" s="495"/>
      <c r="M185" s="495"/>
      <c r="N185" s="495"/>
    </row>
    <row r="186" spans="1:14" ht="15" thickBot="1">
      <c r="A186" s="27" t="s">
        <v>472</v>
      </c>
    </row>
    <row r="187" spans="1:14" ht="15" thickBot="1">
      <c r="B187" t="s">
        <v>519</v>
      </c>
      <c r="C187" s="487" t="b">
        <f>decScenario2EnterRegion3</f>
        <v>0</v>
      </c>
      <c r="E187" t="s">
        <v>1378</v>
      </c>
    </row>
    <row r="188" spans="1:14" ht="15" thickBot="1">
      <c r="B188" t="s">
        <v>1384</v>
      </c>
      <c r="C188" s="499">
        <v>0</v>
      </c>
      <c r="D188" s="490" t="s">
        <v>1379</v>
      </c>
      <c r="E188" s="492">
        <f>calcScenario2AveragePenetration</f>
        <v>0.2</v>
      </c>
    </row>
    <row r="189" spans="1:14" ht="15" thickBot="1">
      <c r="B189" t="s">
        <v>474</v>
      </c>
      <c r="C189" s="489">
        <f>decScenario2PeakMSRegion3</f>
        <v>0.1</v>
      </c>
      <c r="D189" s="490" t="s">
        <v>1380</v>
      </c>
      <c r="E189" s="492">
        <v>0.5</v>
      </c>
    </row>
    <row r="190" spans="1:14" ht="15" thickBot="1">
      <c r="B190" t="s">
        <v>1376</v>
      </c>
      <c r="C190" s="489">
        <f>calcScenario2AverageCompliance</f>
        <v>0.7</v>
      </c>
      <c r="D190" s="490" t="s">
        <v>1381</v>
      </c>
      <c r="E190" s="492">
        <v>1</v>
      </c>
    </row>
    <row r="191" spans="1:14" ht="15" thickBot="1">
      <c r="B191" t="s">
        <v>1377</v>
      </c>
      <c r="C191" s="489">
        <v>0</v>
      </c>
      <c r="D191" s="560" t="s">
        <v>1493</v>
      </c>
      <c r="E191" s="558">
        <v>0.5</v>
      </c>
      <c r="F191" s="490" t="s">
        <v>1492</v>
      </c>
      <c r="G191" s="561">
        <f>INDEX(E195:N195,E192)</f>
        <v>2000000</v>
      </c>
    </row>
    <row r="192" spans="1:14" ht="15" thickBot="1">
      <c r="B192" t="s">
        <v>1388</v>
      </c>
      <c r="C192" s="507">
        <f>1-calcScenario2AverageDiscount</f>
        <v>0.9</v>
      </c>
      <c r="D192" s="560" t="s">
        <v>1491</v>
      </c>
      <c r="E192" s="559">
        <f>MAX(IF(decPlanLOEDate&lt;=Fin!E194,0,F192),1)</f>
        <v>10</v>
      </c>
      <c r="F192" s="559">
        <f>IFERROR(MATCH(decPlanLOEDate,E194:N194,0),)</f>
        <v>10</v>
      </c>
    </row>
    <row r="193" spans="1:14">
      <c r="E193" t="b">
        <f>decPlanLOEDate&lt;=Fin!E196</f>
        <v>1</v>
      </c>
      <c r="F193" t="b">
        <f>decPlanLOEDate&lt;=Fin!F196</f>
        <v>1</v>
      </c>
      <c r="G193" t="b">
        <f>decPlanLOEDate&lt;=Fin!G196</f>
        <v>1</v>
      </c>
      <c r="H193" t="b">
        <f>decPlanLOEDate&lt;=Fin!H196</f>
        <v>1</v>
      </c>
      <c r="I193" t="b">
        <f>decPlanLOEDate&lt;=Fin!I196</f>
        <v>1</v>
      </c>
      <c r="J193" t="b">
        <f>decPlanLOEDate&lt;=Fin!J196</f>
        <v>1</v>
      </c>
      <c r="K193" t="b">
        <f>decPlanLOEDate&lt;=Fin!K196</f>
        <v>1</v>
      </c>
      <c r="L193" t="b">
        <f>decPlanLOEDate&lt;=Fin!L196</f>
        <v>1</v>
      </c>
      <c r="M193" t="b">
        <f>decPlanLOEDate&lt;=Fin!M196</f>
        <v>1</v>
      </c>
      <c r="N193" t="b">
        <f>decPlanLOEDate&lt;=Fin!N196</f>
        <v>0</v>
      </c>
    </row>
    <row r="194" spans="1:14">
      <c r="B194" s="490" t="s">
        <v>1387</v>
      </c>
      <c r="D194">
        <f>E194-1</f>
        <v>2020</v>
      </c>
      <c r="E194" s="26">
        <f>ROUND(finScenario2LaunchDate,0)</f>
        <v>2021</v>
      </c>
      <c r="F194" s="26">
        <f>E194+1</f>
        <v>2022</v>
      </c>
      <c r="G194" s="26">
        <f t="shared" ref="G194:N194" si="223">F194+1</f>
        <v>2023</v>
      </c>
      <c r="H194" s="26">
        <f t="shared" si="223"/>
        <v>2024</v>
      </c>
      <c r="I194" s="26">
        <f t="shared" si="223"/>
        <v>2025</v>
      </c>
      <c r="J194" s="26">
        <f t="shared" si="223"/>
        <v>2026</v>
      </c>
      <c r="K194" s="26">
        <f t="shared" si="223"/>
        <v>2027</v>
      </c>
      <c r="L194" s="26">
        <f t="shared" si="223"/>
        <v>2028</v>
      </c>
      <c r="M194" s="26">
        <f t="shared" si="223"/>
        <v>2029</v>
      </c>
      <c r="N194" s="26">
        <f t="shared" si="223"/>
        <v>2030</v>
      </c>
    </row>
    <row r="195" spans="1:14">
      <c r="B195" s="490" t="s">
        <v>1375</v>
      </c>
      <c r="E195" s="494">
        <f>decScenario2PatPopRegion3*1000</f>
        <v>2000000</v>
      </c>
      <c r="F195" s="494">
        <f t="shared" ref="F195:N195" si="224">E195*(1+$C188)</f>
        <v>2000000</v>
      </c>
      <c r="G195" s="494">
        <f t="shared" si="224"/>
        <v>2000000</v>
      </c>
      <c r="H195" s="494">
        <f t="shared" si="224"/>
        <v>2000000</v>
      </c>
      <c r="I195" s="494">
        <f t="shared" si="224"/>
        <v>2000000</v>
      </c>
      <c r="J195" s="494">
        <f t="shared" si="224"/>
        <v>2000000</v>
      </c>
      <c r="K195" s="494">
        <f t="shared" si="224"/>
        <v>2000000</v>
      </c>
      <c r="L195" s="494">
        <f t="shared" si="224"/>
        <v>2000000</v>
      </c>
      <c r="M195" s="494">
        <f t="shared" si="224"/>
        <v>2000000</v>
      </c>
      <c r="N195" s="494">
        <f t="shared" si="224"/>
        <v>2000000</v>
      </c>
    </row>
    <row r="196" spans="1:14">
      <c r="B196" s="490" t="s">
        <v>1382</v>
      </c>
      <c r="E196" s="494">
        <f>IF(decPlanLOEDate&lt;=Fin!E194,(($G191*$C189*($E$148*$E$146^($E$147^(E194-$D$152))))*$C190)*$C187*$E191,((E195*$C189*($E$148*$E$146^($E$147^(E194-$D$152))))*$C190))</f>
        <v>62609.903369994106</v>
      </c>
      <c r="F196" s="494">
        <f>IF(decPlanLOEDate&lt;=Fin!F194,(($G191*$C189*($E$148*$E$146^($E$147^(F194-$D$152))))*$C190)*$C187*$E191,((F195*$C189*($E$148*$E$146^($E$147^(F194-$D$152))))*$C190))</f>
        <v>93623.642696699084</v>
      </c>
      <c r="G196" s="494">
        <f>IF(decPlanLOEDate&lt;=Fin!G194,(($G191*$C189*($E$148*$E$146^($E$147^(G194-$D$152))))*$C190)*$C187*$E191,((G195*$C189*($E$148*$E$146^($E$147^(G194-$D$152))))*$C190))</f>
        <v>114487.16075411196</v>
      </c>
      <c r="H196" s="494">
        <f>IF(decPlanLOEDate&lt;=Fin!H194,(($G191*$C189*($E$148*$E$146^($E$147^(H194-$D$152))))*$C190)*$C187*$E191,((H195*$C189*($E$148*$E$146^($E$147^(H194-$D$152))))*$C190))</f>
        <v>126602.5375163376</v>
      </c>
      <c r="I196" s="494">
        <f>IF(decPlanLOEDate&lt;=Fin!I194,(($G191*$C189*($E$148*$E$146^($E$147^(I194-$D$152))))*$C190)*$C187*$E191,((I195*$C189*($E$148*$E$146^($E$147^(I194-$D$152))))*$C190))</f>
        <v>133132.84813406219</v>
      </c>
      <c r="J196" s="494">
        <f>IF(decPlanLOEDate&lt;=Fin!J194,(($G191*$C189*($E$148*$E$146^($E$147^(J194-$D$152))))*$C190)*$C187*$E191,((J195*$C189*($E$148*$E$146^($E$147^(J194-$D$152))))*$C190))</f>
        <v>136523.25347269126</v>
      </c>
      <c r="K196" s="494">
        <f>IF(decPlanLOEDate&lt;=Fin!K194,(($G191*$C189*($E$148*$E$146^($E$147^(K194-$D$152))))*$C190)*$C187*$E191,((K195*$C189*($E$148*$E$146^($E$147^(K194-$D$152))))*$C190))</f>
        <v>138250.69795909451</v>
      </c>
      <c r="L196" s="494">
        <f>IF(decPlanLOEDate&lt;=Fin!L194,(($G191*$C189*($E$148*$E$146^($E$147^(L194-$D$152))))*$C190)*$C187*$E191,((L195*$C189*($E$148*$E$146^($E$147^(L194-$D$152))))*$C190))</f>
        <v>139122.59958135209</v>
      </c>
      <c r="M196" s="494">
        <f>IF(decPlanLOEDate&lt;=Fin!M194,(($G191*$C189*($E$148*$E$146^($E$147^(M194-$D$152))))*$C190)*$C187*$E191,((M195*$C189*($E$148*$E$146^($E$147^(M194-$D$152))))*$C190))</f>
        <v>139560.61027879352</v>
      </c>
      <c r="N196" s="494">
        <f>IF(decPlanLOEDate&lt;=Fin!N194,(($G191*$C189*($E$148*$E$146^($E$147^(N194-$D$152))))*$C190)*$C187*$E191,((N195*$C189*($E$148*$E$146^($E$147^(N194-$D$152))))*$C190))</f>
        <v>0</v>
      </c>
    </row>
    <row r="197" spans="1:14">
      <c r="B197" s="490" t="s">
        <v>1383</v>
      </c>
      <c r="C197" s="493"/>
      <c r="E197" s="494">
        <f>calcScenario2Reg3Price</f>
        <v>0</v>
      </c>
      <c r="F197" s="494">
        <f>E197*(1+$C191)</f>
        <v>0</v>
      </c>
      <c r="G197" s="494">
        <f t="shared" ref="G197" si="225">F197*(1+$C191)</f>
        <v>0</v>
      </c>
      <c r="H197" s="494">
        <f t="shared" ref="H197" si="226">G197*(1+$C191)</f>
        <v>0</v>
      </c>
      <c r="I197" s="494">
        <f t="shared" ref="I197" si="227">H197*(1+$C191)</f>
        <v>0</v>
      </c>
      <c r="J197" s="494">
        <f t="shared" ref="J197" si="228">I197*(1+$C191)</f>
        <v>0</v>
      </c>
      <c r="K197" s="494">
        <f t="shared" ref="K197" si="229">J197*(1+$C191)</f>
        <v>0</v>
      </c>
      <c r="L197" s="494">
        <f t="shared" ref="L197" si="230">K197*(1+$C191)</f>
        <v>0</v>
      </c>
      <c r="M197" s="494">
        <f t="shared" ref="M197" si="231">L197*(1+$C191)</f>
        <v>0</v>
      </c>
      <c r="N197" s="494">
        <f t="shared" ref="N197" si="232">M197*(1+$C191)</f>
        <v>0</v>
      </c>
    </row>
    <row r="198" spans="1:14">
      <c r="B198" s="490" t="s">
        <v>1385</v>
      </c>
      <c r="E198" s="494">
        <f>E196*E197</f>
        <v>0</v>
      </c>
      <c r="F198" s="494">
        <f t="shared" ref="F198:N198" si="233">F196*F197</f>
        <v>0</v>
      </c>
      <c r="G198" s="494">
        <f t="shared" si="233"/>
        <v>0</v>
      </c>
      <c r="H198" s="494">
        <f t="shared" si="233"/>
        <v>0</v>
      </c>
      <c r="I198" s="494">
        <f t="shared" si="233"/>
        <v>0</v>
      </c>
      <c r="J198" s="494">
        <f t="shared" si="233"/>
        <v>0</v>
      </c>
      <c r="K198" s="494">
        <f t="shared" si="233"/>
        <v>0</v>
      </c>
      <c r="L198" s="494">
        <f t="shared" si="233"/>
        <v>0</v>
      </c>
      <c r="M198" s="494">
        <f t="shared" si="233"/>
        <v>0</v>
      </c>
      <c r="N198" s="494">
        <f t="shared" si="233"/>
        <v>0</v>
      </c>
    </row>
    <row r="199" spans="1:14">
      <c r="B199" s="496" t="s">
        <v>1386</v>
      </c>
      <c r="D199" s="497"/>
      <c r="E199" s="498">
        <f>$C192*E198*$C187</f>
        <v>0</v>
      </c>
      <c r="F199" s="498">
        <f t="shared" ref="F199" si="234">$C192*F198*$C187</f>
        <v>0</v>
      </c>
      <c r="G199" s="498">
        <f t="shared" ref="G199" si="235">$C192*G198*$C187</f>
        <v>0</v>
      </c>
      <c r="H199" s="498">
        <f t="shared" ref="H199" si="236">$C192*H198*$C187</f>
        <v>0</v>
      </c>
      <c r="I199" s="498">
        <f t="shared" ref="I199" si="237">$C192*I198*$C187</f>
        <v>0</v>
      </c>
      <c r="J199" s="498">
        <f t="shared" ref="J199" si="238">$C192*J198*$C187</f>
        <v>0</v>
      </c>
      <c r="K199" s="498">
        <f t="shared" ref="K199" si="239">$C192*K198*$C187</f>
        <v>0</v>
      </c>
      <c r="L199" s="498">
        <f t="shared" ref="L199" si="240">$C192*L198*$C187</f>
        <v>0</v>
      </c>
      <c r="M199" s="498">
        <f t="shared" ref="M199" si="241">$C192*M198*$C187</f>
        <v>0</v>
      </c>
      <c r="N199" s="498">
        <f t="shared" ref="N199" si="242">$C192*N198*$C187</f>
        <v>0</v>
      </c>
    </row>
    <row r="200" spans="1:14">
      <c r="B200" s="503"/>
      <c r="C200" s="506"/>
      <c r="D200" s="504"/>
      <c r="E200" s="505"/>
      <c r="F200" s="505"/>
      <c r="G200" s="505"/>
      <c r="H200" s="505"/>
      <c r="I200" s="505"/>
      <c r="J200" s="505"/>
      <c r="K200" s="505"/>
      <c r="L200" s="505"/>
      <c r="M200" s="505"/>
      <c r="N200" s="505"/>
    </row>
    <row r="201" spans="1:14">
      <c r="B201" t="s">
        <v>267</v>
      </c>
      <c r="E201" s="495">
        <f t="shared" ref="E201:N201" si="243">E196*calcScenario2AverageCOGS*$C187</f>
        <v>0</v>
      </c>
      <c r="F201" s="495">
        <f t="shared" si="243"/>
        <v>0</v>
      </c>
      <c r="G201" s="495">
        <f t="shared" si="243"/>
        <v>0</v>
      </c>
      <c r="H201" s="495">
        <f t="shared" si="243"/>
        <v>0</v>
      </c>
      <c r="I201" s="495">
        <f t="shared" si="243"/>
        <v>0</v>
      </c>
      <c r="J201" s="495">
        <f t="shared" si="243"/>
        <v>0</v>
      </c>
      <c r="K201" s="495">
        <f t="shared" si="243"/>
        <v>0</v>
      </c>
      <c r="L201" s="495">
        <f t="shared" si="243"/>
        <v>0</v>
      </c>
      <c r="M201" s="495">
        <f t="shared" si="243"/>
        <v>0</v>
      </c>
      <c r="N201" s="495">
        <f t="shared" si="243"/>
        <v>0</v>
      </c>
    </row>
    <row r="202" spans="1:14">
      <c r="B202" s="500" t="s">
        <v>272</v>
      </c>
      <c r="C202" s="500"/>
      <c r="D202" s="500"/>
      <c r="E202" s="501">
        <f>E199-E201</f>
        <v>0</v>
      </c>
      <c r="F202" s="501">
        <f t="shared" ref="F202:N202" si="244">F199-F201</f>
        <v>0</v>
      </c>
      <c r="G202" s="501">
        <f t="shared" si="244"/>
        <v>0</v>
      </c>
      <c r="H202" s="501">
        <f t="shared" si="244"/>
        <v>0</v>
      </c>
      <c r="I202" s="501">
        <f t="shared" si="244"/>
        <v>0</v>
      </c>
      <c r="J202" s="501">
        <f t="shared" si="244"/>
        <v>0</v>
      </c>
      <c r="K202" s="501">
        <f t="shared" si="244"/>
        <v>0</v>
      </c>
      <c r="L202" s="501">
        <f t="shared" si="244"/>
        <v>0</v>
      </c>
      <c r="M202" s="501">
        <f t="shared" si="244"/>
        <v>0</v>
      </c>
      <c r="N202" s="501">
        <f t="shared" si="244"/>
        <v>0</v>
      </c>
    </row>
    <row r="203" spans="1:14">
      <c r="B203" t="s">
        <v>1195</v>
      </c>
      <c r="E203" s="502">
        <f>IF(E199&gt;0,E202/E199,0)</f>
        <v>0</v>
      </c>
      <c r="F203" s="502">
        <f t="shared" ref="F203:N203" si="245">IF(F199&gt;0,F202/F199,0)</f>
        <v>0</v>
      </c>
      <c r="G203" s="502">
        <f t="shared" si="245"/>
        <v>0</v>
      </c>
      <c r="H203" s="502">
        <f t="shared" si="245"/>
        <v>0</v>
      </c>
      <c r="I203" s="502">
        <f t="shared" si="245"/>
        <v>0</v>
      </c>
      <c r="J203" s="502">
        <f t="shared" si="245"/>
        <v>0</v>
      </c>
      <c r="K203" s="502">
        <f t="shared" si="245"/>
        <v>0</v>
      </c>
      <c r="L203" s="502">
        <f t="shared" si="245"/>
        <v>0</v>
      </c>
      <c r="M203" s="502">
        <f t="shared" si="245"/>
        <v>0</v>
      </c>
      <c r="N203" s="502">
        <f t="shared" si="245"/>
        <v>0</v>
      </c>
    </row>
    <row r="204" spans="1:14">
      <c r="E204" s="502"/>
      <c r="F204" s="502"/>
      <c r="G204" s="502"/>
      <c r="H204" s="502"/>
      <c r="I204" s="502"/>
      <c r="J204" s="502"/>
      <c r="K204" s="502"/>
      <c r="L204" s="502"/>
      <c r="M204" s="502"/>
      <c r="N204" s="502"/>
    </row>
    <row r="205" spans="1:14">
      <c r="B205" s="500" t="s">
        <v>1198</v>
      </c>
      <c r="C205" s="500"/>
      <c r="D205" s="500"/>
      <c r="E205" s="501">
        <f t="shared" ref="E205:N205" si="246">calcScenario2Reg3SnM*E199</f>
        <v>0</v>
      </c>
      <c r="F205" s="501">
        <f t="shared" si="246"/>
        <v>0</v>
      </c>
      <c r="G205" s="501">
        <f t="shared" si="246"/>
        <v>0</v>
      </c>
      <c r="H205" s="501">
        <f t="shared" si="246"/>
        <v>0</v>
      </c>
      <c r="I205" s="501">
        <f t="shared" si="246"/>
        <v>0</v>
      </c>
      <c r="J205" s="501">
        <f t="shared" si="246"/>
        <v>0</v>
      </c>
      <c r="K205" s="501">
        <f t="shared" si="246"/>
        <v>0</v>
      </c>
      <c r="L205" s="501">
        <f t="shared" si="246"/>
        <v>0</v>
      </c>
      <c r="M205" s="501">
        <f t="shared" si="246"/>
        <v>0</v>
      </c>
      <c r="N205" s="501">
        <f t="shared" si="246"/>
        <v>0</v>
      </c>
    </row>
    <row r="206" spans="1:14">
      <c r="E206" s="495"/>
      <c r="F206" s="495"/>
      <c r="G206" s="495"/>
      <c r="H206" s="495"/>
      <c r="I206" s="495"/>
      <c r="J206" s="495"/>
      <c r="K206" s="495"/>
      <c r="L206" s="495"/>
      <c r="M206" s="495"/>
      <c r="N206" s="495"/>
    </row>
    <row r="207" spans="1:14" ht="15" thickBot="1">
      <c r="A207" s="27" t="s">
        <v>1332</v>
      </c>
    </row>
    <row r="208" spans="1:14" ht="15" thickBot="1">
      <c r="B208" t="s">
        <v>519</v>
      </c>
      <c r="C208" s="487" t="b">
        <f>decScenario2EnterRegion4</f>
        <v>0</v>
      </c>
      <c r="E208" t="s">
        <v>1378</v>
      </c>
    </row>
    <row r="209" spans="2:14" ht="15" thickBot="1">
      <c r="B209" t="s">
        <v>1384</v>
      </c>
      <c r="C209" s="499">
        <v>0</v>
      </c>
      <c r="D209" s="490" t="s">
        <v>1379</v>
      </c>
      <c r="E209" s="492">
        <f>calcScenario2AveragePenetration</f>
        <v>0.2</v>
      </c>
    </row>
    <row r="210" spans="2:14" ht="15" thickBot="1">
      <c r="B210" t="s">
        <v>474</v>
      </c>
      <c r="C210" s="489">
        <f>decScenario2PeakMSRegion4</f>
        <v>0.1</v>
      </c>
      <c r="D210" s="490" t="s">
        <v>1380</v>
      </c>
      <c r="E210" s="492">
        <v>0.5</v>
      </c>
    </row>
    <row r="211" spans="2:14" ht="15" thickBot="1">
      <c r="B211" t="s">
        <v>1376</v>
      </c>
      <c r="C211" s="489">
        <f>calcScenario2AverageCompliance</f>
        <v>0.7</v>
      </c>
      <c r="D211" s="490" t="s">
        <v>1381</v>
      </c>
      <c r="E211" s="492">
        <v>1</v>
      </c>
    </row>
    <row r="212" spans="2:14" ht="15" thickBot="1">
      <c r="B212" t="s">
        <v>1377</v>
      </c>
      <c r="C212" s="489">
        <v>0.02</v>
      </c>
      <c r="D212" s="560" t="s">
        <v>1493</v>
      </c>
      <c r="E212" s="558">
        <v>0.5</v>
      </c>
      <c r="F212" s="490" t="s">
        <v>1492</v>
      </c>
      <c r="G212" s="561">
        <f>INDEX(E216:N216,E213)</f>
        <v>3000000</v>
      </c>
    </row>
    <row r="213" spans="2:14" ht="15" thickBot="1">
      <c r="B213" t="s">
        <v>1388</v>
      </c>
      <c r="C213" s="507">
        <f>1-calcScenario2AverageDiscount</f>
        <v>0.9</v>
      </c>
      <c r="D213" s="560" t="s">
        <v>1491</v>
      </c>
      <c r="E213" s="559">
        <f>MAX(IF(decPlanLOEDate&lt;=Fin!E215,0,F213),1)</f>
        <v>10</v>
      </c>
      <c r="F213" s="559">
        <f>IFERROR(MATCH(decPlanLOEDate,E215:N215,0),)</f>
        <v>10</v>
      </c>
    </row>
    <row r="214" spans="2:14">
      <c r="D214">
        <v>0</v>
      </c>
      <c r="E214" t="b">
        <f>decPlanLOEDate&lt;=Fin!E217</f>
        <v>1</v>
      </c>
      <c r="F214" t="b">
        <f>decPlanLOEDate&lt;=Fin!F217</f>
        <v>1</v>
      </c>
      <c r="G214" t="b">
        <f>decPlanLOEDate&lt;=Fin!G217</f>
        <v>1</v>
      </c>
      <c r="H214" t="b">
        <f>decPlanLOEDate&lt;=Fin!H217</f>
        <v>1</v>
      </c>
      <c r="I214" t="b">
        <f>decPlanLOEDate&lt;=Fin!I217</f>
        <v>1</v>
      </c>
      <c r="J214" t="b">
        <f>decPlanLOEDate&lt;=Fin!J217</f>
        <v>1</v>
      </c>
      <c r="K214" t="b">
        <f>decPlanLOEDate&lt;=Fin!K217</f>
        <v>1</v>
      </c>
      <c r="L214" t="b">
        <f>decPlanLOEDate&lt;=Fin!L217</f>
        <v>1</v>
      </c>
      <c r="M214" t="b">
        <f>decPlanLOEDate&lt;=Fin!M217</f>
        <v>1</v>
      </c>
      <c r="N214" t="b">
        <f>decPlanLOEDate&lt;=Fin!N217</f>
        <v>0</v>
      </c>
    </row>
    <row r="215" spans="2:14">
      <c r="B215" s="490" t="s">
        <v>1387</v>
      </c>
      <c r="D215">
        <f>E215-1</f>
        <v>2020</v>
      </c>
      <c r="E215" s="26">
        <f>ROUND(finScenario2LaunchDate,0)</f>
        <v>2021</v>
      </c>
      <c r="F215" s="26">
        <f>E215+1</f>
        <v>2022</v>
      </c>
      <c r="G215" s="26">
        <f t="shared" ref="G215:N215" si="247">F215+1</f>
        <v>2023</v>
      </c>
      <c r="H215" s="26">
        <f t="shared" si="247"/>
        <v>2024</v>
      </c>
      <c r="I215" s="26">
        <f t="shared" si="247"/>
        <v>2025</v>
      </c>
      <c r="J215" s="26">
        <f t="shared" si="247"/>
        <v>2026</v>
      </c>
      <c r="K215" s="26">
        <f t="shared" si="247"/>
        <v>2027</v>
      </c>
      <c r="L215" s="26">
        <f t="shared" si="247"/>
        <v>2028</v>
      </c>
      <c r="M215" s="26">
        <f t="shared" si="247"/>
        <v>2029</v>
      </c>
      <c r="N215" s="26">
        <f t="shared" si="247"/>
        <v>2030</v>
      </c>
    </row>
    <row r="216" spans="2:14">
      <c r="B216" s="490" t="s">
        <v>1375</v>
      </c>
      <c r="E216" s="494">
        <f>decScenario2PatPopRegion4*1000</f>
        <v>3000000</v>
      </c>
      <c r="F216" s="494">
        <f t="shared" ref="F216:N216" si="248">E216*(1+$C209)</f>
        <v>3000000</v>
      </c>
      <c r="G216" s="494">
        <f t="shared" si="248"/>
        <v>3000000</v>
      </c>
      <c r="H216" s="494">
        <f t="shared" si="248"/>
        <v>3000000</v>
      </c>
      <c r="I216" s="494">
        <f t="shared" si="248"/>
        <v>3000000</v>
      </c>
      <c r="J216" s="494">
        <f t="shared" si="248"/>
        <v>3000000</v>
      </c>
      <c r="K216" s="494">
        <f t="shared" si="248"/>
        <v>3000000</v>
      </c>
      <c r="L216" s="494">
        <f t="shared" si="248"/>
        <v>3000000</v>
      </c>
      <c r="M216" s="494">
        <f t="shared" si="248"/>
        <v>3000000</v>
      </c>
      <c r="N216" s="494">
        <f t="shared" si="248"/>
        <v>3000000</v>
      </c>
    </row>
    <row r="217" spans="2:14">
      <c r="B217" s="490" t="s">
        <v>1382</v>
      </c>
      <c r="E217" s="494">
        <f>IF(decPlanLOEDate&lt;=Fin!E215,(($G212*$C210*($E$148*$E$146^($E$147^(E215-$D$152))))*$C211)*$C208*$E212,((E216*$C210*($E$148*$E$146^($E$147^(E215-$D$152))))*$C211))</f>
        <v>93914.85505499116</v>
      </c>
      <c r="F217" s="494">
        <f>IF(decPlanLOEDate&lt;=Fin!F215,(($G212*$C210*($E$148*$E$146^($E$147^(F215-$D$152))))*$C211)*$C208*$E212,((F216*$C210*($E$148*$E$146^($E$147^(F215-$D$152))))*$C211))</f>
        <v>140435.46404504863</v>
      </c>
      <c r="G217" s="494">
        <f>IF(decPlanLOEDate&lt;=Fin!G215,(($G212*$C210*($E$148*$E$146^($E$147^(G215-$D$152))))*$C211)*$C208*$E212,((G216*$C210*($E$148*$E$146^($E$147^(G215-$D$152))))*$C211))</f>
        <v>171730.74113116795</v>
      </c>
      <c r="H217" s="494">
        <f>IF(decPlanLOEDate&lt;=Fin!H215,(($G212*$C210*($E$148*$E$146^($E$147^(H215-$D$152))))*$C211)*$C208*$E212,((H216*$C210*($E$148*$E$146^($E$147^(H215-$D$152))))*$C211))</f>
        <v>189903.80627450644</v>
      </c>
      <c r="I217" s="494">
        <f>IF(decPlanLOEDate&lt;=Fin!I215,(($G212*$C210*($E$148*$E$146^($E$147^(I215-$D$152))))*$C211)*$C208*$E212,((I216*$C210*($E$148*$E$146^($E$147^(I215-$D$152))))*$C211))</f>
        <v>199699.27220109326</v>
      </c>
      <c r="J217" s="494">
        <f>IF(decPlanLOEDate&lt;=Fin!J215,(($G212*$C210*($E$148*$E$146^($E$147^(J215-$D$152))))*$C211)*$C208*$E212,((J216*$C210*($E$148*$E$146^($E$147^(J215-$D$152))))*$C211))</f>
        <v>204784.88020903687</v>
      </c>
      <c r="K217" s="494">
        <f>IF(decPlanLOEDate&lt;=Fin!K215,(($G212*$C210*($E$148*$E$146^($E$147^(K215-$D$152))))*$C211)*$C208*$E212,((K216*$C210*($E$148*$E$146^($E$147^(K215-$D$152))))*$C211))</f>
        <v>207376.04693864175</v>
      </c>
      <c r="L217" s="494">
        <f>IF(decPlanLOEDate&lt;=Fin!L215,(($G212*$C210*($E$148*$E$146^($E$147^(L215-$D$152))))*$C211)*$C208*$E212,((L216*$C210*($E$148*$E$146^($E$147^(L215-$D$152))))*$C211))</f>
        <v>208683.89937202816</v>
      </c>
      <c r="M217" s="494">
        <f>IF(decPlanLOEDate&lt;=Fin!M215,(($G212*$C210*($E$148*$E$146^($E$147^(M215-$D$152))))*$C211)*$C208*$E212,((M216*$C210*($E$148*$E$146^($E$147^(M215-$D$152))))*$C211))</f>
        <v>209340.9154181903</v>
      </c>
      <c r="N217" s="494">
        <f>IF(decPlanLOEDate&lt;=Fin!N215,(($G212*$C210*($E$148*$E$146^($E$147^(N215-$D$152))))*$C211)*$C208*$E212,((N216*$C210*($E$148*$E$146^($E$147^(N215-$D$152))))*$C211))</f>
        <v>0</v>
      </c>
    </row>
    <row r="218" spans="2:14">
      <c r="B218" s="490" t="s">
        <v>1383</v>
      </c>
      <c r="C218" s="493"/>
      <c r="E218" s="494">
        <f>calcScenario2Reg4Price</f>
        <v>0</v>
      </c>
      <c r="F218" s="494">
        <f>E218*(1+$C212)</f>
        <v>0</v>
      </c>
      <c r="G218" s="494">
        <f t="shared" ref="G218" si="249">F218*(1+$C212)</f>
        <v>0</v>
      </c>
      <c r="H218" s="494">
        <f t="shared" ref="H218" si="250">G218*(1+$C212)</f>
        <v>0</v>
      </c>
      <c r="I218" s="494">
        <f t="shared" ref="I218" si="251">H218*(1+$C212)</f>
        <v>0</v>
      </c>
      <c r="J218" s="494">
        <f t="shared" ref="J218" si="252">I218*(1+$C212)</f>
        <v>0</v>
      </c>
      <c r="K218" s="494">
        <f t="shared" ref="K218" si="253">J218*(1+$C212)</f>
        <v>0</v>
      </c>
      <c r="L218" s="494">
        <f t="shared" ref="L218" si="254">K218*(1+$C212)</f>
        <v>0</v>
      </c>
      <c r="M218" s="494">
        <f t="shared" ref="M218" si="255">L218*(1+$C212)</f>
        <v>0</v>
      </c>
      <c r="N218" s="494">
        <f t="shared" ref="N218" si="256">M218*(1+$C212)</f>
        <v>0</v>
      </c>
    </row>
    <row r="219" spans="2:14">
      <c r="B219" s="490" t="s">
        <v>1385</v>
      </c>
      <c r="E219" s="494">
        <f>E217*E218</f>
        <v>0</v>
      </c>
      <c r="F219" s="494">
        <f t="shared" ref="F219:N219" si="257">F217*F218</f>
        <v>0</v>
      </c>
      <c r="G219" s="494">
        <f t="shared" si="257"/>
        <v>0</v>
      </c>
      <c r="H219" s="494">
        <f t="shared" si="257"/>
        <v>0</v>
      </c>
      <c r="I219" s="494">
        <f t="shared" si="257"/>
        <v>0</v>
      </c>
      <c r="J219" s="494">
        <f t="shared" si="257"/>
        <v>0</v>
      </c>
      <c r="K219" s="494">
        <f t="shared" si="257"/>
        <v>0</v>
      </c>
      <c r="L219" s="494">
        <f t="shared" si="257"/>
        <v>0</v>
      </c>
      <c r="M219" s="494">
        <f t="shared" si="257"/>
        <v>0</v>
      </c>
      <c r="N219" s="494">
        <f t="shared" si="257"/>
        <v>0</v>
      </c>
    </row>
    <row r="220" spans="2:14">
      <c r="B220" s="496" t="s">
        <v>1386</v>
      </c>
      <c r="D220" s="497"/>
      <c r="E220" s="498">
        <f>$C213*E219*$C208</f>
        <v>0</v>
      </c>
      <c r="F220" s="498">
        <f t="shared" ref="F220" si="258">$C213*F219*$C208</f>
        <v>0</v>
      </c>
      <c r="G220" s="498">
        <f t="shared" ref="G220" si="259">$C213*G219*$C208</f>
        <v>0</v>
      </c>
      <c r="H220" s="498">
        <f t="shared" ref="H220" si="260">$C213*H219*$C208</f>
        <v>0</v>
      </c>
      <c r="I220" s="498">
        <f t="shared" ref="I220" si="261">$C213*I219*$C208</f>
        <v>0</v>
      </c>
      <c r="J220" s="498">
        <f t="shared" ref="J220" si="262">$C213*J219*$C208</f>
        <v>0</v>
      </c>
      <c r="K220" s="498">
        <f t="shared" ref="K220" si="263">$C213*K219*$C208</f>
        <v>0</v>
      </c>
      <c r="L220" s="498">
        <f t="shared" ref="L220" si="264">$C213*L219*$C208</f>
        <v>0</v>
      </c>
      <c r="M220" s="498">
        <f t="shared" ref="M220" si="265">$C213*M219*$C208</f>
        <v>0</v>
      </c>
      <c r="N220" s="498">
        <f t="shared" ref="N220" si="266">$C213*N219*$C208</f>
        <v>0</v>
      </c>
    </row>
    <row r="221" spans="2:14">
      <c r="B221" s="503"/>
      <c r="C221" s="506"/>
      <c r="D221" s="504"/>
      <c r="E221" s="505"/>
      <c r="F221" s="505"/>
      <c r="G221" s="505"/>
      <c r="H221" s="505"/>
      <c r="I221" s="505"/>
      <c r="J221" s="505"/>
      <c r="K221" s="505"/>
      <c r="L221" s="505"/>
      <c r="M221" s="505"/>
      <c r="N221" s="505"/>
    </row>
    <row r="222" spans="2:14">
      <c r="B222" t="s">
        <v>267</v>
      </c>
      <c r="E222" s="495">
        <f t="shared" ref="E222:N222" si="267">E217*calcScenario2AverageCOGS*$C208</f>
        <v>0</v>
      </c>
      <c r="F222" s="495">
        <f t="shared" si="267"/>
        <v>0</v>
      </c>
      <c r="G222" s="495">
        <f t="shared" si="267"/>
        <v>0</v>
      </c>
      <c r="H222" s="495">
        <f t="shared" si="267"/>
        <v>0</v>
      </c>
      <c r="I222" s="495">
        <f t="shared" si="267"/>
        <v>0</v>
      </c>
      <c r="J222" s="495">
        <f t="shared" si="267"/>
        <v>0</v>
      </c>
      <c r="K222" s="495">
        <f t="shared" si="267"/>
        <v>0</v>
      </c>
      <c r="L222" s="495">
        <f t="shared" si="267"/>
        <v>0</v>
      </c>
      <c r="M222" s="495">
        <f t="shared" si="267"/>
        <v>0</v>
      </c>
      <c r="N222" s="495">
        <f t="shared" si="267"/>
        <v>0</v>
      </c>
    </row>
    <row r="223" spans="2:14">
      <c r="B223" s="500" t="s">
        <v>272</v>
      </c>
      <c r="C223" s="500"/>
      <c r="D223" s="500"/>
      <c r="E223" s="501">
        <f>E220-E222</f>
        <v>0</v>
      </c>
      <c r="F223" s="501">
        <f t="shared" ref="F223:N223" si="268">F220-F222</f>
        <v>0</v>
      </c>
      <c r="G223" s="501">
        <f t="shared" si="268"/>
        <v>0</v>
      </c>
      <c r="H223" s="501">
        <f t="shared" si="268"/>
        <v>0</v>
      </c>
      <c r="I223" s="501">
        <f t="shared" si="268"/>
        <v>0</v>
      </c>
      <c r="J223" s="501">
        <f t="shared" si="268"/>
        <v>0</v>
      </c>
      <c r="K223" s="501">
        <f t="shared" si="268"/>
        <v>0</v>
      </c>
      <c r="L223" s="501">
        <f t="shared" si="268"/>
        <v>0</v>
      </c>
      <c r="M223" s="501">
        <f t="shared" si="268"/>
        <v>0</v>
      </c>
      <c r="N223" s="501">
        <f t="shared" si="268"/>
        <v>0</v>
      </c>
    </row>
    <row r="224" spans="2:14">
      <c r="B224" t="s">
        <v>1195</v>
      </c>
      <c r="E224" s="502">
        <f>IF(E220&gt;0,E223/E220,0)</f>
        <v>0</v>
      </c>
      <c r="F224" s="502">
        <f t="shared" ref="F224:N224" si="269">IF(F220&gt;0,F223/F220,0)</f>
        <v>0</v>
      </c>
      <c r="G224" s="502">
        <f t="shared" si="269"/>
        <v>0</v>
      </c>
      <c r="H224" s="502">
        <f t="shared" si="269"/>
        <v>0</v>
      </c>
      <c r="I224" s="502">
        <f t="shared" si="269"/>
        <v>0</v>
      </c>
      <c r="J224" s="502">
        <f t="shared" si="269"/>
        <v>0</v>
      </c>
      <c r="K224" s="502">
        <f t="shared" si="269"/>
        <v>0</v>
      </c>
      <c r="L224" s="502">
        <f t="shared" si="269"/>
        <v>0</v>
      </c>
      <c r="M224" s="502">
        <f t="shared" si="269"/>
        <v>0</v>
      </c>
      <c r="N224" s="502">
        <f t="shared" si="269"/>
        <v>0</v>
      </c>
    </row>
    <row r="225" spans="1:14">
      <c r="E225" s="502"/>
      <c r="F225" s="502"/>
      <c r="G225" s="502"/>
      <c r="H225" s="502"/>
      <c r="I225" s="502"/>
      <c r="J225" s="502"/>
      <c r="K225" s="502"/>
      <c r="L225" s="502"/>
      <c r="M225" s="502"/>
      <c r="N225" s="502"/>
    </row>
    <row r="226" spans="1:14">
      <c r="B226" s="500" t="s">
        <v>1198</v>
      </c>
      <c r="C226" s="500"/>
      <c r="D226" s="500"/>
      <c r="E226" s="501">
        <f t="shared" ref="E226:N226" si="270">calcScenario2Reg4SnM*E220</f>
        <v>0</v>
      </c>
      <c r="F226" s="501">
        <f t="shared" si="270"/>
        <v>0</v>
      </c>
      <c r="G226" s="501">
        <f t="shared" si="270"/>
        <v>0</v>
      </c>
      <c r="H226" s="501">
        <f t="shared" si="270"/>
        <v>0</v>
      </c>
      <c r="I226" s="501">
        <f t="shared" si="270"/>
        <v>0</v>
      </c>
      <c r="J226" s="501">
        <f t="shared" si="270"/>
        <v>0</v>
      </c>
      <c r="K226" s="501">
        <f t="shared" si="270"/>
        <v>0</v>
      </c>
      <c r="L226" s="501">
        <f t="shared" si="270"/>
        <v>0</v>
      </c>
      <c r="M226" s="501">
        <f t="shared" si="270"/>
        <v>0</v>
      </c>
      <c r="N226" s="501">
        <f t="shared" si="270"/>
        <v>0</v>
      </c>
    </row>
    <row r="227" spans="1:14" ht="15" thickBot="1">
      <c r="E227" s="495"/>
      <c r="F227" s="495"/>
      <c r="G227" s="495"/>
      <c r="H227" s="495"/>
      <c r="I227" s="495"/>
      <c r="J227" s="495"/>
      <c r="K227" s="495"/>
      <c r="L227" s="495"/>
      <c r="M227" s="495"/>
      <c r="N227" s="495"/>
    </row>
    <row r="228" spans="1:14" ht="15" thickBot="1">
      <c r="A228" s="27" t="s">
        <v>55</v>
      </c>
      <c r="D228" t="s">
        <v>480</v>
      </c>
      <c r="E228" s="507">
        <f>E231/E230</f>
        <v>3.130495168499705E-2</v>
      </c>
    </row>
    <row r="229" spans="1:14">
      <c r="B229" s="490" t="s">
        <v>1387</v>
      </c>
      <c r="D229" s="516">
        <f>E229-1</f>
        <v>2020.325</v>
      </c>
      <c r="E229" s="529">
        <f>D267</f>
        <v>2021.325</v>
      </c>
      <c r="F229" s="529">
        <f>E229+1</f>
        <v>2022.325</v>
      </c>
      <c r="G229" s="529">
        <f t="shared" ref="G229:N229" si="271">F229+1</f>
        <v>2023.325</v>
      </c>
      <c r="H229" s="529">
        <f t="shared" si="271"/>
        <v>2024.325</v>
      </c>
      <c r="I229" s="529">
        <f t="shared" si="271"/>
        <v>2025.325</v>
      </c>
      <c r="J229" s="529">
        <f t="shared" si="271"/>
        <v>2026.325</v>
      </c>
      <c r="K229" s="529">
        <f t="shared" si="271"/>
        <v>2027.325</v>
      </c>
      <c r="L229" s="529">
        <f t="shared" si="271"/>
        <v>2028.325</v>
      </c>
      <c r="M229" s="529">
        <f t="shared" si="271"/>
        <v>2029.325</v>
      </c>
      <c r="N229" s="529">
        <f t="shared" si="271"/>
        <v>2030.325</v>
      </c>
    </row>
    <row r="230" spans="1:14">
      <c r="B230" s="490" t="s">
        <v>1375</v>
      </c>
      <c r="D230">
        <v>0</v>
      </c>
      <c r="E230" s="494">
        <f>E153+E174+E195+E216</f>
        <v>6500000</v>
      </c>
      <c r="F230" s="494">
        <f t="shared" ref="F230:N230" si="272">F153+F174+F195+F216</f>
        <v>6500000</v>
      </c>
      <c r="G230" s="494">
        <f t="shared" si="272"/>
        <v>6500000</v>
      </c>
      <c r="H230" s="494">
        <f t="shared" si="272"/>
        <v>6500000</v>
      </c>
      <c r="I230" s="494">
        <f t="shared" si="272"/>
        <v>6500000</v>
      </c>
      <c r="J230" s="494">
        <f t="shared" si="272"/>
        <v>6500000</v>
      </c>
      <c r="K230" s="494">
        <f t="shared" si="272"/>
        <v>6500000</v>
      </c>
      <c r="L230" s="494">
        <f t="shared" si="272"/>
        <v>6500000</v>
      </c>
      <c r="M230" s="494">
        <f t="shared" si="272"/>
        <v>6500000</v>
      </c>
      <c r="N230" s="494">
        <f t="shared" si="272"/>
        <v>6500000</v>
      </c>
    </row>
    <row r="231" spans="1:14">
      <c r="B231" s="490" t="s">
        <v>1382</v>
      </c>
      <c r="D231">
        <v>0</v>
      </c>
      <c r="E231" s="494">
        <f t="shared" ref="E231:N231" si="273">E154+E175+E196+E217</f>
        <v>203482.18595248082</v>
      </c>
      <c r="F231" s="494">
        <f t="shared" si="273"/>
        <v>304276.83876427205</v>
      </c>
      <c r="G231" s="494">
        <f t="shared" si="273"/>
        <v>372083.27245086385</v>
      </c>
      <c r="H231" s="494">
        <f t="shared" si="273"/>
        <v>411458.24692809721</v>
      </c>
      <c r="I231" s="494">
        <f t="shared" si="273"/>
        <v>432681.75643570209</v>
      </c>
      <c r="J231" s="494">
        <f t="shared" si="273"/>
        <v>443700.57378624659</v>
      </c>
      <c r="K231" s="494">
        <f t="shared" si="273"/>
        <v>449314.76836705714</v>
      </c>
      <c r="L231" s="494">
        <f t="shared" si="273"/>
        <v>452148.44863939431</v>
      </c>
      <c r="M231" s="494">
        <f t="shared" si="273"/>
        <v>453571.983406079</v>
      </c>
      <c r="N231" s="494">
        <f t="shared" si="273"/>
        <v>34945.033122597597</v>
      </c>
    </row>
    <row r="232" spans="1:14">
      <c r="B232" s="490" t="s">
        <v>1383</v>
      </c>
      <c r="C232" s="493"/>
      <c r="D232">
        <v>0</v>
      </c>
      <c r="E232" s="494">
        <f t="shared" ref="E232:N232" si="274">E155+E176+E197+E218</f>
        <v>183.6</v>
      </c>
      <c r="F232" s="494">
        <f t="shared" si="274"/>
        <v>179.928</v>
      </c>
      <c r="G232" s="494">
        <f t="shared" si="274"/>
        <v>176.32944000000001</v>
      </c>
      <c r="H232" s="494">
        <f t="shared" si="274"/>
        <v>172.80285119999999</v>
      </c>
      <c r="I232" s="494">
        <f t="shared" si="274"/>
        <v>169.346794176</v>
      </c>
      <c r="J232" s="494">
        <f t="shared" si="274"/>
        <v>165.95985829247999</v>
      </c>
      <c r="K232" s="494">
        <f t="shared" si="274"/>
        <v>162.64066112663039</v>
      </c>
      <c r="L232" s="494">
        <f t="shared" si="274"/>
        <v>159.38784790409778</v>
      </c>
      <c r="M232" s="494">
        <f t="shared" si="274"/>
        <v>156.20009094601582</v>
      </c>
      <c r="N232" s="494">
        <f t="shared" si="274"/>
        <v>153.07608912709551</v>
      </c>
    </row>
    <row r="233" spans="1:14">
      <c r="B233" s="490" t="s">
        <v>1385</v>
      </c>
      <c r="D233">
        <v>0</v>
      </c>
      <c r="E233" s="494">
        <f t="shared" ref="E233:N233" si="275">E156+E177+E198+E219</f>
        <v>5747589.1293654591</v>
      </c>
      <c r="F233" s="494">
        <f t="shared" si="275"/>
        <v>8422757.391565837</v>
      </c>
      <c r="G233" s="494">
        <f t="shared" si="275"/>
        <v>10093728.471481269</v>
      </c>
      <c r="H233" s="494">
        <f t="shared" si="275"/>
        <v>10938639.725989051</v>
      </c>
      <c r="I233" s="494">
        <f t="shared" si="275"/>
        <v>11272810.515511848</v>
      </c>
      <c r="J233" s="494">
        <f t="shared" si="275"/>
        <v>11328689.899978084</v>
      </c>
      <c r="K233" s="494">
        <f t="shared" si="275"/>
        <v>11242592.458642611</v>
      </c>
      <c r="L233" s="494">
        <f t="shared" si="275"/>
        <v>11087225.871047622</v>
      </c>
      <c r="M233" s="494">
        <f t="shared" si="275"/>
        <v>10899690.00901451</v>
      </c>
      <c r="N233" s="494">
        <f t="shared" si="275"/>
        <v>5349249.0048240544</v>
      </c>
    </row>
    <row r="234" spans="1:14">
      <c r="B234" s="496" t="s">
        <v>1386</v>
      </c>
      <c r="D234" s="497">
        <v>0</v>
      </c>
      <c r="E234" s="498">
        <f t="shared" ref="E234:N234" si="276">E157+E178+E199+E220</f>
        <v>5172830.2164289132</v>
      </c>
      <c r="F234" s="498">
        <f t="shared" si="276"/>
        <v>7580481.6524092536</v>
      </c>
      <c r="G234" s="498">
        <f t="shared" si="276"/>
        <v>9084355.6243331432</v>
      </c>
      <c r="H234" s="498">
        <f t="shared" si="276"/>
        <v>9844775.7533901464</v>
      </c>
      <c r="I234" s="498">
        <f t="shared" si="276"/>
        <v>10145529.463960664</v>
      </c>
      <c r="J234" s="498">
        <f t="shared" si="276"/>
        <v>10195820.909980277</v>
      </c>
      <c r="K234" s="498">
        <f t="shared" si="276"/>
        <v>10118333.21277835</v>
      </c>
      <c r="L234" s="498">
        <f t="shared" si="276"/>
        <v>9978503.2839428596</v>
      </c>
      <c r="M234" s="498">
        <f t="shared" si="276"/>
        <v>9809721.0081130583</v>
      </c>
      <c r="N234" s="498">
        <f t="shared" si="276"/>
        <v>4814324.1043416495</v>
      </c>
    </row>
    <row r="235" spans="1:14">
      <c r="B235" s="503"/>
      <c r="C235" s="506"/>
      <c r="D235" s="504"/>
      <c r="E235" s="505"/>
      <c r="F235" s="505"/>
      <c r="G235" s="505"/>
      <c r="H235" s="505"/>
      <c r="I235" s="505"/>
      <c r="J235" s="505"/>
      <c r="K235" s="505"/>
      <c r="L235" s="505"/>
      <c r="M235" s="505"/>
      <c r="N235" s="505"/>
    </row>
    <row r="236" spans="1:14">
      <c r="B236" t="s">
        <v>267</v>
      </c>
      <c r="D236">
        <v>0</v>
      </c>
      <c r="E236" s="495">
        <f t="shared" ref="E236:N236" si="277">E159+E180+E201+E222</f>
        <v>2299035.6517461836</v>
      </c>
      <c r="F236" s="495">
        <f t="shared" si="277"/>
        <v>3437860.1598227904</v>
      </c>
      <c r="G236" s="495">
        <f t="shared" si="277"/>
        <v>4203968.5428909911</v>
      </c>
      <c r="H236" s="495">
        <f t="shared" si="277"/>
        <v>4648845.1775999162</v>
      </c>
      <c r="I236" s="495">
        <f t="shared" si="277"/>
        <v>4888638.1834827634</v>
      </c>
      <c r="J236" s="495">
        <f t="shared" si="277"/>
        <v>5013133.8675172227</v>
      </c>
      <c r="K236" s="495">
        <f t="shared" si="277"/>
        <v>5076565.6290579503</v>
      </c>
      <c r="L236" s="495">
        <f t="shared" si="277"/>
        <v>5108581.8566272482</v>
      </c>
      <c r="M236" s="495">
        <f t="shared" si="277"/>
        <v>5124665.609437298</v>
      </c>
      <c r="N236" s="495">
        <f t="shared" si="277"/>
        <v>2566363.2325235675</v>
      </c>
    </row>
    <row r="237" spans="1:14">
      <c r="B237" s="500" t="s">
        <v>272</v>
      </c>
      <c r="C237" s="500"/>
      <c r="D237" s="500">
        <v>0</v>
      </c>
      <c r="E237" s="501">
        <f t="shared" ref="E237:N237" si="278">E160+E181+E202+E223</f>
        <v>2873794.5646827295</v>
      </c>
      <c r="F237" s="501">
        <f t="shared" si="278"/>
        <v>4142621.4925864632</v>
      </c>
      <c r="G237" s="501">
        <f t="shared" si="278"/>
        <v>4880387.0814421521</v>
      </c>
      <c r="H237" s="501">
        <f t="shared" si="278"/>
        <v>5195930.5757902302</v>
      </c>
      <c r="I237" s="501">
        <f t="shared" si="278"/>
        <v>5256891.280477901</v>
      </c>
      <c r="J237" s="501">
        <f t="shared" si="278"/>
        <v>5182687.0424630539</v>
      </c>
      <c r="K237" s="501">
        <f t="shared" si="278"/>
        <v>5041767.5837204</v>
      </c>
      <c r="L237" s="501">
        <f t="shared" si="278"/>
        <v>4869921.4273156114</v>
      </c>
      <c r="M237" s="501">
        <f t="shared" si="278"/>
        <v>4685055.3986757603</v>
      </c>
      <c r="N237" s="501">
        <f t="shared" si="278"/>
        <v>2247960.8718180819</v>
      </c>
    </row>
    <row r="238" spans="1:14">
      <c r="B238" t="s">
        <v>1195</v>
      </c>
      <c r="D238">
        <v>0</v>
      </c>
      <c r="E238" s="502">
        <f>IF(E234&gt;0,E237/E234,0)</f>
        <v>0.55555555555555558</v>
      </c>
      <c r="F238" s="502">
        <f t="shared" ref="F238:N238" si="279">IF(F234&gt;0,F237/F234,0)</f>
        <v>0.54648526077097515</v>
      </c>
      <c r="G238" s="502">
        <f t="shared" si="279"/>
        <v>0.53722985792956646</v>
      </c>
      <c r="H238" s="502">
        <f t="shared" si="279"/>
        <v>0.52778556931588405</v>
      </c>
      <c r="I238" s="502">
        <f t="shared" si="279"/>
        <v>0.51814854011824918</v>
      </c>
      <c r="J238" s="502">
        <f t="shared" si="279"/>
        <v>0.50831483685535628</v>
      </c>
      <c r="K238" s="502">
        <f t="shared" si="279"/>
        <v>0.49828044577077163</v>
      </c>
      <c r="L238" s="502">
        <f t="shared" si="279"/>
        <v>0.48804127119466489</v>
      </c>
      <c r="M238" s="502">
        <f t="shared" si="279"/>
        <v>0.477593133872107</v>
      </c>
      <c r="N238" s="502">
        <f t="shared" si="279"/>
        <v>0.46693176925725211</v>
      </c>
    </row>
    <row r="239" spans="1:14">
      <c r="E239" s="502"/>
      <c r="F239" s="502"/>
      <c r="G239" s="502"/>
      <c r="H239" s="502"/>
      <c r="I239" s="502"/>
      <c r="J239" s="502"/>
      <c r="K239" s="502"/>
      <c r="L239" s="502"/>
      <c r="M239" s="502"/>
      <c r="N239" s="502"/>
    </row>
    <row r="240" spans="1:14">
      <c r="B240" s="500" t="s">
        <v>1198</v>
      </c>
      <c r="C240" s="500"/>
      <c r="D240" s="500">
        <v>0</v>
      </c>
      <c r="E240" s="501">
        <f t="shared" ref="E240:N240" si="280">E163+E184+E205+E226</f>
        <v>258641.51082144567</v>
      </c>
      <c r="F240" s="501">
        <f t="shared" si="280"/>
        <v>379024.08262046269</v>
      </c>
      <c r="G240" s="501">
        <f t="shared" si="280"/>
        <v>454217.7812166572</v>
      </c>
      <c r="H240" s="501">
        <f t="shared" si="280"/>
        <v>492238.78766950732</v>
      </c>
      <c r="I240" s="501">
        <f t="shared" si="280"/>
        <v>507276.47319803323</v>
      </c>
      <c r="J240" s="501">
        <f t="shared" si="280"/>
        <v>509791.04549901385</v>
      </c>
      <c r="K240" s="501">
        <f t="shared" si="280"/>
        <v>505916.66063891753</v>
      </c>
      <c r="L240" s="501">
        <f t="shared" si="280"/>
        <v>498925.16419714299</v>
      </c>
      <c r="M240" s="501">
        <f t="shared" si="280"/>
        <v>490486.05040565296</v>
      </c>
      <c r="N240" s="501">
        <f t="shared" si="280"/>
        <v>240716.20521708249</v>
      </c>
    </row>
    <row r="241" spans="2:18">
      <c r="B241" s="504"/>
      <c r="C241" s="504"/>
      <c r="D241" s="504"/>
      <c r="E241" s="508"/>
      <c r="F241" s="508"/>
      <c r="G241" s="508"/>
      <c r="H241" s="508"/>
      <c r="I241" s="508"/>
      <c r="J241" s="508"/>
      <c r="K241" s="508"/>
      <c r="L241" s="508"/>
      <c r="M241" s="508"/>
      <c r="N241" s="508"/>
    </row>
    <row r="242" spans="2:18" ht="15" thickBot="1">
      <c r="B242" s="512" t="s">
        <v>492</v>
      </c>
      <c r="C242" s="513">
        <f>decScenario2Royalty</f>
        <v>0</v>
      </c>
      <c r="D242" s="500">
        <v>0</v>
      </c>
      <c r="E242" s="501">
        <f>$C242*E234</f>
        <v>0</v>
      </c>
      <c r="F242" s="501">
        <f t="shared" ref="F242:N242" si="281">$C242*F234</f>
        <v>0</v>
      </c>
      <c r="G242" s="501">
        <f t="shared" si="281"/>
        <v>0</v>
      </c>
      <c r="H242" s="501">
        <f t="shared" si="281"/>
        <v>0</v>
      </c>
      <c r="I242" s="501">
        <f t="shared" si="281"/>
        <v>0</v>
      </c>
      <c r="J242" s="501">
        <f t="shared" si="281"/>
        <v>0</v>
      </c>
      <c r="K242" s="501">
        <f t="shared" si="281"/>
        <v>0</v>
      </c>
      <c r="L242" s="501">
        <f t="shared" si="281"/>
        <v>0</v>
      </c>
      <c r="M242" s="501">
        <f t="shared" si="281"/>
        <v>0</v>
      </c>
      <c r="N242" s="501">
        <f t="shared" si="281"/>
        <v>0</v>
      </c>
    </row>
    <row r="243" spans="2:18">
      <c r="B243" s="504"/>
      <c r="C243" s="504"/>
      <c r="D243" s="504"/>
      <c r="E243" s="508"/>
      <c r="F243" s="508"/>
      <c r="G243" s="508"/>
      <c r="H243" s="508"/>
      <c r="I243" s="508"/>
      <c r="J243" s="508"/>
      <c r="K243" s="508"/>
      <c r="L243" s="508"/>
      <c r="M243" s="508"/>
      <c r="N243" s="508"/>
    </row>
    <row r="244" spans="2:18" ht="15" thickBot="1">
      <c r="B244" s="490" t="s">
        <v>690</v>
      </c>
      <c r="D244" s="509">
        <f>calcScenario2TotFTECost</f>
        <v>6130000</v>
      </c>
      <c r="E244" s="502"/>
      <c r="F244" s="502"/>
      <c r="G244" s="502"/>
      <c r="H244" s="502"/>
      <c r="I244" s="502"/>
      <c r="J244" s="502"/>
      <c r="K244" s="502"/>
      <c r="L244" s="502"/>
      <c r="M244" s="502"/>
      <c r="N244" s="502"/>
    </row>
    <row r="245" spans="2:18" ht="15" thickBot="1">
      <c r="B245" s="490" t="s">
        <v>460</v>
      </c>
      <c r="C245" s="488">
        <v>0.01</v>
      </c>
      <c r="D245" s="509">
        <f>calcScenario2TotRnDCost</f>
        <v>61300000</v>
      </c>
      <c r="E245" s="514">
        <f>$C245*E234</f>
        <v>51728.302164289133</v>
      </c>
      <c r="F245" s="514">
        <f t="shared" ref="F245:N245" si="282">$C245*F234</f>
        <v>75804.816524092545</v>
      </c>
      <c r="G245" s="514">
        <f t="shared" si="282"/>
        <v>90843.556243331434</v>
      </c>
      <c r="H245" s="514">
        <f t="shared" si="282"/>
        <v>98447.757533901473</v>
      </c>
      <c r="I245" s="514">
        <f t="shared" si="282"/>
        <v>101455.29463960664</v>
      </c>
      <c r="J245" s="514">
        <f t="shared" si="282"/>
        <v>101958.20909980277</v>
      </c>
      <c r="K245" s="514">
        <f t="shared" si="282"/>
        <v>101183.33212778351</v>
      </c>
      <c r="L245" s="514">
        <f t="shared" si="282"/>
        <v>99785.032839428604</v>
      </c>
      <c r="M245" s="514">
        <f t="shared" si="282"/>
        <v>98097.210081130586</v>
      </c>
      <c r="N245" s="514">
        <f t="shared" si="282"/>
        <v>48143.241043416492</v>
      </c>
    </row>
    <row r="246" spans="2:18">
      <c r="B246" s="490" t="s">
        <v>1390</v>
      </c>
      <c r="D246" s="509">
        <f>decPlanInLicenseCost*1000000</f>
        <v>0</v>
      </c>
      <c r="E246" s="502"/>
      <c r="F246" s="502"/>
      <c r="G246" s="502"/>
      <c r="H246" s="502"/>
      <c r="I246" s="502"/>
      <c r="J246" s="502"/>
      <c r="K246" s="502"/>
      <c r="L246" s="502"/>
      <c r="M246" s="502"/>
      <c r="N246" s="502"/>
    </row>
    <row r="247" spans="2:18">
      <c r="B247" s="500" t="s">
        <v>1197</v>
      </c>
      <c r="C247" s="500"/>
      <c r="D247" s="510">
        <f>SUM(D244:D245)</f>
        <v>67430000</v>
      </c>
      <c r="E247" s="510">
        <f t="shared" ref="E247:N247" si="283">SUM(E244:E246)</f>
        <v>51728.302164289133</v>
      </c>
      <c r="F247" s="510">
        <f t="shared" si="283"/>
        <v>75804.816524092545</v>
      </c>
      <c r="G247" s="510">
        <f t="shared" si="283"/>
        <v>90843.556243331434</v>
      </c>
      <c r="H247" s="510">
        <f t="shared" si="283"/>
        <v>98447.757533901473</v>
      </c>
      <c r="I247" s="510">
        <f t="shared" si="283"/>
        <v>101455.29463960664</v>
      </c>
      <c r="J247" s="510">
        <f t="shared" si="283"/>
        <v>101958.20909980277</v>
      </c>
      <c r="K247" s="510">
        <f t="shared" si="283"/>
        <v>101183.33212778351</v>
      </c>
      <c r="L247" s="510">
        <f t="shared" si="283"/>
        <v>99785.032839428604</v>
      </c>
      <c r="M247" s="510">
        <f t="shared" si="283"/>
        <v>98097.210081130586</v>
      </c>
      <c r="N247" s="510">
        <f t="shared" si="283"/>
        <v>48143.241043416492</v>
      </c>
    </row>
    <row r="248" spans="2:18">
      <c r="B248" s="504"/>
      <c r="C248" s="504"/>
      <c r="D248" s="511"/>
    </row>
    <row r="249" spans="2:18">
      <c r="B249" s="512" t="s">
        <v>1389</v>
      </c>
      <c r="C249" s="500"/>
      <c r="D249" s="510">
        <f>D240+D242+D247</f>
        <v>67430000</v>
      </c>
      <c r="E249" s="510">
        <f t="shared" ref="E249:N249" si="284">E240+E242+E247</f>
        <v>310369.81298573478</v>
      </c>
      <c r="F249" s="510">
        <f t="shared" si="284"/>
        <v>454828.89914455521</v>
      </c>
      <c r="G249" s="510">
        <f t="shared" si="284"/>
        <v>545061.33745998866</v>
      </c>
      <c r="H249" s="510">
        <f t="shared" si="284"/>
        <v>590686.54520340881</v>
      </c>
      <c r="I249" s="510">
        <f t="shared" si="284"/>
        <v>608731.7678376399</v>
      </c>
      <c r="J249" s="510">
        <f t="shared" si="284"/>
        <v>611749.25459881662</v>
      </c>
      <c r="K249" s="510">
        <f t="shared" si="284"/>
        <v>607099.99276670103</v>
      </c>
      <c r="L249" s="510">
        <f t="shared" si="284"/>
        <v>598710.19703657157</v>
      </c>
      <c r="M249" s="510">
        <f t="shared" si="284"/>
        <v>588583.26048678358</v>
      </c>
      <c r="N249" s="510">
        <f t="shared" si="284"/>
        <v>288859.44626049895</v>
      </c>
    </row>
    <row r="250" spans="2:18">
      <c r="B250" s="504" t="s">
        <v>1201</v>
      </c>
      <c r="C250" s="504"/>
      <c r="D250" s="511">
        <f>D234-D236-D249</f>
        <v>-67430000</v>
      </c>
      <c r="E250" s="511">
        <f t="shared" ref="E250:N250" si="285">E234-E236-E249</f>
        <v>2563424.7516969945</v>
      </c>
      <c r="F250" s="511">
        <f t="shared" si="285"/>
        <v>3687792.5934419082</v>
      </c>
      <c r="G250" s="511">
        <f t="shared" si="285"/>
        <v>4335325.7439821633</v>
      </c>
      <c r="H250" s="511">
        <f t="shared" si="285"/>
        <v>4605244.030586821</v>
      </c>
      <c r="I250" s="511">
        <f t="shared" si="285"/>
        <v>4648159.5126402611</v>
      </c>
      <c r="J250" s="511">
        <f t="shared" si="285"/>
        <v>4570937.7878642371</v>
      </c>
      <c r="K250" s="511">
        <f t="shared" si="285"/>
        <v>4434667.5909536993</v>
      </c>
      <c r="L250" s="511">
        <f t="shared" si="285"/>
        <v>4271211.2302790396</v>
      </c>
      <c r="M250" s="511">
        <f t="shared" si="285"/>
        <v>4096472.1381889768</v>
      </c>
      <c r="N250" s="511">
        <f t="shared" si="285"/>
        <v>1959101.4255575831</v>
      </c>
    </row>
    <row r="251" spans="2:18" ht="15" thickBot="1">
      <c r="B251" s="504" t="s">
        <v>1499</v>
      </c>
      <c r="C251" s="499">
        <v>0.4</v>
      </c>
      <c r="D251" s="569">
        <f>$C251*D250</f>
        <v>-26972000</v>
      </c>
      <c r="E251" s="569">
        <f t="shared" ref="E251:N251" si="286">$C251*E250</f>
        <v>1025369.9006787979</v>
      </c>
      <c r="F251" s="569">
        <f t="shared" si="286"/>
        <v>1475117.0373767633</v>
      </c>
      <c r="G251" s="569">
        <f t="shared" si="286"/>
        <v>1734130.2975928653</v>
      </c>
      <c r="H251" s="569">
        <f t="shared" si="286"/>
        <v>1842097.6122347284</v>
      </c>
      <c r="I251" s="569">
        <f t="shared" si="286"/>
        <v>1859263.8050561044</v>
      </c>
      <c r="J251" s="569">
        <f t="shared" si="286"/>
        <v>1828375.1151456949</v>
      </c>
      <c r="K251" s="569">
        <f t="shared" si="286"/>
        <v>1773867.0363814798</v>
      </c>
      <c r="L251" s="569">
        <f t="shared" si="286"/>
        <v>1708484.4921116158</v>
      </c>
      <c r="M251" s="569">
        <f t="shared" si="286"/>
        <v>1638588.8552755909</v>
      </c>
      <c r="N251" s="569">
        <f t="shared" si="286"/>
        <v>783640.57022303331</v>
      </c>
      <c r="Q251" s="490"/>
      <c r="R251" s="511"/>
    </row>
    <row r="252" spans="2:18">
      <c r="B252" s="500" t="s">
        <v>1498</v>
      </c>
      <c r="C252" s="500"/>
      <c r="D252" s="517">
        <f>IF(D250&lt;0,D250,D250-D251)</f>
        <v>-67430000</v>
      </c>
      <c r="E252" s="517">
        <f t="shared" ref="E252" si="287">IF(E250&lt;0,E250,E250-E251)</f>
        <v>1538054.8510181967</v>
      </c>
      <c r="F252" s="517">
        <f t="shared" ref="F252" si="288">IF(F250&lt;0,F250,F250-F251)</f>
        <v>2212675.5560651449</v>
      </c>
      <c r="G252" s="517">
        <f t="shared" ref="G252" si="289">IF(G250&lt;0,G250,G250-G251)</f>
        <v>2601195.446389298</v>
      </c>
      <c r="H252" s="517">
        <f t="shared" ref="H252" si="290">IF(H250&lt;0,H250,H250-H251)</f>
        <v>2763146.4183520926</v>
      </c>
      <c r="I252" s="517">
        <f t="shared" ref="I252" si="291">IF(I250&lt;0,I250,I250-I251)</f>
        <v>2788895.7075841567</v>
      </c>
      <c r="J252" s="517">
        <f t="shared" ref="J252" si="292">IF(J250&lt;0,J250,J250-J251)</f>
        <v>2742562.6727185422</v>
      </c>
      <c r="K252" s="517">
        <f t="shared" ref="K252" si="293">IF(K250&lt;0,K250,K250-K251)</f>
        <v>2660800.5545722195</v>
      </c>
      <c r="L252" s="517">
        <f t="shared" ref="L252" si="294">IF(L250&lt;0,L250,L250-L251)</f>
        <v>2562726.7381674238</v>
      </c>
      <c r="M252" s="517">
        <f t="shared" ref="M252" si="295">IF(M250&lt;0,M250,M250-M251)</f>
        <v>2457883.2829133859</v>
      </c>
      <c r="N252" s="517">
        <f t="shared" ref="N252" si="296">IF(N250&lt;0,N250,N250-N251)</f>
        <v>1175460.8553345497</v>
      </c>
    </row>
    <row r="253" spans="2:18">
      <c r="B253" s="504" t="s">
        <v>1391</v>
      </c>
      <c r="C253" s="504"/>
      <c r="D253" s="519">
        <f t="shared" ref="D253:N253" si="297">IF(D234=0,0,D252/D234)</f>
        <v>0</v>
      </c>
      <c r="E253" s="519">
        <f t="shared" si="297"/>
        <v>0.29733333333333328</v>
      </c>
      <c r="F253" s="519">
        <f t="shared" si="297"/>
        <v>0.29189115646258507</v>
      </c>
      <c r="G253" s="519">
        <f t="shared" si="297"/>
        <v>0.28633791475773984</v>
      </c>
      <c r="H253" s="519">
        <f t="shared" si="297"/>
        <v>0.28067134158953044</v>
      </c>
      <c r="I253" s="519">
        <f t="shared" si="297"/>
        <v>0.27488912407094951</v>
      </c>
      <c r="J253" s="519">
        <f t="shared" si="297"/>
        <v>0.26898890211321369</v>
      </c>
      <c r="K253" s="519">
        <f t="shared" si="297"/>
        <v>0.26296826746246299</v>
      </c>
      <c r="L253" s="519">
        <f t="shared" si="297"/>
        <v>0.25682476271679894</v>
      </c>
      <c r="M253" s="519">
        <f t="shared" si="297"/>
        <v>0.2505558803232642</v>
      </c>
      <c r="N253" s="519">
        <f t="shared" si="297"/>
        <v>0.24415906155435124</v>
      </c>
    </row>
    <row r="254" spans="2:18">
      <c r="D254" s="515"/>
      <c r="E254" s="494"/>
      <c r="F254" s="494"/>
      <c r="G254" s="494"/>
      <c r="H254" s="494"/>
      <c r="I254" s="494"/>
      <c r="J254" s="509"/>
      <c r="K254" s="509"/>
      <c r="L254" s="509"/>
      <c r="M254" s="509"/>
      <c r="N254" s="509"/>
    </row>
    <row r="255" spans="2:18" ht="15" thickBot="1">
      <c r="B255" t="s">
        <v>1196</v>
      </c>
      <c r="D255" s="515">
        <f t="shared" ref="D255:N255" si="298">D252</f>
        <v>-67430000</v>
      </c>
      <c r="E255" s="515">
        <f t="shared" si="298"/>
        <v>1538054.8510181967</v>
      </c>
      <c r="F255" s="515">
        <f t="shared" si="298"/>
        <v>2212675.5560651449</v>
      </c>
      <c r="G255" s="515">
        <f t="shared" si="298"/>
        <v>2601195.446389298</v>
      </c>
      <c r="H255" s="515">
        <f t="shared" si="298"/>
        <v>2763146.4183520926</v>
      </c>
      <c r="I255" s="515">
        <f t="shared" si="298"/>
        <v>2788895.7075841567</v>
      </c>
      <c r="J255" s="515">
        <f t="shared" si="298"/>
        <v>2742562.6727185422</v>
      </c>
      <c r="K255" s="515">
        <f t="shared" si="298"/>
        <v>2660800.5545722195</v>
      </c>
      <c r="L255" s="515">
        <f t="shared" si="298"/>
        <v>2562726.7381674238</v>
      </c>
      <c r="M255" s="515">
        <f t="shared" si="298"/>
        <v>2457883.2829133859</v>
      </c>
      <c r="N255" s="515">
        <f t="shared" si="298"/>
        <v>1175460.8553345497</v>
      </c>
    </row>
    <row r="256" spans="2:18" ht="15" thickBot="1">
      <c r="B256" t="s">
        <v>1392</v>
      </c>
      <c r="C256" s="507">
        <f>calcScenario2TotPOS</f>
        <v>0.22792184999999998</v>
      </c>
      <c r="D256" s="515">
        <f>D255</f>
        <v>-67430000</v>
      </c>
      <c r="E256" s="515">
        <f>$C256*E255</f>
        <v>350556.30704554176</v>
      </c>
      <c r="F256" s="515">
        <f t="shared" ref="F256:N256" si="299">$C256*F255</f>
        <v>504317.10618814651</v>
      </c>
      <c r="G256" s="515">
        <f t="shared" si="299"/>
        <v>592869.2783526245</v>
      </c>
      <c r="H256" s="515">
        <f t="shared" si="299"/>
        <v>629781.44349168288</v>
      </c>
      <c r="I256" s="515">
        <f t="shared" si="299"/>
        <v>635650.26912963996</v>
      </c>
      <c r="J256" s="515">
        <f t="shared" si="299"/>
        <v>625089.95810695458</v>
      </c>
      <c r="K256" s="515">
        <f t="shared" si="299"/>
        <v>606454.58487912617</v>
      </c>
      <c r="L256" s="515">
        <f t="shared" si="299"/>
        <v>584101.41920758481</v>
      </c>
      <c r="M256" s="515">
        <f t="shared" si="299"/>
        <v>560205.30492569227</v>
      </c>
      <c r="N256" s="515">
        <f t="shared" si="299"/>
        <v>267913.2127504329</v>
      </c>
    </row>
    <row r="257" spans="2:15">
      <c r="D257">
        <v>0</v>
      </c>
      <c r="E257" s="26">
        <v>1</v>
      </c>
      <c r="F257" s="26">
        <v>2</v>
      </c>
      <c r="G257" s="26">
        <v>3</v>
      </c>
      <c r="H257" s="26">
        <v>4</v>
      </c>
      <c r="I257" s="26">
        <v>5</v>
      </c>
      <c r="J257" s="26">
        <v>6</v>
      </c>
      <c r="K257" s="26">
        <v>7</v>
      </c>
      <c r="L257" s="26">
        <v>8</v>
      </c>
      <c r="M257" s="26">
        <v>9</v>
      </c>
      <c r="N257" s="26">
        <v>10</v>
      </c>
    </row>
    <row r="258" spans="2:15">
      <c r="B258" t="s">
        <v>1393</v>
      </c>
      <c r="D258" s="562">
        <f t="shared" ref="D258" si="300">1/(1+$C264)^D257</f>
        <v>1</v>
      </c>
      <c r="E258" s="562">
        <f>1/(1+$C264)^E257</f>
        <v>0.94339622641509424</v>
      </c>
      <c r="F258" s="562">
        <f t="shared" ref="F258" si="301">1/(1+$C264)^F257</f>
        <v>0.88999644001423983</v>
      </c>
      <c r="G258" s="562">
        <f t="shared" ref="G258" si="302">1/(1+$C264)^G257</f>
        <v>0.8396192830323016</v>
      </c>
      <c r="H258" s="562">
        <f t="shared" ref="H258" si="303">1/(1+$C264)^H257</f>
        <v>0.79209366323802044</v>
      </c>
      <c r="I258" s="562">
        <f t="shared" ref="I258" si="304">1/(1+$C264)^I257</f>
        <v>0.74725817286605689</v>
      </c>
      <c r="J258" s="562">
        <f t="shared" ref="J258" si="305">1/(1+$C264)^J257</f>
        <v>0.70496054043967626</v>
      </c>
      <c r="K258" s="562">
        <f t="shared" ref="K258" si="306">1/(1+$C264)^K257</f>
        <v>0.66505711362233599</v>
      </c>
      <c r="L258" s="562">
        <f t="shared" ref="L258" si="307">1/(1+$C264)^L257</f>
        <v>0.62741237134182648</v>
      </c>
      <c r="M258" s="562">
        <f t="shared" ref="M258" si="308">1/(1+$C264)^M257</f>
        <v>0.59189846353002495</v>
      </c>
      <c r="N258" s="562">
        <f t="shared" ref="N258" si="309">1/(1+$C264)^N257</f>
        <v>0.55839477691511785</v>
      </c>
    </row>
    <row r="259" spans="2:15">
      <c r="B259" t="s">
        <v>1214</v>
      </c>
      <c r="D259" s="515">
        <f>D258*D256</f>
        <v>-67430000</v>
      </c>
      <c r="E259" s="515">
        <f t="shared" ref="E259:N259" si="310">E258*E256</f>
        <v>330713.49721277523</v>
      </c>
      <c r="F259" s="515">
        <f t="shared" si="310"/>
        <v>448840.42914573377</v>
      </c>
      <c r="G259" s="515">
        <f t="shared" si="310"/>
        <v>497784.47842230863</v>
      </c>
      <c r="H259" s="515">
        <f t="shared" si="310"/>
        <v>498845.89061465545</v>
      </c>
      <c r="I259" s="515">
        <f t="shared" si="310"/>
        <v>474994.85869163211</v>
      </c>
      <c r="J259" s="515">
        <f t="shared" si="310"/>
        <v>440663.75469049328</v>
      </c>
      <c r="K259" s="515">
        <f t="shared" si="310"/>
        <v>403326.93576274364</v>
      </c>
      <c r="L259" s="515">
        <f t="shared" si="310"/>
        <v>366472.45652915706</v>
      </c>
      <c r="M259" s="515">
        <f t="shared" si="310"/>
        <v>331584.65924688638</v>
      </c>
      <c r="N259" s="515">
        <f t="shared" si="310"/>
        <v>149601.33866639048</v>
      </c>
    </row>
    <row r="260" spans="2:15">
      <c r="B260" t="s">
        <v>1394</v>
      </c>
      <c r="D260" s="515">
        <f>D259</f>
        <v>-67430000</v>
      </c>
      <c r="E260" s="495">
        <f>D260+E259</f>
        <v>-67099286.502787225</v>
      </c>
      <c r="F260" s="495">
        <f t="shared" ref="F260" si="311">E260+F259</f>
        <v>-66650446.073641494</v>
      </c>
      <c r="G260" s="495">
        <f t="shared" ref="G260" si="312">F260+G259</f>
        <v>-66152661.595219187</v>
      </c>
      <c r="H260" s="495">
        <f t="shared" ref="H260" si="313">G260+H259</f>
        <v>-65653815.704604529</v>
      </c>
      <c r="I260" s="495">
        <f t="shared" ref="I260" si="314">H260+I259</f>
        <v>-65178820.845912896</v>
      </c>
      <c r="J260" s="495">
        <f t="shared" ref="J260" si="315">I260+J259</f>
        <v>-64738157.091222405</v>
      </c>
      <c r="K260" s="495">
        <f t="shared" ref="K260" si="316">J260+K259</f>
        <v>-64334830.155459665</v>
      </c>
      <c r="L260" s="495">
        <f t="shared" ref="L260" si="317">K260+L259</f>
        <v>-63968357.698930509</v>
      </c>
      <c r="M260" s="495">
        <f t="shared" ref="M260" si="318">L260+M259</f>
        <v>-63636773.039683625</v>
      </c>
      <c r="N260" s="495">
        <f t="shared" ref="N260" si="319">M260+N259</f>
        <v>-63487171.701017238</v>
      </c>
      <c r="O260" s="495"/>
    </row>
    <row r="261" spans="2:15">
      <c r="E261" t="b">
        <f t="shared" ref="E261:N261" si="320">E260&lt;0</f>
        <v>1</v>
      </c>
      <c r="F261" t="b">
        <f t="shared" si="320"/>
        <v>1</v>
      </c>
      <c r="G261" t="b">
        <f t="shared" si="320"/>
        <v>1</v>
      </c>
      <c r="H261" t="b">
        <f t="shared" si="320"/>
        <v>1</v>
      </c>
      <c r="I261" t="b">
        <f t="shared" si="320"/>
        <v>1</v>
      </c>
      <c r="J261" t="b">
        <f t="shared" si="320"/>
        <v>1</v>
      </c>
      <c r="K261" t="b">
        <f t="shared" si="320"/>
        <v>1</v>
      </c>
      <c r="L261" t="b">
        <f t="shared" si="320"/>
        <v>1</v>
      </c>
      <c r="M261" t="b">
        <f t="shared" si="320"/>
        <v>1</v>
      </c>
      <c r="N261" t="b">
        <f t="shared" si="320"/>
        <v>1</v>
      </c>
      <c r="O261" s="495">
        <f>COUNTIF(E261:N261,TRUE)</f>
        <v>10</v>
      </c>
    </row>
    <row r="262" spans="2:15">
      <c r="B262" t="s">
        <v>1199</v>
      </c>
    </row>
    <row r="263" spans="2:15" ht="15" thickBot="1">
      <c r="B263" t="s">
        <v>615</v>
      </c>
      <c r="D263" s="521">
        <f>(SUM(E256:N256))/(-1*D256)</f>
        <v>7.9444444373089534E-2</v>
      </c>
      <c r="E263" s="534" t="s">
        <v>1417</v>
      </c>
    </row>
    <row r="264" spans="2:15" ht="15" thickBot="1">
      <c r="B264" t="s">
        <v>1208</v>
      </c>
      <c r="C264" s="487">
        <f>decScenario2EPVRate</f>
        <v>0.06</v>
      </c>
      <c r="D264" s="431">
        <f>NPV(C264,E256:N256)+D256</f>
        <v>-63487171.701017223</v>
      </c>
      <c r="E264" s="534" t="s">
        <v>1418</v>
      </c>
    </row>
    <row r="265" spans="2:15" ht="15" thickBot="1">
      <c r="B265" t="s">
        <v>1209</v>
      </c>
      <c r="C265" s="491">
        <f>decScenario2NPVRate</f>
        <v>0.12</v>
      </c>
      <c r="D265" s="431">
        <f>NPV(C265,E255:N255)+D255</f>
        <v>-54209876.689616203</v>
      </c>
      <c r="E265" s="534" t="s">
        <v>1419</v>
      </c>
    </row>
    <row r="266" spans="2:15">
      <c r="B266" t="s">
        <v>1210</v>
      </c>
      <c r="D266" s="509">
        <f>MAX(D234:N234)</f>
        <v>10195820.909980277</v>
      </c>
      <c r="E266" s="534" t="s">
        <v>1420</v>
      </c>
    </row>
    <row r="267" spans="2:15">
      <c r="B267" t="s">
        <v>491</v>
      </c>
      <c r="D267" s="516">
        <f>decPlanProjectStartDate+calcScenario2TotTimeReq</f>
        <v>2021.325</v>
      </c>
      <c r="E267" s="534" t="s">
        <v>1421</v>
      </c>
    </row>
    <row r="268" spans="2:15">
      <c r="B268" t="s">
        <v>1211</v>
      </c>
      <c r="D268" s="509">
        <f>calcScenario2TotRnDCost</f>
        <v>61300000</v>
      </c>
      <c r="E268" s="534" t="s">
        <v>1422</v>
      </c>
    </row>
    <row r="269" spans="2:15">
      <c r="B269" t="s">
        <v>616</v>
      </c>
      <c r="D269" s="521">
        <f>calcScenario2TotPOS</f>
        <v>0.22792184999999998</v>
      </c>
      <c r="E269" s="534" t="s">
        <v>1423</v>
      </c>
    </row>
    <row r="270" spans="2:15">
      <c r="B270" t="s">
        <v>1202</v>
      </c>
      <c r="D270" s="516">
        <f>D267+O261</f>
        <v>2031.325</v>
      </c>
      <c r="E270" s="534" t="s">
        <v>1424</v>
      </c>
    </row>
    <row r="271" spans="2:15">
      <c r="B271" t="s">
        <v>1207</v>
      </c>
      <c r="D271" s="520">
        <f>IRR(D255:N255)</f>
        <v>-0.1603182220910816</v>
      </c>
      <c r="E271" s="534" t="s">
        <v>1425</v>
      </c>
    </row>
    <row r="274" spans="1:14" s="1" customFormat="1">
      <c r="A274" s="525" t="s">
        <v>511</v>
      </c>
      <c r="E274" s="17"/>
      <c r="F274" s="17"/>
      <c r="G274" s="17"/>
      <c r="H274" s="17"/>
      <c r="I274" s="17"/>
    </row>
    <row r="275" spans="1:14" ht="15" thickBot="1">
      <c r="A275" s="27" t="s">
        <v>470</v>
      </c>
    </row>
    <row r="276" spans="1:14" ht="15" thickBot="1">
      <c r="B276" t="s">
        <v>519</v>
      </c>
      <c r="C276" s="487" t="b">
        <f>decScenario3EnterRegion1</f>
        <v>1</v>
      </c>
      <c r="E276" t="s">
        <v>1378</v>
      </c>
    </row>
    <row r="277" spans="1:14" ht="15" thickBot="1">
      <c r="B277" t="s">
        <v>1384</v>
      </c>
      <c r="C277" s="499">
        <v>0</v>
      </c>
      <c r="D277" s="490" t="s">
        <v>1379</v>
      </c>
      <c r="E277" s="492">
        <f>calcScenario3AveragePenetration</f>
        <v>0.2</v>
      </c>
    </row>
    <row r="278" spans="1:14" ht="15" thickBot="1">
      <c r="B278" t="s">
        <v>474</v>
      </c>
      <c r="C278" s="489">
        <f>decScenario3PeakMSRegion1</f>
        <v>0.1</v>
      </c>
      <c r="D278" s="490" t="s">
        <v>1380</v>
      </c>
      <c r="E278" s="492">
        <v>0.5</v>
      </c>
    </row>
    <row r="279" spans="1:14" ht="15" thickBot="1">
      <c r="B279" t="s">
        <v>1376</v>
      </c>
      <c r="C279" s="489">
        <f>calcScenario3AverageCompliance</f>
        <v>0.7</v>
      </c>
      <c r="D279" s="490" t="s">
        <v>1381</v>
      </c>
      <c r="E279" s="492">
        <v>1</v>
      </c>
    </row>
    <row r="280" spans="1:14" ht="15" thickBot="1">
      <c r="B280" t="s">
        <v>1377</v>
      </c>
      <c r="C280" s="489">
        <v>-0.02</v>
      </c>
      <c r="D280" s="560" t="s">
        <v>1493</v>
      </c>
      <c r="E280" s="558">
        <v>0.5</v>
      </c>
      <c r="F280" s="490" t="s">
        <v>1492</v>
      </c>
      <c r="G280" s="561">
        <f>INDEX(E284:N284,E281)</f>
        <v>1000000</v>
      </c>
    </row>
    <row r="281" spans="1:14" ht="15" thickBot="1">
      <c r="B281" t="s">
        <v>1388</v>
      </c>
      <c r="C281" s="507">
        <f>1-calcScenario3AverageDiscount</f>
        <v>0.9</v>
      </c>
      <c r="D281" s="560" t="s">
        <v>1491</v>
      </c>
      <c r="E281" s="559">
        <f>MAX(IF(decPlanLOEDate&lt;=Fin!E283,0,F281),1)</f>
        <v>10</v>
      </c>
      <c r="F281" s="559">
        <f>IFERROR(MATCH(decPlanLOEDate,E283:N283,0),)</f>
        <v>10</v>
      </c>
    </row>
    <row r="282" spans="1:14">
      <c r="E282" t="b">
        <f>decPlanLOEDate&lt;=Fin!E285</f>
        <v>1</v>
      </c>
      <c r="F282" t="b">
        <f>decPlanLOEDate&lt;=Fin!F285</f>
        <v>1</v>
      </c>
      <c r="G282" t="b">
        <f>decPlanLOEDate&lt;=Fin!G285</f>
        <v>1</v>
      </c>
      <c r="H282" t="b">
        <f>decPlanLOEDate&lt;=Fin!H285</f>
        <v>1</v>
      </c>
      <c r="I282" t="b">
        <f>decPlanLOEDate&lt;=Fin!I285</f>
        <v>1</v>
      </c>
      <c r="J282" t="b">
        <f>decPlanLOEDate&lt;=Fin!J285</f>
        <v>1</v>
      </c>
      <c r="K282" t="b">
        <f>decPlanLOEDate&lt;=Fin!K285</f>
        <v>1</v>
      </c>
      <c r="L282" t="b">
        <f>decPlanLOEDate&lt;=Fin!L285</f>
        <v>1</v>
      </c>
      <c r="M282" t="b">
        <f>decPlanLOEDate&lt;=Fin!M285</f>
        <v>1</v>
      </c>
      <c r="N282" t="b">
        <f>decPlanLOEDate&lt;=Fin!N285</f>
        <v>1</v>
      </c>
    </row>
    <row r="283" spans="1:14">
      <c r="B283" s="490" t="s">
        <v>1387</v>
      </c>
      <c r="D283">
        <f>E283-1</f>
        <v>2020</v>
      </c>
      <c r="E283" s="26">
        <f>ROUND(finScenario3LaunchDate,0)</f>
        <v>2021</v>
      </c>
      <c r="F283" s="26">
        <f>E283+1</f>
        <v>2022</v>
      </c>
      <c r="G283" s="26">
        <f t="shared" ref="G283:N283" si="321">F283+1</f>
        <v>2023</v>
      </c>
      <c r="H283" s="26">
        <f t="shared" si="321"/>
        <v>2024</v>
      </c>
      <c r="I283" s="26">
        <f t="shared" si="321"/>
        <v>2025</v>
      </c>
      <c r="J283" s="26">
        <f t="shared" si="321"/>
        <v>2026</v>
      </c>
      <c r="K283" s="26">
        <f t="shared" si="321"/>
        <v>2027</v>
      </c>
      <c r="L283" s="26">
        <f t="shared" si="321"/>
        <v>2028</v>
      </c>
      <c r="M283" s="26">
        <f t="shared" si="321"/>
        <v>2029</v>
      </c>
      <c r="N283" s="26">
        <f t="shared" si="321"/>
        <v>2030</v>
      </c>
    </row>
    <row r="284" spans="1:14">
      <c r="B284" s="490" t="s">
        <v>1375</v>
      </c>
      <c r="E284" s="494">
        <f>decScenario3PatPopRegion1*1000</f>
        <v>1000000</v>
      </c>
      <c r="F284" s="494">
        <f t="shared" ref="F284:N284" si="322">E284*(1+$C277)</f>
        <v>1000000</v>
      </c>
      <c r="G284" s="494">
        <f t="shared" si="322"/>
        <v>1000000</v>
      </c>
      <c r="H284" s="494">
        <f t="shared" si="322"/>
        <v>1000000</v>
      </c>
      <c r="I284" s="494">
        <f t="shared" si="322"/>
        <v>1000000</v>
      </c>
      <c r="J284" s="494">
        <f t="shared" si="322"/>
        <v>1000000</v>
      </c>
      <c r="K284" s="494">
        <f t="shared" si="322"/>
        <v>1000000</v>
      </c>
      <c r="L284" s="494">
        <f t="shared" si="322"/>
        <v>1000000</v>
      </c>
      <c r="M284" s="494">
        <f t="shared" si="322"/>
        <v>1000000</v>
      </c>
      <c r="N284" s="494">
        <f t="shared" si="322"/>
        <v>1000000</v>
      </c>
    </row>
    <row r="285" spans="1:14">
      <c r="B285" s="490" t="s">
        <v>1382</v>
      </c>
      <c r="E285" s="494">
        <f>IF(decPlanLOEDate&lt;=Fin!E283,(($G280*$C278*($E$279*$E$277^($E$278^(E283-$D$283))))*$C279)*$C276*$E280,((E284*$C278*($E$279*$E$277^($E$278^(E283-$D$283))))*$C279))</f>
        <v>31304.951684997053</v>
      </c>
      <c r="F285" s="494">
        <f>IF(decPlanLOEDate&lt;=Fin!F283,(($G280*$C278*($E$279*$E$277^($E$278^(F283-$D$283))))*$C279)*$C276*$E280,((F284*$C278*($E$279*$E$277^($E$278^(F283-$D$283))))*$C279))</f>
        <v>46811.821348349542</v>
      </c>
      <c r="G285" s="494">
        <f>IF(decPlanLOEDate&lt;=Fin!G283,(($G280*$C278*($E$279*$E$277^($E$278^(G283-$D$283))))*$C279)*$C276*$E280,((G284*$C278*($E$279*$E$277^($E$278^(G283-$D$283))))*$C279))</f>
        <v>57243.58037705598</v>
      </c>
      <c r="H285" s="494">
        <f>IF(decPlanLOEDate&lt;=Fin!H283,(($G280*$C278*($E$279*$E$277^($E$278^(H283-$D$283))))*$C279)*$C276*$E280,((H284*$C278*($E$279*$E$277^($E$278^(H283-$D$283))))*$C279))</f>
        <v>63301.268758168801</v>
      </c>
      <c r="I285" s="494">
        <f>IF(decPlanLOEDate&lt;=Fin!I283,(($G280*$C278*($E$279*$E$277^($E$278^(I283-$D$283))))*$C279)*$C276*$E280,((I284*$C278*($E$279*$E$277^($E$278^(I283-$D$283))))*$C279))</f>
        <v>66566.424067031097</v>
      </c>
      <c r="J285" s="494">
        <f>IF(decPlanLOEDate&lt;=Fin!J283,(($G280*$C278*($E$279*$E$277^($E$278^(J283-$D$283))))*$C279)*$C276*$E280,((J284*$C278*($E$279*$E$277^($E$278^(J283-$D$283))))*$C279))</f>
        <v>68261.626736345628</v>
      </c>
      <c r="K285" s="494">
        <f>IF(decPlanLOEDate&lt;=Fin!K283,(($G280*$C278*($E$279*$E$277^($E$278^(K283-$D$283))))*$C279)*$C276*$E280,((K284*$C278*($E$279*$E$277^($E$278^(K283-$D$283))))*$C279))</f>
        <v>69125.348979547256</v>
      </c>
      <c r="L285" s="494">
        <f>IF(decPlanLOEDate&lt;=Fin!L283,(($G280*$C278*($E$279*$E$277^($E$278^(L283-$D$283))))*$C279)*$C276*$E280,((L284*$C278*($E$279*$E$277^($E$278^(L283-$D$283))))*$C279))</f>
        <v>69561.299790676043</v>
      </c>
      <c r="M285" s="494">
        <f>IF(decPlanLOEDate&lt;=Fin!M283,(($G280*$C278*($E$279*$E$277^($E$278^(M283-$D$283))))*$C279)*$C276*$E280,((M284*$C278*($E$279*$E$277^($E$278^(M283-$D$283))))*$C279))</f>
        <v>69780.305139396762</v>
      </c>
      <c r="N285" s="494">
        <f>IF(decPlanLOEDate&lt;=Fin!N283,(($G280*$C278*($E$279*$E$277^($E$278^(N283-$D$283))))*$C279)*$C276*$E280,((N284*$C278*($E$279*$E$277^($E$278^(N283-$D$283))))*$C279))</f>
        <v>34945.033122597597</v>
      </c>
    </row>
    <row r="286" spans="1:14">
      <c r="B286" s="490" t="s">
        <v>1383</v>
      </c>
      <c r="C286" s="493"/>
      <c r="E286" s="494">
        <f>calcScenario3Reg1Price</f>
        <v>183.6</v>
      </c>
      <c r="F286" s="494">
        <f>E286*(1+$C280)</f>
        <v>179.928</v>
      </c>
      <c r="G286" s="494">
        <f t="shared" ref="G286" si="323">F286*(1+$C280)</f>
        <v>176.32944000000001</v>
      </c>
      <c r="H286" s="494">
        <f t="shared" ref="H286" si="324">G286*(1+$C280)</f>
        <v>172.80285119999999</v>
      </c>
      <c r="I286" s="494">
        <f t="shared" ref="I286" si="325">H286*(1+$C280)</f>
        <v>169.346794176</v>
      </c>
      <c r="J286" s="494">
        <f t="shared" ref="J286" si="326">I286*(1+$C280)</f>
        <v>165.95985829247999</v>
      </c>
      <c r="K286" s="494">
        <f t="shared" ref="K286" si="327">J286*(1+$C280)</f>
        <v>162.64066112663039</v>
      </c>
      <c r="L286" s="494">
        <f t="shared" ref="L286" si="328">K286*(1+$C280)</f>
        <v>159.38784790409778</v>
      </c>
      <c r="M286" s="494">
        <f t="shared" ref="M286" si="329">L286*(1+$C280)</f>
        <v>156.20009094601582</v>
      </c>
      <c r="N286" s="494">
        <f t="shared" ref="N286" si="330">M286*(1+$C280)</f>
        <v>153.07608912709551</v>
      </c>
    </row>
    <row r="287" spans="1:14">
      <c r="B287" s="490" t="s">
        <v>1385</v>
      </c>
      <c r="E287" s="494">
        <f>E285*E286</f>
        <v>5747589.1293654591</v>
      </c>
      <c r="F287" s="494">
        <f t="shared" ref="F287:N287" si="331">F285*F286</f>
        <v>8422757.391565837</v>
      </c>
      <c r="G287" s="494">
        <f t="shared" si="331"/>
        <v>10093728.471481269</v>
      </c>
      <c r="H287" s="494">
        <f t="shared" si="331"/>
        <v>10938639.725989051</v>
      </c>
      <c r="I287" s="494">
        <f t="shared" si="331"/>
        <v>11272810.515511848</v>
      </c>
      <c r="J287" s="494">
        <f t="shared" si="331"/>
        <v>11328689.899978084</v>
      </c>
      <c r="K287" s="494">
        <f t="shared" si="331"/>
        <v>11242592.458642611</v>
      </c>
      <c r="L287" s="494">
        <f t="shared" si="331"/>
        <v>11087225.871047622</v>
      </c>
      <c r="M287" s="494">
        <f t="shared" si="331"/>
        <v>10899690.00901451</v>
      </c>
      <c r="N287" s="494">
        <f t="shared" si="331"/>
        <v>5349249.0048240544</v>
      </c>
    </row>
    <row r="288" spans="1:14">
      <c r="B288" s="496" t="s">
        <v>1386</v>
      </c>
      <c r="D288" s="497"/>
      <c r="E288" s="498">
        <f>$C281*E287*$C276</f>
        <v>5172830.2164289132</v>
      </c>
      <c r="F288" s="498">
        <f t="shared" ref="F288" si="332">$C281*F287*$C276</f>
        <v>7580481.6524092536</v>
      </c>
      <c r="G288" s="498">
        <f t="shared" ref="G288" si="333">$C281*G287*$C276</f>
        <v>9084355.6243331432</v>
      </c>
      <c r="H288" s="498">
        <f t="shared" ref="H288" si="334">$C281*H287*$C276</f>
        <v>9844775.7533901464</v>
      </c>
      <c r="I288" s="498">
        <f t="shared" ref="I288" si="335">$C281*I287*$C276</f>
        <v>10145529.463960664</v>
      </c>
      <c r="J288" s="498">
        <f t="shared" ref="J288" si="336">$C281*J287*$C276</f>
        <v>10195820.909980277</v>
      </c>
      <c r="K288" s="498">
        <f t="shared" ref="K288" si="337">$C281*K287*$C276</f>
        <v>10118333.21277835</v>
      </c>
      <c r="L288" s="498">
        <f t="shared" ref="L288" si="338">$C281*L287*$C276</f>
        <v>9978503.2839428596</v>
      </c>
      <c r="M288" s="498">
        <f t="shared" ref="M288" si="339">$C281*M287*$C276</f>
        <v>9809721.0081130583</v>
      </c>
      <c r="N288" s="498">
        <f t="shared" ref="N288" si="340">$C281*N287*$C276</f>
        <v>4814324.1043416495</v>
      </c>
    </row>
    <row r="289" spans="1:14">
      <c r="B289" s="503"/>
      <c r="C289" s="506"/>
      <c r="D289" s="504"/>
      <c r="E289" s="505"/>
      <c r="F289" s="505"/>
      <c r="G289" s="505"/>
      <c r="H289" s="505"/>
      <c r="I289" s="505"/>
      <c r="J289" s="505"/>
      <c r="K289" s="505"/>
      <c r="L289" s="505"/>
      <c r="M289" s="505"/>
      <c r="N289" s="505"/>
    </row>
    <row r="290" spans="1:14">
      <c r="B290" t="s">
        <v>267</v>
      </c>
      <c r="E290" s="495">
        <f t="shared" ref="E290:N290" si="341">E285*calcScenario3AverageCOGS*$C276</f>
        <v>2299035.6517461836</v>
      </c>
      <c r="F290" s="495">
        <f t="shared" si="341"/>
        <v>3437860.1598227904</v>
      </c>
      <c r="G290" s="495">
        <f t="shared" si="341"/>
        <v>4203968.5428909911</v>
      </c>
      <c r="H290" s="495">
        <f t="shared" si="341"/>
        <v>4648845.1775999162</v>
      </c>
      <c r="I290" s="495">
        <f t="shared" si="341"/>
        <v>4888638.1834827634</v>
      </c>
      <c r="J290" s="495">
        <f t="shared" si="341"/>
        <v>5013133.8675172227</v>
      </c>
      <c r="K290" s="495">
        <f t="shared" si="341"/>
        <v>5076565.6290579503</v>
      </c>
      <c r="L290" s="495">
        <f t="shared" si="341"/>
        <v>5108581.8566272482</v>
      </c>
      <c r="M290" s="495">
        <f t="shared" si="341"/>
        <v>5124665.609437298</v>
      </c>
      <c r="N290" s="495">
        <f t="shared" si="341"/>
        <v>2566363.2325235675</v>
      </c>
    </row>
    <row r="291" spans="1:14">
      <c r="B291" s="500" t="s">
        <v>272</v>
      </c>
      <c r="C291" s="500"/>
      <c r="D291" s="500"/>
      <c r="E291" s="501">
        <f>E288-E290</f>
        <v>2873794.5646827295</v>
      </c>
      <c r="F291" s="501">
        <f t="shared" ref="F291:N291" si="342">F288-F290</f>
        <v>4142621.4925864632</v>
      </c>
      <c r="G291" s="501">
        <f t="shared" si="342"/>
        <v>4880387.0814421521</v>
      </c>
      <c r="H291" s="501">
        <f t="shared" si="342"/>
        <v>5195930.5757902302</v>
      </c>
      <c r="I291" s="501">
        <f t="shared" si="342"/>
        <v>5256891.280477901</v>
      </c>
      <c r="J291" s="501">
        <f t="shared" si="342"/>
        <v>5182687.0424630539</v>
      </c>
      <c r="K291" s="501">
        <f t="shared" si="342"/>
        <v>5041767.5837204</v>
      </c>
      <c r="L291" s="501">
        <f t="shared" si="342"/>
        <v>4869921.4273156114</v>
      </c>
      <c r="M291" s="501">
        <f t="shared" si="342"/>
        <v>4685055.3986757603</v>
      </c>
      <c r="N291" s="501">
        <f t="shared" si="342"/>
        <v>2247960.8718180819</v>
      </c>
    </row>
    <row r="292" spans="1:14">
      <c r="B292" t="s">
        <v>1195</v>
      </c>
      <c r="E292" s="502">
        <f>IF(E288&gt;0,E291/E288,0)</f>
        <v>0.55555555555555558</v>
      </c>
      <c r="F292" s="502">
        <f t="shared" ref="F292:N292" si="343">IF(F288&gt;0,F291/F288,0)</f>
        <v>0.54648526077097515</v>
      </c>
      <c r="G292" s="502">
        <f t="shared" si="343"/>
        <v>0.53722985792956646</v>
      </c>
      <c r="H292" s="502">
        <f t="shared" si="343"/>
        <v>0.52778556931588405</v>
      </c>
      <c r="I292" s="502">
        <f t="shared" si="343"/>
        <v>0.51814854011824918</v>
      </c>
      <c r="J292" s="502">
        <f t="shared" si="343"/>
        <v>0.50831483685535628</v>
      </c>
      <c r="K292" s="502">
        <f t="shared" si="343"/>
        <v>0.49828044577077163</v>
      </c>
      <c r="L292" s="502">
        <f t="shared" si="343"/>
        <v>0.48804127119466489</v>
      </c>
      <c r="M292" s="502">
        <f t="shared" si="343"/>
        <v>0.477593133872107</v>
      </c>
      <c r="N292" s="502">
        <f t="shared" si="343"/>
        <v>0.46693176925725211</v>
      </c>
    </row>
    <row r="293" spans="1:14">
      <c r="E293" s="502"/>
      <c r="F293" s="502"/>
      <c r="G293" s="502"/>
      <c r="H293" s="502"/>
      <c r="I293" s="502"/>
      <c r="J293" s="502"/>
      <c r="K293" s="502"/>
      <c r="L293" s="502"/>
      <c r="M293" s="502"/>
      <c r="N293" s="502"/>
    </row>
    <row r="294" spans="1:14">
      <c r="B294" s="500" t="s">
        <v>1198</v>
      </c>
      <c r="C294" s="500"/>
      <c r="D294" s="500"/>
      <c r="E294" s="501">
        <f t="shared" ref="E294:N294" si="344">calcScenario3Reg1SnM*E288</f>
        <v>258641.51082144567</v>
      </c>
      <c r="F294" s="501">
        <f t="shared" si="344"/>
        <v>379024.08262046269</v>
      </c>
      <c r="G294" s="501">
        <f t="shared" si="344"/>
        <v>454217.7812166572</v>
      </c>
      <c r="H294" s="501">
        <f t="shared" si="344"/>
        <v>492238.78766950732</v>
      </c>
      <c r="I294" s="501">
        <f t="shared" si="344"/>
        <v>507276.47319803323</v>
      </c>
      <c r="J294" s="501">
        <f t="shared" si="344"/>
        <v>509791.04549901385</v>
      </c>
      <c r="K294" s="501">
        <f t="shared" si="344"/>
        <v>505916.66063891753</v>
      </c>
      <c r="L294" s="501">
        <f t="shared" si="344"/>
        <v>498925.16419714299</v>
      </c>
      <c r="M294" s="501">
        <f t="shared" si="344"/>
        <v>490486.05040565296</v>
      </c>
      <c r="N294" s="501">
        <f t="shared" si="344"/>
        <v>240716.20521708249</v>
      </c>
    </row>
    <row r="295" spans="1:14">
      <c r="E295" s="495"/>
      <c r="F295" s="495"/>
      <c r="G295" s="495"/>
      <c r="H295" s="495"/>
      <c r="I295" s="495"/>
      <c r="J295" s="495"/>
      <c r="K295" s="495"/>
      <c r="L295" s="495"/>
      <c r="M295" s="495"/>
      <c r="N295" s="495"/>
    </row>
    <row r="296" spans="1:14" ht="15" thickBot="1">
      <c r="A296" s="27" t="s">
        <v>471</v>
      </c>
    </row>
    <row r="297" spans="1:14" ht="15" thickBot="1">
      <c r="B297" t="s">
        <v>519</v>
      </c>
      <c r="C297" s="487" t="b">
        <f>decScenario3EnterRegion2</f>
        <v>0</v>
      </c>
      <c r="E297" t="s">
        <v>1378</v>
      </c>
    </row>
    <row r="298" spans="1:14" ht="15" thickBot="1">
      <c r="B298" t="s">
        <v>1384</v>
      </c>
      <c r="C298" s="499">
        <v>0</v>
      </c>
      <c r="D298" s="490" t="s">
        <v>1379</v>
      </c>
      <c r="E298" s="492">
        <f>calcScenario3AveragePenetration</f>
        <v>0.2</v>
      </c>
    </row>
    <row r="299" spans="1:14" ht="15" thickBot="1">
      <c r="B299" t="s">
        <v>474</v>
      </c>
      <c r="C299" s="489">
        <f>decScenario3PeakMSRegion2</f>
        <v>0.1</v>
      </c>
      <c r="D299" s="490" t="s">
        <v>1380</v>
      </c>
      <c r="E299" s="492">
        <v>0.5</v>
      </c>
    </row>
    <row r="300" spans="1:14" ht="15" thickBot="1">
      <c r="B300" t="s">
        <v>1376</v>
      </c>
      <c r="C300" s="489">
        <f>calcScenario3AverageCompliance</f>
        <v>0.7</v>
      </c>
      <c r="D300" s="490" t="s">
        <v>1381</v>
      </c>
      <c r="E300" s="492">
        <v>1</v>
      </c>
    </row>
    <row r="301" spans="1:14" ht="15" thickBot="1">
      <c r="B301" t="s">
        <v>1377</v>
      </c>
      <c r="C301" s="489">
        <v>0</v>
      </c>
      <c r="D301" s="560" t="s">
        <v>1493</v>
      </c>
      <c r="E301" s="558">
        <v>0.5</v>
      </c>
      <c r="F301" s="490" t="s">
        <v>1492</v>
      </c>
      <c r="G301" s="561">
        <f>INDEX(E305:N305,E302)</f>
        <v>500000</v>
      </c>
    </row>
    <row r="302" spans="1:14" ht="15" thickBot="1">
      <c r="B302" t="s">
        <v>1388</v>
      </c>
      <c r="C302" s="507">
        <f>1-calcScenario3AverageDiscount</f>
        <v>0.9</v>
      </c>
      <c r="D302" s="560" t="s">
        <v>1491</v>
      </c>
      <c r="E302" s="559">
        <f>MAX(IF(decPlanLOEDate&lt;=Fin!E304,0,F302),1)</f>
        <v>10</v>
      </c>
      <c r="F302" s="559">
        <f>IFERROR(MATCH(decPlanLOEDate,E304:N304,0),)</f>
        <v>10</v>
      </c>
    </row>
    <row r="303" spans="1:14">
      <c r="E303" t="b">
        <f>decPlanLOEDate&lt;=Fin!E306</f>
        <v>1</v>
      </c>
      <c r="F303" t="b">
        <f>decPlanLOEDate&lt;=Fin!F306</f>
        <v>1</v>
      </c>
      <c r="G303" t="b">
        <f>decPlanLOEDate&lt;=Fin!G306</f>
        <v>1</v>
      </c>
      <c r="H303" t="b">
        <f>decPlanLOEDate&lt;=Fin!H306</f>
        <v>1</v>
      </c>
      <c r="I303" t="b">
        <f>decPlanLOEDate&lt;=Fin!I306</f>
        <v>1</v>
      </c>
      <c r="J303" t="b">
        <f>decPlanLOEDate&lt;=Fin!J306</f>
        <v>1</v>
      </c>
      <c r="K303" t="b">
        <f>decPlanLOEDate&lt;=Fin!K306</f>
        <v>1</v>
      </c>
      <c r="L303" t="b">
        <f>decPlanLOEDate&lt;=Fin!L306</f>
        <v>1</v>
      </c>
      <c r="M303" t="b">
        <f>decPlanLOEDate&lt;=Fin!M306</f>
        <v>1</v>
      </c>
      <c r="N303" t="b">
        <f>decPlanLOEDate&lt;=Fin!N306</f>
        <v>0</v>
      </c>
    </row>
    <row r="304" spans="1:14">
      <c r="B304" s="490" t="s">
        <v>1387</v>
      </c>
      <c r="D304">
        <f>E304-1</f>
        <v>2020</v>
      </c>
      <c r="E304" s="26">
        <f>ROUND(finScenario3LaunchDate,0)</f>
        <v>2021</v>
      </c>
      <c r="F304" s="26">
        <f>E304+1</f>
        <v>2022</v>
      </c>
      <c r="G304" s="26">
        <f t="shared" ref="G304:N304" si="345">F304+1</f>
        <v>2023</v>
      </c>
      <c r="H304" s="26">
        <f t="shared" si="345"/>
        <v>2024</v>
      </c>
      <c r="I304" s="26">
        <f t="shared" si="345"/>
        <v>2025</v>
      </c>
      <c r="J304" s="26">
        <f t="shared" si="345"/>
        <v>2026</v>
      </c>
      <c r="K304" s="26">
        <f t="shared" si="345"/>
        <v>2027</v>
      </c>
      <c r="L304" s="26">
        <f t="shared" si="345"/>
        <v>2028</v>
      </c>
      <c r="M304" s="26">
        <f t="shared" si="345"/>
        <v>2029</v>
      </c>
      <c r="N304" s="26">
        <f t="shared" si="345"/>
        <v>2030</v>
      </c>
    </row>
    <row r="305" spans="1:14">
      <c r="B305" s="490" t="s">
        <v>1375</v>
      </c>
      <c r="E305" s="494">
        <f>decScenario3PatPopRegion2*1000</f>
        <v>500000</v>
      </c>
      <c r="F305" s="494">
        <f t="shared" ref="F305:N305" si="346">E305*(1+$C298)</f>
        <v>500000</v>
      </c>
      <c r="G305" s="494">
        <f t="shared" si="346"/>
        <v>500000</v>
      </c>
      <c r="H305" s="494">
        <f t="shared" si="346"/>
        <v>500000</v>
      </c>
      <c r="I305" s="494">
        <f t="shared" si="346"/>
        <v>500000</v>
      </c>
      <c r="J305" s="494">
        <f t="shared" si="346"/>
        <v>500000</v>
      </c>
      <c r="K305" s="494">
        <f t="shared" si="346"/>
        <v>500000</v>
      </c>
      <c r="L305" s="494">
        <f t="shared" si="346"/>
        <v>500000</v>
      </c>
      <c r="M305" s="494">
        <f t="shared" si="346"/>
        <v>500000</v>
      </c>
      <c r="N305" s="494">
        <f t="shared" si="346"/>
        <v>500000</v>
      </c>
    </row>
    <row r="306" spans="1:14">
      <c r="B306" s="490" t="s">
        <v>1382</v>
      </c>
      <c r="E306" s="494">
        <f>IF(decPlanLOEDate&lt;=Fin!E304,(($G301*$C299*($E$279*$E$277^($E$278^(E304-$D$283))))*$C300)*$C297*$E301,((E305*$C299*($E$279*$E$277^($E$278^(E304-$D$283))))*$C300))</f>
        <v>15652.475842498527</v>
      </c>
      <c r="F306" s="494">
        <f>IF(decPlanLOEDate&lt;=Fin!F304,(($G301*$C299*($E$279*$E$277^($E$278^(F304-$D$283))))*$C300)*$C297*$E301,((F305*$C299*($E$279*$E$277^($E$278^(F304-$D$283))))*$C300))</f>
        <v>23405.910674174771</v>
      </c>
      <c r="G306" s="494">
        <f>IF(decPlanLOEDate&lt;=Fin!G304,(($G301*$C299*($E$279*$E$277^($E$278^(G304-$D$283))))*$C300)*$C297*$E301,((G305*$C299*($E$279*$E$277^($E$278^(G304-$D$283))))*$C300))</f>
        <v>28621.79018852799</v>
      </c>
      <c r="H306" s="494">
        <f>IF(decPlanLOEDate&lt;=Fin!H304,(($G301*$C299*($E$279*$E$277^($E$278^(H304-$D$283))))*$C300)*$C297*$E301,((H305*$C299*($E$279*$E$277^($E$278^(H304-$D$283))))*$C300))</f>
        <v>31650.6343790844</v>
      </c>
      <c r="I306" s="494">
        <f>IF(decPlanLOEDate&lt;=Fin!I304,(($G301*$C299*($E$279*$E$277^($E$278^(I304-$D$283))))*$C300)*$C297*$E301,((I305*$C299*($E$279*$E$277^($E$278^(I304-$D$283))))*$C300))</f>
        <v>33283.212033515549</v>
      </c>
      <c r="J306" s="494">
        <f>IF(decPlanLOEDate&lt;=Fin!J304,(($G301*$C299*($E$279*$E$277^($E$278^(J304-$D$283))))*$C300)*$C297*$E301,((J305*$C299*($E$279*$E$277^($E$278^(J304-$D$283))))*$C300))</f>
        <v>34130.813368172814</v>
      </c>
      <c r="K306" s="494">
        <f>IF(decPlanLOEDate&lt;=Fin!K304,(($G301*$C299*($E$279*$E$277^($E$278^(K304-$D$283))))*$C300)*$C297*$E301,((K305*$C299*($E$279*$E$277^($E$278^(K304-$D$283))))*$C300))</f>
        <v>34562.674489773628</v>
      </c>
      <c r="L306" s="494">
        <f>IF(decPlanLOEDate&lt;=Fin!L304,(($G301*$C299*($E$279*$E$277^($E$278^(L304-$D$283))))*$C300)*$C297*$E301,((L305*$C299*($E$279*$E$277^($E$278^(L304-$D$283))))*$C300))</f>
        <v>34780.649895338021</v>
      </c>
      <c r="M306" s="494">
        <f>IF(decPlanLOEDate&lt;=Fin!M304,(($G301*$C299*($E$279*$E$277^($E$278^(M304-$D$283))))*$C300)*$C297*$E301,((M305*$C299*($E$279*$E$277^($E$278^(M304-$D$283))))*$C300))</f>
        <v>34890.152569698381</v>
      </c>
      <c r="N306" s="494">
        <f>IF(decPlanLOEDate&lt;=Fin!N304,(($G301*$C299*($E$279*$E$277^($E$278^(N304-$D$283))))*$C300)*$C297*$E301,((N305*$C299*($E$279*$E$277^($E$278^(N304-$D$283))))*$C300))</f>
        <v>0</v>
      </c>
    </row>
    <row r="307" spans="1:14">
      <c r="B307" s="490" t="s">
        <v>1383</v>
      </c>
      <c r="C307" s="493"/>
      <c r="E307" s="494">
        <f>calcScenario3Reg2Price</f>
        <v>0</v>
      </c>
      <c r="F307" s="494">
        <f>E307*(1+$C301)</f>
        <v>0</v>
      </c>
      <c r="G307" s="494">
        <f t="shared" ref="G307" si="347">F307*(1+$C301)</f>
        <v>0</v>
      </c>
      <c r="H307" s="494">
        <f t="shared" ref="H307" si="348">G307*(1+$C301)</f>
        <v>0</v>
      </c>
      <c r="I307" s="494">
        <f t="shared" ref="I307" si="349">H307*(1+$C301)</f>
        <v>0</v>
      </c>
      <c r="J307" s="494">
        <f t="shared" ref="J307" si="350">I307*(1+$C301)</f>
        <v>0</v>
      </c>
      <c r="K307" s="494">
        <f t="shared" ref="K307" si="351">J307*(1+$C301)</f>
        <v>0</v>
      </c>
      <c r="L307" s="494">
        <f t="shared" ref="L307" si="352">K307*(1+$C301)</f>
        <v>0</v>
      </c>
      <c r="M307" s="494">
        <f t="shared" ref="M307" si="353">L307*(1+$C301)</f>
        <v>0</v>
      </c>
      <c r="N307" s="494">
        <f t="shared" ref="N307" si="354">M307*(1+$C301)</f>
        <v>0</v>
      </c>
    </row>
    <row r="308" spans="1:14">
      <c r="B308" s="490" t="s">
        <v>1385</v>
      </c>
      <c r="E308" s="494">
        <f>E306*E307</f>
        <v>0</v>
      </c>
      <c r="F308" s="494">
        <f t="shared" ref="F308:N308" si="355">F306*F307</f>
        <v>0</v>
      </c>
      <c r="G308" s="494">
        <f t="shared" si="355"/>
        <v>0</v>
      </c>
      <c r="H308" s="494">
        <f t="shared" si="355"/>
        <v>0</v>
      </c>
      <c r="I308" s="494">
        <f t="shared" si="355"/>
        <v>0</v>
      </c>
      <c r="J308" s="494">
        <f t="shared" si="355"/>
        <v>0</v>
      </c>
      <c r="K308" s="494">
        <f t="shared" si="355"/>
        <v>0</v>
      </c>
      <c r="L308" s="494">
        <f t="shared" si="355"/>
        <v>0</v>
      </c>
      <c r="M308" s="494">
        <f t="shared" si="355"/>
        <v>0</v>
      </c>
      <c r="N308" s="494">
        <f t="shared" si="355"/>
        <v>0</v>
      </c>
    </row>
    <row r="309" spans="1:14">
      <c r="B309" s="496" t="s">
        <v>1386</v>
      </c>
      <c r="D309" s="497"/>
      <c r="E309" s="498">
        <f>$C302*E308*$C297</f>
        <v>0</v>
      </c>
      <c r="F309" s="498">
        <f t="shared" ref="F309" si="356">$C302*F308*$C297</f>
        <v>0</v>
      </c>
      <c r="G309" s="498">
        <f t="shared" ref="G309" si="357">$C302*G308*$C297</f>
        <v>0</v>
      </c>
      <c r="H309" s="498">
        <f t="shared" ref="H309" si="358">$C302*H308*$C297</f>
        <v>0</v>
      </c>
      <c r="I309" s="498">
        <f t="shared" ref="I309" si="359">$C302*I308*$C297</f>
        <v>0</v>
      </c>
      <c r="J309" s="498">
        <f t="shared" ref="J309" si="360">$C302*J308*$C297</f>
        <v>0</v>
      </c>
      <c r="K309" s="498">
        <f t="shared" ref="K309" si="361">$C302*K308*$C297</f>
        <v>0</v>
      </c>
      <c r="L309" s="498">
        <f t="shared" ref="L309" si="362">$C302*L308*$C297</f>
        <v>0</v>
      </c>
      <c r="M309" s="498">
        <f t="shared" ref="M309" si="363">$C302*M308*$C297</f>
        <v>0</v>
      </c>
      <c r="N309" s="498">
        <f t="shared" ref="N309" si="364">$C302*N308*$C297</f>
        <v>0</v>
      </c>
    </row>
    <row r="310" spans="1:14">
      <c r="B310" s="503"/>
      <c r="C310" s="506"/>
      <c r="D310" s="504"/>
      <c r="E310" s="505"/>
      <c r="F310" s="505"/>
      <c r="G310" s="505"/>
      <c r="H310" s="505"/>
      <c r="I310" s="505"/>
      <c r="J310" s="505"/>
      <c r="K310" s="505"/>
      <c r="L310" s="505"/>
      <c r="M310" s="505"/>
      <c r="N310" s="505"/>
    </row>
    <row r="311" spans="1:14">
      <c r="B311" t="s">
        <v>267</v>
      </c>
      <c r="E311" s="495">
        <f t="shared" ref="E311:N311" si="365">E306*calcScenario3AverageCOGS*$C297</f>
        <v>0</v>
      </c>
      <c r="F311" s="495">
        <f t="shared" si="365"/>
        <v>0</v>
      </c>
      <c r="G311" s="495">
        <f t="shared" si="365"/>
        <v>0</v>
      </c>
      <c r="H311" s="495">
        <f t="shared" si="365"/>
        <v>0</v>
      </c>
      <c r="I311" s="495">
        <f t="shared" si="365"/>
        <v>0</v>
      </c>
      <c r="J311" s="495">
        <f t="shared" si="365"/>
        <v>0</v>
      </c>
      <c r="K311" s="495">
        <f t="shared" si="365"/>
        <v>0</v>
      </c>
      <c r="L311" s="495">
        <f t="shared" si="365"/>
        <v>0</v>
      </c>
      <c r="M311" s="495">
        <f t="shared" si="365"/>
        <v>0</v>
      </c>
      <c r="N311" s="495">
        <f t="shared" si="365"/>
        <v>0</v>
      </c>
    </row>
    <row r="312" spans="1:14">
      <c r="B312" s="500" t="s">
        <v>272</v>
      </c>
      <c r="C312" s="500"/>
      <c r="D312" s="500"/>
      <c r="E312" s="501">
        <f>E309-E311</f>
        <v>0</v>
      </c>
      <c r="F312" s="501">
        <f t="shared" ref="F312:N312" si="366">F309-F311</f>
        <v>0</v>
      </c>
      <c r="G312" s="501">
        <f t="shared" si="366"/>
        <v>0</v>
      </c>
      <c r="H312" s="501">
        <f t="shared" si="366"/>
        <v>0</v>
      </c>
      <c r="I312" s="501">
        <f t="shared" si="366"/>
        <v>0</v>
      </c>
      <c r="J312" s="501">
        <f t="shared" si="366"/>
        <v>0</v>
      </c>
      <c r="K312" s="501">
        <f t="shared" si="366"/>
        <v>0</v>
      </c>
      <c r="L312" s="501">
        <f t="shared" si="366"/>
        <v>0</v>
      </c>
      <c r="M312" s="501">
        <f t="shared" si="366"/>
        <v>0</v>
      </c>
      <c r="N312" s="501">
        <f t="shared" si="366"/>
        <v>0</v>
      </c>
    </row>
    <row r="313" spans="1:14">
      <c r="B313" t="s">
        <v>1195</v>
      </c>
      <c r="E313" s="502">
        <f>IF(E309&gt;0,E312/E309,0)</f>
        <v>0</v>
      </c>
      <c r="F313" s="502">
        <f t="shared" ref="F313:N313" si="367">IF(F309&gt;0,F312/F309,0)</f>
        <v>0</v>
      </c>
      <c r="G313" s="502">
        <f t="shared" si="367"/>
        <v>0</v>
      </c>
      <c r="H313" s="502">
        <f t="shared" si="367"/>
        <v>0</v>
      </c>
      <c r="I313" s="502">
        <f t="shared" si="367"/>
        <v>0</v>
      </c>
      <c r="J313" s="502">
        <f t="shared" si="367"/>
        <v>0</v>
      </c>
      <c r="K313" s="502">
        <f t="shared" si="367"/>
        <v>0</v>
      </c>
      <c r="L313" s="502">
        <f t="shared" si="367"/>
        <v>0</v>
      </c>
      <c r="M313" s="502">
        <f t="shared" si="367"/>
        <v>0</v>
      </c>
      <c r="N313" s="502">
        <f t="shared" si="367"/>
        <v>0</v>
      </c>
    </row>
    <row r="314" spans="1:14">
      <c r="E314" s="502"/>
      <c r="F314" s="502"/>
      <c r="G314" s="502"/>
      <c r="H314" s="502"/>
      <c r="I314" s="502"/>
      <c r="J314" s="502"/>
      <c r="K314" s="502"/>
      <c r="L314" s="502"/>
      <c r="M314" s="502"/>
      <c r="N314" s="502"/>
    </row>
    <row r="315" spans="1:14">
      <c r="B315" s="500" t="s">
        <v>1198</v>
      </c>
      <c r="C315" s="500"/>
      <c r="D315" s="500"/>
      <c r="E315" s="501">
        <f t="shared" ref="E315:N315" si="368">calcScenario3Reg2SnM*E309</f>
        <v>0</v>
      </c>
      <c r="F315" s="501">
        <f t="shared" si="368"/>
        <v>0</v>
      </c>
      <c r="G315" s="501">
        <f t="shared" si="368"/>
        <v>0</v>
      </c>
      <c r="H315" s="501">
        <f t="shared" si="368"/>
        <v>0</v>
      </c>
      <c r="I315" s="501">
        <f t="shared" si="368"/>
        <v>0</v>
      </c>
      <c r="J315" s="501">
        <f t="shared" si="368"/>
        <v>0</v>
      </c>
      <c r="K315" s="501">
        <f t="shared" si="368"/>
        <v>0</v>
      </c>
      <c r="L315" s="501">
        <f t="shared" si="368"/>
        <v>0</v>
      </c>
      <c r="M315" s="501">
        <f t="shared" si="368"/>
        <v>0</v>
      </c>
      <c r="N315" s="501">
        <f t="shared" si="368"/>
        <v>0</v>
      </c>
    </row>
    <row r="316" spans="1:14">
      <c r="E316" s="495"/>
      <c r="F316" s="495"/>
      <c r="G316" s="495"/>
      <c r="H316" s="495"/>
      <c r="I316" s="495"/>
      <c r="J316" s="495"/>
      <c r="K316" s="495"/>
      <c r="L316" s="495"/>
      <c r="M316" s="495"/>
      <c r="N316" s="495"/>
    </row>
    <row r="317" spans="1:14" ht="15" thickBot="1">
      <c r="A317" s="27" t="s">
        <v>472</v>
      </c>
    </row>
    <row r="318" spans="1:14" ht="15" thickBot="1">
      <c r="B318" t="s">
        <v>519</v>
      </c>
      <c r="C318" s="487" t="b">
        <f>decScenario3EnterRegion3</f>
        <v>0</v>
      </c>
      <c r="E318" t="s">
        <v>1378</v>
      </c>
    </row>
    <row r="319" spans="1:14" ht="15" thickBot="1">
      <c r="B319" t="s">
        <v>1384</v>
      </c>
      <c r="C319" s="499">
        <v>0</v>
      </c>
      <c r="D319" s="490" t="s">
        <v>1379</v>
      </c>
      <c r="E319" s="492">
        <f>calcScenario3AveragePenetration</f>
        <v>0.2</v>
      </c>
    </row>
    <row r="320" spans="1:14" ht="15" thickBot="1">
      <c r="B320" t="s">
        <v>474</v>
      </c>
      <c r="C320" s="489">
        <f>decScenario3PeakMSRegion3</f>
        <v>0.1</v>
      </c>
      <c r="D320" s="490" t="s">
        <v>1380</v>
      </c>
      <c r="E320" s="492">
        <v>0.5</v>
      </c>
    </row>
    <row r="321" spans="2:14" ht="15" thickBot="1">
      <c r="B321" t="s">
        <v>1376</v>
      </c>
      <c r="C321" s="489">
        <f>calcScenario3AverageCompliance</f>
        <v>0.7</v>
      </c>
      <c r="D321" s="490" t="s">
        <v>1381</v>
      </c>
      <c r="E321" s="492">
        <v>1</v>
      </c>
    </row>
    <row r="322" spans="2:14" ht="15" thickBot="1">
      <c r="B322" t="s">
        <v>1377</v>
      </c>
      <c r="C322" s="489">
        <v>0</v>
      </c>
      <c r="D322" s="560" t="s">
        <v>1493</v>
      </c>
      <c r="E322" s="558">
        <v>0.5</v>
      </c>
      <c r="F322" s="490" t="s">
        <v>1492</v>
      </c>
      <c r="G322" s="561">
        <f>INDEX(E326:N326,E323)</f>
        <v>2000000</v>
      </c>
    </row>
    <row r="323" spans="2:14" ht="15" thickBot="1">
      <c r="B323" t="s">
        <v>1388</v>
      </c>
      <c r="C323" s="507">
        <f>1-calcScenario3AverageDiscount</f>
        <v>0.9</v>
      </c>
      <c r="D323" s="560" t="s">
        <v>1491</v>
      </c>
      <c r="E323" s="559">
        <f>MAX(IF(decPlanLOEDate&lt;=Fin!E325,0,F323),1)</f>
        <v>10</v>
      </c>
      <c r="F323" s="559">
        <f>IFERROR(MATCH(decPlanLOEDate,E325:N325,0),)</f>
        <v>10</v>
      </c>
    </row>
    <row r="324" spans="2:14">
      <c r="E324" t="b">
        <f>decPlanLOEDate&lt;=Fin!E327</f>
        <v>1</v>
      </c>
      <c r="F324" t="b">
        <f>decPlanLOEDate&lt;=Fin!F327</f>
        <v>1</v>
      </c>
      <c r="G324" t="b">
        <f>decPlanLOEDate&lt;=Fin!G327</f>
        <v>1</v>
      </c>
      <c r="H324" t="b">
        <f>decPlanLOEDate&lt;=Fin!H327</f>
        <v>1</v>
      </c>
      <c r="I324" t="b">
        <f>decPlanLOEDate&lt;=Fin!I327</f>
        <v>1</v>
      </c>
      <c r="J324" t="b">
        <f>decPlanLOEDate&lt;=Fin!J327</f>
        <v>1</v>
      </c>
      <c r="K324" t="b">
        <f>decPlanLOEDate&lt;=Fin!K327</f>
        <v>1</v>
      </c>
      <c r="L324" t="b">
        <f>decPlanLOEDate&lt;=Fin!L327</f>
        <v>1</v>
      </c>
      <c r="M324" t="b">
        <f>decPlanLOEDate&lt;=Fin!M327</f>
        <v>1</v>
      </c>
      <c r="N324" t="b">
        <f>decPlanLOEDate&lt;=Fin!N327</f>
        <v>0</v>
      </c>
    </row>
    <row r="325" spans="2:14">
      <c r="B325" s="490" t="s">
        <v>1387</v>
      </c>
      <c r="D325">
        <f>E325-1</f>
        <v>2020</v>
      </c>
      <c r="E325" s="26">
        <f>ROUND(finScenario3LaunchDate,0)</f>
        <v>2021</v>
      </c>
      <c r="F325" s="26">
        <f>E325+1</f>
        <v>2022</v>
      </c>
      <c r="G325" s="26">
        <f t="shared" ref="G325:N325" si="369">F325+1</f>
        <v>2023</v>
      </c>
      <c r="H325" s="26">
        <f t="shared" si="369"/>
        <v>2024</v>
      </c>
      <c r="I325" s="26">
        <f t="shared" si="369"/>
        <v>2025</v>
      </c>
      <c r="J325" s="26">
        <f t="shared" si="369"/>
        <v>2026</v>
      </c>
      <c r="K325" s="26">
        <f t="shared" si="369"/>
        <v>2027</v>
      </c>
      <c r="L325" s="26">
        <f t="shared" si="369"/>
        <v>2028</v>
      </c>
      <c r="M325" s="26">
        <f t="shared" si="369"/>
        <v>2029</v>
      </c>
      <c r="N325" s="26">
        <f t="shared" si="369"/>
        <v>2030</v>
      </c>
    </row>
    <row r="326" spans="2:14">
      <c r="B326" s="490" t="s">
        <v>1375</v>
      </c>
      <c r="E326" s="494">
        <f>decScenario3PatPopRegion3*1000</f>
        <v>2000000</v>
      </c>
      <c r="F326" s="494">
        <f t="shared" ref="F326:N326" si="370">E326*(1+$C319)</f>
        <v>2000000</v>
      </c>
      <c r="G326" s="494">
        <f t="shared" si="370"/>
        <v>2000000</v>
      </c>
      <c r="H326" s="494">
        <f t="shared" si="370"/>
        <v>2000000</v>
      </c>
      <c r="I326" s="494">
        <f t="shared" si="370"/>
        <v>2000000</v>
      </c>
      <c r="J326" s="494">
        <f t="shared" si="370"/>
        <v>2000000</v>
      </c>
      <c r="K326" s="494">
        <f t="shared" si="370"/>
        <v>2000000</v>
      </c>
      <c r="L326" s="494">
        <f t="shared" si="370"/>
        <v>2000000</v>
      </c>
      <c r="M326" s="494">
        <f t="shared" si="370"/>
        <v>2000000</v>
      </c>
      <c r="N326" s="494">
        <f t="shared" si="370"/>
        <v>2000000</v>
      </c>
    </row>
    <row r="327" spans="2:14">
      <c r="B327" s="490" t="s">
        <v>1382</v>
      </c>
      <c r="E327" s="494">
        <f>IF(decPlanLOEDate&lt;=Fin!E325,(($G322*$C320*($E$279*$E$277^($E$278^(E325-$D$283))))*$C321)*$C318*$E322,((E326*$C320*($E$279*$E$277^($E$278^(E325-$D$283))))*$C321))</f>
        <v>62609.903369994106</v>
      </c>
      <c r="F327" s="494">
        <f>IF(decPlanLOEDate&lt;=Fin!F325,(($G322*$C320*($E$279*$E$277^($E$278^(F325-$D$283))))*$C321)*$C318*$E322,((F326*$C320*($E$279*$E$277^($E$278^(F325-$D$283))))*$C321))</f>
        <v>93623.642696699084</v>
      </c>
      <c r="G327" s="494">
        <f>IF(decPlanLOEDate&lt;=Fin!G325,(($G322*$C320*($E$279*$E$277^($E$278^(G325-$D$283))))*$C321)*$C318*$E322,((G326*$C320*($E$279*$E$277^($E$278^(G325-$D$283))))*$C321))</f>
        <v>114487.16075411196</v>
      </c>
      <c r="H327" s="494">
        <f>IF(decPlanLOEDate&lt;=Fin!H325,(($G322*$C320*($E$279*$E$277^($E$278^(H325-$D$283))))*$C321)*$C318*$E322,((H326*$C320*($E$279*$E$277^($E$278^(H325-$D$283))))*$C321))</f>
        <v>126602.5375163376</v>
      </c>
      <c r="I327" s="494">
        <f>IF(decPlanLOEDate&lt;=Fin!I325,(($G322*$C320*($E$279*$E$277^($E$278^(I325-$D$283))))*$C321)*$C318*$E322,((I326*$C320*($E$279*$E$277^($E$278^(I325-$D$283))))*$C321))</f>
        <v>133132.84813406219</v>
      </c>
      <c r="J327" s="494">
        <f>IF(decPlanLOEDate&lt;=Fin!J325,(($G322*$C320*($E$279*$E$277^($E$278^(J325-$D$283))))*$C321)*$C318*$E322,((J326*$C320*($E$279*$E$277^($E$278^(J325-$D$283))))*$C321))</f>
        <v>136523.25347269126</v>
      </c>
      <c r="K327" s="494">
        <f>IF(decPlanLOEDate&lt;=Fin!K325,(($G322*$C320*($E$279*$E$277^($E$278^(K325-$D$283))))*$C321)*$C318*$E322,((K326*$C320*($E$279*$E$277^($E$278^(K325-$D$283))))*$C321))</f>
        <v>138250.69795909451</v>
      </c>
      <c r="L327" s="494">
        <f>IF(decPlanLOEDate&lt;=Fin!L325,(($G322*$C320*($E$279*$E$277^($E$278^(L325-$D$283))))*$C321)*$C318*$E322,((L326*$C320*($E$279*$E$277^($E$278^(L325-$D$283))))*$C321))</f>
        <v>139122.59958135209</v>
      </c>
      <c r="M327" s="494">
        <f>IF(decPlanLOEDate&lt;=Fin!M325,(($G322*$C320*($E$279*$E$277^($E$278^(M325-$D$283))))*$C321)*$C318*$E322,((M326*$C320*($E$279*$E$277^($E$278^(M325-$D$283))))*$C321))</f>
        <v>139560.61027879352</v>
      </c>
      <c r="N327" s="494">
        <f>IF(decPlanLOEDate&lt;=Fin!N325,(($G322*$C320*($E$279*$E$277^($E$278^(N325-$D$283))))*$C321)*$C318*$E322,((N326*$C320*($E$279*$E$277^($E$278^(N325-$D$283))))*$C321))</f>
        <v>0</v>
      </c>
    </row>
    <row r="328" spans="2:14">
      <c r="B328" s="490" t="s">
        <v>1383</v>
      </c>
      <c r="C328" s="493"/>
      <c r="E328" s="494">
        <f>calcScenario3Reg3Price</f>
        <v>0</v>
      </c>
      <c r="F328" s="494">
        <f>E328*(1+$C322)</f>
        <v>0</v>
      </c>
      <c r="G328" s="494">
        <f t="shared" ref="G328" si="371">F328*(1+$C322)</f>
        <v>0</v>
      </c>
      <c r="H328" s="494">
        <f t="shared" ref="H328" si="372">G328*(1+$C322)</f>
        <v>0</v>
      </c>
      <c r="I328" s="494">
        <f t="shared" ref="I328" si="373">H328*(1+$C322)</f>
        <v>0</v>
      </c>
      <c r="J328" s="494">
        <f t="shared" ref="J328" si="374">I328*(1+$C322)</f>
        <v>0</v>
      </c>
      <c r="K328" s="494">
        <f t="shared" ref="K328" si="375">J328*(1+$C322)</f>
        <v>0</v>
      </c>
      <c r="L328" s="494">
        <f t="shared" ref="L328" si="376">K328*(1+$C322)</f>
        <v>0</v>
      </c>
      <c r="M328" s="494">
        <f t="shared" ref="M328" si="377">L328*(1+$C322)</f>
        <v>0</v>
      </c>
      <c r="N328" s="494">
        <f t="shared" ref="N328" si="378">M328*(1+$C322)</f>
        <v>0</v>
      </c>
    </row>
    <row r="329" spans="2:14">
      <c r="B329" s="490" t="s">
        <v>1385</v>
      </c>
      <c r="E329" s="494">
        <f>E327*E328</f>
        <v>0</v>
      </c>
      <c r="F329" s="494">
        <f t="shared" ref="F329:N329" si="379">F327*F328</f>
        <v>0</v>
      </c>
      <c r="G329" s="494">
        <f t="shared" si="379"/>
        <v>0</v>
      </c>
      <c r="H329" s="494">
        <f t="shared" si="379"/>
        <v>0</v>
      </c>
      <c r="I329" s="494">
        <f t="shared" si="379"/>
        <v>0</v>
      </c>
      <c r="J329" s="494">
        <f t="shared" si="379"/>
        <v>0</v>
      </c>
      <c r="K329" s="494">
        <f t="shared" si="379"/>
        <v>0</v>
      </c>
      <c r="L329" s="494">
        <f t="shared" si="379"/>
        <v>0</v>
      </c>
      <c r="M329" s="494">
        <f t="shared" si="379"/>
        <v>0</v>
      </c>
      <c r="N329" s="494">
        <f t="shared" si="379"/>
        <v>0</v>
      </c>
    </row>
    <row r="330" spans="2:14">
      <c r="B330" s="496" t="s">
        <v>1386</v>
      </c>
      <c r="D330" s="497"/>
      <c r="E330" s="498">
        <f>$C323*E329*$C318</f>
        <v>0</v>
      </c>
      <c r="F330" s="498">
        <f t="shared" ref="F330" si="380">$C323*F329*$C318</f>
        <v>0</v>
      </c>
      <c r="G330" s="498">
        <f t="shared" ref="G330" si="381">$C323*G329*$C318</f>
        <v>0</v>
      </c>
      <c r="H330" s="498">
        <f t="shared" ref="H330" si="382">$C323*H329*$C318</f>
        <v>0</v>
      </c>
      <c r="I330" s="498">
        <f t="shared" ref="I330" si="383">$C323*I329*$C318</f>
        <v>0</v>
      </c>
      <c r="J330" s="498">
        <f t="shared" ref="J330" si="384">$C323*J329*$C318</f>
        <v>0</v>
      </c>
      <c r="K330" s="498">
        <f t="shared" ref="K330" si="385">$C323*K329*$C318</f>
        <v>0</v>
      </c>
      <c r="L330" s="498">
        <f t="shared" ref="L330" si="386">$C323*L329*$C318</f>
        <v>0</v>
      </c>
      <c r="M330" s="498">
        <f t="shared" ref="M330" si="387">$C323*M329*$C318</f>
        <v>0</v>
      </c>
      <c r="N330" s="498">
        <f t="shared" ref="N330" si="388">$C323*N329*$C318</f>
        <v>0</v>
      </c>
    </row>
    <row r="331" spans="2:14">
      <c r="B331" s="503"/>
      <c r="C331" s="506"/>
      <c r="D331" s="504"/>
      <c r="E331" s="505"/>
      <c r="F331" s="505"/>
      <c r="G331" s="505"/>
      <c r="H331" s="505"/>
      <c r="I331" s="505"/>
      <c r="J331" s="505"/>
      <c r="K331" s="505"/>
      <c r="L331" s="505"/>
      <c r="M331" s="505"/>
      <c r="N331" s="505"/>
    </row>
    <row r="332" spans="2:14">
      <c r="B332" t="s">
        <v>267</v>
      </c>
      <c r="E332" s="495">
        <f t="shared" ref="E332:N332" si="389">E327*calcScenario3AverageCOGS*$C318</f>
        <v>0</v>
      </c>
      <c r="F332" s="495">
        <f t="shared" si="389"/>
        <v>0</v>
      </c>
      <c r="G332" s="495">
        <f t="shared" si="389"/>
        <v>0</v>
      </c>
      <c r="H332" s="495">
        <f t="shared" si="389"/>
        <v>0</v>
      </c>
      <c r="I332" s="495">
        <f t="shared" si="389"/>
        <v>0</v>
      </c>
      <c r="J332" s="495">
        <f t="shared" si="389"/>
        <v>0</v>
      </c>
      <c r="K332" s="495">
        <f t="shared" si="389"/>
        <v>0</v>
      </c>
      <c r="L332" s="495">
        <f t="shared" si="389"/>
        <v>0</v>
      </c>
      <c r="M332" s="495">
        <f t="shared" si="389"/>
        <v>0</v>
      </c>
      <c r="N332" s="495">
        <f t="shared" si="389"/>
        <v>0</v>
      </c>
    </row>
    <row r="333" spans="2:14">
      <c r="B333" s="500" t="s">
        <v>272</v>
      </c>
      <c r="C333" s="500"/>
      <c r="D333" s="500"/>
      <c r="E333" s="501">
        <f>E330-E332</f>
        <v>0</v>
      </c>
      <c r="F333" s="501">
        <f t="shared" ref="F333:N333" si="390">F330-F332</f>
        <v>0</v>
      </c>
      <c r="G333" s="501">
        <f t="shared" si="390"/>
        <v>0</v>
      </c>
      <c r="H333" s="501">
        <f t="shared" si="390"/>
        <v>0</v>
      </c>
      <c r="I333" s="501">
        <f t="shared" si="390"/>
        <v>0</v>
      </c>
      <c r="J333" s="501">
        <f t="shared" si="390"/>
        <v>0</v>
      </c>
      <c r="K333" s="501">
        <f t="shared" si="390"/>
        <v>0</v>
      </c>
      <c r="L333" s="501">
        <f t="shared" si="390"/>
        <v>0</v>
      </c>
      <c r="M333" s="501">
        <f t="shared" si="390"/>
        <v>0</v>
      </c>
      <c r="N333" s="501">
        <f t="shared" si="390"/>
        <v>0</v>
      </c>
    </row>
    <row r="334" spans="2:14">
      <c r="B334" t="s">
        <v>1195</v>
      </c>
      <c r="E334" s="502">
        <f>IF(E330&gt;0,E333/E330,0)</f>
        <v>0</v>
      </c>
      <c r="F334" s="502">
        <f t="shared" ref="F334:N334" si="391">IF(F330&gt;0,F333/F330,0)</f>
        <v>0</v>
      </c>
      <c r="G334" s="502">
        <f t="shared" si="391"/>
        <v>0</v>
      </c>
      <c r="H334" s="502">
        <f t="shared" si="391"/>
        <v>0</v>
      </c>
      <c r="I334" s="502">
        <f t="shared" si="391"/>
        <v>0</v>
      </c>
      <c r="J334" s="502">
        <f t="shared" si="391"/>
        <v>0</v>
      </c>
      <c r="K334" s="502">
        <f t="shared" si="391"/>
        <v>0</v>
      </c>
      <c r="L334" s="502">
        <f t="shared" si="391"/>
        <v>0</v>
      </c>
      <c r="M334" s="502">
        <f t="shared" si="391"/>
        <v>0</v>
      </c>
      <c r="N334" s="502">
        <f t="shared" si="391"/>
        <v>0</v>
      </c>
    </row>
    <row r="335" spans="2:14">
      <c r="E335" s="502"/>
      <c r="F335" s="502"/>
      <c r="G335" s="502"/>
      <c r="H335" s="502"/>
      <c r="I335" s="502"/>
      <c r="J335" s="502"/>
      <c r="K335" s="502"/>
      <c r="L335" s="502"/>
      <c r="M335" s="502"/>
      <c r="N335" s="502"/>
    </row>
    <row r="336" spans="2:14">
      <c r="B336" s="500" t="s">
        <v>1198</v>
      </c>
      <c r="C336" s="500"/>
      <c r="D336" s="500"/>
      <c r="E336" s="501">
        <f t="shared" ref="E336:N336" si="392">calcScenario3Reg3SnM*E330</f>
        <v>0</v>
      </c>
      <c r="F336" s="501">
        <f t="shared" si="392"/>
        <v>0</v>
      </c>
      <c r="G336" s="501">
        <f t="shared" si="392"/>
        <v>0</v>
      </c>
      <c r="H336" s="501">
        <f t="shared" si="392"/>
        <v>0</v>
      </c>
      <c r="I336" s="501">
        <f t="shared" si="392"/>
        <v>0</v>
      </c>
      <c r="J336" s="501">
        <f t="shared" si="392"/>
        <v>0</v>
      </c>
      <c r="K336" s="501">
        <f t="shared" si="392"/>
        <v>0</v>
      </c>
      <c r="L336" s="501">
        <f t="shared" si="392"/>
        <v>0</v>
      </c>
      <c r="M336" s="501">
        <f t="shared" si="392"/>
        <v>0</v>
      </c>
      <c r="N336" s="501">
        <f t="shared" si="392"/>
        <v>0</v>
      </c>
    </row>
    <row r="337" spans="1:14">
      <c r="E337" s="495"/>
      <c r="F337" s="495"/>
      <c r="G337" s="495"/>
      <c r="H337" s="495"/>
      <c r="I337" s="495"/>
      <c r="J337" s="495"/>
      <c r="K337" s="495"/>
      <c r="L337" s="495"/>
      <c r="M337" s="495"/>
      <c r="N337" s="495"/>
    </row>
    <row r="338" spans="1:14" ht="15" thickBot="1">
      <c r="A338" s="27" t="s">
        <v>1332</v>
      </c>
    </row>
    <row r="339" spans="1:14" ht="15" thickBot="1">
      <c r="B339" t="s">
        <v>519</v>
      </c>
      <c r="C339" s="487" t="b">
        <f>decScenario3EnterRegion4</f>
        <v>0</v>
      </c>
      <c r="E339" t="s">
        <v>1378</v>
      </c>
    </row>
    <row r="340" spans="1:14" ht="15" thickBot="1">
      <c r="B340" t="s">
        <v>1384</v>
      </c>
      <c r="C340" s="499">
        <v>0</v>
      </c>
      <c r="D340" s="490" t="s">
        <v>1379</v>
      </c>
      <c r="E340" s="492">
        <f>calcScenario3AveragePenetration</f>
        <v>0.2</v>
      </c>
    </row>
    <row r="341" spans="1:14" ht="15" thickBot="1">
      <c r="B341" t="s">
        <v>474</v>
      </c>
      <c r="C341" s="489">
        <f>decScenario3PeakMSRegion4</f>
        <v>0.1</v>
      </c>
      <c r="D341" s="490" t="s">
        <v>1380</v>
      </c>
      <c r="E341" s="492">
        <v>0.5</v>
      </c>
    </row>
    <row r="342" spans="1:14" ht="15" thickBot="1">
      <c r="B342" t="s">
        <v>1376</v>
      </c>
      <c r="C342" s="489">
        <f>calcScenario3AverageCompliance</f>
        <v>0.7</v>
      </c>
      <c r="D342" s="490" t="s">
        <v>1381</v>
      </c>
      <c r="E342" s="492">
        <v>1</v>
      </c>
    </row>
    <row r="343" spans="1:14" ht="15" thickBot="1">
      <c r="B343" t="s">
        <v>1377</v>
      </c>
      <c r="C343" s="489">
        <v>0.02</v>
      </c>
      <c r="D343" s="560" t="s">
        <v>1493</v>
      </c>
      <c r="E343" s="558">
        <v>0.5</v>
      </c>
      <c r="F343" s="490" t="s">
        <v>1492</v>
      </c>
      <c r="G343" s="561">
        <f>INDEX(E347:N347,E344)</f>
        <v>3000000</v>
      </c>
    </row>
    <row r="344" spans="1:14" ht="15" thickBot="1">
      <c r="B344" t="s">
        <v>1388</v>
      </c>
      <c r="C344" s="507">
        <f>1-calcScenario3AverageDiscount</f>
        <v>0.9</v>
      </c>
      <c r="D344" s="560" t="s">
        <v>1491</v>
      </c>
      <c r="E344" s="559">
        <f>MAX(IF(decPlanLOEDate&lt;=Fin!E346,0,F344),1)</f>
        <v>10</v>
      </c>
      <c r="F344" s="559">
        <f>IFERROR(MATCH(decPlanLOEDate,E346:N346,0),)</f>
        <v>10</v>
      </c>
    </row>
    <row r="345" spans="1:14">
      <c r="D345">
        <v>0</v>
      </c>
      <c r="E345" t="b">
        <f>decPlanLOEDate&lt;=Fin!E348</f>
        <v>1</v>
      </c>
      <c r="F345" t="b">
        <f>decPlanLOEDate&lt;=Fin!F348</f>
        <v>1</v>
      </c>
      <c r="G345" t="b">
        <f>decPlanLOEDate&lt;=Fin!G348</f>
        <v>1</v>
      </c>
      <c r="H345" t="b">
        <f>decPlanLOEDate&lt;=Fin!H348</f>
        <v>1</v>
      </c>
      <c r="I345" t="b">
        <f>decPlanLOEDate&lt;=Fin!I348</f>
        <v>1</v>
      </c>
      <c r="J345" t="b">
        <f>decPlanLOEDate&lt;=Fin!J348</f>
        <v>1</v>
      </c>
      <c r="K345" t="b">
        <f>decPlanLOEDate&lt;=Fin!K348</f>
        <v>1</v>
      </c>
      <c r="L345" t="b">
        <f>decPlanLOEDate&lt;=Fin!L348</f>
        <v>1</v>
      </c>
      <c r="M345" t="b">
        <f>decPlanLOEDate&lt;=Fin!M348</f>
        <v>1</v>
      </c>
      <c r="N345" t="b">
        <f>decPlanLOEDate&lt;=Fin!N348</f>
        <v>0</v>
      </c>
    </row>
    <row r="346" spans="1:14">
      <c r="B346" s="490" t="s">
        <v>1387</v>
      </c>
      <c r="D346">
        <f>E346-1</f>
        <v>2020</v>
      </c>
      <c r="E346" s="26">
        <f>ROUND(finScenario3LaunchDate,0)</f>
        <v>2021</v>
      </c>
      <c r="F346" s="26">
        <f>E346+1</f>
        <v>2022</v>
      </c>
      <c r="G346" s="26">
        <f t="shared" ref="G346:N346" si="393">F346+1</f>
        <v>2023</v>
      </c>
      <c r="H346" s="26">
        <f t="shared" si="393"/>
        <v>2024</v>
      </c>
      <c r="I346" s="26">
        <f t="shared" si="393"/>
        <v>2025</v>
      </c>
      <c r="J346" s="26">
        <f t="shared" si="393"/>
        <v>2026</v>
      </c>
      <c r="K346" s="26">
        <f t="shared" si="393"/>
        <v>2027</v>
      </c>
      <c r="L346" s="26">
        <f t="shared" si="393"/>
        <v>2028</v>
      </c>
      <c r="M346" s="26">
        <f t="shared" si="393"/>
        <v>2029</v>
      </c>
      <c r="N346" s="26">
        <f t="shared" si="393"/>
        <v>2030</v>
      </c>
    </row>
    <row r="347" spans="1:14">
      <c r="B347" s="490" t="s">
        <v>1375</v>
      </c>
      <c r="E347" s="494">
        <f>decScenario3PatPopRegion4*1000</f>
        <v>3000000</v>
      </c>
      <c r="F347" s="494">
        <f t="shared" ref="F347:N347" si="394">E347*(1+$C340)</f>
        <v>3000000</v>
      </c>
      <c r="G347" s="494">
        <f t="shared" si="394"/>
        <v>3000000</v>
      </c>
      <c r="H347" s="494">
        <f t="shared" si="394"/>
        <v>3000000</v>
      </c>
      <c r="I347" s="494">
        <f t="shared" si="394"/>
        <v>3000000</v>
      </c>
      <c r="J347" s="494">
        <f t="shared" si="394"/>
        <v>3000000</v>
      </c>
      <c r="K347" s="494">
        <f t="shared" si="394"/>
        <v>3000000</v>
      </c>
      <c r="L347" s="494">
        <f t="shared" si="394"/>
        <v>3000000</v>
      </c>
      <c r="M347" s="494">
        <f t="shared" si="394"/>
        <v>3000000</v>
      </c>
      <c r="N347" s="494">
        <f t="shared" si="394"/>
        <v>3000000</v>
      </c>
    </row>
    <row r="348" spans="1:14">
      <c r="B348" s="490" t="s">
        <v>1382</v>
      </c>
      <c r="E348" s="494">
        <f>IF(decPlanLOEDate&lt;=Fin!E346,(($G343*$C341*($E$279*$E$277^($E$278^(E346-$D$283))))*$C342)*$C339*$E343,((E347*$C341*($E$279*$E$277^($E$278^(E346-$D$283))))*$C342))</f>
        <v>93914.85505499116</v>
      </c>
      <c r="F348" s="494">
        <f>IF(decPlanLOEDate&lt;=Fin!F346,(($G343*$C341*($E$279*$E$277^($E$278^(F346-$D$283))))*$C342)*$C339*$E343,((F347*$C341*($E$279*$E$277^($E$278^(F346-$D$283))))*$C342))</f>
        <v>140435.46404504863</v>
      </c>
      <c r="G348" s="494">
        <f>IF(decPlanLOEDate&lt;=Fin!G346,(($G343*$C341*($E$279*$E$277^($E$278^(G346-$D$283))))*$C342)*$C339*$E343,((G347*$C341*($E$279*$E$277^($E$278^(G346-$D$283))))*$C342))</f>
        <v>171730.74113116795</v>
      </c>
      <c r="H348" s="494">
        <f>IF(decPlanLOEDate&lt;=Fin!H346,(($G343*$C341*($E$279*$E$277^($E$278^(H346-$D$283))))*$C342)*$C339*$E343,((H347*$C341*($E$279*$E$277^($E$278^(H346-$D$283))))*$C342))</f>
        <v>189903.80627450644</v>
      </c>
      <c r="I348" s="494">
        <f>IF(decPlanLOEDate&lt;=Fin!I346,(($G343*$C341*($E$279*$E$277^($E$278^(I346-$D$283))))*$C342)*$C339*$E343,((I347*$C341*($E$279*$E$277^($E$278^(I346-$D$283))))*$C342))</f>
        <v>199699.27220109326</v>
      </c>
      <c r="J348" s="494">
        <f>IF(decPlanLOEDate&lt;=Fin!J346,(($G343*$C341*($E$279*$E$277^($E$278^(J346-$D$283))))*$C342)*$C339*$E343,((J347*$C341*($E$279*$E$277^($E$278^(J346-$D$283))))*$C342))</f>
        <v>204784.88020903687</v>
      </c>
      <c r="K348" s="494">
        <f>IF(decPlanLOEDate&lt;=Fin!K346,(($G343*$C341*($E$279*$E$277^($E$278^(K346-$D$283))))*$C342)*$C339*$E343,((K347*$C341*($E$279*$E$277^($E$278^(K346-$D$283))))*$C342))</f>
        <v>207376.04693864175</v>
      </c>
      <c r="L348" s="494">
        <f>IF(decPlanLOEDate&lt;=Fin!L346,(($G343*$C341*($E$279*$E$277^($E$278^(L346-$D$283))))*$C342)*$C339*$E343,((L347*$C341*($E$279*$E$277^($E$278^(L346-$D$283))))*$C342))</f>
        <v>208683.89937202816</v>
      </c>
      <c r="M348" s="494">
        <f>IF(decPlanLOEDate&lt;=Fin!M346,(($G343*$C341*($E$279*$E$277^($E$278^(M346-$D$283))))*$C342)*$C339*$E343,((M347*$C341*($E$279*$E$277^($E$278^(M346-$D$283))))*$C342))</f>
        <v>209340.9154181903</v>
      </c>
      <c r="N348" s="494">
        <f>IF(decPlanLOEDate&lt;=Fin!N346,(($G343*$C341*($E$279*$E$277^($E$278^(N346-$D$283))))*$C342)*$C339*$E343,((N347*$C341*($E$279*$E$277^($E$278^(N346-$D$283))))*$C342))</f>
        <v>0</v>
      </c>
    </row>
    <row r="349" spans="1:14">
      <c r="B349" s="490" t="s">
        <v>1383</v>
      </c>
      <c r="C349" s="493"/>
      <c r="E349" s="494">
        <f>calcScenario3Reg4Price</f>
        <v>0</v>
      </c>
      <c r="F349" s="494">
        <f>E349*(1+$C343)</f>
        <v>0</v>
      </c>
      <c r="G349" s="494">
        <f t="shared" ref="G349" si="395">F349*(1+$C343)</f>
        <v>0</v>
      </c>
      <c r="H349" s="494">
        <f t="shared" ref="H349" si="396">G349*(1+$C343)</f>
        <v>0</v>
      </c>
      <c r="I349" s="494">
        <f t="shared" ref="I349" si="397">H349*(1+$C343)</f>
        <v>0</v>
      </c>
      <c r="J349" s="494">
        <f t="shared" ref="J349" si="398">I349*(1+$C343)</f>
        <v>0</v>
      </c>
      <c r="K349" s="494">
        <f t="shared" ref="K349" si="399">J349*(1+$C343)</f>
        <v>0</v>
      </c>
      <c r="L349" s="494">
        <f t="shared" ref="L349" si="400">K349*(1+$C343)</f>
        <v>0</v>
      </c>
      <c r="M349" s="494">
        <f t="shared" ref="M349" si="401">L349*(1+$C343)</f>
        <v>0</v>
      </c>
      <c r="N349" s="494">
        <f t="shared" ref="N349" si="402">M349*(1+$C343)</f>
        <v>0</v>
      </c>
    </row>
    <row r="350" spans="1:14">
      <c r="B350" s="490" t="s">
        <v>1385</v>
      </c>
      <c r="E350" s="494">
        <f>E348*E349</f>
        <v>0</v>
      </c>
      <c r="F350" s="494">
        <f t="shared" ref="F350:N350" si="403">F348*F349</f>
        <v>0</v>
      </c>
      <c r="G350" s="494">
        <f t="shared" si="403"/>
        <v>0</v>
      </c>
      <c r="H350" s="494">
        <f t="shared" si="403"/>
        <v>0</v>
      </c>
      <c r="I350" s="494">
        <f t="shared" si="403"/>
        <v>0</v>
      </c>
      <c r="J350" s="494">
        <f t="shared" si="403"/>
        <v>0</v>
      </c>
      <c r="K350" s="494">
        <f t="shared" si="403"/>
        <v>0</v>
      </c>
      <c r="L350" s="494">
        <f t="shared" si="403"/>
        <v>0</v>
      </c>
      <c r="M350" s="494">
        <f t="shared" si="403"/>
        <v>0</v>
      </c>
      <c r="N350" s="494">
        <f t="shared" si="403"/>
        <v>0</v>
      </c>
    </row>
    <row r="351" spans="1:14">
      <c r="B351" s="496" t="s">
        <v>1386</v>
      </c>
      <c r="D351" s="497"/>
      <c r="E351" s="498">
        <f>$C344*E350*$C339</f>
        <v>0</v>
      </c>
      <c r="F351" s="498">
        <f t="shared" ref="F351" si="404">$C344*F350*$C339</f>
        <v>0</v>
      </c>
      <c r="G351" s="498">
        <f t="shared" ref="G351" si="405">$C344*G350*$C339</f>
        <v>0</v>
      </c>
      <c r="H351" s="498">
        <f t="shared" ref="H351" si="406">$C344*H350*$C339</f>
        <v>0</v>
      </c>
      <c r="I351" s="498">
        <f t="shared" ref="I351" si="407">$C344*I350*$C339</f>
        <v>0</v>
      </c>
      <c r="J351" s="498">
        <f t="shared" ref="J351" si="408">$C344*J350*$C339</f>
        <v>0</v>
      </c>
      <c r="K351" s="498">
        <f t="shared" ref="K351" si="409">$C344*K350*$C339</f>
        <v>0</v>
      </c>
      <c r="L351" s="498">
        <f t="shared" ref="L351" si="410">$C344*L350*$C339</f>
        <v>0</v>
      </c>
      <c r="M351" s="498">
        <f t="shared" ref="M351" si="411">$C344*M350*$C339</f>
        <v>0</v>
      </c>
      <c r="N351" s="498">
        <f t="shared" ref="N351" si="412">$C344*N350*$C339</f>
        <v>0</v>
      </c>
    </row>
    <row r="352" spans="1:14">
      <c r="B352" s="503"/>
      <c r="C352" s="506"/>
      <c r="D352" s="504"/>
      <c r="E352" s="505"/>
      <c r="F352" s="505"/>
      <c r="G352" s="505"/>
      <c r="H352" s="505"/>
      <c r="I352" s="505"/>
      <c r="J352" s="505"/>
      <c r="K352" s="505"/>
      <c r="L352" s="505"/>
      <c r="M352" s="505"/>
      <c r="N352" s="505"/>
    </row>
    <row r="353" spans="1:14">
      <c r="B353" t="s">
        <v>267</v>
      </c>
      <c r="E353" s="495">
        <f t="shared" ref="E353:N353" si="413">E348*calcScenario3AverageCOGS*$C339</f>
        <v>0</v>
      </c>
      <c r="F353" s="495">
        <f t="shared" si="413"/>
        <v>0</v>
      </c>
      <c r="G353" s="495">
        <f t="shared" si="413"/>
        <v>0</v>
      </c>
      <c r="H353" s="495">
        <f t="shared" si="413"/>
        <v>0</v>
      </c>
      <c r="I353" s="495">
        <f t="shared" si="413"/>
        <v>0</v>
      </c>
      <c r="J353" s="495">
        <f t="shared" si="413"/>
        <v>0</v>
      </c>
      <c r="K353" s="495">
        <f t="shared" si="413"/>
        <v>0</v>
      </c>
      <c r="L353" s="495">
        <f t="shared" si="413"/>
        <v>0</v>
      </c>
      <c r="M353" s="495">
        <f t="shared" si="413"/>
        <v>0</v>
      </c>
      <c r="N353" s="495">
        <f t="shared" si="413"/>
        <v>0</v>
      </c>
    </row>
    <row r="354" spans="1:14">
      <c r="B354" s="500" t="s">
        <v>272</v>
      </c>
      <c r="C354" s="500"/>
      <c r="D354" s="500"/>
      <c r="E354" s="501">
        <f>E351-E353</f>
        <v>0</v>
      </c>
      <c r="F354" s="501">
        <f t="shared" ref="F354:N354" si="414">F351-F353</f>
        <v>0</v>
      </c>
      <c r="G354" s="501">
        <f t="shared" si="414"/>
        <v>0</v>
      </c>
      <c r="H354" s="501">
        <f t="shared" si="414"/>
        <v>0</v>
      </c>
      <c r="I354" s="501">
        <f t="shared" si="414"/>
        <v>0</v>
      </c>
      <c r="J354" s="501">
        <f t="shared" si="414"/>
        <v>0</v>
      </c>
      <c r="K354" s="501">
        <f t="shared" si="414"/>
        <v>0</v>
      </c>
      <c r="L354" s="501">
        <f t="shared" si="414"/>
        <v>0</v>
      </c>
      <c r="M354" s="501">
        <f t="shared" si="414"/>
        <v>0</v>
      </c>
      <c r="N354" s="501">
        <f t="shared" si="414"/>
        <v>0</v>
      </c>
    </row>
    <row r="355" spans="1:14">
      <c r="B355" t="s">
        <v>1195</v>
      </c>
      <c r="E355" s="502">
        <f>IF(E351&gt;0,E354/E351,0)</f>
        <v>0</v>
      </c>
      <c r="F355" s="502">
        <f t="shared" ref="F355:N355" si="415">IF(F351&gt;0,F354/F351,0)</f>
        <v>0</v>
      </c>
      <c r="G355" s="502">
        <f t="shared" si="415"/>
        <v>0</v>
      </c>
      <c r="H355" s="502">
        <f t="shared" si="415"/>
        <v>0</v>
      </c>
      <c r="I355" s="502">
        <f t="shared" si="415"/>
        <v>0</v>
      </c>
      <c r="J355" s="502">
        <f t="shared" si="415"/>
        <v>0</v>
      </c>
      <c r="K355" s="502">
        <f t="shared" si="415"/>
        <v>0</v>
      </c>
      <c r="L355" s="502">
        <f t="shared" si="415"/>
        <v>0</v>
      </c>
      <c r="M355" s="502">
        <f t="shared" si="415"/>
        <v>0</v>
      </c>
      <c r="N355" s="502">
        <f t="shared" si="415"/>
        <v>0</v>
      </c>
    </row>
    <row r="356" spans="1:14">
      <c r="E356" s="502"/>
      <c r="F356" s="502"/>
      <c r="G356" s="502"/>
      <c r="H356" s="502"/>
      <c r="I356" s="502"/>
      <c r="J356" s="502"/>
      <c r="K356" s="502"/>
      <c r="L356" s="502"/>
      <c r="M356" s="502"/>
      <c r="N356" s="502"/>
    </row>
    <row r="357" spans="1:14">
      <c r="B357" s="500" t="s">
        <v>1198</v>
      </c>
      <c r="C357" s="500"/>
      <c r="D357" s="500"/>
      <c r="E357" s="501">
        <f t="shared" ref="E357:N357" si="416">calcScenario3Reg4SnM*E351</f>
        <v>0</v>
      </c>
      <c r="F357" s="501">
        <f t="shared" si="416"/>
        <v>0</v>
      </c>
      <c r="G357" s="501">
        <f t="shared" si="416"/>
        <v>0</v>
      </c>
      <c r="H357" s="501">
        <f t="shared" si="416"/>
        <v>0</v>
      </c>
      <c r="I357" s="501">
        <f t="shared" si="416"/>
        <v>0</v>
      </c>
      <c r="J357" s="501">
        <f t="shared" si="416"/>
        <v>0</v>
      </c>
      <c r="K357" s="501">
        <f t="shared" si="416"/>
        <v>0</v>
      </c>
      <c r="L357" s="501">
        <f t="shared" si="416"/>
        <v>0</v>
      </c>
      <c r="M357" s="501">
        <f t="shared" si="416"/>
        <v>0</v>
      </c>
      <c r="N357" s="501">
        <f t="shared" si="416"/>
        <v>0</v>
      </c>
    </row>
    <row r="358" spans="1:14" ht="15" thickBot="1">
      <c r="E358" s="495"/>
      <c r="F358" s="495"/>
      <c r="G358" s="495"/>
      <c r="H358" s="495"/>
      <c r="I358" s="495"/>
      <c r="J358" s="495"/>
      <c r="K358" s="495"/>
      <c r="L358" s="495"/>
      <c r="M358" s="495"/>
      <c r="N358" s="495"/>
    </row>
    <row r="359" spans="1:14" ht="15" thickBot="1">
      <c r="A359" s="27" t="s">
        <v>55</v>
      </c>
      <c r="D359" t="s">
        <v>480</v>
      </c>
      <c r="E359" s="507">
        <f>E362/E361</f>
        <v>3.130495168499705E-2</v>
      </c>
    </row>
    <row r="360" spans="1:14">
      <c r="B360" s="490" t="s">
        <v>1387</v>
      </c>
      <c r="D360" s="516">
        <f>E360-1</f>
        <v>2020.325</v>
      </c>
      <c r="E360" s="529">
        <f>D398</f>
        <v>2021.325</v>
      </c>
      <c r="F360" s="529">
        <f>E360+1</f>
        <v>2022.325</v>
      </c>
      <c r="G360" s="529">
        <f t="shared" ref="G360:N360" si="417">F360+1</f>
        <v>2023.325</v>
      </c>
      <c r="H360" s="529">
        <f t="shared" si="417"/>
        <v>2024.325</v>
      </c>
      <c r="I360" s="529">
        <f t="shared" si="417"/>
        <v>2025.325</v>
      </c>
      <c r="J360" s="529">
        <f t="shared" si="417"/>
        <v>2026.325</v>
      </c>
      <c r="K360" s="529">
        <f t="shared" si="417"/>
        <v>2027.325</v>
      </c>
      <c r="L360" s="529">
        <f t="shared" si="417"/>
        <v>2028.325</v>
      </c>
      <c r="M360" s="529">
        <f t="shared" si="417"/>
        <v>2029.325</v>
      </c>
      <c r="N360" s="529">
        <f t="shared" si="417"/>
        <v>2030.325</v>
      </c>
    </row>
    <row r="361" spans="1:14">
      <c r="B361" s="490" t="s">
        <v>1375</v>
      </c>
      <c r="D361">
        <v>0</v>
      </c>
      <c r="E361" s="494">
        <f>E284+E305+E326+E347</f>
        <v>6500000</v>
      </c>
      <c r="F361" s="494">
        <f t="shared" ref="F361:N361" si="418">F284+F305+F326+F347</f>
        <v>6500000</v>
      </c>
      <c r="G361" s="494">
        <f t="shared" si="418"/>
        <v>6500000</v>
      </c>
      <c r="H361" s="494">
        <f t="shared" si="418"/>
        <v>6500000</v>
      </c>
      <c r="I361" s="494">
        <f t="shared" si="418"/>
        <v>6500000</v>
      </c>
      <c r="J361" s="494">
        <f t="shared" si="418"/>
        <v>6500000</v>
      </c>
      <c r="K361" s="494">
        <f t="shared" si="418"/>
        <v>6500000</v>
      </c>
      <c r="L361" s="494">
        <f t="shared" si="418"/>
        <v>6500000</v>
      </c>
      <c r="M361" s="494">
        <f t="shared" si="418"/>
        <v>6500000</v>
      </c>
      <c r="N361" s="494">
        <f t="shared" si="418"/>
        <v>6500000</v>
      </c>
    </row>
    <row r="362" spans="1:14">
      <c r="B362" s="490" t="s">
        <v>1382</v>
      </c>
      <c r="D362">
        <v>0</v>
      </c>
      <c r="E362" s="494">
        <f t="shared" ref="E362:N362" si="419">E285+E306+E327+E348</f>
        <v>203482.18595248082</v>
      </c>
      <c r="F362" s="494">
        <f t="shared" si="419"/>
        <v>304276.83876427205</v>
      </c>
      <c r="G362" s="494">
        <f t="shared" si="419"/>
        <v>372083.27245086385</v>
      </c>
      <c r="H362" s="494">
        <f t="shared" si="419"/>
        <v>411458.24692809721</v>
      </c>
      <c r="I362" s="494">
        <f t="shared" si="419"/>
        <v>432681.75643570209</v>
      </c>
      <c r="J362" s="494">
        <f t="shared" si="419"/>
        <v>443700.57378624659</v>
      </c>
      <c r="K362" s="494">
        <f t="shared" si="419"/>
        <v>449314.76836705714</v>
      </c>
      <c r="L362" s="494">
        <f t="shared" si="419"/>
        <v>452148.44863939431</v>
      </c>
      <c r="M362" s="494">
        <f t="shared" si="419"/>
        <v>453571.983406079</v>
      </c>
      <c r="N362" s="494">
        <f t="shared" si="419"/>
        <v>34945.033122597597</v>
      </c>
    </row>
    <row r="363" spans="1:14">
      <c r="B363" s="490" t="s">
        <v>1383</v>
      </c>
      <c r="C363" s="493"/>
      <c r="D363">
        <v>0</v>
      </c>
      <c r="E363" s="494">
        <f t="shared" ref="E363:N363" si="420">E286+E307+E328+E349</f>
        <v>183.6</v>
      </c>
      <c r="F363" s="494">
        <f t="shared" si="420"/>
        <v>179.928</v>
      </c>
      <c r="G363" s="494">
        <f t="shared" si="420"/>
        <v>176.32944000000001</v>
      </c>
      <c r="H363" s="494">
        <f t="shared" si="420"/>
        <v>172.80285119999999</v>
      </c>
      <c r="I363" s="494">
        <f t="shared" si="420"/>
        <v>169.346794176</v>
      </c>
      <c r="J363" s="494">
        <f t="shared" si="420"/>
        <v>165.95985829247999</v>
      </c>
      <c r="K363" s="494">
        <f t="shared" si="420"/>
        <v>162.64066112663039</v>
      </c>
      <c r="L363" s="494">
        <f t="shared" si="420"/>
        <v>159.38784790409778</v>
      </c>
      <c r="M363" s="494">
        <f t="shared" si="420"/>
        <v>156.20009094601582</v>
      </c>
      <c r="N363" s="494">
        <f t="shared" si="420"/>
        <v>153.07608912709551</v>
      </c>
    </row>
    <row r="364" spans="1:14">
      <c r="B364" s="490" t="s">
        <v>1385</v>
      </c>
      <c r="D364">
        <v>0</v>
      </c>
      <c r="E364" s="494">
        <f t="shared" ref="E364:N364" si="421">E287+E308+E329+E350</f>
        <v>5747589.1293654591</v>
      </c>
      <c r="F364" s="494">
        <f t="shared" si="421"/>
        <v>8422757.391565837</v>
      </c>
      <c r="G364" s="494">
        <f t="shared" si="421"/>
        <v>10093728.471481269</v>
      </c>
      <c r="H364" s="494">
        <f t="shared" si="421"/>
        <v>10938639.725989051</v>
      </c>
      <c r="I364" s="494">
        <f t="shared" si="421"/>
        <v>11272810.515511848</v>
      </c>
      <c r="J364" s="494">
        <f t="shared" si="421"/>
        <v>11328689.899978084</v>
      </c>
      <c r="K364" s="494">
        <f t="shared" si="421"/>
        <v>11242592.458642611</v>
      </c>
      <c r="L364" s="494">
        <f t="shared" si="421"/>
        <v>11087225.871047622</v>
      </c>
      <c r="M364" s="494">
        <f t="shared" si="421"/>
        <v>10899690.00901451</v>
      </c>
      <c r="N364" s="494">
        <f t="shared" si="421"/>
        <v>5349249.0048240544</v>
      </c>
    </row>
    <row r="365" spans="1:14">
      <c r="B365" s="496" t="s">
        <v>1386</v>
      </c>
      <c r="D365" s="497">
        <v>0</v>
      </c>
      <c r="E365" s="498">
        <f t="shared" ref="E365:N365" si="422">E288+E309+E330+E351</f>
        <v>5172830.2164289132</v>
      </c>
      <c r="F365" s="498">
        <f t="shared" si="422"/>
        <v>7580481.6524092536</v>
      </c>
      <c r="G365" s="498">
        <f t="shared" si="422"/>
        <v>9084355.6243331432</v>
      </c>
      <c r="H365" s="498">
        <f t="shared" si="422"/>
        <v>9844775.7533901464</v>
      </c>
      <c r="I365" s="498">
        <f t="shared" si="422"/>
        <v>10145529.463960664</v>
      </c>
      <c r="J365" s="498">
        <f t="shared" si="422"/>
        <v>10195820.909980277</v>
      </c>
      <c r="K365" s="498">
        <f t="shared" si="422"/>
        <v>10118333.21277835</v>
      </c>
      <c r="L365" s="498">
        <f t="shared" si="422"/>
        <v>9978503.2839428596</v>
      </c>
      <c r="M365" s="498">
        <f t="shared" si="422"/>
        <v>9809721.0081130583</v>
      </c>
      <c r="N365" s="498">
        <f t="shared" si="422"/>
        <v>4814324.1043416495</v>
      </c>
    </row>
    <row r="366" spans="1:14">
      <c r="B366" s="503"/>
      <c r="C366" s="506"/>
      <c r="D366" s="504"/>
      <c r="E366" s="505"/>
      <c r="F366" s="505"/>
      <c r="G366" s="505"/>
      <c r="H366" s="505"/>
      <c r="I366" s="505"/>
      <c r="J366" s="505"/>
      <c r="K366" s="505"/>
      <c r="L366" s="505"/>
      <c r="M366" s="505"/>
      <c r="N366" s="505"/>
    </row>
    <row r="367" spans="1:14">
      <c r="B367" t="s">
        <v>267</v>
      </c>
      <c r="D367">
        <v>0</v>
      </c>
      <c r="E367" s="495">
        <f t="shared" ref="E367:N367" si="423">E290+E311+E332+E353</f>
        <v>2299035.6517461836</v>
      </c>
      <c r="F367" s="495">
        <f t="shared" si="423"/>
        <v>3437860.1598227904</v>
      </c>
      <c r="G367" s="495">
        <f t="shared" si="423"/>
        <v>4203968.5428909911</v>
      </c>
      <c r="H367" s="495">
        <f t="shared" si="423"/>
        <v>4648845.1775999162</v>
      </c>
      <c r="I367" s="495">
        <f t="shared" si="423"/>
        <v>4888638.1834827634</v>
      </c>
      <c r="J367" s="495">
        <f t="shared" si="423"/>
        <v>5013133.8675172227</v>
      </c>
      <c r="K367" s="495">
        <f t="shared" si="423"/>
        <v>5076565.6290579503</v>
      </c>
      <c r="L367" s="495">
        <f t="shared" si="423"/>
        <v>5108581.8566272482</v>
      </c>
      <c r="M367" s="495">
        <f t="shared" si="423"/>
        <v>5124665.609437298</v>
      </c>
      <c r="N367" s="495">
        <f t="shared" si="423"/>
        <v>2566363.2325235675</v>
      </c>
    </row>
    <row r="368" spans="1:14">
      <c r="B368" s="500" t="s">
        <v>272</v>
      </c>
      <c r="C368" s="500"/>
      <c r="D368" s="500">
        <v>0</v>
      </c>
      <c r="E368" s="501">
        <f t="shared" ref="E368:N368" si="424">E291+E312+E333+E354</f>
        <v>2873794.5646827295</v>
      </c>
      <c r="F368" s="501">
        <f t="shared" si="424"/>
        <v>4142621.4925864632</v>
      </c>
      <c r="G368" s="501">
        <f t="shared" si="424"/>
        <v>4880387.0814421521</v>
      </c>
      <c r="H368" s="501">
        <f t="shared" si="424"/>
        <v>5195930.5757902302</v>
      </c>
      <c r="I368" s="501">
        <f t="shared" si="424"/>
        <v>5256891.280477901</v>
      </c>
      <c r="J368" s="501">
        <f t="shared" si="424"/>
        <v>5182687.0424630539</v>
      </c>
      <c r="K368" s="501">
        <f t="shared" si="424"/>
        <v>5041767.5837204</v>
      </c>
      <c r="L368" s="501">
        <f t="shared" si="424"/>
        <v>4869921.4273156114</v>
      </c>
      <c r="M368" s="501">
        <f t="shared" si="424"/>
        <v>4685055.3986757603</v>
      </c>
      <c r="N368" s="501">
        <f t="shared" si="424"/>
        <v>2247960.8718180819</v>
      </c>
    </row>
    <row r="369" spans="2:18">
      <c r="B369" t="s">
        <v>1195</v>
      </c>
      <c r="D369">
        <v>0</v>
      </c>
      <c r="E369" s="502">
        <f>IF(E365&gt;0,E368/E365,0)</f>
        <v>0.55555555555555558</v>
      </c>
      <c r="F369" s="502">
        <f t="shared" ref="F369:N369" si="425">IF(F365&gt;0,F368/F365,0)</f>
        <v>0.54648526077097515</v>
      </c>
      <c r="G369" s="502">
        <f t="shared" si="425"/>
        <v>0.53722985792956646</v>
      </c>
      <c r="H369" s="502">
        <f t="shared" si="425"/>
        <v>0.52778556931588405</v>
      </c>
      <c r="I369" s="502">
        <f t="shared" si="425"/>
        <v>0.51814854011824918</v>
      </c>
      <c r="J369" s="502">
        <f t="shared" si="425"/>
        <v>0.50831483685535628</v>
      </c>
      <c r="K369" s="502">
        <f t="shared" si="425"/>
        <v>0.49828044577077163</v>
      </c>
      <c r="L369" s="502">
        <f t="shared" si="425"/>
        <v>0.48804127119466489</v>
      </c>
      <c r="M369" s="502">
        <f t="shared" si="425"/>
        <v>0.477593133872107</v>
      </c>
      <c r="N369" s="502">
        <f t="shared" si="425"/>
        <v>0.46693176925725211</v>
      </c>
    </row>
    <row r="370" spans="2:18">
      <c r="E370" s="502"/>
      <c r="F370" s="502"/>
      <c r="G370" s="502"/>
      <c r="H370" s="502"/>
      <c r="I370" s="502"/>
      <c r="J370" s="502"/>
      <c r="K370" s="502"/>
      <c r="L370" s="502"/>
      <c r="M370" s="502"/>
      <c r="N370" s="502"/>
    </row>
    <row r="371" spans="2:18">
      <c r="B371" s="500" t="s">
        <v>1198</v>
      </c>
      <c r="C371" s="500"/>
      <c r="D371" s="500">
        <v>0</v>
      </c>
      <c r="E371" s="501">
        <f t="shared" ref="E371:N371" si="426">E294+E315+E336+E357</f>
        <v>258641.51082144567</v>
      </c>
      <c r="F371" s="501">
        <f t="shared" si="426"/>
        <v>379024.08262046269</v>
      </c>
      <c r="G371" s="501">
        <f t="shared" si="426"/>
        <v>454217.7812166572</v>
      </c>
      <c r="H371" s="501">
        <f t="shared" si="426"/>
        <v>492238.78766950732</v>
      </c>
      <c r="I371" s="501">
        <f t="shared" si="426"/>
        <v>507276.47319803323</v>
      </c>
      <c r="J371" s="501">
        <f t="shared" si="426"/>
        <v>509791.04549901385</v>
      </c>
      <c r="K371" s="501">
        <f t="shared" si="426"/>
        <v>505916.66063891753</v>
      </c>
      <c r="L371" s="501">
        <f t="shared" si="426"/>
        <v>498925.16419714299</v>
      </c>
      <c r="M371" s="501">
        <f t="shared" si="426"/>
        <v>490486.05040565296</v>
      </c>
      <c r="N371" s="501">
        <f t="shared" si="426"/>
        <v>240716.20521708249</v>
      </c>
    </row>
    <row r="372" spans="2:18">
      <c r="B372" s="504"/>
      <c r="C372" s="504"/>
      <c r="D372" s="504"/>
      <c r="E372" s="508"/>
      <c r="F372" s="508"/>
      <c r="G372" s="508"/>
      <c r="H372" s="508"/>
      <c r="I372" s="508"/>
      <c r="J372" s="508"/>
      <c r="K372" s="508"/>
      <c r="L372" s="508"/>
      <c r="M372" s="508"/>
      <c r="N372" s="508"/>
    </row>
    <row r="373" spans="2:18" ht="15" thickBot="1">
      <c r="B373" s="512" t="s">
        <v>492</v>
      </c>
      <c r="C373" s="513">
        <f>decScenario3Royalty</f>
        <v>0</v>
      </c>
      <c r="D373" s="500">
        <v>0</v>
      </c>
      <c r="E373" s="501">
        <f>$C373*E365</f>
        <v>0</v>
      </c>
      <c r="F373" s="501">
        <f t="shared" ref="F373:N373" si="427">$C373*F365</f>
        <v>0</v>
      </c>
      <c r="G373" s="501">
        <f t="shared" si="427"/>
        <v>0</v>
      </c>
      <c r="H373" s="501">
        <f t="shared" si="427"/>
        <v>0</v>
      </c>
      <c r="I373" s="501">
        <f t="shared" si="427"/>
        <v>0</v>
      </c>
      <c r="J373" s="501">
        <f t="shared" si="427"/>
        <v>0</v>
      </c>
      <c r="K373" s="501">
        <f t="shared" si="427"/>
        <v>0</v>
      </c>
      <c r="L373" s="501">
        <f t="shared" si="427"/>
        <v>0</v>
      </c>
      <c r="M373" s="501">
        <f t="shared" si="427"/>
        <v>0</v>
      </c>
      <c r="N373" s="501">
        <f t="shared" si="427"/>
        <v>0</v>
      </c>
    </row>
    <row r="374" spans="2:18">
      <c r="B374" s="504"/>
      <c r="C374" s="504"/>
      <c r="D374" s="504"/>
      <c r="E374" s="508"/>
      <c r="F374" s="508"/>
      <c r="G374" s="508"/>
      <c r="H374" s="508"/>
      <c r="I374" s="508"/>
      <c r="J374" s="508"/>
      <c r="K374" s="508"/>
      <c r="L374" s="508"/>
      <c r="M374" s="508"/>
      <c r="N374" s="508"/>
    </row>
    <row r="375" spans="2:18" ht="15" thickBot="1">
      <c r="B375" s="490" t="s">
        <v>690</v>
      </c>
      <c r="D375" s="509">
        <f>calcScenario3TotFTECost</f>
        <v>6130000</v>
      </c>
      <c r="E375" s="502"/>
      <c r="F375" s="502"/>
      <c r="G375" s="502"/>
      <c r="H375" s="502"/>
      <c r="I375" s="502"/>
      <c r="J375" s="502"/>
      <c r="K375" s="502"/>
      <c r="L375" s="502"/>
      <c r="M375" s="502"/>
      <c r="N375" s="502"/>
    </row>
    <row r="376" spans="2:18" ht="15" thickBot="1">
      <c r="B376" s="490" t="s">
        <v>460</v>
      </c>
      <c r="C376" s="488">
        <v>0.01</v>
      </c>
      <c r="D376" s="509">
        <f>calcScenario3TotRnDCost</f>
        <v>61300000</v>
      </c>
      <c r="E376" s="514">
        <f>$C376*E365</f>
        <v>51728.302164289133</v>
      </c>
      <c r="F376" s="514">
        <f t="shared" ref="F376:N376" si="428">$C376*F365</f>
        <v>75804.816524092545</v>
      </c>
      <c r="G376" s="514">
        <f t="shared" si="428"/>
        <v>90843.556243331434</v>
      </c>
      <c r="H376" s="514">
        <f t="shared" si="428"/>
        <v>98447.757533901473</v>
      </c>
      <c r="I376" s="514">
        <f t="shared" si="428"/>
        <v>101455.29463960664</v>
      </c>
      <c r="J376" s="514">
        <f t="shared" si="428"/>
        <v>101958.20909980277</v>
      </c>
      <c r="K376" s="514">
        <f t="shared" si="428"/>
        <v>101183.33212778351</v>
      </c>
      <c r="L376" s="514">
        <f t="shared" si="428"/>
        <v>99785.032839428604</v>
      </c>
      <c r="M376" s="514">
        <f t="shared" si="428"/>
        <v>98097.210081130586</v>
      </c>
      <c r="N376" s="514">
        <f t="shared" si="428"/>
        <v>48143.241043416492</v>
      </c>
    </row>
    <row r="377" spans="2:18">
      <c r="B377" s="490" t="s">
        <v>1390</v>
      </c>
      <c r="D377" s="509">
        <f>decPlanInLicenseCost*1000000</f>
        <v>0</v>
      </c>
      <c r="E377" s="502"/>
      <c r="F377" s="502"/>
      <c r="G377" s="502"/>
      <c r="H377" s="502"/>
      <c r="I377" s="502"/>
      <c r="J377" s="502"/>
      <c r="K377" s="502"/>
      <c r="L377" s="502"/>
      <c r="M377" s="502"/>
      <c r="N377" s="502"/>
    </row>
    <row r="378" spans="2:18">
      <c r="B378" s="500" t="s">
        <v>1197</v>
      </c>
      <c r="C378" s="500"/>
      <c r="D378" s="510">
        <f>SUM(D375:D376)</f>
        <v>67430000</v>
      </c>
      <c r="E378" s="510">
        <f t="shared" ref="E378:N378" si="429">SUM(E375:E377)</f>
        <v>51728.302164289133</v>
      </c>
      <c r="F378" s="510">
        <f t="shared" si="429"/>
        <v>75804.816524092545</v>
      </c>
      <c r="G378" s="510">
        <f t="shared" si="429"/>
        <v>90843.556243331434</v>
      </c>
      <c r="H378" s="510">
        <f t="shared" si="429"/>
        <v>98447.757533901473</v>
      </c>
      <c r="I378" s="510">
        <f t="shared" si="429"/>
        <v>101455.29463960664</v>
      </c>
      <c r="J378" s="510">
        <f t="shared" si="429"/>
        <v>101958.20909980277</v>
      </c>
      <c r="K378" s="510">
        <f t="shared" si="429"/>
        <v>101183.33212778351</v>
      </c>
      <c r="L378" s="510">
        <f t="shared" si="429"/>
        <v>99785.032839428604</v>
      </c>
      <c r="M378" s="510">
        <f t="shared" si="429"/>
        <v>98097.210081130586</v>
      </c>
      <c r="N378" s="510">
        <f t="shared" si="429"/>
        <v>48143.241043416492</v>
      </c>
    </row>
    <row r="379" spans="2:18">
      <c r="B379" s="504"/>
      <c r="C379" s="504"/>
      <c r="D379" s="511"/>
    </row>
    <row r="380" spans="2:18">
      <c r="B380" s="512" t="s">
        <v>1389</v>
      </c>
      <c r="C380" s="500"/>
      <c r="D380" s="510">
        <f>D371+D373+D378</f>
        <v>67430000</v>
      </c>
      <c r="E380" s="510">
        <f t="shared" ref="E380:N380" si="430">E371+E373+E378</f>
        <v>310369.81298573478</v>
      </c>
      <c r="F380" s="510">
        <f t="shared" si="430"/>
        <v>454828.89914455521</v>
      </c>
      <c r="G380" s="510">
        <f t="shared" si="430"/>
        <v>545061.33745998866</v>
      </c>
      <c r="H380" s="510">
        <f t="shared" si="430"/>
        <v>590686.54520340881</v>
      </c>
      <c r="I380" s="510">
        <f t="shared" si="430"/>
        <v>608731.7678376399</v>
      </c>
      <c r="J380" s="510">
        <f t="shared" si="430"/>
        <v>611749.25459881662</v>
      </c>
      <c r="K380" s="510">
        <f t="shared" si="430"/>
        <v>607099.99276670103</v>
      </c>
      <c r="L380" s="510">
        <f t="shared" si="430"/>
        <v>598710.19703657157</v>
      </c>
      <c r="M380" s="510">
        <f t="shared" si="430"/>
        <v>588583.26048678358</v>
      </c>
      <c r="N380" s="510">
        <f t="shared" si="430"/>
        <v>288859.44626049895</v>
      </c>
    </row>
    <row r="381" spans="2:18" ht="15" thickBot="1">
      <c r="B381" s="504" t="s">
        <v>1201</v>
      </c>
      <c r="C381" s="504"/>
      <c r="D381" s="511">
        <f>D365-D367-D380</f>
        <v>-67430000</v>
      </c>
      <c r="E381" s="511">
        <f t="shared" ref="E381:N381" si="431">E365-E367-E380</f>
        <v>2563424.7516969945</v>
      </c>
      <c r="F381" s="511">
        <f t="shared" si="431"/>
        <v>3687792.5934419082</v>
      </c>
      <c r="G381" s="511">
        <f t="shared" si="431"/>
        <v>4335325.7439821633</v>
      </c>
      <c r="H381" s="511">
        <f t="shared" si="431"/>
        <v>4605244.030586821</v>
      </c>
      <c r="I381" s="511">
        <f t="shared" si="431"/>
        <v>4648159.5126402611</v>
      </c>
      <c r="J381" s="511">
        <f t="shared" si="431"/>
        <v>4570937.7878642371</v>
      </c>
      <c r="K381" s="511">
        <f t="shared" si="431"/>
        <v>4434667.5909536993</v>
      </c>
      <c r="L381" s="511">
        <f t="shared" si="431"/>
        <v>4271211.2302790396</v>
      </c>
      <c r="M381" s="511">
        <f t="shared" si="431"/>
        <v>4096472.1381889768</v>
      </c>
      <c r="N381" s="511">
        <f t="shared" si="431"/>
        <v>1959101.4255575831</v>
      </c>
    </row>
    <row r="382" spans="2:18" ht="15" thickBot="1">
      <c r="B382" s="504" t="s">
        <v>1499</v>
      </c>
      <c r="C382" s="488">
        <v>0.4</v>
      </c>
      <c r="D382" s="569">
        <f>$C382*D381</f>
        <v>-26972000</v>
      </c>
      <c r="E382" s="569">
        <f t="shared" ref="E382:N382" si="432">$C382*E381</f>
        <v>1025369.9006787979</v>
      </c>
      <c r="F382" s="569">
        <f t="shared" si="432"/>
        <v>1475117.0373767633</v>
      </c>
      <c r="G382" s="569">
        <f t="shared" si="432"/>
        <v>1734130.2975928653</v>
      </c>
      <c r="H382" s="569">
        <f t="shared" si="432"/>
        <v>1842097.6122347284</v>
      </c>
      <c r="I382" s="569">
        <f t="shared" si="432"/>
        <v>1859263.8050561044</v>
      </c>
      <c r="J382" s="569">
        <f t="shared" si="432"/>
        <v>1828375.1151456949</v>
      </c>
      <c r="K382" s="569">
        <f t="shared" si="432"/>
        <v>1773867.0363814798</v>
      </c>
      <c r="L382" s="569">
        <f t="shared" si="432"/>
        <v>1708484.4921116158</v>
      </c>
      <c r="M382" s="569">
        <f t="shared" si="432"/>
        <v>1638588.8552755909</v>
      </c>
      <c r="N382" s="569">
        <f t="shared" si="432"/>
        <v>783640.57022303331</v>
      </c>
      <c r="Q382" s="490"/>
      <c r="R382" s="511"/>
    </row>
    <row r="383" spans="2:18">
      <c r="B383" s="500" t="s">
        <v>1498</v>
      </c>
      <c r="C383" s="500"/>
      <c r="D383" s="517">
        <f>IF(D381&lt;0,D381,D381-D382)</f>
        <v>-67430000</v>
      </c>
      <c r="E383" s="517">
        <f t="shared" ref="E383:N383" si="433">IF(E381&lt;0,E381,E381-E382)</f>
        <v>1538054.8510181967</v>
      </c>
      <c r="F383" s="517">
        <f t="shared" si="433"/>
        <v>2212675.5560651449</v>
      </c>
      <c r="G383" s="517">
        <f t="shared" si="433"/>
        <v>2601195.446389298</v>
      </c>
      <c r="H383" s="517">
        <f t="shared" si="433"/>
        <v>2763146.4183520926</v>
      </c>
      <c r="I383" s="517">
        <f t="shared" si="433"/>
        <v>2788895.7075841567</v>
      </c>
      <c r="J383" s="517">
        <f t="shared" si="433"/>
        <v>2742562.6727185422</v>
      </c>
      <c r="K383" s="517">
        <f t="shared" si="433"/>
        <v>2660800.5545722195</v>
      </c>
      <c r="L383" s="517">
        <f t="shared" si="433"/>
        <v>2562726.7381674238</v>
      </c>
      <c r="M383" s="517">
        <f t="shared" si="433"/>
        <v>2457883.2829133859</v>
      </c>
      <c r="N383" s="517">
        <f t="shared" si="433"/>
        <v>1175460.8553345497</v>
      </c>
    </row>
    <row r="384" spans="2:18">
      <c r="B384" s="504" t="s">
        <v>1391</v>
      </c>
      <c r="C384" s="504"/>
      <c r="D384" s="519">
        <f>IF(D365=0,0,D383/D365)</f>
        <v>0</v>
      </c>
      <c r="E384" s="519">
        <f t="shared" ref="E384:N384" si="434">IF(E365=0,0,E383/E365)</f>
        <v>0.29733333333333328</v>
      </c>
      <c r="F384" s="519">
        <f t="shared" si="434"/>
        <v>0.29189115646258507</v>
      </c>
      <c r="G384" s="519">
        <f t="shared" si="434"/>
        <v>0.28633791475773984</v>
      </c>
      <c r="H384" s="519">
        <f t="shared" si="434"/>
        <v>0.28067134158953044</v>
      </c>
      <c r="I384" s="519">
        <f t="shared" si="434"/>
        <v>0.27488912407094951</v>
      </c>
      <c r="J384" s="519">
        <f t="shared" si="434"/>
        <v>0.26898890211321369</v>
      </c>
      <c r="K384" s="519">
        <f t="shared" si="434"/>
        <v>0.26296826746246299</v>
      </c>
      <c r="L384" s="519">
        <f t="shared" si="434"/>
        <v>0.25682476271679894</v>
      </c>
      <c r="M384" s="519">
        <f t="shared" si="434"/>
        <v>0.2505558803232642</v>
      </c>
      <c r="N384" s="519">
        <f t="shared" si="434"/>
        <v>0.24415906155435124</v>
      </c>
    </row>
    <row r="385" spans="2:23">
      <c r="D385" s="515"/>
      <c r="E385" s="494"/>
      <c r="F385" s="494"/>
      <c r="G385" s="494"/>
      <c r="H385" s="494"/>
      <c r="I385" s="494"/>
      <c r="J385" s="509"/>
      <c r="K385" s="509"/>
      <c r="L385" s="509"/>
      <c r="M385" s="509"/>
      <c r="N385" s="509"/>
      <c r="S385">
        <v>10</v>
      </c>
      <c r="T385">
        <v>10</v>
      </c>
      <c r="U385">
        <v>10</v>
      </c>
      <c r="V385">
        <v>10</v>
      </c>
      <c r="W385">
        <f>SUM(S385:V385)*W386</f>
        <v>2.4300000000000002</v>
      </c>
    </row>
    <row r="386" spans="2:23" ht="15" thickBot="1">
      <c r="B386" t="s">
        <v>1196</v>
      </c>
      <c r="D386" s="515">
        <f>D383</f>
        <v>-67430000</v>
      </c>
      <c r="E386" s="515">
        <f t="shared" ref="E386:N386" si="435">E383</f>
        <v>1538054.8510181967</v>
      </c>
      <c r="F386" s="515">
        <f t="shared" si="435"/>
        <v>2212675.5560651449</v>
      </c>
      <c r="G386" s="515">
        <f t="shared" si="435"/>
        <v>2601195.446389298</v>
      </c>
      <c r="H386" s="515">
        <f t="shared" si="435"/>
        <v>2763146.4183520926</v>
      </c>
      <c r="I386" s="515">
        <f t="shared" si="435"/>
        <v>2788895.7075841567</v>
      </c>
      <c r="J386" s="515">
        <f t="shared" si="435"/>
        <v>2742562.6727185422</v>
      </c>
      <c r="K386" s="515">
        <f t="shared" si="435"/>
        <v>2660800.5545722195</v>
      </c>
      <c r="L386" s="515">
        <f t="shared" si="435"/>
        <v>2562726.7381674238</v>
      </c>
      <c r="M386" s="515">
        <f t="shared" si="435"/>
        <v>2457883.2829133859</v>
      </c>
      <c r="N386" s="515">
        <f t="shared" si="435"/>
        <v>1175460.8553345497</v>
      </c>
      <c r="S386" s="521">
        <v>0.9</v>
      </c>
      <c r="T386" s="521">
        <v>0.75</v>
      </c>
      <c r="U386" s="521">
        <v>0.45</v>
      </c>
      <c r="V386" s="521">
        <v>0.2</v>
      </c>
      <c r="W386" s="521">
        <f>PRODUCT(S386:V386)</f>
        <v>6.0750000000000005E-2</v>
      </c>
    </row>
    <row r="387" spans="2:23" ht="15" thickBot="1">
      <c r="B387" t="s">
        <v>1392</v>
      </c>
      <c r="C387" s="507">
        <f>calcScenario3TotPOS</f>
        <v>0.22792184999999998</v>
      </c>
      <c r="D387" s="515">
        <f>D386</f>
        <v>-67430000</v>
      </c>
      <c r="E387" s="515">
        <f>$C387*E386</f>
        <v>350556.30704554176</v>
      </c>
      <c r="F387" s="515">
        <f t="shared" ref="F387:N387" si="436">$C387*F386</f>
        <v>504317.10618814651</v>
      </c>
      <c r="G387" s="515">
        <f t="shared" si="436"/>
        <v>592869.2783526245</v>
      </c>
      <c r="H387" s="515">
        <f t="shared" si="436"/>
        <v>629781.44349168288</v>
      </c>
      <c r="I387" s="515">
        <f t="shared" si="436"/>
        <v>635650.26912963996</v>
      </c>
      <c r="J387" s="515">
        <f t="shared" si="436"/>
        <v>625089.95810695458</v>
      </c>
      <c r="K387" s="515">
        <f t="shared" si="436"/>
        <v>606454.58487912617</v>
      </c>
      <c r="L387" s="515">
        <f t="shared" si="436"/>
        <v>584101.41920758481</v>
      </c>
      <c r="M387" s="515">
        <f t="shared" si="436"/>
        <v>560205.30492569227</v>
      </c>
      <c r="N387" s="515">
        <f t="shared" si="436"/>
        <v>267913.2127504329</v>
      </c>
      <c r="S387">
        <f>S385*S386</f>
        <v>9</v>
      </c>
      <c r="T387">
        <f t="shared" ref="T387:V387" si="437">T385*T386</f>
        <v>7.5</v>
      </c>
      <c r="U387">
        <f t="shared" si="437"/>
        <v>4.5</v>
      </c>
      <c r="V387">
        <f t="shared" si="437"/>
        <v>2</v>
      </c>
      <c r="W387">
        <f>SUM(S387:V387)</f>
        <v>23</v>
      </c>
    </row>
    <row r="388" spans="2:23">
      <c r="D388">
        <v>0</v>
      </c>
      <c r="E388" s="26">
        <v>1</v>
      </c>
      <c r="F388" s="26">
        <v>2</v>
      </c>
      <c r="G388" s="26">
        <v>3</v>
      </c>
      <c r="H388" s="26">
        <v>4</v>
      </c>
      <c r="I388" s="26">
        <v>5</v>
      </c>
      <c r="J388" s="26">
        <v>6</v>
      </c>
      <c r="K388" s="26">
        <v>7</v>
      </c>
      <c r="L388" s="26">
        <v>8</v>
      </c>
      <c r="M388" s="26">
        <v>9</v>
      </c>
      <c r="N388" s="26">
        <v>10</v>
      </c>
    </row>
    <row r="389" spans="2:23">
      <c r="B389" t="s">
        <v>1393</v>
      </c>
      <c r="D389" s="562">
        <f t="shared" ref="D389" si="438">1/(1+$C395)^D388</f>
        <v>1</v>
      </c>
      <c r="E389" s="562">
        <f>1/(1+$C395)^E388</f>
        <v>0.94339622641509424</v>
      </c>
      <c r="F389" s="562">
        <f t="shared" ref="F389" si="439">1/(1+$C395)^F388</f>
        <v>0.88999644001423983</v>
      </c>
      <c r="G389" s="562">
        <f t="shared" ref="G389" si="440">1/(1+$C395)^G388</f>
        <v>0.8396192830323016</v>
      </c>
      <c r="H389" s="562">
        <f t="shared" ref="H389" si="441">1/(1+$C395)^H388</f>
        <v>0.79209366323802044</v>
      </c>
      <c r="I389" s="562">
        <f t="shared" ref="I389" si="442">1/(1+$C395)^I388</f>
        <v>0.74725817286605689</v>
      </c>
      <c r="J389" s="562">
        <f t="shared" ref="J389" si="443">1/(1+$C395)^J388</f>
        <v>0.70496054043967626</v>
      </c>
      <c r="K389" s="562">
        <f t="shared" ref="K389" si="444">1/(1+$C395)^K388</f>
        <v>0.66505711362233599</v>
      </c>
      <c r="L389" s="562">
        <f t="shared" ref="L389" si="445">1/(1+$C395)^L388</f>
        <v>0.62741237134182648</v>
      </c>
      <c r="M389" s="562">
        <f t="shared" ref="M389" si="446">1/(1+$C395)^M388</f>
        <v>0.59189846353002495</v>
      </c>
      <c r="N389" s="562">
        <f t="shared" ref="N389" si="447">1/(1+$C395)^N388</f>
        <v>0.55839477691511785</v>
      </c>
    </row>
    <row r="390" spans="2:23">
      <c r="B390" t="s">
        <v>1214</v>
      </c>
      <c r="D390" s="515">
        <f>D389*D387</f>
        <v>-67430000</v>
      </c>
      <c r="E390" s="515">
        <f t="shared" ref="E390:N390" si="448">E389*E387</f>
        <v>330713.49721277523</v>
      </c>
      <c r="F390" s="515">
        <f t="shared" si="448"/>
        <v>448840.42914573377</v>
      </c>
      <c r="G390" s="515">
        <f t="shared" si="448"/>
        <v>497784.47842230863</v>
      </c>
      <c r="H390" s="515">
        <f t="shared" si="448"/>
        <v>498845.89061465545</v>
      </c>
      <c r="I390" s="515">
        <f t="shared" si="448"/>
        <v>474994.85869163211</v>
      </c>
      <c r="J390" s="515">
        <f t="shared" si="448"/>
        <v>440663.75469049328</v>
      </c>
      <c r="K390" s="515">
        <f t="shared" si="448"/>
        <v>403326.93576274364</v>
      </c>
      <c r="L390" s="515">
        <f t="shared" si="448"/>
        <v>366472.45652915706</v>
      </c>
      <c r="M390" s="515">
        <f t="shared" si="448"/>
        <v>331584.65924688638</v>
      </c>
      <c r="N390" s="515">
        <f t="shared" si="448"/>
        <v>149601.33866639048</v>
      </c>
    </row>
    <row r="391" spans="2:23">
      <c r="B391" t="s">
        <v>1394</v>
      </c>
      <c r="D391" s="515">
        <f>D390</f>
        <v>-67430000</v>
      </c>
      <c r="E391" s="495">
        <f>D391+E390</f>
        <v>-67099286.502787225</v>
      </c>
      <c r="F391" s="495">
        <f t="shared" ref="F391" si="449">E391+F390</f>
        <v>-66650446.073641494</v>
      </c>
      <c r="G391" s="495">
        <f t="shared" ref="G391" si="450">F391+G390</f>
        <v>-66152661.595219187</v>
      </c>
      <c r="H391" s="495">
        <f t="shared" ref="H391" si="451">G391+H390</f>
        <v>-65653815.704604529</v>
      </c>
      <c r="I391" s="495">
        <f t="shared" ref="I391" si="452">H391+I390</f>
        <v>-65178820.845912896</v>
      </c>
      <c r="J391" s="495">
        <f t="shared" ref="J391" si="453">I391+J390</f>
        <v>-64738157.091222405</v>
      </c>
      <c r="K391" s="495">
        <f t="shared" ref="K391" si="454">J391+K390</f>
        <v>-64334830.155459665</v>
      </c>
      <c r="L391" s="495">
        <f t="shared" ref="L391" si="455">K391+L390</f>
        <v>-63968357.698930509</v>
      </c>
      <c r="M391" s="495">
        <f t="shared" ref="M391" si="456">L391+M390</f>
        <v>-63636773.039683625</v>
      </c>
      <c r="N391" s="495">
        <f t="shared" ref="N391" si="457">M391+N390</f>
        <v>-63487171.701017238</v>
      </c>
      <c r="O391" s="495"/>
    </row>
    <row r="392" spans="2:23">
      <c r="E392" t="b">
        <f t="shared" ref="E392:N392" si="458">E391&lt;0</f>
        <v>1</v>
      </c>
      <c r="F392" t="b">
        <f t="shared" si="458"/>
        <v>1</v>
      </c>
      <c r="G392" t="b">
        <f t="shared" si="458"/>
        <v>1</v>
      </c>
      <c r="H392" t="b">
        <f t="shared" si="458"/>
        <v>1</v>
      </c>
      <c r="I392" t="b">
        <f t="shared" si="458"/>
        <v>1</v>
      </c>
      <c r="J392" t="b">
        <f t="shared" si="458"/>
        <v>1</v>
      </c>
      <c r="K392" t="b">
        <f t="shared" si="458"/>
        <v>1</v>
      </c>
      <c r="L392" t="b">
        <f t="shared" si="458"/>
        <v>1</v>
      </c>
      <c r="M392" t="b">
        <f t="shared" si="458"/>
        <v>1</v>
      </c>
      <c r="N392" t="b">
        <f t="shared" si="458"/>
        <v>1</v>
      </c>
      <c r="O392" s="495">
        <f>COUNTIF(E392:N392,TRUE)</f>
        <v>10</v>
      </c>
    </row>
    <row r="393" spans="2:23">
      <c r="B393" t="s">
        <v>1199</v>
      </c>
    </row>
    <row r="394" spans="2:23" ht="15" thickBot="1">
      <c r="B394" t="s">
        <v>615</v>
      </c>
      <c r="D394" s="521">
        <f>(SUM(E387:N387))/(-1*D387)</f>
        <v>7.9444444373089534E-2</v>
      </c>
      <c r="E394" s="534" t="s">
        <v>1408</v>
      </c>
    </row>
    <row r="395" spans="2:23" ht="15" thickBot="1">
      <c r="B395" t="s">
        <v>1208</v>
      </c>
      <c r="C395" s="487">
        <f>decScenario3EPVRate</f>
        <v>0.06</v>
      </c>
      <c r="D395" s="431">
        <f>NPV(C395,E387:N387)+D387</f>
        <v>-63487171.701017223</v>
      </c>
      <c r="E395" s="534" t="s">
        <v>1409</v>
      </c>
    </row>
    <row r="396" spans="2:23" ht="15" thickBot="1">
      <c r="B396" t="s">
        <v>1209</v>
      </c>
      <c r="C396" s="491">
        <f>decScenario3NPVRate</f>
        <v>0.12</v>
      </c>
      <c r="D396" s="431">
        <f>NPV(C396,E386:N386)+D386</f>
        <v>-54209876.689616203</v>
      </c>
      <c r="E396" s="534" t="s">
        <v>1410</v>
      </c>
    </row>
    <row r="397" spans="2:23">
      <c r="B397" t="s">
        <v>1210</v>
      </c>
      <c r="D397" s="509">
        <f>MAX(D365:N365)</f>
        <v>10195820.909980277</v>
      </c>
      <c r="E397" s="534" t="s">
        <v>1411</v>
      </c>
    </row>
    <row r="398" spans="2:23">
      <c r="B398" t="s">
        <v>491</v>
      </c>
      <c r="D398" s="516">
        <f>decPlanProjectStartDate+calcScenario3TotTimeReq</f>
        <v>2021.325</v>
      </c>
      <c r="E398" s="534" t="s">
        <v>1412</v>
      </c>
    </row>
    <row r="399" spans="2:23">
      <c r="B399" t="s">
        <v>1211</v>
      </c>
      <c r="D399" s="509">
        <f>calcScenario3TotRnDCost</f>
        <v>61300000</v>
      </c>
      <c r="E399" s="534" t="s">
        <v>1413</v>
      </c>
    </row>
    <row r="400" spans="2:23">
      <c r="B400" t="s">
        <v>616</v>
      </c>
      <c r="D400" s="521">
        <f>calcScenario3TotPOS</f>
        <v>0.22792184999999998</v>
      </c>
      <c r="E400" s="534" t="s">
        <v>1414</v>
      </c>
    </row>
    <row r="401" spans="2:5">
      <c r="B401" t="s">
        <v>1202</v>
      </c>
      <c r="D401" s="516">
        <f>D398+O392</f>
        <v>2031.325</v>
      </c>
      <c r="E401" s="534" t="s">
        <v>1415</v>
      </c>
    </row>
    <row r="402" spans="2:5">
      <c r="B402" t="s">
        <v>1207</v>
      </c>
      <c r="D402" s="520">
        <f>IRR(D386:N386)</f>
        <v>-0.1603182220910816</v>
      </c>
      <c r="E402" s="534" t="s">
        <v>1416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1"/>
  </sheetPr>
  <dimension ref="A1:J26"/>
  <sheetViews>
    <sheetView workbookViewId="0">
      <selection activeCell="B5" sqref="B5"/>
    </sheetView>
  </sheetViews>
  <sheetFormatPr defaultRowHeight="14.25"/>
  <sheetData>
    <row r="1" spans="1:10" s="18" customFormat="1">
      <c r="A1" s="18" t="s">
        <v>118</v>
      </c>
      <c r="E1" s="22" t="s">
        <v>8</v>
      </c>
      <c r="F1" s="22" t="s">
        <v>9</v>
      </c>
      <c r="G1" s="22" t="s">
        <v>10</v>
      </c>
      <c r="H1" s="22" t="s">
        <v>11</v>
      </c>
      <c r="I1" s="22" t="s">
        <v>12</v>
      </c>
    </row>
    <row r="2" spans="1:10" s="23" customFormat="1">
      <c r="E2" s="24"/>
      <c r="F2" s="24"/>
      <c r="G2" s="24"/>
      <c r="H2" s="24"/>
      <c r="I2" s="24"/>
    </row>
    <row r="3" spans="1:10">
      <c r="A3" s="20" t="str">
        <f>IF(Obal!A3=0,"",Obal!A3)</f>
        <v/>
      </c>
      <c r="E3" s="25"/>
      <c r="F3" s="25"/>
      <c r="G3" s="25"/>
      <c r="H3" s="25"/>
      <c r="I3" s="25"/>
      <c r="J3" t="s">
        <v>119</v>
      </c>
    </row>
    <row r="4" spans="1:10">
      <c r="A4" s="20" t="str">
        <f>IF(Obal!A4=0,"",Obal!A4)</f>
        <v>KPIs</v>
      </c>
      <c r="E4" s="26"/>
      <c r="F4" s="26"/>
      <c r="G4" s="26"/>
      <c r="H4" s="26"/>
      <c r="I4" s="26"/>
    </row>
    <row r="5" spans="1:10">
      <c r="A5" s="20" t="str">
        <f>IF(Obal!A5=0,"",Obal!A5)</f>
        <v/>
      </c>
      <c r="E5" s="26"/>
      <c r="F5" s="26"/>
      <c r="G5" s="26"/>
      <c r="H5" s="26"/>
      <c r="I5" s="26"/>
    </row>
    <row r="6" spans="1:10">
      <c r="A6" s="20" t="str">
        <f>IF(Obal!A6=0,"",Obal!A6)</f>
        <v>Initiative (Code) - R1 #1</v>
      </c>
      <c r="E6" s="26">
        <f>IF(xxRound=1,calcSI1Code,obalSI1CodeR1)</f>
        <v>0</v>
      </c>
      <c r="F6" s="26">
        <f>IF(xxRound=1,calcSI1Code,obalSI1CodeR1)</f>
        <v>0</v>
      </c>
      <c r="G6" s="26">
        <f>IF(xxRound=1,calcSI1Code,obalSI1CodeR1)</f>
        <v>0</v>
      </c>
      <c r="H6" s="26">
        <f>IF(xxRound=1,calcSI1Code,obalSI1CodeR1)</f>
        <v>0</v>
      </c>
      <c r="I6" s="26">
        <f>IF(xxRound=1,calcSI1Code,obalSI1CodeR1)</f>
        <v>0</v>
      </c>
      <c r="J6" t="s">
        <v>220</v>
      </c>
    </row>
    <row r="7" spans="1:10">
      <c r="A7" s="20" t="str">
        <f>IF(Obal!A7=0,"",Obal!A7)</f>
        <v>Initiative (Code) - R1 #2</v>
      </c>
      <c r="E7" s="26">
        <f>IF(xxRound=1,calcSI2Code,obalSI2CodeR1)</f>
        <v>0</v>
      </c>
      <c r="F7" s="26">
        <f>IF(xxRound=1,calcSI2Code,obalSI2CodeR1)</f>
        <v>0</v>
      </c>
      <c r="G7" s="26">
        <f>IF(xxRound=1,calcSI2Code,obalSI2CodeR1)</f>
        <v>0</v>
      </c>
      <c r="H7" s="26">
        <f>IF(xxRound=1,calcSI2Code,obalSI2CodeR1)</f>
        <v>0</v>
      </c>
      <c r="I7" s="26">
        <f>IF(xxRound=1,calcSI2Code,obalSI2CodeR1)</f>
        <v>0</v>
      </c>
      <c r="J7" t="s">
        <v>221</v>
      </c>
    </row>
    <row r="8" spans="1:10">
      <c r="A8" s="20" t="str">
        <f>IF(Obal!A8=0,"",Obal!A8)</f>
        <v>Initiative (Code) - R1 #3</v>
      </c>
      <c r="E8" s="26">
        <f>IF(xxRound=1,calcSI3Code,obalSI3CodeR1)</f>
        <v>0</v>
      </c>
      <c r="F8" s="26">
        <f>IF(xxRound=1,calcSI3Code,obalSI3CodeR1)</f>
        <v>0</v>
      </c>
      <c r="G8" s="26">
        <f>IF(xxRound=1,calcSI3Code,obalSI3CodeR1)</f>
        <v>0</v>
      </c>
      <c r="H8" s="26">
        <f>IF(xxRound=1,calcSI3Code,obalSI3CodeR1)</f>
        <v>0</v>
      </c>
      <c r="I8" s="26">
        <f>IF(xxRound=1,calcSI3Code,obalSI3CodeR1)</f>
        <v>0</v>
      </c>
      <c r="J8" t="s">
        <v>222</v>
      </c>
    </row>
    <row r="9" spans="1:10">
      <c r="A9" s="20" t="str">
        <f>IF(Obal!A9=0,"",Obal!A9)</f>
        <v>Initiative (Code) - R1 #4</v>
      </c>
      <c r="E9" s="26">
        <f>IF(xxRound=1,calcSI4Code,obalSI4CodeR1)</f>
        <v>0</v>
      </c>
      <c r="F9" s="26">
        <f>IF(xxRound=1,calcSI4Code,obalSI4CodeR1)</f>
        <v>0</v>
      </c>
      <c r="G9" s="26">
        <f>IF(xxRound=1,calcSI4Code,obalSI4CodeR1)</f>
        <v>0</v>
      </c>
      <c r="H9" s="26">
        <f>IF(xxRound=1,calcSI4Code,obalSI4CodeR1)</f>
        <v>0</v>
      </c>
      <c r="I9" s="26">
        <f>IF(xxRound=1,calcSI4Code,obalSI4CodeR1)</f>
        <v>0</v>
      </c>
      <c r="J9" t="s">
        <v>223</v>
      </c>
    </row>
    <row r="10" spans="1:10">
      <c r="A10" s="20" t="str">
        <f>IF(Obal!A10=0,"",Obal!A10)</f>
        <v>Initiative (Code) - R1 #5</v>
      </c>
      <c r="E10" s="26">
        <f>IF(xxRound=1,calcSI5Code,obalSI5CodeR1)</f>
        <v>0</v>
      </c>
      <c r="F10" s="26">
        <f>IF(xxRound=1,calcSI5Code,obalSI5CodeR1)</f>
        <v>0</v>
      </c>
      <c r="G10" s="26">
        <f>IF(xxRound=1,calcSI5Code,obalSI5CodeR1)</f>
        <v>0</v>
      </c>
      <c r="H10" s="26">
        <f>IF(xxRound=1,calcSI5Code,obalSI5CodeR1)</f>
        <v>0</v>
      </c>
      <c r="I10" s="26">
        <f>IF(xxRound=1,calcSI5Code,obalSI5CodeR1)</f>
        <v>0</v>
      </c>
      <c r="J10" t="s">
        <v>224</v>
      </c>
    </row>
    <row r="11" spans="1:10">
      <c r="A11" s="20" t="str">
        <f>IF(Obal!A11=0,"",Obal!A11)</f>
        <v/>
      </c>
      <c r="E11" s="26"/>
      <c r="F11" s="26"/>
      <c r="G11" s="26"/>
      <c r="H11" s="26"/>
      <c r="I11" s="26"/>
    </row>
    <row r="12" spans="1:10">
      <c r="A12" s="20" t="str">
        <f>IF(Obal!A12=0,"",Obal!A12)</f>
        <v>Initiative (Code) - R2 #1</v>
      </c>
      <c r="E12" s="26">
        <f>IF(xxRound=2,calcSI1Code,obalSI1CodeR2)</f>
        <v>0</v>
      </c>
      <c r="F12" s="26">
        <f>IF(xxRound=2,calcSI1Code,obalSI1CodeR2)</f>
        <v>0</v>
      </c>
      <c r="G12" s="26">
        <f>IF(xxRound=2,calcSI1Code,obalSI1CodeR2)</f>
        <v>0</v>
      </c>
      <c r="H12" s="26">
        <f>IF(xxRound=2,calcSI1Code,obalSI1CodeR2)</f>
        <v>0</v>
      </c>
      <c r="I12" s="26">
        <f>IF(xxRound=2,calcSI1Code,obalSI1CodeR2)</f>
        <v>0</v>
      </c>
      <c r="J12" t="s">
        <v>225</v>
      </c>
    </row>
    <row r="13" spans="1:10">
      <c r="A13" s="20" t="str">
        <f>IF(Obal!A13=0,"",Obal!A13)</f>
        <v>Initiative (Code) - R2 #2</v>
      </c>
      <c r="E13" s="26">
        <f>IF(xxRound=2,calcSI2Code,obalSI2CodeR2)</f>
        <v>0</v>
      </c>
      <c r="F13" s="26">
        <f>IF(xxRound=2,calcSI2Code,obalSI2CodeR2)</f>
        <v>0</v>
      </c>
      <c r="G13" s="26">
        <f>IF(xxRound=2,calcSI2Code,obalSI2CodeR2)</f>
        <v>0</v>
      </c>
      <c r="H13" s="26">
        <f>IF(xxRound=2,calcSI2Code,obalSI2CodeR2)</f>
        <v>0</v>
      </c>
      <c r="I13" s="26">
        <f>IF(xxRound=2,calcSI2Code,obalSI2CodeR2)</f>
        <v>0</v>
      </c>
      <c r="J13" t="s">
        <v>226</v>
      </c>
    </row>
    <row r="14" spans="1:10">
      <c r="A14" s="20" t="str">
        <f>IF(Obal!A14=0,"",Obal!A14)</f>
        <v>Initiative (Code) - R2 #3</v>
      </c>
      <c r="E14" s="26">
        <f>IF(xxRound=2,calcSI3Code,obalSI3CodeR2)</f>
        <v>0</v>
      </c>
      <c r="F14" s="26">
        <f>IF(xxRound=2,calcSI3Code,obalSI3CodeR2)</f>
        <v>0</v>
      </c>
      <c r="G14" s="26">
        <f>IF(xxRound=2,calcSI3Code,obalSI3CodeR2)</f>
        <v>0</v>
      </c>
      <c r="H14" s="26">
        <f>IF(xxRound=2,calcSI3Code,obalSI3CodeR2)</f>
        <v>0</v>
      </c>
      <c r="I14" s="26">
        <f>IF(xxRound=2,calcSI3Code,obalSI3CodeR2)</f>
        <v>0</v>
      </c>
      <c r="J14" t="s">
        <v>227</v>
      </c>
    </row>
    <row r="15" spans="1:10">
      <c r="A15" s="20" t="str">
        <f>IF(Obal!A15=0,"",Obal!A15)</f>
        <v>Initiative (Code) - R2 #4</v>
      </c>
      <c r="E15" s="26">
        <f>IF(xxRound=2,calcSI4Code,obalSI4CodeR2)</f>
        <v>0</v>
      </c>
      <c r="F15" s="26">
        <f>IF(xxRound=2,calcSI4Code,obalSI4CodeR2)</f>
        <v>0</v>
      </c>
      <c r="G15" s="26">
        <f>IF(xxRound=2,calcSI4Code,obalSI4CodeR2)</f>
        <v>0</v>
      </c>
      <c r="H15" s="26">
        <f>IF(xxRound=2,calcSI4Code,obalSI4CodeR2)</f>
        <v>0</v>
      </c>
      <c r="I15" s="26">
        <f>IF(xxRound=2,calcSI4Code,obalSI4CodeR2)</f>
        <v>0</v>
      </c>
      <c r="J15" t="s">
        <v>228</v>
      </c>
    </row>
    <row r="16" spans="1:10">
      <c r="A16" s="20" t="str">
        <f>IF(Obal!A16=0,"",Obal!A16)</f>
        <v>Initiative (Code) - R2 #5</v>
      </c>
      <c r="E16" s="26">
        <f>IF(xxRound=2,calcSI5Code,obalSI5CodeR2)</f>
        <v>0</v>
      </c>
      <c r="F16" s="26">
        <f>IF(xxRound=2,calcSI5Code,obalSI5CodeR2)</f>
        <v>0</v>
      </c>
      <c r="G16" s="26">
        <f>IF(xxRound=2,calcSI5Code,obalSI5CodeR2)</f>
        <v>0</v>
      </c>
      <c r="H16" s="26">
        <f>IF(xxRound=2,calcSI5Code,obalSI5CodeR2)</f>
        <v>0</v>
      </c>
      <c r="I16" s="26">
        <f>IF(xxRound=2,calcSI5Code,obalSI5CodeR2)</f>
        <v>0</v>
      </c>
      <c r="J16" t="s">
        <v>229</v>
      </c>
    </row>
    <row r="17" spans="1:10">
      <c r="A17" s="20" t="str">
        <f>IF(Obal!A17=0,"",Obal!A17)</f>
        <v/>
      </c>
      <c r="E17" s="26"/>
      <c r="F17" s="26"/>
      <c r="G17" s="26"/>
      <c r="H17" s="26"/>
      <c r="I17" s="26"/>
    </row>
    <row r="18" spans="1:10">
      <c r="A18" s="20" t="str">
        <f>IF(Obal!A18=0,"",Obal!A18)</f>
        <v>Initiative (Code) - R3 #1</v>
      </c>
      <c r="E18" s="26">
        <f>IF(xxRound=3,calcSI1Code,obalSI1CodeR3)</f>
        <v>0</v>
      </c>
      <c r="F18" s="26">
        <f>IF(xxRound=3,calcSI1Code,obalSI1CodeR3)</f>
        <v>0</v>
      </c>
      <c r="G18" s="26">
        <f>IF(xxRound=3,calcSI1Code,obalSI1CodeR3)</f>
        <v>0</v>
      </c>
      <c r="H18" s="26">
        <f>IF(xxRound=3,calcSI1Code,obalSI1CodeR3)</f>
        <v>0</v>
      </c>
      <c r="I18" s="26">
        <f>IF(xxRound=3,calcSI1Code,obalSI1CodeR3)</f>
        <v>0</v>
      </c>
      <c r="J18" t="s">
        <v>230</v>
      </c>
    </row>
    <row r="19" spans="1:10">
      <c r="A19" s="20" t="str">
        <f>IF(Obal!A19=0,"",Obal!A19)</f>
        <v>Initiative (Code) - R3 #2</v>
      </c>
      <c r="E19" s="26">
        <f>IF(xxRound=3,calcSI2Code,obalSI2CodeR3)</f>
        <v>0</v>
      </c>
      <c r="F19" s="26">
        <f>IF(xxRound=3,calcSI2Code,obalSI2CodeR3)</f>
        <v>0</v>
      </c>
      <c r="G19" s="26">
        <f>IF(xxRound=3,calcSI2Code,obalSI2CodeR3)</f>
        <v>0</v>
      </c>
      <c r="H19" s="26">
        <f>IF(xxRound=3,calcSI2Code,obalSI2CodeR3)</f>
        <v>0</v>
      </c>
      <c r="I19" s="26">
        <f>IF(xxRound=3,calcSI2Code,obalSI2CodeR3)</f>
        <v>0</v>
      </c>
      <c r="J19" t="s">
        <v>231</v>
      </c>
    </row>
    <row r="20" spans="1:10">
      <c r="A20" s="20" t="str">
        <f>IF(Obal!A20=0,"",Obal!A20)</f>
        <v>Initiative (Code) - R3 #3</v>
      </c>
      <c r="E20" s="26">
        <f>IF(xxRound=3,calcSI3Code,obalSI3CodeR3)</f>
        <v>0</v>
      </c>
      <c r="F20" s="26">
        <f>IF(xxRound=3,calcSI3Code,obalSI3CodeR3)</f>
        <v>0</v>
      </c>
      <c r="G20" s="26">
        <f>IF(xxRound=3,calcSI3Code,obalSI3CodeR3)</f>
        <v>0</v>
      </c>
      <c r="H20" s="26">
        <f>IF(xxRound=3,calcSI3Code,obalSI3CodeR3)</f>
        <v>0</v>
      </c>
      <c r="I20" s="26">
        <f>IF(xxRound=3,calcSI3Code,obalSI3CodeR3)</f>
        <v>0</v>
      </c>
      <c r="J20" t="s">
        <v>232</v>
      </c>
    </row>
    <row r="21" spans="1:10">
      <c r="A21" s="20" t="str">
        <f>IF(Obal!A21=0,"",Obal!A21)</f>
        <v>Initiative (Code) - R3 #4</v>
      </c>
      <c r="E21" s="26">
        <f>IF(xxRound=3,calcSI4Code,obalSI4CodeR3)</f>
        <v>0</v>
      </c>
      <c r="F21" s="26">
        <f>IF(xxRound=3,calcSI4Code,obalSI4CodeR3)</f>
        <v>0</v>
      </c>
      <c r="G21" s="26">
        <f>IF(xxRound=3,calcSI4Code,obalSI4CodeR3)</f>
        <v>0</v>
      </c>
      <c r="H21" s="26">
        <f>IF(xxRound=3,calcSI4Code,obalSI4CodeR3)</f>
        <v>0</v>
      </c>
      <c r="I21" s="26">
        <f>IF(xxRound=3,calcSI4Code,obalSI4CodeR3)</f>
        <v>0</v>
      </c>
      <c r="J21" t="s">
        <v>233</v>
      </c>
    </row>
    <row r="22" spans="1:10">
      <c r="A22" s="20" t="str">
        <f>IF(Obal!A22=0,"",Obal!A22)</f>
        <v>Initiative (Code) - R3 #5</v>
      </c>
      <c r="E22" s="26">
        <f>IF(xxRound=3,calcSI5Code,obalSI5CodeR3)</f>
        <v>0</v>
      </c>
      <c r="F22" s="26">
        <f>IF(xxRound=3,calcSI5Code,obalSI5CodeR3)</f>
        <v>0</v>
      </c>
      <c r="G22" s="26">
        <f>IF(xxRound=3,calcSI5Code,obalSI5CodeR3)</f>
        <v>0</v>
      </c>
      <c r="H22" s="26">
        <f>IF(xxRound=3,calcSI5Code,obalSI5CodeR3)</f>
        <v>0</v>
      </c>
      <c r="I22" s="26">
        <f>IF(xxRound=3,calcSI5Code,obalSI5CodeR3)</f>
        <v>0</v>
      </c>
      <c r="J22" t="s">
        <v>234</v>
      </c>
    </row>
    <row r="23" spans="1:10">
      <c r="A23" s="20" t="str">
        <f>IF(Obal!A23=0,"",Obal!A23)</f>
        <v/>
      </c>
      <c r="E23" s="26"/>
      <c r="F23" s="26"/>
      <c r="G23" s="26"/>
      <c r="H23" s="26"/>
      <c r="I23" s="26"/>
    </row>
    <row r="24" spans="1:10">
      <c r="A24" s="20" t="str">
        <f>IF(Obal!A24=0,"",Obal!A24)</f>
        <v/>
      </c>
      <c r="E24" s="26"/>
      <c r="F24" s="26"/>
      <c r="G24" s="26"/>
      <c r="H24" s="26"/>
      <c r="I24" s="26"/>
    </row>
    <row r="25" spans="1:10">
      <c r="A25" s="20" t="str">
        <f>IF(Obal!A25=0,"",Obal!A25)</f>
        <v/>
      </c>
      <c r="E25" s="26"/>
      <c r="F25" s="26"/>
      <c r="G25" s="26"/>
      <c r="H25" s="26"/>
      <c r="I25" s="26"/>
    </row>
    <row r="26" spans="1:10" s="18" customFormat="1">
      <c r="A26" s="18" t="s">
        <v>116</v>
      </c>
      <c r="E26" s="22"/>
      <c r="F26" s="22"/>
      <c r="G26" s="22"/>
      <c r="H26" s="22"/>
      <c r="I26" s="22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L27"/>
  <sheetViews>
    <sheetView workbookViewId="0">
      <selection activeCell="I5" sqref="I5"/>
    </sheetView>
  </sheetViews>
  <sheetFormatPr defaultRowHeight="14.25"/>
  <cols>
    <col min="1" max="2" width="4.69921875" customWidth="1"/>
    <col min="3" max="3" width="18.19921875" customWidth="1"/>
    <col min="5" max="9" width="8.796875" style="26"/>
    <col min="12" max="12" width="11.09765625" bestFit="1" customWidth="1"/>
  </cols>
  <sheetData>
    <row r="1" spans="1:12" s="18" customFormat="1">
      <c r="A1" s="18" t="s">
        <v>112</v>
      </c>
      <c r="E1" s="22" t="s">
        <v>8</v>
      </c>
      <c r="F1" s="22" t="s">
        <v>9</v>
      </c>
      <c r="G1" s="22" t="s">
        <v>10</v>
      </c>
      <c r="H1" s="22" t="s">
        <v>11</v>
      </c>
      <c r="I1" s="22" t="s">
        <v>12</v>
      </c>
    </row>
    <row r="2" spans="1:12" s="23" customFormat="1">
      <c r="E2" s="24"/>
      <c r="F2" s="24"/>
      <c r="G2" s="24"/>
      <c r="H2" s="24"/>
      <c r="I2" s="24"/>
      <c r="L2" s="23" t="s">
        <v>113</v>
      </c>
    </row>
    <row r="3" spans="1:12">
      <c r="E3" s="25"/>
      <c r="F3" s="25"/>
      <c r="G3" s="25"/>
      <c r="H3" s="25"/>
      <c r="I3" s="25"/>
      <c r="J3" t="s">
        <v>114</v>
      </c>
      <c r="L3" s="25"/>
    </row>
    <row r="4" spans="1:12">
      <c r="A4" s="29" t="s">
        <v>115</v>
      </c>
      <c r="B4" s="29"/>
      <c r="C4" s="29"/>
      <c r="D4" s="29"/>
      <c r="E4" s="39"/>
      <c r="F4" s="39"/>
      <c r="G4" s="39"/>
      <c r="H4" s="39"/>
      <c r="I4" s="39"/>
      <c r="L4" s="25"/>
    </row>
    <row r="5" spans="1:12">
      <c r="L5" s="25"/>
    </row>
    <row r="6" spans="1:12">
      <c r="A6" t="s">
        <v>184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t="s">
        <v>205</v>
      </c>
      <c r="L6" s="17">
        <v>0</v>
      </c>
    </row>
    <row r="7" spans="1:12">
      <c r="A7" t="s">
        <v>185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t="s">
        <v>206</v>
      </c>
      <c r="L7" s="17">
        <v>0</v>
      </c>
    </row>
    <row r="8" spans="1:12">
      <c r="A8" t="s">
        <v>192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t="s">
        <v>207</v>
      </c>
      <c r="L8" s="17">
        <v>0</v>
      </c>
    </row>
    <row r="9" spans="1:12">
      <c r="A9" t="s">
        <v>193</v>
      </c>
      <c r="E9" s="26">
        <v>0</v>
      </c>
      <c r="F9" s="26">
        <v>0</v>
      </c>
      <c r="G9" s="26">
        <v>0</v>
      </c>
      <c r="H9" s="26">
        <v>0</v>
      </c>
      <c r="I9" s="26">
        <v>0</v>
      </c>
      <c r="J9" t="s">
        <v>208</v>
      </c>
      <c r="L9" s="17">
        <v>0</v>
      </c>
    </row>
    <row r="10" spans="1:12">
      <c r="A10" t="s">
        <v>194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t="s">
        <v>209</v>
      </c>
      <c r="L10" s="17">
        <v>0</v>
      </c>
    </row>
    <row r="11" spans="1:12">
      <c r="L11" s="25"/>
    </row>
    <row r="12" spans="1:12">
      <c r="A12" t="s">
        <v>195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t="s">
        <v>210</v>
      </c>
      <c r="L12" s="17">
        <v>0</v>
      </c>
    </row>
    <row r="13" spans="1:12">
      <c r="A13" t="s">
        <v>196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t="s">
        <v>211</v>
      </c>
      <c r="L13" s="17">
        <v>0</v>
      </c>
    </row>
    <row r="14" spans="1:12">
      <c r="A14" t="s">
        <v>197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t="s">
        <v>212</v>
      </c>
      <c r="L14" s="17">
        <v>0</v>
      </c>
    </row>
    <row r="15" spans="1:12">
      <c r="A15" t="s">
        <v>198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t="s">
        <v>213</v>
      </c>
      <c r="L15" s="17">
        <v>0</v>
      </c>
    </row>
    <row r="16" spans="1:12">
      <c r="A16" t="s">
        <v>199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t="s">
        <v>214</v>
      </c>
      <c r="L16" s="17">
        <v>0</v>
      </c>
    </row>
    <row r="17" spans="1:12">
      <c r="L17" s="25"/>
    </row>
    <row r="18" spans="1:12">
      <c r="A18" t="s">
        <v>200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t="s">
        <v>215</v>
      </c>
      <c r="L18" s="17">
        <v>0</v>
      </c>
    </row>
    <row r="19" spans="1:12">
      <c r="A19" t="s">
        <v>201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t="s">
        <v>216</v>
      </c>
      <c r="L19" s="17">
        <v>0</v>
      </c>
    </row>
    <row r="20" spans="1:12">
      <c r="A20" t="s">
        <v>202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t="s">
        <v>217</v>
      </c>
      <c r="L20" s="17">
        <v>0</v>
      </c>
    </row>
    <row r="21" spans="1:12">
      <c r="A21" t="s">
        <v>203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t="s">
        <v>218</v>
      </c>
      <c r="L21" s="17">
        <v>0</v>
      </c>
    </row>
    <row r="22" spans="1:12">
      <c r="A22" t="s">
        <v>204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t="s">
        <v>219</v>
      </c>
      <c r="L22" s="17">
        <v>0</v>
      </c>
    </row>
    <row r="23" spans="1:12">
      <c r="L23" s="25"/>
    </row>
    <row r="24" spans="1:12">
      <c r="L24" s="25"/>
    </row>
    <row r="25" spans="1:12">
      <c r="L25" s="25"/>
    </row>
    <row r="26" spans="1:12" s="18" customFormat="1">
      <c r="A26" s="18" t="s">
        <v>116</v>
      </c>
      <c r="E26" s="24"/>
      <c r="F26" s="22"/>
      <c r="G26" s="22"/>
      <c r="H26" s="22"/>
      <c r="I26" s="22"/>
    </row>
    <row r="27" spans="1:12">
      <c r="E27" s="26" t="s">
        <v>117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1"/>
  </sheetPr>
  <dimension ref="A1:P15"/>
  <sheetViews>
    <sheetView workbookViewId="0">
      <pane ySplit="3" topLeftCell="A4" activePane="bottomLeft" state="frozen"/>
      <selection activeCell="E4" sqref="E4"/>
      <selection pane="bottomLeft" activeCell="C20" sqref="C20"/>
    </sheetView>
  </sheetViews>
  <sheetFormatPr defaultColWidth="8.796875" defaultRowHeight="14.25"/>
  <cols>
    <col min="1" max="1" width="12.69921875" style="10" customWidth="1"/>
    <col min="2" max="2" width="20.69921875" style="11" customWidth="1"/>
    <col min="3" max="9" width="8.796875" style="10"/>
    <col min="10" max="10" width="14.69921875" style="10" customWidth="1"/>
    <col min="11" max="11" width="12" style="10" bestFit="1" customWidth="1"/>
    <col min="12" max="16384" width="8.796875" style="10"/>
  </cols>
  <sheetData>
    <row r="1" spans="1:16" s="15" customFormat="1">
      <c r="A1" s="15" t="s">
        <v>318</v>
      </c>
      <c r="B1" s="14"/>
      <c r="E1" s="15" t="s">
        <v>8</v>
      </c>
      <c r="F1" s="15" t="s">
        <v>9</v>
      </c>
      <c r="G1" s="15" t="s">
        <v>10</v>
      </c>
      <c r="H1" s="15" t="s">
        <v>11</v>
      </c>
      <c r="I1" s="15" t="s">
        <v>12</v>
      </c>
      <c r="L1" s="15" t="s">
        <v>8</v>
      </c>
      <c r="M1" s="15" t="s">
        <v>9</v>
      </c>
      <c r="N1" s="15" t="s">
        <v>10</v>
      </c>
      <c r="O1" s="15" t="s">
        <v>11</v>
      </c>
      <c r="P1" s="15" t="s">
        <v>12</v>
      </c>
    </row>
    <row r="2" spans="1:16" s="16" customFormat="1">
      <c r="A2" s="16" t="s">
        <v>319</v>
      </c>
      <c r="B2" s="38" t="s">
        <v>146</v>
      </c>
      <c r="C2" s="16" t="s">
        <v>320</v>
      </c>
      <c r="D2" s="16" t="s">
        <v>321</v>
      </c>
      <c r="J2" s="16" t="s">
        <v>322</v>
      </c>
      <c r="K2" s="16" t="s">
        <v>323</v>
      </c>
    </row>
    <row r="3" spans="1:16" s="16" customFormat="1">
      <c r="A3" s="38" t="s">
        <v>324</v>
      </c>
      <c r="B3" s="38"/>
    </row>
    <row r="4" spans="1:16">
      <c r="A4" s="11" t="s">
        <v>325</v>
      </c>
      <c r="E4" s="10">
        <f t="shared" ref="E4:I15" si="0">IF($C4="R",$D4*(1+L4),$D4+L4)</f>
        <v>0</v>
      </c>
      <c r="F4" s="10">
        <f t="shared" si="0"/>
        <v>0</v>
      </c>
      <c r="G4" s="10">
        <f t="shared" si="0"/>
        <v>0</v>
      </c>
      <c r="H4" s="10">
        <f t="shared" si="0"/>
        <v>0</v>
      </c>
      <c r="I4" s="10">
        <f t="shared" si="0"/>
        <v>0</v>
      </c>
      <c r="K4" s="10">
        <f>COUNTIF(adj!$C:$C,$A4)</f>
        <v>0</v>
      </c>
      <c r="L4" s="10">
        <f>SUMIF(adj!$C:$C,$A4,adj!E:E)</f>
        <v>0</v>
      </c>
      <c r="M4" s="10">
        <f>SUMIF(adj!$C:$C,$A4,adj!F:F)</f>
        <v>0</v>
      </c>
      <c r="N4" s="10">
        <f>SUMIF(adj!$C:$C,$A4,adj!G:G)</f>
        <v>0</v>
      </c>
      <c r="O4" s="10">
        <f>SUMIF(adj!$C:$C,$A4,adj!H:H)</f>
        <v>0</v>
      </c>
      <c r="P4" s="10">
        <f>SUMIF(adj!$C:$C,$A4,adj!I:I)</f>
        <v>0</v>
      </c>
    </row>
    <row r="5" spans="1:16">
      <c r="A5" s="79">
        <v>1001</v>
      </c>
      <c r="B5" s="37" t="s">
        <v>178</v>
      </c>
      <c r="C5" s="13" t="s">
        <v>326</v>
      </c>
      <c r="D5" s="74">
        <v>0</v>
      </c>
      <c r="E5" s="10" t="e">
        <f>IF($C5="R",$D5*(1+L5),$D5+L5)</f>
        <v>#NAME?</v>
      </c>
      <c r="F5" s="10" t="e">
        <f t="shared" si="0"/>
        <v>#NAME?</v>
      </c>
      <c r="G5" s="10" t="e">
        <f t="shared" si="0"/>
        <v>#NAME?</v>
      </c>
      <c r="H5" s="10" t="e">
        <f t="shared" si="0"/>
        <v>#NAME?</v>
      </c>
      <c r="I5" s="10" t="e">
        <f t="shared" si="0"/>
        <v>#NAME?</v>
      </c>
      <c r="K5" s="10">
        <f>COUNTIF(adj!$C:$C,$A5)</f>
        <v>1</v>
      </c>
      <c r="L5" s="10" t="e">
        <f>SUMIF(adj!$C:$C,$A5,adj!E:E)</f>
        <v>#NAME?</v>
      </c>
      <c r="M5" s="10" t="e">
        <f>SUMIF(adj!$C:$C,$A5,adj!F:F)</f>
        <v>#NAME?</v>
      </c>
      <c r="N5" s="10" t="e">
        <f>SUMIF(adj!$C:$C,$A5,adj!G:G)</f>
        <v>#NAME?</v>
      </c>
      <c r="O5" s="10" t="e">
        <f>SUMIF(adj!$C:$C,$A5,adj!H:H)</f>
        <v>#NAME?</v>
      </c>
      <c r="P5" s="10" t="e">
        <f>SUMIF(adj!$C:$C,$A5,adj!I:I)</f>
        <v>#NAME?</v>
      </c>
    </row>
    <row r="6" spans="1:16">
      <c r="A6" s="79">
        <v>1002</v>
      </c>
      <c r="B6" s="37" t="s">
        <v>180</v>
      </c>
      <c r="C6" s="13" t="s">
        <v>326</v>
      </c>
      <c r="D6" s="74"/>
      <c r="E6" s="10" t="e">
        <f t="shared" ref="E6:E15" si="1">IF($C6="R",$D6*(1+L6),$D6+L6)</f>
        <v>#NAME?</v>
      </c>
      <c r="F6" s="10" t="e">
        <f t="shared" si="0"/>
        <v>#NAME?</v>
      </c>
      <c r="G6" s="10" t="e">
        <f t="shared" si="0"/>
        <v>#NAME?</v>
      </c>
      <c r="H6" s="10" t="e">
        <f t="shared" si="0"/>
        <v>#NAME?</v>
      </c>
      <c r="I6" s="10" t="e">
        <f t="shared" si="0"/>
        <v>#NAME?</v>
      </c>
      <c r="K6" s="10">
        <f>COUNTIF(adj!$C:$C,$A6)</f>
        <v>32</v>
      </c>
      <c r="L6" s="10" t="e">
        <f>SUMIF(adj!$C:$C,$A6,adj!E:E)</f>
        <v>#NAME?</v>
      </c>
      <c r="M6" s="10" t="e">
        <f>SUMIF(adj!$C:$C,$A6,adj!F:F)</f>
        <v>#NAME?</v>
      </c>
      <c r="N6" s="10" t="e">
        <f>SUMIF(adj!$C:$C,$A6,adj!G:G)</f>
        <v>#NAME?</v>
      </c>
      <c r="O6" s="10" t="e">
        <f>SUMIF(adj!$C:$C,$A6,adj!H:H)</f>
        <v>#NAME?</v>
      </c>
      <c r="P6" s="10" t="e">
        <f>SUMIF(adj!$C:$C,$A6,adj!I:I)</f>
        <v>#NAME?</v>
      </c>
    </row>
    <row r="7" spans="1:16">
      <c r="A7" s="11" t="s">
        <v>327</v>
      </c>
      <c r="E7" s="10">
        <f t="shared" si="1"/>
        <v>0</v>
      </c>
      <c r="F7" s="10">
        <f t="shared" si="0"/>
        <v>0</v>
      </c>
      <c r="G7" s="10">
        <f t="shared" si="0"/>
        <v>0</v>
      </c>
      <c r="H7" s="10">
        <f t="shared" si="0"/>
        <v>0</v>
      </c>
      <c r="I7" s="10">
        <f t="shared" si="0"/>
        <v>0</v>
      </c>
      <c r="K7" s="10">
        <f>COUNTIF(adj!$C:$C,$A7)</f>
        <v>0</v>
      </c>
      <c r="L7" s="10">
        <f>SUMIF(adj!$C:$C,$A7,adj!E:E)</f>
        <v>0</v>
      </c>
      <c r="M7" s="10">
        <f>SUMIF(adj!$C:$C,$A7,adj!F:F)</f>
        <v>0</v>
      </c>
      <c r="N7" s="10">
        <f>SUMIF(adj!$C:$C,$A7,adj!G:G)</f>
        <v>0</v>
      </c>
      <c r="O7" s="10">
        <f>SUMIF(adj!$C:$C,$A7,adj!H:H)</f>
        <v>0</v>
      </c>
      <c r="P7" s="10">
        <f>SUMIF(adj!$C:$C,$A7,adj!I:I)</f>
        <v>0</v>
      </c>
    </row>
    <row r="8" spans="1:16">
      <c r="A8" s="79">
        <v>2001</v>
      </c>
      <c r="B8" s="37" t="s">
        <v>328</v>
      </c>
      <c r="C8" s="13" t="s">
        <v>326</v>
      </c>
      <c r="D8" s="74">
        <v>0</v>
      </c>
      <c r="E8" s="10">
        <f t="shared" si="1"/>
        <v>0</v>
      </c>
      <c r="F8" s="10">
        <f t="shared" si="0"/>
        <v>0</v>
      </c>
      <c r="G8" s="10">
        <f t="shared" si="0"/>
        <v>0</v>
      </c>
      <c r="H8" s="10">
        <f t="shared" si="0"/>
        <v>0</v>
      </c>
      <c r="I8" s="10">
        <f t="shared" si="0"/>
        <v>0</v>
      </c>
      <c r="K8" s="10">
        <f>COUNTIF(adj!$C:$C,$A8)</f>
        <v>0</v>
      </c>
      <c r="L8" s="10">
        <f>SUMIF(adj!$C:$C,$A8,adj!E:E)</f>
        <v>0</v>
      </c>
      <c r="M8" s="10">
        <f>SUMIF(adj!$C:$C,$A8,adj!F:F)</f>
        <v>0</v>
      </c>
      <c r="N8" s="10">
        <f>SUMIF(adj!$C:$C,$A8,adj!G:G)</f>
        <v>0</v>
      </c>
      <c r="O8" s="10">
        <f>SUMIF(adj!$C:$C,$A8,adj!H:H)</f>
        <v>0</v>
      </c>
      <c r="P8" s="10">
        <f>SUMIF(adj!$C:$C,$A8,adj!I:I)</f>
        <v>0</v>
      </c>
    </row>
    <row r="9" spans="1:16">
      <c r="A9" s="79">
        <v>2002</v>
      </c>
      <c r="B9" s="37" t="s">
        <v>329</v>
      </c>
      <c r="C9" s="13" t="s">
        <v>330</v>
      </c>
      <c r="D9" s="74">
        <v>0</v>
      </c>
      <c r="E9" s="10">
        <f t="shared" si="1"/>
        <v>0</v>
      </c>
      <c r="F9" s="10">
        <f t="shared" si="0"/>
        <v>0</v>
      </c>
      <c r="G9" s="10">
        <f t="shared" si="0"/>
        <v>0</v>
      </c>
      <c r="H9" s="10">
        <f t="shared" si="0"/>
        <v>0</v>
      </c>
      <c r="I9" s="10">
        <f t="shared" si="0"/>
        <v>0</v>
      </c>
      <c r="K9" s="10">
        <f>COUNTIF(adj!$C:$C,$A9)</f>
        <v>0</v>
      </c>
      <c r="L9" s="10">
        <f>SUMIF(adj!$C:$C,$A9,adj!E:E)</f>
        <v>0</v>
      </c>
      <c r="M9" s="10">
        <f>SUMIF(adj!$C:$C,$A9,adj!F:F)</f>
        <v>0</v>
      </c>
      <c r="N9" s="10">
        <f>SUMIF(adj!$C:$C,$A9,adj!G:G)</f>
        <v>0</v>
      </c>
      <c r="O9" s="10">
        <f>SUMIF(adj!$C:$C,$A9,adj!H:H)</f>
        <v>0</v>
      </c>
      <c r="P9" s="10">
        <f>SUMIF(adj!$C:$C,$A9,adj!I:I)</f>
        <v>0</v>
      </c>
    </row>
    <row r="10" spans="1:16">
      <c r="E10" s="10">
        <f t="shared" si="1"/>
        <v>0</v>
      </c>
      <c r="F10" s="10">
        <f t="shared" si="0"/>
        <v>0</v>
      </c>
      <c r="G10" s="10">
        <f t="shared" si="0"/>
        <v>0</v>
      </c>
      <c r="H10" s="10">
        <f t="shared" si="0"/>
        <v>0</v>
      </c>
      <c r="I10" s="10">
        <f t="shared" si="0"/>
        <v>0</v>
      </c>
      <c r="K10" s="10">
        <f>COUNTIF(adj!$C:$C,$A10)</f>
        <v>0</v>
      </c>
      <c r="L10" s="10">
        <f>SUMIF(adj!$C:$C,$A10,adj!E:E)</f>
        <v>0</v>
      </c>
      <c r="M10" s="10">
        <f>SUMIF(adj!$C:$C,$A10,adj!F:F)</f>
        <v>0</v>
      </c>
      <c r="N10" s="10">
        <f>SUMIF(adj!$C:$C,$A10,adj!G:G)</f>
        <v>0</v>
      </c>
      <c r="O10" s="10">
        <f>SUMIF(adj!$C:$C,$A10,adj!H:H)</f>
        <v>0</v>
      </c>
      <c r="P10" s="10">
        <f>SUMIF(adj!$C:$C,$A10,adj!I:I)</f>
        <v>0</v>
      </c>
    </row>
    <row r="11" spans="1:16">
      <c r="E11" s="10">
        <f t="shared" si="1"/>
        <v>0</v>
      </c>
      <c r="F11" s="10">
        <f t="shared" si="0"/>
        <v>0</v>
      </c>
      <c r="G11" s="10">
        <f t="shared" si="0"/>
        <v>0</v>
      </c>
      <c r="H11" s="10">
        <f t="shared" si="0"/>
        <v>0</v>
      </c>
      <c r="I11" s="10">
        <f t="shared" si="0"/>
        <v>0</v>
      </c>
      <c r="K11" s="10">
        <f>COUNTIF(adj!$C:$C,$A11)</f>
        <v>0</v>
      </c>
      <c r="L11" s="10">
        <f>SUMIF(adj!$C:$C,$A11,adj!E:E)</f>
        <v>0</v>
      </c>
      <c r="M11" s="10">
        <f>SUMIF(adj!$C:$C,$A11,adj!F:F)</f>
        <v>0</v>
      </c>
      <c r="N11" s="10">
        <f>SUMIF(adj!$C:$C,$A11,adj!G:G)</f>
        <v>0</v>
      </c>
      <c r="O11" s="10">
        <f>SUMIF(adj!$C:$C,$A11,adj!H:H)</f>
        <v>0</v>
      </c>
      <c r="P11" s="10">
        <f>SUMIF(adj!$C:$C,$A11,adj!I:I)</f>
        <v>0</v>
      </c>
    </row>
    <row r="12" spans="1:16">
      <c r="E12" s="10">
        <f t="shared" si="1"/>
        <v>0</v>
      </c>
      <c r="F12" s="10">
        <f t="shared" si="0"/>
        <v>0</v>
      </c>
      <c r="G12" s="10">
        <f t="shared" si="0"/>
        <v>0</v>
      </c>
      <c r="H12" s="10">
        <f t="shared" si="0"/>
        <v>0</v>
      </c>
      <c r="I12" s="10">
        <f t="shared" si="0"/>
        <v>0</v>
      </c>
      <c r="K12" s="10">
        <f>COUNTIF(adj!$C:$C,$A12)</f>
        <v>0</v>
      </c>
      <c r="L12" s="10">
        <f>SUMIF(adj!$C:$C,$A12,adj!E:E)</f>
        <v>0</v>
      </c>
      <c r="M12" s="10">
        <f>SUMIF(adj!$C:$C,$A12,adj!F:F)</f>
        <v>0</v>
      </c>
      <c r="N12" s="10">
        <f>SUMIF(adj!$C:$C,$A12,adj!G:G)</f>
        <v>0</v>
      </c>
      <c r="O12" s="10">
        <f>SUMIF(adj!$C:$C,$A12,adj!H:H)</f>
        <v>0</v>
      </c>
      <c r="P12" s="10">
        <f>SUMIF(adj!$C:$C,$A12,adj!I:I)</f>
        <v>0</v>
      </c>
    </row>
    <row r="13" spans="1:16">
      <c r="E13" s="10">
        <f t="shared" si="1"/>
        <v>0</v>
      </c>
      <c r="F13" s="10">
        <f t="shared" si="0"/>
        <v>0</v>
      </c>
      <c r="G13" s="10">
        <f t="shared" si="0"/>
        <v>0</v>
      </c>
      <c r="H13" s="10">
        <f t="shared" si="0"/>
        <v>0</v>
      </c>
      <c r="I13" s="10">
        <f t="shared" si="0"/>
        <v>0</v>
      </c>
      <c r="K13" s="10">
        <f>COUNTIF(adj!$C:$C,$A13)</f>
        <v>0</v>
      </c>
      <c r="L13" s="10">
        <f>SUMIF(adj!$C:$C,$A13,adj!E:E)</f>
        <v>0</v>
      </c>
      <c r="M13" s="10">
        <f>SUMIF(adj!$C:$C,$A13,adj!F:F)</f>
        <v>0</v>
      </c>
      <c r="N13" s="10">
        <f>SUMIF(adj!$C:$C,$A13,adj!G:G)</f>
        <v>0</v>
      </c>
      <c r="O13" s="10">
        <f>SUMIF(adj!$C:$C,$A13,adj!H:H)</f>
        <v>0</v>
      </c>
      <c r="P13" s="10">
        <f>SUMIF(adj!$C:$C,$A13,adj!I:I)</f>
        <v>0</v>
      </c>
    </row>
    <row r="14" spans="1:16">
      <c r="E14" s="10">
        <f t="shared" si="1"/>
        <v>0</v>
      </c>
      <c r="F14" s="10">
        <f t="shared" si="0"/>
        <v>0</v>
      </c>
      <c r="G14" s="10">
        <f t="shared" si="0"/>
        <v>0</v>
      </c>
      <c r="H14" s="10">
        <f t="shared" si="0"/>
        <v>0</v>
      </c>
      <c r="I14" s="10">
        <f t="shared" si="0"/>
        <v>0</v>
      </c>
      <c r="K14" s="10">
        <f>COUNTIF(adj!$C:$C,$A14)</f>
        <v>0</v>
      </c>
      <c r="L14" s="10">
        <f>SUMIF(adj!$C:$C,$A14,adj!E:E)</f>
        <v>0</v>
      </c>
      <c r="M14" s="10">
        <f>SUMIF(adj!$C:$C,$A14,adj!F:F)</f>
        <v>0</v>
      </c>
      <c r="N14" s="10">
        <f>SUMIF(adj!$C:$C,$A14,adj!G:G)</f>
        <v>0</v>
      </c>
      <c r="O14" s="10">
        <f>SUMIF(adj!$C:$C,$A14,adj!H:H)</f>
        <v>0</v>
      </c>
      <c r="P14" s="10">
        <f>SUMIF(adj!$C:$C,$A14,adj!I:I)</f>
        <v>0</v>
      </c>
    </row>
    <row r="15" spans="1:16" s="81" customFormat="1">
      <c r="A15" s="15" t="s">
        <v>331</v>
      </c>
      <c r="B15" s="80"/>
      <c r="E15" s="81">
        <f t="shared" si="1"/>
        <v>0</v>
      </c>
      <c r="F15" s="81">
        <f t="shared" si="0"/>
        <v>0</v>
      </c>
      <c r="G15" s="81">
        <f t="shared" si="0"/>
        <v>0</v>
      </c>
      <c r="H15" s="81">
        <f t="shared" si="0"/>
        <v>0</v>
      </c>
      <c r="I15" s="81">
        <f t="shared" si="0"/>
        <v>0</v>
      </c>
      <c r="K15" s="81">
        <f>COUNTIF(adj!$C:$C,$A15)</f>
        <v>0</v>
      </c>
      <c r="L15" s="81">
        <f>SUMIF(adj!$C:$C,$A15,adj!E:E)</f>
        <v>0</v>
      </c>
      <c r="M15" s="81">
        <f>SUMIF(adj!$C:$C,$A15,adj!F:F)</f>
        <v>0</v>
      </c>
      <c r="N15" s="81">
        <f>SUMIF(adj!$C:$C,$A15,adj!G:G)</f>
        <v>0</v>
      </c>
      <c r="O15" s="81">
        <f>SUMIF(adj!$C:$C,$A15,adj!H:H)</f>
        <v>0</v>
      </c>
      <c r="P15" s="81">
        <f>SUMIF(adj!$C:$C,$A15,adj!I:I)</f>
        <v>0</v>
      </c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1"/>
  </sheetPr>
  <dimension ref="A1:P528"/>
  <sheetViews>
    <sheetView zoomScale="85" zoomScaleNormal="85" workbookViewId="0">
      <selection activeCell="I24" sqref="I24"/>
    </sheetView>
  </sheetViews>
  <sheetFormatPr defaultRowHeight="14.25"/>
  <cols>
    <col min="2" max="2" width="12.19921875" bestFit="1" customWidth="1"/>
    <col min="3" max="3" width="10.3984375" bestFit="1" customWidth="1"/>
    <col min="4" max="4" width="13.69921875" bestFit="1" customWidth="1"/>
    <col min="5" max="9" width="8.796875" style="26"/>
    <col min="12" max="16" width="10.69921875" customWidth="1"/>
  </cols>
  <sheetData>
    <row r="1" spans="1:16" s="15" customFormat="1">
      <c r="A1" s="14" t="s">
        <v>332</v>
      </c>
      <c r="B1" s="14"/>
      <c r="E1" s="15" t="s">
        <v>8</v>
      </c>
      <c r="F1" s="15" t="s">
        <v>9</v>
      </c>
      <c r="G1" s="15" t="s">
        <v>10</v>
      </c>
      <c r="H1" s="15" t="s">
        <v>11</v>
      </c>
      <c r="I1" s="15" t="s">
        <v>12</v>
      </c>
    </row>
    <row r="2" spans="1:16" s="16" customFormat="1">
      <c r="B2" s="38"/>
      <c r="C2" s="16" t="s">
        <v>333</v>
      </c>
      <c r="D2" s="16" t="s">
        <v>334</v>
      </c>
      <c r="E2" s="16">
        <v>1</v>
      </c>
      <c r="F2" s="16">
        <v>2</v>
      </c>
      <c r="G2" s="16">
        <v>3</v>
      </c>
      <c r="H2" s="16">
        <v>4</v>
      </c>
      <c r="I2" s="16">
        <v>5</v>
      </c>
      <c r="J2" s="38" t="s">
        <v>356</v>
      </c>
    </row>
    <row r="4" spans="1:16">
      <c r="A4" t="s">
        <v>335</v>
      </c>
      <c r="B4" s="2">
        <v>1002</v>
      </c>
      <c r="C4" t="s">
        <v>336</v>
      </c>
    </row>
    <row r="5" spans="1:16">
      <c r="A5" t="s">
        <v>337</v>
      </c>
      <c r="B5" s="2">
        <v>1001</v>
      </c>
      <c r="C5" t="s">
        <v>338</v>
      </c>
    </row>
    <row r="7" spans="1:16" s="16" customFormat="1">
      <c r="A7" s="38" t="s">
        <v>163</v>
      </c>
      <c r="B7" s="38"/>
      <c r="J7" s="16" t="s">
        <v>180</v>
      </c>
      <c r="K7" s="16" t="s">
        <v>339</v>
      </c>
      <c r="L7" s="16" t="s">
        <v>340</v>
      </c>
      <c r="M7" s="16" t="s">
        <v>341</v>
      </c>
      <c r="N7" s="16" t="s">
        <v>342</v>
      </c>
      <c r="O7" s="16" t="s">
        <v>343</v>
      </c>
      <c r="P7" s="16" t="s">
        <v>344</v>
      </c>
    </row>
    <row r="8" spans="1:16">
      <c r="A8" s="10" t="s">
        <v>177</v>
      </c>
      <c r="B8" s="32" t="s">
        <v>345</v>
      </c>
      <c r="C8" s="32"/>
      <c r="D8" s="32"/>
      <c r="E8" s="10"/>
      <c r="F8" s="10"/>
      <c r="G8" s="10"/>
      <c r="H8" s="10"/>
      <c r="I8" s="10"/>
      <c r="J8" s="32"/>
      <c r="K8" s="32"/>
      <c r="L8" s="32"/>
      <c r="M8" s="32"/>
      <c r="N8" s="32"/>
      <c r="O8" s="32"/>
      <c r="P8" s="32"/>
    </row>
    <row r="9" spans="1:16">
      <c r="A9" s="86">
        <v>1</v>
      </c>
      <c r="B9" s="38" t="str">
        <f>INDEX(SI_Name,A9+1)</f>
        <v>Project 1</v>
      </c>
      <c r="C9" s="31" t="s">
        <v>346</v>
      </c>
      <c r="D9" s="31"/>
      <c r="E9" s="33" t="e">
        <f>VLOOKUP($A9,calcTableSIsLaunched,adj_IndexTeam+1,FALSE)</f>
        <v>#NAME?</v>
      </c>
      <c r="F9" s="33" t="e">
        <f>VLOOKUP($A9,calcTableSIsLaunched,adj_IndexTeam+1,FALSE)</f>
        <v>#NAME?</v>
      </c>
      <c r="G9" s="33" t="e">
        <f>VLOOKUP($A9,calcTableSIsLaunched,adj_IndexTeam+1,FALSE)</f>
        <v>#NAME?</v>
      </c>
      <c r="H9" s="33" t="e">
        <f>VLOOKUP($A9,calcTableSIsLaunched,adj_IndexTeam+1,FALSE)</f>
        <v>#NAME?</v>
      </c>
      <c r="I9" s="33" t="e">
        <f>VLOOKUP($A9,calcTableSIsLaunched,adj_IndexTeam+1,FALSE)</f>
        <v>#NAME?</v>
      </c>
      <c r="J9" s="15">
        <f>SUMIF(C11:C20,adj_FTECode,M11:M20)</f>
        <v>3</v>
      </c>
      <c r="K9" s="15">
        <f>SUMIF(C11:C20,adj_CostCode,M11:M20)</f>
        <v>1000</v>
      </c>
      <c r="L9" s="31"/>
      <c r="M9" s="31"/>
      <c r="N9" s="31"/>
      <c r="O9" s="31"/>
      <c r="P9" s="31"/>
    </row>
    <row r="10" spans="1:16">
      <c r="A10" s="10"/>
      <c r="B10" s="32"/>
      <c r="C10" s="32" t="s">
        <v>347</v>
      </c>
      <c r="D10" s="32"/>
      <c r="E10" s="33" t="e">
        <f>VLOOKUP($A9,calcTableSIsRoundsIntoLaunch,adj_IndexTeam+1,FALSE)</f>
        <v>#NAME?</v>
      </c>
      <c r="F10" s="33" t="e">
        <f>VLOOKUP($A9,calcTableSIsRoundsIntoLaunch,adj_IndexTeam+1,FALSE)</f>
        <v>#NAME?</v>
      </c>
      <c r="G10" s="33" t="e">
        <f>VLOOKUP($A9,calcTableSIsRoundsIntoLaunch,adj_IndexTeam+1,FALSE)</f>
        <v>#NAME?</v>
      </c>
      <c r="H10" s="33" t="e">
        <f>VLOOKUP($A9,calcTableSIsRoundsIntoLaunch,adj_IndexTeam+1,FALSE)</f>
        <v>#NAME?</v>
      </c>
      <c r="I10" s="33" t="e">
        <f>VLOOKUP($A9,calcTableSIsRoundsIntoLaunch,adj_IndexTeam+1,FALSE)</f>
        <v>#NAME?</v>
      </c>
      <c r="J10" s="32"/>
      <c r="K10" s="32"/>
      <c r="L10" s="32"/>
      <c r="M10" s="32"/>
      <c r="N10" s="32"/>
      <c r="O10" s="32"/>
      <c r="P10" s="32"/>
    </row>
    <row r="11" spans="1:16">
      <c r="A11" s="10"/>
      <c r="B11" s="32"/>
      <c r="C11" s="78">
        <v>1001</v>
      </c>
      <c r="D11" s="82" t="str">
        <f>IFERROR(IF(OR(ISTEXT(C11),C11=""),"",VLOOKUP(C11,param!A$4:B$15,2,FALSE)),"Param Not Recognised")</f>
        <v>Cost</v>
      </c>
      <c r="E11" s="83" t="e">
        <f>IF(E9,INDEX($L11:$P11,E10+1),0)</f>
        <v>#NAME?</v>
      </c>
      <c r="F11" s="83" t="e">
        <f>IF(F9,INDEX($L11:$P11,F10+1),0)</f>
        <v>#NAME?</v>
      </c>
      <c r="G11" s="83" t="e">
        <f>IF(G9,INDEX($L11:$P11,G10+1),0)</f>
        <v>#NAME?</v>
      </c>
      <c r="H11" s="83" t="e">
        <f>IF(H9,INDEX($L11:$P11,H10+1),0)</f>
        <v>#NAME?</v>
      </c>
      <c r="I11" s="83" t="e">
        <f>IF(I9,INDEX($L11:$P11,I10+1),0)</f>
        <v>#NAME?</v>
      </c>
      <c r="J11" s="32"/>
      <c r="K11" s="32"/>
      <c r="L11" s="13">
        <v>0</v>
      </c>
      <c r="M11" s="13">
        <v>1000</v>
      </c>
      <c r="N11" s="13"/>
      <c r="O11" s="13"/>
      <c r="P11" s="13"/>
    </row>
    <row r="12" spans="1:16">
      <c r="A12" s="10"/>
      <c r="B12" s="32"/>
      <c r="C12" s="78">
        <v>1002</v>
      </c>
      <c r="D12" s="82" t="str">
        <f>IFERROR(IF(OR(ISTEXT(C12),C12=""),"",VLOOKUP(C12,param!A$4:B$15,2,FALSE)),"Param Not Recognised")</f>
        <v>FTEs</v>
      </c>
      <c r="E12" s="83" t="e">
        <f>IF(E9,INDEX($L12:$P12,E10+1),0)</f>
        <v>#NAME?</v>
      </c>
      <c r="F12" s="83" t="e">
        <f>IF(F9,INDEX($L12:$P12,F10+1),0)</f>
        <v>#NAME?</v>
      </c>
      <c r="G12" s="83" t="e">
        <f>IF(G9,INDEX($L12:$P12,G10+1),0)</f>
        <v>#NAME?</v>
      </c>
      <c r="H12" s="83" t="e">
        <f>IF(H9,INDEX($L12:$P12,H10+1),0)</f>
        <v>#NAME?</v>
      </c>
      <c r="I12" s="83" t="e">
        <f>IF(I9,INDEX($L12:$P12,I10+1),0)</f>
        <v>#NAME?</v>
      </c>
      <c r="J12" s="32"/>
      <c r="K12" s="32"/>
      <c r="L12" s="13">
        <v>0</v>
      </c>
      <c r="M12" s="13">
        <v>3</v>
      </c>
      <c r="N12" s="13">
        <v>0</v>
      </c>
      <c r="O12" s="13">
        <v>0</v>
      </c>
      <c r="P12" s="13">
        <v>0</v>
      </c>
    </row>
    <row r="13" spans="1:16">
      <c r="A13" s="10"/>
      <c r="B13" s="32"/>
      <c r="C13" s="78"/>
      <c r="D13" s="82" t="str">
        <f>IFERROR(IF(OR(ISTEXT(C13),C13=""),"",VLOOKUP(C13,param!A$4:B$15,2,FALSE)),"Param Not Recognised")</f>
        <v/>
      </c>
      <c r="E13" s="83" t="e">
        <f>IF(E9,INDEX($L13:$P13,E10+1),0)</f>
        <v>#NAME?</v>
      </c>
      <c r="F13" s="83" t="e">
        <f>IF(F9,INDEX($L13:$P13,F10+1),0)</f>
        <v>#NAME?</v>
      </c>
      <c r="G13" s="83" t="e">
        <f>IF(G9,INDEX($L13:$P13,G10+1),0)</f>
        <v>#NAME?</v>
      </c>
      <c r="H13" s="83" t="e">
        <f>IF(H9,INDEX($L13:$P13,H10+1),0)</f>
        <v>#NAME?</v>
      </c>
      <c r="I13" s="83" t="e">
        <f>IF(I9,INDEX($L13:$P13,I10+1),0)</f>
        <v>#NAME?</v>
      </c>
      <c r="J13" s="32"/>
      <c r="K13" s="32"/>
      <c r="L13" s="13">
        <v>0</v>
      </c>
      <c r="M13" s="13"/>
      <c r="N13" s="13"/>
      <c r="O13" s="13"/>
      <c r="P13" s="13"/>
    </row>
    <row r="14" spans="1:16">
      <c r="A14" s="10"/>
      <c r="B14" s="32"/>
      <c r="C14" s="78"/>
      <c r="D14" s="82" t="str">
        <f>IFERROR(IF(OR(ISTEXT(C14),C14=""),"",VLOOKUP(C14,param!A$4:B$15,2,FALSE)),"Param Not Recognised")</f>
        <v/>
      </c>
      <c r="E14" s="83" t="e">
        <f>IF(E9,INDEX($L14:$P14,E10+1),0)</f>
        <v>#NAME?</v>
      </c>
      <c r="F14" s="83" t="e">
        <f>IF(F9,INDEX($L14:$P14,F10+1),0)</f>
        <v>#NAME?</v>
      </c>
      <c r="G14" s="83" t="e">
        <f>IF(G9,INDEX($L14:$P14,G10+1),0)</f>
        <v>#NAME?</v>
      </c>
      <c r="H14" s="83" t="e">
        <f>IF(H9,INDEX($L14:$P14,H10+1),0)</f>
        <v>#NAME?</v>
      </c>
      <c r="I14" s="83" t="e">
        <f>IF(I9,INDEX($L14:$P14,I10+1),0)</f>
        <v>#NAME?</v>
      </c>
      <c r="J14" s="32"/>
      <c r="K14" s="32"/>
      <c r="L14" s="13">
        <v>0</v>
      </c>
      <c r="M14" s="13"/>
      <c r="N14" s="13"/>
      <c r="O14" s="13"/>
      <c r="P14" s="13"/>
    </row>
    <row r="15" spans="1:16">
      <c r="A15" s="10"/>
      <c r="B15" s="32"/>
      <c r="C15" s="78"/>
      <c r="D15" s="82" t="str">
        <f>IFERROR(IF(OR(ISTEXT(C15),C15=""),"",VLOOKUP(C15,param!A$4:B$15,2,FALSE)),"Param Not Recognised")</f>
        <v/>
      </c>
      <c r="E15" s="83" t="e">
        <f>IF(E9,INDEX($L15:$P15,E10+1),0)</f>
        <v>#NAME?</v>
      </c>
      <c r="F15" s="83" t="e">
        <f>IF(F9,INDEX($L15:$P15,F10+1),0)</f>
        <v>#NAME?</v>
      </c>
      <c r="G15" s="83" t="e">
        <f>IF(G9,INDEX($L15:$P15,G10+1),0)</f>
        <v>#NAME?</v>
      </c>
      <c r="H15" s="83" t="e">
        <f>IF(H9,INDEX($L15:$P15,H10+1),0)</f>
        <v>#NAME?</v>
      </c>
      <c r="I15" s="83" t="e">
        <f>IF(I9,INDEX($L15:$P15,I10+1),0)</f>
        <v>#NAME?</v>
      </c>
      <c r="J15" s="32"/>
      <c r="K15" s="32"/>
      <c r="L15" s="13">
        <v>0</v>
      </c>
      <c r="M15" s="13"/>
      <c r="N15" s="13"/>
      <c r="O15" s="13"/>
      <c r="P15" s="13"/>
    </row>
    <row r="16" spans="1:16">
      <c r="A16" s="10"/>
      <c r="B16" s="32"/>
      <c r="C16" s="78"/>
      <c r="D16" s="82" t="str">
        <f>IFERROR(IF(OR(ISTEXT(C16),C16=""),"",VLOOKUP(C16,param!A$4:B$15,2,FALSE)),"Param Not Recognised")</f>
        <v/>
      </c>
      <c r="E16" s="83" t="e">
        <f>IF(E9,INDEX($L16:$P16,E10+1),0)</f>
        <v>#NAME?</v>
      </c>
      <c r="F16" s="83" t="e">
        <f>IF(F9,INDEX($L16:$P16,F10+1),0)</f>
        <v>#NAME?</v>
      </c>
      <c r="G16" s="83" t="e">
        <f>IF(G9,INDEX($L16:$P16,G10+1),0)</f>
        <v>#NAME?</v>
      </c>
      <c r="H16" s="83" t="e">
        <f>IF(H9,INDEX($L16:$P16,H10+1),0)</f>
        <v>#NAME?</v>
      </c>
      <c r="I16" s="83" t="e">
        <f>IF(I9,INDEX($L16:$P16,I10+1),0)</f>
        <v>#NAME?</v>
      </c>
      <c r="J16" s="32"/>
      <c r="K16" s="32"/>
      <c r="L16" s="13">
        <v>0</v>
      </c>
      <c r="M16" s="13"/>
      <c r="N16" s="13"/>
      <c r="O16" s="13"/>
      <c r="P16" s="13"/>
    </row>
    <row r="17" spans="1:16">
      <c r="A17" s="10"/>
      <c r="B17" s="32"/>
      <c r="C17" s="78"/>
      <c r="D17" s="82" t="str">
        <f>IFERROR(IF(OR(ISTEXT(C17),C17=""),"",VLOOKUP(C17,param!A$4:B$15,2,FALSE)),"Param Not Recognised")</f>
        <v/>
      </c>
      <c r="E17" s="83" t="e">
        <f>IF(E9,INDEX($L17:$P17,E10+1),0)</f>
        <v>#NAME?</v>
      </c>
      <c r="F17" s="83" t="e">
        <f>IF(F9,INDEX($L17:$P17,F10+1),0)</f>
        <v>#NAME?</v>
      </c>
      <c r="G17" s="83" t="e">
        <f>IF(G9,INDEX($L17:$P17,G10+1),0)</f>
        <v>#NAME?</v>
      </c>
      <c r="H17" s="83" t="e">
        <f>IF(H9,INDEX($L17:$P17,H10+1),0)</f>
        <v>#NAME?</v>
      </c>
      <c r="I17" s="83" t="e">
        <f>IF(I9,INDEX($L17:$P17,I10+1),0)</f>
        <v>#NAME?</v>
      </c>
      <c r="J17" s="32"/>
      <c r="K17" s="32"/>
      <c r="L17" s="13">
        <v>0</v>
      </c>
      <c r="M17" s="13"/>
      <c r="N17" s="13"/>
      <c r="O17" s="13"/>
      <c r="P17" s="13"/>
    </row>
    <row r="18" spans="1:16">
      <c r="A18" s="10"/>
      <c r="B18" s="32"/>
      <c r="C18" s="78"/>
      <c r="D18" s="82" t="str">
        <f>IFERROR(IF(OR(ISTEXT(C18),C18=""),"",VLOOKUP(C18,param!A$4:B$15,2,FALSE)),"Param Not Recognised")</f>
        <v/>
      </c>
      <c r="E18" s="83" t="e">
        <f>IF(E9,INDEX($L18:$P18,E10+1),0)</f>
        <v>#NAME?</v>
      </c>
      <c r="F18" s="83" t="e">
        <f>IF(F9,INDEX($L18:$P18,F10+1),0)</f>
        <v>#NAME?</v>
      </c>
      <c r="G18" s="83" t="e">
        <f>IF(G9,INDEX($L18:$P18,G10+1),0)</f>
        <v>#NAME?</v>
      </c>
      <c r="H18" s="83" t="e">
        <f>IF(H9,INDEX($L18:$P18,H10+1),0)</f>
        <v>#NAME?</v>
      </c>
      <c r="I18" s="83" t="e">
        <f>IF(I9,INDEX($L18:$P18,I10+1),0)</f>
        <v>#NAME?</v>
      </c>
      <c r="J18" s="32"/>
      <c r="K18" s="32"/>
      <c r="L18" s="13">
        <v>0</v>
      </c>
      <c r="M18" s="13"/>
      <c r="N18" s="13"/>
      <c r="O18" s="13"/>
      <c r="P18" s="13"/>
    </row>
    <row r="19" spans="1:16">
      <c r="A19" s="10"/>
      <c r="B19" s="32"/>
      <c r="C19" s="78"/>
      <c r="D19" s="82" t="str">
        <f>IFERROR(IF(OR(ISTEXT(C19),C19=""),"",VLOOKUP(C19,param!A$4:B$15,2,FALSE)),"Param Not Recognised")</f>
        <v/>
      </c>
      <c r="E19" s="83" t="e">
        <f>IF(E9,INDEX($L19:$P19,E10+1),0)</f>
        <v>#NAME?</v>
      </c>
      <c r="F19" s="83" t="e">
        <f>IF(F9,INDEX($L19:$P19,F10+1),0)</f>
        <v>#NAME?</v>
      </c>
      <c r="G19" s="83" t="e">
        <f>IF(G9,INDEX($L19:$P19,G10+1),0)</f>
        <v>#NAME?</v>
      </c>
      <c r="H19" s="83" t="e">
        <f>IF(H9,INDEX($L19:$P19,H10+1),0)</f>
        <v>#NAME?</v>
      </c>
      <c r="I19" s="83" t="e">
        <f>IF(I9,INDEX($L19:$P19,I10+1),0)</f>
        <v>#NAME?</v>
      </c>
      <c r="J19" s="32"/>
      <c r="K19" s="32"/>
      <c r="L19" s="13">
        <v>0</v>
      </c>
      <c r="M19" s="13"/>
      <c r="N19" s="13"/>
      <c r="O19" s="13"/>
      <c r="P19" s="13"/>
    </row>
    <row r="20" spans="1:16">
      <c r="A20" s="10"/>
      <c r="B20" s="32"/>
      <c r="C20" s="78"/>
      <c r="D20" s="82" t="str">
        <f>IFERROR(IF(OR(ISTEXT(C20),C20=""),"",VLOOKUP(C20,param!A$4:B$15,2,FALSE)),"Param Not Recognised")</f>
        <v/>
      </c>
      <c r="E20" s="83" t="e">
        <f>IF(E9,INDEX($L20:$P20,E10+1),0)</f>
        <v>#NAME?</v>
      </c>
      <c r="F20" s="83" t="e">
        <f>IF(F9,INDEX($L20:$P20,F10+1),0)</f>
        <v>#NAME?</v>
      </c>
      <c r="G20" s="83" t="e">
        <f>IF(G9,INDEX($L20:$P20,G10+1),0)</f>
        <v>#NAME?</v>
      </c>
      <c r="H20" s="83" t="e">
        <f>IF(H9,INDEX($L20:$P20,H10+1),0)</f>
        <v>#NAME?</v>
      </c>
      <c r="I20" s="83" t="e">
        <f>IF(I9,INDEX($L20:$P20,I10+1),0)</f>
        <v>#NAME?</v>
      </c>
      <c r="J20" s="32"/>
      <c r="K20" s="32"/>
      <c r="L20" s="13">
        <v>0</v>
      </c>
      <c r="M20" s="13"/>
      <c r="N20" s="13"/>
      <c r="O20" s="13"/>
      <c r="P20" s="13"/>
    </row>
    <row r="21" spans="1:16">
      <c r="A21" s="26"/>
    </row>
    <row r="22" spans="1:16">
      <c r="A22" s="86">
        <v>2</v>
      </c>
      <c r="B22" s="38" t="str">
        <f>INDEX(SI_Name,A22+1)</f>
        <v>Project 2</v>
      </c>
      <c r="C22" s="31" t="s">
        <v>346</v>
      </c>
      <c r="D22" s="31"/>
      <c r="E22" s="33" t="e">
        <f>VLOOKUP($A22,calcTableSIsLaunched,adj_IndexTeam+1,FALSE)</f>
        <v>#NAME?</v>
      </c>
      <c r="F22" s="33" t="e">
        <f>VLOOKUP($A22,calcTableSIsLaunched,adj_IndexTeam+1,FALSE)</f>
        <v>#NAME?</v>
      </c>
      <c r="G22" s="33" t="e">
        <f>VLOOKUP($A22,calcTableSIsLaunched,adj_IndexTeam+1,FALSE)</f>
        <v>#NAME?</v>
      </c>
      <c r="H22" s="33" t="e">
        <f>VLOOKUP($A22,calcTableSIsLaunched,adj_IndexTeam+1,FALSE)</f>
        <v>#NAME?</v>
      </c>
      <c r="I22" s="33" t="e">
        <f>VLOOKUP($A22,calcTableSIsLaunched,adj_IndexTeam+1,FALSE)</f>
        <v>#NAME?</v>
      </c>
      <c r="J22" s="15">
        <f>SUMIF(C24:C33,adj_FTECode,M24:M33)</f>
        <v>0</v>
      </c>
      <c r="K22" s="15">
        <f>SUMIF(C24:C33,adj_CostCode,M24:M33)</f>
        <v>0</v>
      </c>
      <c r="L22" s="31"/>
      <c r="M22" s="31"/>
      <c r="N22" s="31"/>
      <c r="O22" s="31"/>
      <c r="P22" s="31"/>
    </row>
    <row r="23" spans="1:16">
      <c r="A23" s="10"/>
      <c r="B23" s="32"/>
      <c r="C23" s="32" t="s">
        <v>347</v>
      </c>
      <c r="D23" s="32"/>
      <c r="E23" s="33" t="e">
        <f>VLOOKUP($A22,calcTableSIsRoundsIntoLaunch,adj_IndexTeam+1,FALSE)</f>
        <v>#NAME?</v>
      </c>
      <c r="F23" s="33" t="e">
        <f>VLOOKUP($A22,calcTableSIsRoundsIntoLaunch,adj_IndexTeam+1,FALSE)</f>
        <v>#NAME?</v>
      </c>
      <c r="G23" s="33" t="e">
        <f>VLOOKUP($A22,calcTableSIsRoundsIntoLaunch,adj_IndexTeam+1,FALSE)</f>
        <v>#NAME?</v>
      </c>
      <c r="H23" s="33" t="e">
        <f>VLOOKUP($A22,calcTableSIsRoundsIntoLaunch,adj_IndexTeam+1,FALSE)</f>
        <v>#NAME?</v>
      </c>
      <c r="I23" s="33" t="e">
        <f>VLOOKUP($A22,calcTableSIsRoundsIntoLaunch,adj_IndexTeam+1,FALSE)</f>
        <v>#NAME?</v>
      </c>
      <c r="J23" s="32"/>
      <c r="K23" s="32"/>
      <c r="L23" s="32"/>
      <c r="M23" s="32"/>
      <c r="N23" s="32"/>
      <c r="O23" s="32"/>
      <c r="P23" s="32"/>
    </row>
    <row r="24" spans="1:16">
      <c r="A24" s="10"/>
      <c r="B24" s="32"/>
      <c r="C24" s="78"/>
      <c r="D24" s="82" t="str">
        <f>IFERROR(IF(OR(ISTEXT(C24),C24=""),"",VLOOKUP(C24,param!A$4:B$15,2,FALSE)),"Param Not Recognised")</f>
        <v/>
      </c>
      <c r="E24" s="83" t="e">
        <f>IF(E22,INDEX($L24:$P24,E23+1),0)</f>
        <v>#NAME?</v>
      </c>
      <c r="F24" s="83" t="e">
        <f>IF(F22,INDEX($L24:$P24,F23+1),0)</f>
        <v>#NAME?</v>
      </c>
      <c r="G24" s="83" t="e">
        <f>IF(G22,INDEX($L24:$P24,G23+1),0)</f>
        <v>#NAME?</v>
      </c>
      <c r="H24" s="83" t="e">
        <f>IF(H22,INDEX($L24:$P24,H23+1),0)</f>
        <v>#NAME?</v>
      </c>
      <c r="I24" s="83" t="e">
        <f>IF(I22,INDEX($L24:$P24,I23+1),0)</f>
        <v>#NAME?</v>
      </c>
      <c r="J24" s="32"/>
      <c r="K24" s="32"/>
      <c r="L24" s="13">
        <v>0</v>
      </c>
      <c r="M24" s="13"/>
      <c r="N24" s="13"/>
      <c r="O24" s="13"/>
      <c r="P24" s="13"/>
    </row>
    <row r="25" spans="1:16">
      <c r="A25" s="10"/>
      <c r="B25" s="32"/>
      <c r="C25" s="78"/>
      <c r="D25" s="82" t="str">
        <f>IFERROR(IF(OR(ISTEXT(C25),C25=""),"",VLOOKUP(C25,param!A$4:B$15,2,FALSE)),"Param Not Recognised")</f>
        <v/>
      </c>
      <c r="E25" s="83" t="e">
        <f>IF(E22,INDEX($L25:$P25,E23+1),0)</f>
        <v>#NAME?</v>
      </c>
      <c r="F25" s="83" t="e">
        <f>IF(F22,INDEX($L25:$P25,F23+1),0)</f>
        <v>#NAME?</v>
      </c>
      <c r="G25" s="83" t="e">
        <f>IF(G22,INDEX($L25:$P25,G23+1),0)</f>
        <v>#NAME?</v>
      </c>
      <c r="H25" s="83" t="e">
        <f>IF(H22,INDEX($L25:$P25,H23+1),0)</f>
        <v>#NAME?</v>
      </c>
      <c r="I25" s="83" t="e">
        <f>IF(I22,INDEX($L25:$P25,I23+1),0)</f>
        <v>#NAME?</v>
      </c>
      <c r="J25" s="32"/>
      <c r="K25" s="32"/>
      <c r="L25" s="13">
        <v>0</v>
      </c>
      <c r="M25" s="13"/>
      <c r="N25" s="13"/>
      <c r="O25" s="13"/>
      <c r="P25" s="13"/>
    </row>
    <row r="26" spans="1:16">
      <c r="A26" s="10"/>
      <c r="B26" s="32"/>
      <c r="C26" s="78"/>
      <c r="D26" s="82" t="str">
        <f>IFERROR(IF(OR(ISTEXT(C26),C26=""),"",VLOOKUP(C26,param!A$4:B$15,2,FALSE)),"Param Not Recognised")</f>
        <v/>
      </c>
      <c r="E26" s="83" t="e">
        <f>IF(E22,INDEX($L26:$P26,E23+1),0)</f>
        <v>#NAME?</v>
      </c>
      <c r="F26" s="83" t="e">
        <f>IF(F22,INDEX($L26:$P26,F23+1),0)</f>
        <v>#NAME?</v>
      </c>
      <c r="G26" s="83" t="e">
        <f>IF(G22,INDEX($L26:$P26,G23+1),0)</f>
        <v>#NAME?</v>
      </c>
      <c r="H26" s="83" t="e">
        <f>IF(H22,INDEX($L26:$P26,H23+1),0)</f>
        <v>#NAME?</v>
      </c>
      <c r="I26" s="83" t="e">
        <f>IF(I22,INDEX($L26:$P26,I23+1),0)</f>
        <v>#NAME?</v>
      </c>
      <c r="J26" s="32"/>
      <c r="K26" s="32"/>
      <c r="L26" s="13">
        <v>0</v>
      </c>
      <c r="M26" s="13"/>
      <c r="N26" s="13"/>
      <c r="O26" s="13"/>
      <c r="P26" s="13"/>
    </row>
    <row r="27" spans="1:16">
      <c r="A27" s="10"/>
      <c r="B27" s="32"/>
      <c r="C27" s="78"/>
      <c r="D27" s="82" t="str">
        <f>IFERROR(IF(OR(ISTEXT(C27),C27=""),"",VLOOKUP(C27,param!A$4:B$15,2,FALSE)),"Param Not Recognised")</f>
        <v/>
      </c>
      <c r="E27" s="83" t="e">
        <f>IF(E22,INDEX($L27:$P27,E23+1),0)</f>
        <v>#NAME?</v>
      </c>
      <c r="F27" s="83" t="e">
        <f>IF(F22,INDEX($L27:$P27,F23+1),0)</f>
        <v>#NAME?</v>
      </c>
      <c r="G27" s="83" t="e">
        <f>IF(G22,INDEX($L27:$P27,G23+1),0)</f>
        <v>#NAME?</v>
      </c>
      <c r="H27" s="83" t="e">
        <f>IF(H22,INDEX($L27:$P27,H23+1),0)</f>
        <v>#NAME?</v>
      </c>
      <c r="I27" s="83" t="e">
        <f>IF(I22,INDEX($L27:$P27,I23+1),0)</f>
        <v>#NAME?</v>
      </c>
      <c r="J27" s="32"/>
      <c r="K27" s="32"/>
      <c r="L27" s="13">
        <v>0</v>
      </c>
      <c r="M27" s="13"/>
      <c r="N27" s="13"/>
      <c r="O27" s="13"/>
      <c r="P27" s="13"/>
    </row>
    <row r="28" spans="1:16">
      <c r="A28" s="10"/>
      <c r="B28" s="32"/>
      <c r="C28" s="78"/>
      <c r="D28" s="82" t="str">
        <f>IFERROR(IF(OR(ISTEXT(C28),C28=""),"",VLOOKUP(C28,param!A$4:B$15,2,FALSE)),"Param Not Recognised")</f>
        <v/>
      </c>
      <c r="E28" s="83" t="e">
        <f>IF(E22,INDEX($L28:$P28,E23+1),0)</f>
        <v>#NAME?</v>
      </c>
      <c r="F28" s="83" t="e">
        <f>IF(F22,INDEX($L28:$P28,F23+1),0)</f>
        <v>#NAME?</v>
      </c>
      <c r="G28" s="83" t="e">
        <f>IF(G22,INDEX($L28:$P28,G23+1),0)</f>
        <v>#NAME?</v>
      </c>
      <c r="H28" s="83" t="e">
        <f>IF(H22,INDEX($L28:$P28,H23+1),0)</f>
        <v>#NAME?</v>
      </c>
      <c r="I28" s="83" t="e">
        <f>IF(I22,INDEX($L28:$P28,I23+1),0)</f>
        <v>#NAME?</v>
      </c>
      <c r="J28" s="32"/>
      <c r="K28" s="32"/>
      <c r="L28" s="13">
        <v>0</v>
      </c>
      <c r="M28" s="13"/>
      <c r="N28" s="13"/>
      <c r="O28" s="13"/>
      <c r="P28" s="13"/>
    </row>
    <row r="29" spans="1:16">
      <c r="A29" s="10"/>
      <c r="B29" s="32"/>
      <c r="C29" s="78"/>
      <c r="D29" s="82" t="str">
        <f>IFERROR(IF(OR(ISTEXT(C29),C29=""),"",VLOOKUP(C29,param!A$4:B$15,2,FALSE)),"Param Not Recognised")</f>
        <v/>
      </c>
      <c r="E29" s="83" t="e">
        <f>IF(E22,INDEX($L29:$P29,E23+1),0)</f>
        <v>#NAME?</v>
      </c>
      <c r="F29" s="83" t="e">
        <f>IF(F22,INDEX($L29:$P29,F23+1),0)</f>
        <v>#NAME?</v>
      </c>
      <c r="G29" s="83" t="e">
        <f>IF(G22,INDEX($L29:$P29,G23+1),0)</f>
        <v>#NAME?</v>
      </c>
      <c r="H29" s="83" t="e">
        <f>IF(H22,INDEX($L29:$P29,H23+1),0)</f>
        <v>#NAME?</v>
      </c>
      <c r="I29" s="83" t="e">
        <f>IF(I22,INDEX($L29:$P29,I23+1),0)</f>
        <v>#NAME?</v>
      </c>
      <c r="J29" s="32"/>
      <c r="K29" s="32"/>
      <c r="L29" s="13">
        <v>0</v>
      </c>
      <c r="M29" s="13"/>
      <c r="N29" s="13"/>
      <c r="O29" s="13"/>
      <c r="P29" s="13"/>
    </row>
    <row r="30" spans="1:16">
      <c r="A30" s="10"/>
      <c r="B30" s="32"/>
      <c r="C30" s="78"/>
      <c r="D30" s="82" t="str">
        <f>IFERROR(IF(OR(ISTEXT(C30),C30=""),"",VLOOKUP(C30,param!A$4:B$15,2,FALSE)),"Param Not Recognised")</f>
        <v/>
      </c>
      <c r="E30" s="83" t="e">
        <f>IF(E22,INDEX($L30:$P30,E23+1),0)</f>
        <v>#NAME?</v>
      </c>
      <c r="F30" s="83" t="e">
        <f>IF(F22,INDEX($L30:$P30,F23+1),0)</f>
        <v>#NAME?</v>
      </c>
      <c r="G30" s="83" t="e">
        <f>IF(G22,INDEX($L30:$P30,G23+1),0)</f>
        <v>#NAME?</v>
      </c>
      <c r="H30" s="83" t="e">
        <f>IF(H22,INDEX($L30:$P30,H23+1),0)</f>
        <v>#NAME?</v>
      </c>
      <c r="I30" s="83" t="e">
        <f>IF(I22,INDEX($L30:$P30,I23+1),0)</f>
        <v>#NAME?</v>
      </c>
      <c r="J30" s="32"/>
      <c r="K30" s="32"/>
      <c r="L30" s="13">
        <v>0</v>
      </c>
      <c r="M30" s="13"/>
      <c r="N30" s="13"/>
      <c r="O30" s="13"/>
      <c r="P30" s="13"/>
    </row>
    <row r="31" spans="1:16">
      <c r="A31" s="10"/>
      <c r="B31" s="32"/>
      <c r="C31" s="78"/>
      <c r="D31" s="82" t="str">
        <f>IFERROR(IF(OR(ISTEXT(C31),C31=""),"",VLOOKUP(C31,param!A$4:B$15,2,FALSE)),"Param Not Recognised")</f>
        <v/>
      </c>
      <c r="E31" s="83" t="e">
        <f>IF(E22,INDEX($L31:$P31,E23+1),0)</f>
        <v>#NAME?</v>
      </c>
      <c r="F31" s="83" t="e">
        <f>IF(F22,INDEX($L31:$P31,F23+1),0)</f>
        <v>#NAME?</v>
      </c>
      <c r="G31" s="83" t="e">
        <f>IF(G22,INDEX($L31:$P31,G23+1),0)</f>
        <v>#NAME?</v>
      </c>
      <c r="H31" s="83" t="e">
        <f>IF(H22,INDEX($L31:$P31,H23+1),0)</f>
        <v>#NAME?</v>
      </c>
      <c r="I31" s="83" t="e">
        <f>IF(I22,INDEX($L31:$P31,I23+1),0)</f>
        <v>#NAME?</v>
      </c>
      <c r="J31" s="32"/>
      <c r="K31" s="32"/>
      <c r="L31" s="13">
        <v>0</v>
      </c>
      <c r="M31" s="13"/>
      <c r="N31" s="13"/>
      <c r="O31" s="13"/>
      <c r="P31" s="13"/>
    </row>
    <row r="32" spans="1:16">
      <c r="A32" s="10"/>
      <c r="B32" s="32"/>
      <c r="C32" s="78"/>
      <c r="D32" s="82" t="str">
        <f>IFERROR(IF(OR(ISTEXT(C32),C32=""),"",VLOOKUP(C32,param!A$4:B$15,2,FALSE)),"Param Not Recognised")</f>
        <v/>
      </c>
      <c r="E32" s="83" t="e">
        <f>IF(E22,INDEX($L32:$P32,E23+1),0)</f>
        <v>#NAME?</v>
      </c>
      <c r="F32" s="83" t="e">
        <f>IF(F22,INDEX($L32:$P32,F23+1),0)</f>
        <v>#NAME?</v>
      </c>
      <c r="G32" s="83" t="e">
        <f>IF(G22,INDEX($L32:$P32,G23+1),0)</f>
        <v>#NAME?</v>
      </c>
      <c r="H32" s="83" t="e">
        <f>IF(H22,INDEX($L32:$P32,H23+1),0)</f>
        <v>#NAME?</v>
      </c>
      <c r="I32" s="83" t="e">
        <f>IF(I22,INDEX($L32:$P32,I23+1),0)</f>
        <v>#NAME?</v>
      </c>
      <c r="J32" s="32"/>
      <c r="K32" s="32"/>
      <c r="L32" s="13">
        <v>0</v>
      </c>
      <c r="M32" s="13"/>
      <c r="N32" s="13"/>
      <c r="O32" s="13"/>
      <c r="P32" s="13"/>
    </row>
    <row r="33" spans="1:16">
      <c r="A33" s="10"/>
      <c r="B33" s="32"/>
      <c r="C33" s="78"/>
      <c r="D33" s="82" t="str">
        <f>IFERROR(IF(OR(ISTEXT(C33),C33=""),"",VLOOKUP(C33,param!A$4:B$15,2,FALSE)),"Param Not Recognised")</f>
        <v/>
      </c>
      <c r="E33" s="83" t="e">
        <f>IF(E22,INDEX($L33:$P33,E23+1),0)</f>
        <v>#NAME?</v>
      </c>
      <c r="F33" s="83" t="e">
        <f>IF(F22,INDEX($L33:$P33,F23+1),0)</f>
        <v>#NAME?</v>
      </c>
      <c r="G33" s="83" t="e">
        <f>IF(G22,INDEX($L33:$P33,G23+1),0)</f>
        <v>#NAME?</v>
      </c>
      <c r="H33" s="83" t="e">
        <f>IF(H22,INDEX($L33:$P33,H23+1),0)</f>
        <v>#NAME?</v>
      </c>
      <c r="I33" s="83" t="e">
        <f>IF(I22,INDEX($L33:$P33,I23+1),0)</f>
        <v>#NAME?</v>
      </c>
      <c r="J33" s="32"/>
      <c r="K33" s="32"/>
      <c r="L33" s="13">
        <v>0</v>
      </c>
      <c r="M33" s="13"/>
      <c r="N33" s="13"/>
      <c r="O33" s="13"/>
      <c r="P33" s="13"/>
    </row>
    <row r="34" spans="1:16">
      <c r="A34" s="26"/>
    </row>
    <row r="35" spans="1:16">
      <c r="A35" s="86">
        <v>3</v>
      </c>
      <c r="B35" s="38" t="str">
        <f>INDEX(SI_Name,A35+1)</f>
        <v>Project 3</v>
      </c>
      <c r="C35" s="31" t="s">
        <v>346</v>
      </c>
      <c r="D35" s="31"/>
      <c r="E35" s="33" t="e">
        <f>VLOOKUP($A35,calcTableSIsLaunched,adj_IndexTeam+1,FALSE)</f>
        <v>#NAME?</v>
      </c>
      <c r="F35" s="33" t="e">
        <f>VLOOKUP($A35,calcTableSIsLaunched,adj_IndexTeam+1,FALSE)</f>
        <v>#NAME?</v>
      </c>
      <c r="G35" s="33" t="e">
        <f>VLOOKUP($A35,calcTableSIsLaunched,adj_IndexTeam+1,FALSE)</f>
        <v>#NAME?</v>
      </c>
      <c r="H35" s="33" t="e">
        <f>VLOOKUP($A35,calcTableSIsLaunched,adj_IndexTeam+1,FALSE)</f>
        <v>#NAME?</v>
      </c>
      <c r="I35" s="33" t="e">
        <f>VLOOKUP($A35,calcTableSIsLaunched,adj_IndexTeam+1,FALSE)</f>
        <v>#NAME?</v>
      </c>
      <c r="J35" s="15">
        <f>SUMIF(C37:C46,adj_FTECode,M37:M46)</f>
        <v>0</v>
      </c>
      <c r="K35" s="15">
        <f>SUMIF(C37:C46,adj_CostCode,M37:M46)</f>
        <v>0</v>
      </c>
      <c r="L35" s="31"/>
      <c r="M35" s="31"/>
      <c r="N35" s="31"/>
      <c r="O35" s="31"/>
      <c r="P35" s="31"/>
    </row>
    <row r="36" spans="1:16">
      <c r="A36" s="10"/>
      <c r="B36" s="32"/>
      <c r="C36" s="32" t="s">
        <v>347</v>
      </c>
      <c r="D36" s="32"/>
      <c r="E36" s="33" t="e">
        <f>VLOOKUP($A35,calcTableSIsRoundsIntoLaunch,adj_IndexTeam+1,FALSE)</f>
        <v>#NAME?</v>
      </c>
      <c r="F36" s="33" t="e">
        <f>VLOOKUP($A35,calcTableSIsRoundsIntoLaunch,adj_IndexTeam+1,FALSE)</f>
        <v>#NAME?</v>
      </c>
      <c r="G36" s="33" t="e">
        <f>VLOOKUP($A35,calcTableSIsRoundsIntoLaunch,adj_IndexTeam+1,FALSE)</f>
        <v>#NAME?</v>
      </c>
      <c r="H36" s="33" t="e">
        <f>VLOOKUP($A35,calcTableSIsRoundsIntoLaunch,adj_IndexTeam+1,FALSE)</f>
        <v>#NAME?</v>
      </c>
      <c r="I36" s="33" t="e">
        <f>VLOOKUP($A35,calcTableSIsRoundsIntoLaunch,adj_IndexTeam+1,FALSE)</f>
        <v>#NAME?</v>
      </c>
      <c r="J36" s="32"/>
      <c r="K36" s="32"/>
      <c r="L36" s="32"/>
      <c r="M36" s="32"/>
      <c r="N36" s="32"/>
      <c r="O36" s="32"/>
      <c r="P36" s="32"/>
    </row>
    <row r="37" spans="1:16">
      <c r="A37" s="10"/>
      <c r="B37" s="32"/>
      <c r="C37" s="78"/>
      <c r="D37" s="82" t="str">
        <f>IFERROR(IF(OR(ISTEXT(C37),C37=""),"",VLOOKUP(C37,param!A$4:B$15,2,FALSE)),"Param Not Recognised")</f>
        <v/>
      </c>
      <c r="E37" s="83" t="e">
        <f>IF(E35,INDEX($L37:$P37,E36+1),0)</f>
        <v>#NAME?</v>
      </c>
      <c r="F37" s="83" t="e">
        <f>IF(F35,INDEX($L37:$P37,F36+1),0)</f>
        <v>#NAME?</v>
      </c>
      <c r="G37" s="83" t="e">
        <f>IF(G35,INDEX($L37:$P37,G36+1),0)</f>
        <v>#NAME?</v>
      </c>
      <c r="H37" s="83" t="e">
        <f>IF(H35,INDEX($L37:$P37,H36+1),0)</f>
        <v>#NAME?</v>
      </c>
      <c r="I37" s="83" t="e">
        <f>IF(I35,INDEX($L37:$P37,I36+1),0)</f>
        <v>#NAME?</v>
      </c>
      <c r="J37" s="32"/>
      <c r="K37" s="32"/>
      <c r="L37" s="13">
        <v>0</v>
      </c>
      <c r="M37" s="13"/>
      <c r="N37" s="13"/>
      <c r="O37" s="13"/>
      <c r="P37" s="13"/>
    </row>
    <row r="38" spans="1:16">
      <c r="A38" s="10"/>
      <c r="B38" s="32"/>
      <c r="C38" s="78"/>
      <c r="D38" s="82" t="str">
        <f>IFERROR(IF(OR(ISTEXT(C38),C38=""),"",VLOOKUP(C38,param!A$4:B$15,2,FALSE)),"Param Not Recognised")</f>
        <v/>
      </c>
      <c r="E38" s="83" t="e">
        <f>IF(E35,INDEX($L38:$P38,E36+1),0)</f>
        <v>#NAME?</v>
      </c>
      <c r="F38" s="83" t="e">
        <f>IF(F35,INDEX($L38:$P38,F36+1),0)</f>
        <v>#NAME?</v>
      </c>
      <c r="G38" s="83" t="e">
        <f>IF(G35,INDEX($L38:$P38,G36+1),0)</f>
        <v>#NAME?</v>
      </c>
      <c r="H38" s="83" t="e">
        <f>IF(H35,INDEX($L38:$P38,H36+1),0)</f>
        <v>#NAME?</v>
      </c>
      <c r="I38" s="83" t="e">
        <f>IF(I35,INDEX($L38:$P38,I36+1),0)</f>
        <v>#NAME?</v>
      </c>
      <c r="J38" s="32"/>
      <c r="K38" s="32"/>
      <c r="L38" s="13">
        <v>0</v>
      </c>
      <c r="M38" s="13"/>
      <c r="N38" s="13"/>
      <c r="O38" s="13"/>
      <c r="P38" s="13"/>
    </row>
    <row r="39" spans="1:16">
      <c r="A39" s="10"/>
      <c r="B39" s="32"/>
      <c r="C39" s="78"/>
      <c r="D39" s="82" t="str">
        <f>IFERROR(IF(OR(ISTEXT(C39),C39=""),"",VLOOKUP(C39,param!A$4:B$15,2,FALSE)),"Param Not Recognised")</f>
        <v/>
      </c>
      <c r="E39" s="83" t="e">
        <f>IF(E35,INDEX($L39:$P39,E36+1),0)</f>
        <v>#NAME?</v>
      </c>
      <c r="F39" s="83" t="e">
        <f>IF(F35,INDEX($L39:$P39,F36+1),0)</f>
        <v>#NAME?</v>
      </c>
      <c r="G39" s="83" t="e">
        <f>IF(G35,INDEX($L39:$P39,G36+1),0)</f>
        <v>#NAME?</v>
      </c>
      <c r="H39" s="83" t="e">
        <f>IF(H35,INDEX($L39:$P39,H36+1),0)</f>
        <v>#NAME?</v>
      </c>
      <c r="I39" s="83" t="e">
        <f>IF(I35,INDEX($L39:$P39,I36+1),0)</f>
        <v>#NAME?</v>
      </c>
      <c r="J39" s="32"/>
      <c r="K39" s="32"/>
      <c r="L39" s="13">
        <v>0</v>
      </c>
      <c r="M39" s="13"/>
      <c r="N39" s="13"/>
      <c r="O39" s="13"/>
      <c r="P39" s="13"/>
    </row>
    <row r="40" spans="1:16">
      <c r="A40" s="10"/>
      <c r="B40" s="32"/>
      <c r="C40" s="78"/>
      <c r="D40" s="82" t="str">
        <f>IFERROR(IF(OR(ISTEXT(C40),C40=""),"",VLOOKUP(C40,param!A$4:B$15,2,FALSE)),"Param Not Recognised")</f>
        <v/>
      </c>
      <c r="E40" s="83" t="e">
        <f>IF(E35,INDEX($L40:$P40,E36+1),0)</f>
        <v>#NAME?</v>
      </c>
      <c r="F40" s="83" t="e">
        <f>IF(F35,INDEX($L40:$P40,F36+1),0)</f>
        <v>#NAME?</v>
      </c>
      <c r="G40" s="83" t="e">
        <f>IF(G35,INDEX($L40:$P40,G36+1),0)</f>
        <v>#NAME?</v>
      </c>
      <c r="H40" s="83" t="e">
        <f>IF(H35,INDEX($L40:$P40,H36+1),0)</f>
        <v>#NAME?</v>
      </c>
      <c r="I40" s="83" t="e">
        <f>IF(I35,INDEX($L40:$P40,I36+1),0)</f>
        <v>#NAME?</v>
      </c>
      <c r="J40" s="32"/>
      <c r="K40" s="32"/>
      <c r="L40" s="13">
        <v>0</v>
      </c>
      <c r="M40" s="13"/>
      <c r="N40" s="13"/>
      <c r="O40" s="13"/>
      <c r="P40" s="13"/>
    </row>
    <row r="41" spans="1:16">
      <c r="A41" s="10"/>
      <c r="B41" s="32"/>
      <c r="C41" s="78"/>
      <c r="D41" s="82" t="str">
        <f>IFERROR(IF(OR(ISTEXT(C41),C41=""),"",VLOOKUP(C41,param!A$4:B$15,2,FALSE)),"Param Not Recognised")</f>
        <v/>
      </c>
      <c r="E41" s="83" t="e">
        <f>IF(E35,INDEX($L41:$P41,E36+1),0)</f>
        <v>#NAME?</v>
      </c>
      <c r="F41" s="83" t="e">
        <f>IF(F35,INDEX($L41:$P41,F36+1),0)</f>
        <v>#NAME?</v>
      </c>
      <c r="G41" s="83" t="e">
        <f>IF(G35,INDEX($L41:$P41,G36+1),0)</f>
        <v>#NAME?</v>
      </c>
      <c r="H41" s="83" t="e">
        <f>IF(H35,INDEX($L41:$P41,H36+1),0)</f>
        <v>#NAME?</v>
      </c>
      <c r="I41" s="83" t="e">
        <f>IF(I35,INDEX($L41:$P41,I36+1),0)</f>
        <v>#NAME?</v>
      </c>
      <c r="J41" s="32"/>
      <c r="K41" s="32"/>
      <c r="L41" s="13">
        <v>0</v>
      </c>
      <c r="M41" s="13"/>
      <c r="N41" s="13"/>
      <c r="O41" s="13"/>
      <c r="P41" s="13"/>
    </row>
    <row r="42" spans="1:16">
      <c r="A42" s="10"/>
      <c r="B42" s="32"/>
      <c r="C42" s="78"/>
      <c r="D42" s="82" t="str">
        <f>IFERROR(IF(OR(ISTEXT(C42),C42=""),"",VLOOKUP(C42,param!A$4:B$15,2,FALSE)),"Param Not Recognised")</f>
        <v/>
      </c>
      <c r="E42" s="83" t="e">
        <f>IF(E35,INDEX($L42:$P42,E36+1),0)</f>
        <v>#NAME?</v>
      </c>
      <c r="F42" s="83" t="e">
        <f>IF(F35,INDEX($L42:$P42,F36+1),0)</f>
        <v>#NAME?</v>
      </c>
      <c r="G42" s="83" t="e">
        <f>IF(G35,INDEX($L42:$P42,G36+1),0)</f>
        <v>#NAME?</v>
      </c>
      <c r="H42" s="83" t="e">
        <f>IF(H35,INDEX($L42:$P42,H36+1),0)</f>
        <v>#NAME?</v>
      </c>
      <c r="I42" s="83" t="e">
        <f>IF(I35,INDEX($L42:$P42,I36+1),0)</f>
        <v>#NAME?</v>
      </c>
      <c r="J42" s="32"/>
      <c r="K42" s="32"/>
      <c r="L42" s="13">
        <v>0</v>
      </c>
      <c r="M42" s="13"/>
      <c r="N42" s="13"/>
      <c r="O42" s="13"/>
      <c r="P42" s="13"/>
    </row>
    <row r="43" spans="1:16">
      <c r="A43" s="10"/>
      <c r="B43" s="32"/>
      <c r="C43" s="78"/>
      <c r="D43" s="82" t="str">
        <f>IFERROR(IF(OR(ISTEXT(C43),C43=""),"",VLOOKUP(C43,param!A$4:B$15,2,FALSE)),"Param Not Recognised")</f>
        <v/>
      </c>
      <c r="E43" s="83" t="e">
        <f>IF(E35,INDEX($L43:$P43,E36+1),0)</f>
        <v>#NAME?</v>
      </c>
      <c r="F43" s="83" t="e">
        <f>IF(F35,INDEX($L43:$P43,F36+1),0)</f>
        <v>#NAME?</v>
      </c>
      <c r="G43" s="83" t="e">
        <f>IF(G35,INDEX($L43:$P43,G36+1),0)</f>
        <v>#NAME?</v>
      </c>
      <c r="H43" s="83" t="e">
        <f>IF(H35,INDEX($L43:$P43,H36+1),0)</f>
        <v>#NAME?</v>
      </c>
      <c r="I43" s="83" t="e">
        <f>IF(I35,INDEX($L43:$P43,I36+1),0)</f>
        <v>#NAME?</v>
      </c>
      <c r="J43" s="32"/>
      <c r="K43" s="32"/>
      <c r="L43" s="13">
        <v>0</v>
      </c>
      <c r="M43" s="13"/>
      <c r="N43" s="13"/>
      <c r="O43" s="13"/>
      <c r="P43" s="13"/>
    </row>
    <row r="44" spans="1:16">
      <c r="A44" s="10"/>
      <c r="B44" s="32"/>
      <c r="C44" s="78"/>
      <c r="D44" s="82" t="str">
        <f>IFERROR(IF(OR(ISTEXT(C44),C44=""),"",VLOOKUP(C44,param!A$4:B$15,2,FALSE)),"Param Not Recognised")</f>
        <v/>
      </c>
      <c r="E44" s="83" t="e">
        <f>IF(E35,INDEX($L44:$P44,E36+1),0)</f>
        <v>#NAME?</v>
      </c>
      <c r="F44" s="83" t="e">
        <f>IF(F35,INDEX($L44:$P44,F36+1),0)</f>
        <v>#NAME?</v>
      </c>
      <c r="G44" s="83" t="e">
        <f>IF(G35,INDEX($L44:$P44,G36+1),0)</f>
        <v>#NAME?</v>
      </c>
      <c r="H44" s="83" t="e">
        <f>IF(H35,INDEX($L44:$P44,H36+1),0)</f>
        <v>#NAME?</v>
      </c>
      <c r="I44" s="83" t="e">
        <f>IF(I35,INDEX($L44:$P44,I36+1),0)</f>
        <v>#NAME?</v>
      </c>
      <c r="J44" s="32"/>
      <c r="K44" s="32"/>
      <c r="L44" s="13">
        <v>0</v>
      </c>
      <c r="M44" s="13"/>
      <c r="N44" s="13"/>
      <c r="O44" s="13"/>
      <c r="P44" s="13"/>
    </row>
    <row r="45" spans="1:16">
      <c r="A45" s="10"/>
      <c r="B45" s="32"/>
      <c r="C45" s="78"/>
      <c r="D45" s="82" t="str">
        <f>IFERROR(IF(OR(ISTEXT(C45),C45=""),"",VLOOKUP(C45,param!A$4:B$15,2,FALSE)),"Param Not Recognised")</f>
        <v/>
      </c>
      <c r="E45" s="83" t="e">
        <f>IF(E35,INDEX($L45:$P45,E36+1),0)</f>
        <v>#NAME?</v>
      </c>
      <c r="F45" s="83" t="e">
        <f>IF(F35,INDEX($L45:$P45,F36+1),0)</f>
        <v>#NAME?</v>
      </c>
      <c r="G45" s="83" t="e">
        <f>IF(G35,INDEX($L45:$P45,G36+1),0)</f>
        <v>#NAME?</v>
      </c>
      <c r="H45" s="83" t="e">
        <f>IF(H35,INDEX($L45:$P45,H36+1),0)</f>
        <v>#NAME?</v>
      </c>
      <c r="I45" s="83" t="e">
        <f>IF(I35,INDEX($L45:$P45,I36+1),0)</f>
        <v>#NAME?</v>
      </c>
      <c r="J45" s="32"/>
      <c r="K45" s="32"/>
      <c r="L45" s="13">
        <v>0</v>
      </c>
      <c r="M45" s="13"/>
      <c r="N45" s="13"/>
      <c r="O45" s="13"/>
      <c r="P45" s="13"/>
    </row>
    <row r="46" spans="1:16">
      <c r="A46" s="10"/>
      <c r="B46" s="32"/>
      <c r="C46" s="78"/>
      <c r="D46" s="82" t="str">
        <f>IFERROR(IF(OR(ISTEXT(C46),C46=""),"",VLOOKUP(C46,param!A$4:B$15,2,FALSE)),"Param Not Recognised")</f>
        <v/>
      </c>
      <c r="E46" s="83" t="e">
        <f>IF(E35,INDEX($L46:$P46,E36+1),0)</f>
        <v>#NAME?</v>
      </c>
      <c r="F46" s="83" t="e">
        <f>IF(F35,INDEX($L46:$P46,F36+1),0)</f>
        <v>#NAME?</v>
      </c>
      <c r="G46" s="83" t="e">
        <f>IF(G35,INDEX($L46:$P46,G36+1),0)</f>
        <v>#NAME?</v>
      </c>
      <c r="H46" s="83" t="e">
        <f>IF(H35,INDEX($L46:$P46,H36+1),0)</f>
        <v>#NAME?</v>
      </c>
      <c r="I46" s="83" t="e">
        <f>IF(I35,INDEX($L46:$P46,I36+1),0)</f>
        <v>#NAME?</v>
      </c>
      <c r="J46" s="32"/>
      <c r="K46" s="32"/>
      <c r="L46" s="13">
        <v>0</v>
      </c>
      <c r="M46" s="13"/>
      <c r="N46" s="13"/>
      <c r="O46" s="13"/>
      <c r="P46" s="13"/>
    </row>
    <row r="47" spans="1:16">
      <c r="A47" s="26"/>
    </row>
    <row r="48" spans="1:16">
      <c r="A48" s="86">
        <v>4</v>
      </c>
      <c r="B48" s="38" t="str">
        <f>INDEX(SI_Name,A48+1)</f>
        <v>Project 4</v>
      </c>
      <c r="C48" s="31" t="s">
        <v>346</v>
      </c>
      <c r="D48" s="31"/>
      <c r="E48" s="33" t="e">
        <f>VLOOKUP($A48,calcTableSIsLaunched,adj_IndexTeam+1,FALSE)</f>
        <v>#NAME?</v>
      </c>
      <c r="F48" s="33" t="e">
        <f>VLOOKUP($A48,calcTableSIsLaunched,adj_IndexTeam+1,FALSE)</f>
        <v>#NAME?</v>
      </c>
      <c r="G48" s="33" t="e">
        <f>VLOOKUP($A48,calcTableSIsLaunched,adj_IndexTeam+1,FALSE)</f>
        <v>#NAME?</v>
      </c>
      <c r="H48" s="33" t="e">
        <f>VLOOKUP($A48,calcTableSIsLaunched,adj_IndexTeam+1,FALSE)</f>
        <v>#NAME?</v>
      </c>
      <c r="I48" s="33" t="e">
        <f>VLOOKUP($A48,calcTableSIsLaunched,adj_IndexTeam+1,FALSE)</f>
        <v>#NAME?</v>
      </c>
      <c r="J48" s="15">
        <f>SUMIF(C50:C59,adj_FTECode,M50:M59)</f>
        <v>0</v>
      </c>
      <c r="K48" s="15">
        <f>SUMIF(C50:C59,adj_CostCode,M50:M59)</f>
        <v>0</v>
      </c>
      <c r="L48" s="31"/>
      <c r="M48" s="31"/>
      <c r="N48" s="31"/>
      <c r="O48" s="31"/>
      <c r="P48" s="31"/>
    </row>
    <row r="49" spans="1:16">
      <c r="A49" s="10"/>
      <c r="B49" s="32"/>
      <c r="C49" s="32" t="s">
        <v>347</v>
      </c>
      <c r="D49" s="32"/>
      <c r="E49" s="33" t="e">
        <f>VLOOKUP($A48,calcTableSIsRoundsIntoLaunch,adj_IndexTeam+1,FALSE)</f>
        <v>#NAME?</v>
      </c>
      <c r="F49" s="33" t="e">
        <f>VLOOKUP($A48,calcTableSIsRoundsIntoLaunch,adj_IndexTeam+1,FALSE)</f>
        <v>#NAME?</v>
      </c>
      <c r="G49" s="33" t="e">
        <f>VLOOKUP($A48,calcTableSIsRoundsIntoLaunch,adj_IndexTeam+1,FALSE)</f>
        <v>#NAME?</v>
      </c>
      <c r="H49" s="33" t="e">
        <f>VLOOKUP($A48,calcTableSIsRoundsIntoLaunch,adj_IndexTeam+1,FALSE)</f>
        <v>#NAME?</v>
      </c>
      <c r="I49" s="33" t="e">
        <f>VLOOKUP($A48,calcTableSIsRoundsIntoLaunch,adj_IndexTeam+1,FALSE)</f>
        <v>#NAME?</v>
      </c>
      <c r="J49" s="32"/>
      <c r="K49" s="32"/>
      <c r="L49" s="32"/>
      <c r="M49" s="32"/>
      <c r="N49" s="32"/>
      <c r="O49" s="32"/>
      <c r="P49" s="32"/>
    </row>
    <row r="50" spans="1:16">
      <c r="A50" s="10"/>
      <c r="B50" s="32"/>
      <c r="C50" s="78"/>
      <c r="D50" s="82" t="str">
        <f>IFERROR(IF(OR(ISTEXT(C50),C50=""),"",VLOOKUP(C50,param!A$4:B$15,2,FALSE)),"Param Not Recognised")</f>
        <v/>
      </c>
      <c r="E50" s="83" t="e">
        <f>IF(E48,INDEX($L50:$P50,E49+1),0)</f>
        <v>#NAME?</v>
      </c>
      <c r="F50" s="83" t="e">
        <f>IF(F48,INDEX($L50:$P50,F49+1),0)</f>
        <v>#NAME?</v>
      </c>
      <c r="G50" s="83" t="e">
        <f>IF(G48,INDEX($L50:$P50,G49+1),0)</f>
        <v>#NAME?</v>
      </c>
      <c r="H50" s="83" t="e">
        <f>IF(H48,INDEX($L50:$P50,H49+1),0)</f>
        <v>#NAME?</v>
      </c>
      <c r="I50" s="83" t="e">
        <f>IF(I48,INDEX($L50:$P50,I49+1),0)</f>
        <v>#NAME?</v>
      </c>
      <c r="J50" s="32"/>
      <c r="K50" s="32"/>
      <c r="L50" s="13">
        <v>0</v>
      </c>
      <c r="M50" s="13"/>
      <c r="N50" s="13"/>
      <c r="O50" s="13"/>
      <c r="P50" s="13"/>
    </row>
    <row r="51" spans="1:16">
      <c r="A51" s="10"/>
      <c r="B51" s="32"/>
      <c r="C51" s="78"/>
      <c r="D51" s="82" t="str">
        <f>IFERROR(IF(OR(ISTEXT(C51),C51=""),"",VLOOKUP(C51,param!A$4:B$15,2,FALSE)),"Param Not Recognised")</f>
        <v/>
      </c>
      <c r="E51" s="83" t="e">
        <f>IF(E48,INDEX($L51:$P51,E49+1),0)</f>
        <v>#NAME?</v>
      </c>
      <c r="F51" s="83" t="e">
        <f>IF(F48,INDEX($L51:$P51,F49+1),0)</f>
        <v>#NAME?</v>
      </c>
      <c r="G51" s="83" t="e">
        <f>IF(G48,INDEX($L51:$P51,G49+1),0)</f>
        <v>#NAME?</v>
      </c>
      <c r="H51" s="83" t="e">
        <f>IF(H48,INDEX($L51:$P51,H49+1),0)</f>
        <v>#NAME?</v>
      </c>
      <c r="I51" s="83" t="e">
        <f>IF(I48,INDEX($L51:$P51,I49+1),0)</f>
        <v>#NAME?</v>
      </c>
      <c r="J51" s="32"/>
      <c r="K51" s="32"/>
      <c r="L51" s="13">
        <v>0</v>
      </c>
      <c r="M51" s="13"/>
      <c r="N51" s="13"/>
      <c r="O51" s="13"/>
      <c r="P51" s="13"/>
    </row>
    <row r="52" spans="1:16">
      <c r="A52" s="10"/>
      <c r="B52" s="32"/>
      <c r="C52" s="78"/>
      <c r="D52" s="82" t="str">
        <f>IFERROR(IF(OR(ISTEXT(C52),C52=""),"",VLOOKUP(C52,param!A$4:B$15,2,FALSE)),"Param Not Recognised")</f>
        <v/>
      </c>
      <c r="E52" s="83" t="e">
        <f>IF(E48,INDEX($L52:$P52,E49+1),0)</f>
        <v>#NAME?</v>
      </c>
      <c r="F52" s="83" t="e">
        <f>IF(F48,INDEX($L52:$P52,F49+1),0)</f>
        <v>#NAME?</v>
      </c>
      <c r="G52" s="83" t="e">
        <f>IF(G48,INDEX($L52:$P52,G49+1),0)</f>
        <v>#NAME?</v>
      </c>
      <c r="H52" s="83" t="e">
        <f>IF(H48,INDEX($L52:$P52,H49+1),0)</f>
        <v>#NAME?</v>
      </c>
      <c r="I52" s="83" t="e">
        <f>IF(I48,INDEX($L52:$P52,I49+1),0)</f>
        <v>#NAME?</v>
      </c>
      <c r="J52" s="32"/>
      <c r="K52" s="32"/>
      <c r="L52" s="13">
        <v>0</v>
      </c>
      <c r="M52" s="13"/>
      <c r="N52" s="13"/>
      <c r="O52" s="13"/>
      <c r="P52" s="13"/>
    </row>
    <row r="53" spans="1:16">
      <c r="A53" s="10"/>
      <c r="B53" s="32"/>
      <c r="C53" s="78"/>
      <c r="D53" s="82" t="str">
        <f>IFERROR(IF(OR(ISTEXT(C53),C53=""),"",VLOOKUP(C53,param!A$4:B$15,2,FALSE)),"Param Not Recognised")</f>
        <v/>
      </c>
      <c r="E53" s="83" t="e">
        <f>IF(E48,INDEX($L53:$P53,E49+1),0)</f>
        <v>#NAME?</v>
      </c>
      <c r="F53" s="83" t="e">
        <f>IF(F48,INDEX($L53:$P53,F49+1),0)</f>
        <v>#NAME?</v>
      </c>
      <c r="G53" s="83" t="e">
        <f>IF(G48,INDEX($L53:$P53,G49+1),0)</f>
        <v>#NAME?</v>
      </c>
      <c r="H53" s="83" t="e">
        <f>IF(H48,INDEX($L53:$P53,H49+1),0)</f>
        <v>#NAME?</v>
      </c>
      <c r="I53" s="83" t="e">
        <f>IF(I48,INDEX($L53:$P53,I49+1),0)</f>
        <v>#NAME?</v>
      </c>
      <c r="J53" s="32"/>
      <c r="K53" s="32"/>
      <c r="L53" s="13">
        <v>0</v>
      </c>
      <c r="M53" s="13"/>
      <c r="N53" s="13"/>
      <c r="O53" s="13"/>
      <c r="P53" s="13"/>
    </row>
    <row r="54" spans="1:16">
      <c r="A54" s="10"/>
      <c r="B54" s="32"/>
      <c r="C54" s="78"/>
      <c r="D54" s="82" t="str">
        <f>IFERROR(IF(OR(ISTEXT(C54),C54=""),"",VLOOKUP(C54,param!A$4:B$15,2,FALSE)),"Param Not Recognised")</f>
        <v/>
      </c>
      <c r="E54" s="83" t="e">
        <f>IF(E48,INDEX($L54:$P54,E49+1),0)</f>
        <v>#NAME?</v>
      </c>
      <c r="F54" s="83" t="e">
        <f>IF(F48,INDEX($L54:$P54,F49+1),0)</f>
        <v>#NAME?</v>
      </c>
      <c r="G54" s="83" t="e">
        <f>IF(G48,INDEX($L54:$P54,G49+1),0)</f>
        <v>#NAME?</v>
      </c>
      <c r="H54" s="83" t="e">
        <f>IF(H48,INDEX($L54:$P54,H49+1),0)</f>
        <v>#NAME?</v>
      </c>
      <c r="I54" s="83" t="e">
        <f>IF(I48,INDEX($L54:$P54,I49+1),0)</f>
        <v>#NAME?</v>
      </c>
      <c r="J54" s="32"/>
      <c r="K54" s="32"/>
      <c r="L54" s="13">
        <v>0</v>
      </c>
      <c r="M54" s="13"/>
      <c r="N54" s="13"/>
      <c r="O54" s="13"/>
      <c r="P54" s="13"/>
    </row>
    <row r="55" spans="1:16">
      <c r="A55" s="10"/>
      <c r="B55" s="32"/>
      <c r="C55" s="78"/>
      <c r="D55" s="82" t="str">
        <f>IFERROR(IF(OR(ISTEXT(C55),C55=""),"",VLOOKUP(C55,param!A$4:B$15,2,FALSE)),"Param Not Recognised")</f>
        <v/>
      </c>
      <c r="E55" s="83" t="e">
        <f>IF(E48,INDEX($L55:$P55,E49+1),0)</f>
        <v>#NAME?</v>
      </c>
      <c r="F55" s="83" t="e">
        <f>IF(F48,INDEX($L55:$P55,F49+1),0)</f>
        <v>#NAME?</v>
      </c>
      <c r="G55" s="83" t="e">
        <f>IF(G48,INDEX($L55:$P55,G49+1),0)</f>
        <v>#NAME?</v>
      </c>
      <c r="H55" s="83" t="e">
        <f>IF(H48,INDEX($L55:$P55,H49+1),0)</f>
        <v>#NAME?</v>
      </c>
      <c r="I55" s="83" t="e">
        <f>IF(I48,INDEX($L55:$P55,I49+1),0)</f>
        <v>#NAME?</v>
      </c>
      <c r="J55" s="32"/>
      <c r="K55" s="32"/>
      <c r="L55" s="13">
        <v>0</v>
      </c>
      <c r="M55" s="13"/>
      <c r="N55" s="13"/>
      <c r="O55" s="13"/>
      <c r="P55" s="13"/>
    </row>
    <row r="56" spans="1:16">
      <c r="A56" s="10"/>
      <c r="B56" s="32"/>
      <c r="C56" s="78"/>
      <c r="D56" s="82" t="str">
        <f>IFERROR(IF(OR(ISTEXT(C56),C56=""),"",VLOOKUP(C56,param!A$4:B$15,2,FALSE)),"Param Not Recognised")</f>
        <v/>
      </c>
      <c r="E56" s="83" t="e">
        <f>IF(E48,INDEX($L56:$P56,E49+1),0)</f>
        <v>#NAME?</v>
      </c>
      <c r="F56" s="83" t="e">
        <f>IF(F48,INDEX($L56:$P56,F49+1),0)</f>
        <v>#NAME?</v>
      </c>
      <c r="G56" s="83" t="e">
        <f>IF(G48,INDEX($L56:$P56,G49+1),0)</f>
        <v>#NAME?</v>
      </c>
      <c r="H56" s="83" t="e">
        <f>IF(H48,INDEX($L56:$P56,H49+1),0)</f>
        <v>#NAME?</v>
      </c>
      <c r="I56" s="83" t="e">
        <f>IF(I48,INDEX($L56:$P56,I49+1),0)</f>
        <v>#NAME?</v>
      </c>
      <c r="J56" s="32"/>
      <c r="K56" s="32"/>
      <c r="L56" s="13">
        <v>0</v>
      </c>
      <c r="M56" s="13"/>
      <c r="N56" s="13"/>
      <c r="O56" s="13"/>
      <c r="P56" s="13"/>
    </row>
    <row r="57" spans="1:16">
      <c r="A57" s="10"/>
      <c r="B57" s="32"/>
      <c r="C57" s="78"/>
      <c r="D57" s="82" t="str">
        <f>IFERROR(IF(OR(ISTEXT(C57),C57=""),"",VLOOKUP(C57,param!A$4:B$15,2,FALSE)),"Param Not Recognised")</f>
        <v/>
      </c>
      <c r="E57" s="83" t="e">
        <f>IF(E48,INDEX($L57:$P57,E49+1),0)</f>
        <v>#NAME?</v>
      </c>
      <c r="F57" s="83" t="e">
        <f>IF(F48,INDEX($L57:$P57,F49+1),0)</f>
        <v>#NAME?</v>
      </c>
      <c r="G57" s="83" t="e">
        <f>IF(G48,INDEX($L57:$P57,G49+1),0)</f>
        <v>#NAME?</v>
      </c>
      <c r="H57" s="83" t="e">
        <f>IF(H48,INDEX($L57:$P57,H49+1),0)</f>
        <v>#NAME?</v>
      </c>
      <c r="I57" s="83" t="e">
        <f>IF(I48,INDEX($L57:$P57,I49+1),0)</f>
        <v>#NAME?</v>
      </c>
      <c r="J57" s="32"/>
      <c r="K57" s="32"/>
      <c r="L57" s="13">
        <v>0</v>
      </c>
      <c r="M57" s="13"/>
      <c r="N57" s="13"/>
      <c r="O57" s="13"/>
      <c r="P57" s="13"/>
    </row>
    <row r="58" spans="1:16">
      <c r="A58" s="10"/>
      <c r="B58" s="32"/>
      <c r="C58" s="78"/>
      <c r="D58" s="82" t="str">
        <f>IFERROR(IF(OR(ISTEXT(C58),C58=""),"",VLOOKUP(C58,param!A$4:B$15,2,FALSE)),"Param Not Recognised")</f>
        <v/>
      </c>
      <c r="E58" s="83" t="e">
        <f>IF(E48,INDEX($L58:$P58,E49+1),0)</f>
        <v>#NAME?</v>
      </c>
      <c r="F58" s="83" t="e">
        <f>IF(F48,INDEX($L58:$P58,F49+1),0)</f>
        <v>#NAME?</v>
      </c>
      <c r="G58" s="83" t="e">
        <f>IF(G48,INDEX($L58:$P58,G49+1),0)</f>
        <v>#NAME?</v>
      </c>
      <c r="H58" s="83" t="e">
        <f>IF(H48,INDEX($L58:$P58,H49+1),0)</f>
        <v>#NAME?</v>
      </c>
      <c r="I58" s="83" t="e">
        <f>IF(I48,INDEX($L58:$P58,I49+1),0)</f>
        <v>#NAME?</v>
      </c>
      <c r="J58" s="32"/>
      <c r="K58" s="32"/>
      <c r="L58" s="13">
        <v>0</v>
      </c>
      <c r="M58" s="13"/>
      <c r="N58" s="13"/>
      <c r="O58" s="13"/>
      <c r="P58" s="13"/>
    </row>
    <row r="59" spans="1:16">
      <c r="A59" s="10"/>
      <c r="B59" s="32"/>
      <c r="C59" s="78"/>
      <c r="D59" s="82" t="str">
        <f>IFERROR(IF(OR(ISTEXT(C59),C59=""),"",VLOOKUP(C59,param!A$4:B$15,2,FALSE)),"Param Not Recognised")</f>
        <v/>
      </c>
      <c r="E59" s="83" t="e">
        <f>IF(E48,INDEX($L59:$P59,E49+1),0)</f>
        <v>#NAME?</v>
      </c>
      <c r="F59" s="83" t="e">
        <f>IF(F48,INDEX($L59:$P59,F49+1),0)</f>
        <v>#NAME?</v>
      </c>
      <c r="G59" s="83" t="e">
        <f>IF(G48,INDEX($L59:$P59,G49+1),0)</f>
        <v>#NAME?</v>
      </c>
      <c r="H59" s="83" t="e">
        <f>IF(H48,INDEX($L59:$P59,H49+1),0)</f>
        <v>#NAME?</v>
      </c>
      <c r="I59" s="83" t="e">
        <f>IF(I48,INDEX($L59:$P59,I49+1),0)</f>
        <v>#NAME?</v>
      </c>
      <c r="J59" s="32"/>
      <c r="K59" s="32"/>
      <c r="L59" s="13">
        <v>0</v>
      </c>
      <c r="M59" s="13"/>
      <c r="N59" s="13"/>
      <c r="O59" s="13"/>
      <c r="P59" s="13"/>
    </row>
    <row r="60" spans="1:16">
      <c r="A60" s="26"/>
    </row>
    <row r="61" spans="1:16">
      <c r="A61" s="86">
        <v>5</v>
      </c>
      <c r="B61" s="38" t="str">
        <f>INDEX(SI_Name,A61+1)</f>
        <v>Project 5</v>
      </c>
      <c r="C61" s="31" t="s">
        <v>346</v>
      </c>
      <c r="D61" s="31"/>
      <c r="E61" s="33" t="e">
        <f>VLOOKUP($A61,calcTableSIsLaunched,adj_IndexTeam+1,FALSE)</f>
        <v>#NAME?</v>
      </c>
      <c r="F61" s="33" t="e">
        <f>VLOOKUP($A61,calcTableSIsLaunched,adj_IndexTeam+1,FALSE)</f>
        <v>#NAME?</v>
      </c>
      <c r="G61" s="33" t="e">
        <f>VLOOKUP($A61,calcTableSIsLaunched,adj_IndexTeam+1,FALSE)</f>
        <v>#NAME?</v>
      </c>
      <c r="H61" s="33" t="e">
        <f>VLOOKUP($A61,calcTableSIsLaunched,adj_IndexTeam+1,FALSE)</f>
        <v>#NAME?</v>
      </c>
      <c r="I61" s="33" t="e">
        <f>VLOOKUP($A61,calcTableSIsLaunched,adj_IndexTeam+1,FALSE)</f>
        <v>#NAME?</v>
      </c>
      <c r="J61" s="15">
        <f>SUMIF(C63:C72,adj_FTECode,M63:M72)</f>
        <v>0</v>
      </c>
      <c r="K61" s="15">
        <f>SUMIF(C63:C72,adj_CostCode,M63:M72)</f>
        <v>0</v>
      </c>
      <c r="L61" s="31"/>
      <c r="M61" s="31"/>
      <c r="N61" s="31"/>
      <c r="O61" s="31"/>
      <c r="P61" s="31"/>
    </row>
    <row r="62" spans="1:16">
      <c r="A62" s="10"/>
      <c r="B62" s="32"/>
      <c r="C62" s="32" t="s">
        <v>347</v>
      </c>
      <c r="D62" s="32"/>
      <c r="E62" s="33" t="e">
        <f>VLOOKUP($A61,calcTableSIsRoundsIntoLaunch,adj_IndexTeam+1,FALSE)</f>
        <v>#NAME?</v>
      </c>
      <c r="F62" s="33" t="e">
        <f>VLOOKUP($A61,calcTableSIsRoundsIntoLaunch,adj_IndexTeam+1,FALSE)</f>
        <v>#NAME?</v>
      </c>
      <c r="G62" s="33" t="e">
        <f>VLOOKUP($A61,calcTableSIsRoundsIntoLaunch,adj_IndexTeam+1,FALSE)</f>
        <v>#NAME?</v>
      </c>
      <c r="H62" s="33" t="e">
        <f>VLOOKUP($A61,calcTableSIsRoundsIntoLaunch,adj_IndexTeam+1,FALSE)</f>
        <v>#NAME?</v>
      </c>
      <c r="I62" s="33" t="e">
        <f>VLOOKUP($A61,calcTableSIsRoundsIntoLaunch,adj_IndexTeam+1,FALSE)</f>
        <v>#NAME?</v>
      </c>
      <c r="J62" s="32"/>
      <c r="K62" s="32"/>
      <c r="L62" s="32"/>
      <c r="M62" s="32"/>
      <c r="N62" s="32"/>
      <c r="O62" s="32"/>
      <c r="P62" s="32"/>
    </row>
    <row r="63" spans="1:16">
      <c r="A63" s="10"/>
      <c r="B63" s="32"/>
      <c r="C63" s="78"/>
      <c r="D63" s="82" t="str">
        <f>IFERROR(IF(OR(ISTEXT(C63),C63=""),"",VLOOKUP(C63,param!A$4:B$15,2,FALSE)),"Param Not Recognised")</f>
        <v/>
      </c>
      <c r="E63" s="83" t="e">
        <f>IF(E61,INDEX($L63:$P63,E62+1),0)</f>
        <v>#NAME?</v>
      </c>
      <c r="F63" s="83" t="e">
        <f>IF(F61,INDEX($L63:$P63,F62+1),0)</f>
        <v>#NAME?</v>
      </c>
      <c r="G63" s="83" t="e">
        <f>IF(G61,INDEX($L63:$P63,G62+1),0)</f>
        <v>#NAME?</v>
      </c>
      <c r="H63" s="83" t="e">
        <f>IF(H61,INDEX($L63:$P63,H62+1),0)</f>
        <v>#NAME?</v>
      </c>
      <c r="I63" s="83" t="e">
        <f>IF(I61,INDEX($L63:$P63,I62+1),0)</f>
        <v>#NAME?</v>
      </c>
      <c r="J63" s="32"/>
      <c r="K63" s="32"/>
      <c r="L63" s="13">
        <v>0</v>
      </c>
      <c r="M63" s="13"/>
      <c r="N63" s="13"/>
      <c r="O63" s="13"/>
      <c r="P63" s="13"/>
    </row>
    <row r="64" spans="1:16">
      <c r="A64" s="10"/>
      <c r="B64" s="32"/>
      <c r="C64" s="78"/>
      <c r="D64" s="82" t="str">
        <f>IFERROR(IF(OR(ISTEXT(C64),C64=""),"",VLOOKUP(C64,param!A$4:B$15,2,FALSE)),"Param Not Recognised")</f>
        <v/>
      </c>
      <c r="E64" s="83" t="e">
        <f>IF(E61,INDEX($L64:$P64,E62+1),0)</f>
        <v>#NAME?</v>
      </c>
      <c r="F64" s="83" t="e">
        <f>IF(F61,INDEX($L64:$P64,F62+1),0)</f>
        <v>#NAME?</v>
      </c>
      <c r="G64" s="83" t="e">
        <f>IF(G61,INDEX($L64:$P64,G62+1),0)</f>
        <v>#NAME?</v>
      </c>
      <c r="H64" s="83" t="e">
        <f>IF(H61,INDEX($L64:$P64,H62+1),0)</f>
        <v>#NAME?</v>
      </c>
      <c r="I64" s="83" t="e">
        <f>IF(I61,INDEX($L64:$P64,I62+1),0)</f>
        <v>#NAME?</v>
      </c>
      <c r="J64" s="32"/>
      <c r="K64" s="32"/>
      <c r="L64" s="13">
        <v>0</v>
      </c>
      <c r="M64" s="13"/>
      <c r="N64" s="13"/>
      <c r="O64" s="13"/>
      <c r="P64" s="13"/>
    </row>
    <row r="65" spans="1:16">
      <c r="A65" s="10"/>
      <c r="B65" s="32"/>
      <c r="C65" s="78"/>
      <c r="D65" s="82" t="str">
        <f>IFERROR(IF(OR(ISTEXT(C65),C65=""),"",VLOOKUP(C65,param!A$4:B$15,2,FALSE)),"Param Not Recognised")</f>
        <v/>
      </c>
      <c r="E65" s="83" t="e">
        <f>IF(E61,INDEX($L65:$P65,E62+1),0)</f>
        <v>#NAME?</v>
      </c>
      <c r="F65" s="83" t="e">
        <f>IF(F61,INDEX($L65:$P65,F62+1),0)</f>
        <v>#NAME?</v>
      </c>
      <c r="G65" s="83" t="e">
        <f>IF(G61,INDEX($L65:$P65,G62+1),0)</f>
        <v>#NAME?</v>
      </c>
      <c r="H65" s="83" t="e">
        <f>IF(H61,INDEX($L65:$P65,H62+1),0)</f>
        <v>#NAME?</v>
      </c>
      <c r="I65" s="83" t="e">
        <f>IF(I61,INDEX($L65:$P65,I62+1),0)</f>
        <v>#NAME?</v>
      </c>
      <c r="J65" s="32"/>
      <c r="K65" s="32"/>
      <c r="L65" s="13">
        <v>0</v>
      </c>
      <c r="M65" s="13"/>
      <c r="N65" s="13"/>
      <c r="O65" s="13"/>
      <c r="P65" s="13"/>
    </row>
    <row r="66" spans="1:16">
      <c r="A66" s="10"/>
      <c r="B66" s="32"/>
      <c r="C66" s="78"/>
      <c r="D66" s="82" t="str">
        <f>IFERROR(IF(OR(ISTEXT(C66),C66=""),"",VLOOKUP(C66,param!A$4:B$15,2,FALSE)),"Param Not Recognised")</f>
        <v/>
      </c>
      <c r="E66" s="83" t="e">
        <f>IF(E61,INDEX($L66:$P66,E62+1),0)</f>
        <v>#NAME?</v>
      </c>
      <c r="F66" s="83" t="e">
        <f>IF(F61,INDEX($L66:$P66,F62+1),0)</f>
        <v>#NAME?</v>
      </c>
      <c r="G66" s="83" t="e">
        <f>IF(G61,INDEX($L66:$P66,G62+1),0)</f>
        <v>#NAME?</v>
      </c>
      <c r="H66" s="83" t="e">
        <f>IF(H61,INDEX($L66:$P66,H62+1),0)</f>
        <v>#NAME?</v>
      </c>
      <c r="I66" s="83" t="e">
        <f>IF(I61,INDEX($L66:$P66,I62+1),0)</f>
        <v>#NAME?</v>
      </c>
      <c r="J66" s="32"/>
      <c r="K66" s="32"/>
      <c r="L66" s="13">
        <v>0</v>
      </c>
      <c r="M66" s="13"/>
      <c r="N66" s="13"/>
      <c r="O66" s="13"/>
      <c r="P66" s="13"/>
    </row>
    <row r="67" spans="1:16">
      <c r="A67" s="10"/>
      <c r="B67" s="32"/>
      <c r="C67" s="78"/>
      <c r="D67" s="82" t="str">
        <f>IFERROR(IF(OR(ISTEXT(C67),C67=""),"",VLOOKUP(C67,param!A$4:B$15,2,FALSE)),"Param Not Recognised")</f>
        <v/>
      </c>
      <c r="E67" s="83" t="e">
        <f>IF(E61,INDEX($L67:$P67,E62+1),0)</f>
        <v>#NAME?</v>
      </c>
      <c r="F67" s="83" t="e">
        <f>IF(F61,INDEX($L67:$P67,F62+1),0)</f>
        <v>#NAME?</v>
      </c>
      <c r="G67" s="83" t="e">
        <f>IF(G61,INDEX($L67:$P67,G62+1),0)</f>
        <v>#NAME?</v>
      </c>
      <c r="H67" s="83" t="e">
        <f>IF(H61,INDEX($L67:$P67,H62+1),0)</f>
        <v>#NAME?</v>
      </c>
      <c r="I67" s="83" t="e">
        <f>IF(I61,INDEX($L67:$P67,I62+1),0)</f>
        <v>#NAME?</v>
      </c>
      <c r="J67" s="32"/>
      <c r="K67" s="32"/>
      <c r="L67" s="13">
        <v>0</v>
      </c>
      <c r="M67" s="13"/>
      <c r="N67" s="13"/>
      <c r="O67" s="13"/>
      <c r="P67" s="13"/>
    </row>
    <row r="68" spans="1:16">
      <c r="A68" s="10"/>
      <c r="B68" s="32"/>
      <c r="C68" s="78"/>
      <c r="D68" s="82" t="str">
        <f>IFERROR(IF(OR(ISTEXT(C68),C68=""),"",VLOOKUP(C68,param!A$4:B$15,2,FALSE)),"Param Not Recognised")</f>
        <v/>
      </c>
      <c r="E68" s="83" t="e">
        <f>IF(E61,INDEX($L68:$P68,E62+1),0)</f>
        <v>#NAME?</v>
      </c>
      <c r="F68" s="83" t="e">
        <f>IF(F61,INDEX($L68:$P68,F62+1),0)</f>
        <v>#NAME?</v>
      </c>
      <c r="G68" s="83" t="e">
        <f>IF(G61,INDEX($L68:$P68,G62+1),0)</f>
        <v>#NAME?</v>
      </c>
      <c r="H68" s="83" t="e">
        <f>IF(H61,INDEX($L68:$P68,H62+1),0)</f>
        <v>#NAME?</v>
      </c>
      <c r="I68" s="83" t="e">
        <f>IF(I61,INDEX($L68:$P68,I62+1),0)</f>
        <v>#NAME?</v>
      </c>
      <c r="J68" s="32"/>
      <c r="K68" s="32"/>
      <c r="L68" s="13">
        <v>0</v>
      </c>
      <c r="M68" s="13"/>
      <c r="N68" s="13"/>
      <c r="O68" s="13"/>
      <c r="P68" s="13"/>
    </row>
    <row r="69" spans="1:16">
      <c r="A69" s="10"/>
      <c r="B69" s="32"/>
      <c r="C69" s="78"/>
      <c r="D69" s="82" t="str">
        <f>IFERROR(IF(OR(ISTEXT(C69),C69=""),"",VLOOKUP(C69,param!A$4:B$15,2,FALSE)),"Param Not Recognised")</f>
        <v/>
      </c>
      <c r="E69" s="83" t="e">
        <f>IF(E61,INDEX($L69:$P69,E62+1),0)</f>
        <v>#NAME?</v>
      </c>
      <c r="F69" s="83" t="e">
        <f>IF(F61,INDEX($L69:$P69,F62+1),0)</f>
        <v>#NAME?</v>
      </c>
      <c r="G69" s="83" t="e">
        <f>IF(G61,INDEX($L69:$P69,G62+1),0)</f>
        <v>#NAME?</v>
      </c>
      <c r="H69" s="83" t="e">
        <f>IF(H61,INDEX($L69:$P69,H62+1),0)</f>
        <v>#NAME?</v>
      </c>
      <c r="I69" s="83" t="e">
        <f>IF(I61,INDEX($L69:$P69,I62+1),0)</f>
        <v>#NAME?</v>
      </c>
      <c r="J69" s="32"/>
      <c r="K69" s="32"/>
      <c r="L69" s="13">
        <v>0</v>
      </c>
      <c r="M69" s="13"/>
      <c r="N69" s="13"/>
      <c r="O69" s="13"/>
      <c r="P69" s="13"/>
    </row>
    <row r="70" spans="1:16">
      <c r="A70" s="10"/>
      <c r="B70" s="32"/>
      <c r="C70" s="78"/>
      <c r="D70" s="82" t="str">
        <f>IFERROR(IF(OR(ISTEXT(C70),C70=""),"",VLOOKUP(C70,param!A$4:B$15,2,FALSE)),"Param Not Recognised")</f>
        <v/>
      </c>
      <c r="E70" s="83" t="e">
        <f>IF(E61,INDEX($L70:$P70,E62+1),0)</f>
        <v>#NAME?</v>
      </c>
      <c r="F70" s="83" t="e">
        <f>IF(F61,INDEX($L70:$P70,F62+1),0)</f>
        <v>#NAME?</v>
      </c>
      <c r="G70" s="83" t="e">
        <f>IF(G61,INDEX($L70:$P70,G62+1),0)</f>
        <v>#NAME?</v>
      </c>
      <c r="H70" s="83" t="e">
        <f>IF(H61,INDEX($L70:$P70,H62+1),0)</f>
        <v>#NAME?</v>
      </c>
      <c r="I70" s="83" t="e">
        <f>IF(I61,INDEX($L70:$P70,I62+1),0)</f>
        <v>#NAME?</v>
      </c>
      <c r="J70" s="32"/>
      <c r="K70" s="32"/>
      <c r="L70" s="13">
        <v>0</v>
      </c>
      <c r="M70" s="13"/>
      <c r="N70" s="13"/>
      <c r="O70" s="13"/>
      <c r="P70" s="13"/>
    </row>
    <row r="71" spans="1:16">
      <c r="A71" s="10"/>
      <c r="B71" s="32"/>
      <c r="C71" s="78"/>
      <c r="D71" s="82" t="str">
        <f>IFERROR(IF(OR(ISTEXT(C71),C71=""),"",VLOOKUP(C71,param!A$4:B$15,2,FALSE)),"Param Not Recognised")</f>
        <v/>
      </c>
      <c r="E71" s="83" t="e">
        <f>IF(E61,INDEX($L71:$P71,E62+1),0)</f>
        <v>#NAME?</v>
      </c>
      <c r="F71" s="83" t="e">
        <f>IF(F61,INDEX($L71:$P71,F62+1),0)</f>
        <v>#NAME?</v>
      </c>
      <c r="G71" s="83" t="e">
        <f>IF(G61,INDEX($L71:$P71,G62+1),0)</f>
        <v>#NAME?</v>
      </c>
      <c r="H71" s="83" t="e">
        <f>IF(H61,INDEX($L71:$P71,H62+1),0)</f>
        <v>#NAME?</v>
      </c>
      <c r="I71" s="83" t="e">
        <f>IF(I61,INDEX($L71:$P71,I62+1),0)</f>
        <v>#NAME?</v>
      </c>
      <c r="J71" s="32"/>
      <c r="K71" s="32"/>
      <c r="L71" s="13">
        <v>0</v>
      </c>
      <c r="M71" s="13"/>
      <c r="N71" s="13"/>
      <c r="O71" s="13"/>
      <c r="P71" s="13"/>
    </row>
    <row r="72" spans="1:16">
      <c r="A72" s="10"/>
      <c r="B72" s="32"/>
      <c r="C72" s="78"/>
      <c r="D72" s="82" t="str">
        <f>IFERROR(IF(OR(ISTEXT(C72),C72=""),"",VLOOKUP(C72,param!A$4:B$15,2,FALSE)),"Param Not Recognised")</f>
        <v/>
      </c>
      <c r="E72" s="83" t="e">
        <f>IF(E61,INDEX($L72:$P72,E62+1),0)</f>
        <v>#NAME?</v>
      </c>
      <c r="F72" s="83" t="e">
        <f>IF(F61,INDEX($L72:$P72,F62+1),0)</f>
        <v>#NAME?</v>
      </c>
      <c r="G72" s="83" t="e">
        <f>IF(G61,INDEX($L72:$P72,G62+1),0)</f>
        <v>#NAME?</v>
      </c>
      <c r="H72" s="83" t="e">
        <f>IF(H61,INDEX($L72:$P72,H62+1),0)</f>
        <v>#NAME?</v>
      </c>
      <c r="I72" s="83" t="e">
        <f>IF(I61,INDEX($L72:$P72,I62+1),0)</f>
        <v>#NAME?</v>
      </c>
      <c r="J72" s="32"/>
      <c r="K72" s="32"/>
      <c r="L72" s="13">
        <v>0</v>
      </c>
      <c r="M72" s="13"/>
      <c r="N72" s="13"/>
      <c r="O72" s="13"/>
      <c r="P72" s="13"/>
    </row>
    <row r="73" spans="1:16">
      <c r="A73" s="26"/>
    </row>
    <row r="74" spans="1:16">
      <c r="A74" s="86">
        <v>6</v>
      </c>
      <c r="B74" s="38" t="str">
        <f>INDEX(SI_Name,A74+1)</f>
        <v>Project 6</v>
      </c>
      <c r="C74" s="31" t="s">
        <v>346</v>
      </c>
      <c r="D74" s="31"/>
      <c r="E74" s="33" t="e">
        <f>VLOOKUP($A74,calcTableSIsLaunched,adj_IndexTeam+1,FALSE)</f>
        <v>#NAME?</v>
      </c>
      <c r="F74" s="33" t="e">
        <f>VLOOKUP($A74,calcTableSIsLaunched,adj_IndexTeam+1,FALSE)</f>
        <v>#NAME?</v>
      </c>
      <c r="G74" s="33" t="e">
        <f>VLOOKUP($A74,calcTableSIsLaunched,adj_IndexTeam+1,FALSE)</f>
        <v>#NAME?</v>
      </c>
      <c r="H74" s="33" t="e">
        <f>VLOOKUP($A74,calcTableSIsLaunched,adj_IndexTeam+1,FALSE)</f>
        <v>#NAME?</v>
      </c>
      <c r="I74" s="33" t="e">
        <f>VLOOKUP($A74,calcTableSIsLaunched,adj_IndexTeam+1,FALSE)</f>
        <v>#NAME?</v>
      </c>
      <c r="J74" s="15">
        <f>SUMIF(C76:C85,adj_FTECode,M76:M85)</f>
        <v>0</v>
      </c>
      <c r="K74" s="15">
        <f>SUMIF(C76:C85,adj_CostCode,M76:M85)</f>
        <v>0</v>
      </c>
      <c r="L74" s="31"/>
      <c r="M74" s="31"/>
      <c r="N74" s="31"/>
      <c r="O74" s="31"/>
      <c r="P74" s="31"/>
    </row>
    <row r="75" spans="1:16">
      <c r="A75" s="10"/>
      <c r="B75" s="32"/>
      <c r="C75" s="32" t="s">
        <v>347</v>
      </c>
      <c r="D75" s="32"/>
      <c r="E75" s="33" t="e">
        <f>VLOOKUP($A74,calcTableSIsRoundsIntoLaunch,adj_IndexTeam+1,FALSE)</f>
        <v>#NAME?</v>
      </c>
      <c r="F75" s="33" t="e">
        <f>VLOOKUP($A74,calcTableSIsRoundsIntoLaunch,adj_IndexTeam+1,FALSE)</f>
        <v>#NAME?</v>
      </c>
      <c r="G75" s="33" t="e">
        <f>VLOOKUP($A74,calcTableSIsRoundsIntoLaunch,adj_IndexTeam+1,FALSE)</f>
        <v>#NAME?</v>
      </c>
      <c r="H75" s="33" t="e">
        <f>VLOOKUP($A74,calcTableSIsRoundsIntoLaunch,adj_IndexTeam+1,FALSE)</f>
        <v>#NAME?</v>
      </c>
      <c r="I75" s="33" t="e">
        <f>VLOOKUP($A74,calcTableSIsRoundsIntoLaunch,adj_IndexTeam+1,FALSE)</f>
        <v>#NAME?</v>
      </c>
      <c r="J75" s="32"/>
      <c r="K75" s="32"/>
      <c r="L75" s="32"/>
      <c r="M75" s="32"/>
      <c r="N75" s="32"/>
      <c r="O75" s="32"/>
      <c r="P75" s="32"/>
    </row>
    <row r="76" spans="1:16">
      <c r="A76" s="10"/>
      <c r="B76" s="32"/>
      <c r="C76" s="78"/>
      <c r="D76" s="82" t="str">
        <f>IFERROR(IF(OR(ISTEXT(C76),C76=""),"",VLOOKUP(C76,param!A$4:B$15,2,FALSE)),"Param Not Recognised")</f>
        <v/>
      </c>
      <c r="E76" s="83" t="e">
        <f>IF(E74,INDEX($L76:$P76,E75+1),0)</f>
        <v>#NAME?</v>
      </c>
      <c r="F76" s="83" t="e">
        <f>IF(F74,INDEX($L76:$P76,F75+1),0)</f>
        <v>#NAME?</v>
      </c>
      <c r="G76" s="83" t="e">
        <f>IF(G74,INDEX($L76:$P76,G75+1),0)</f>
        <v>#NAME?</v>
      </c>
      <c r="H76" s="83" t="e">
        <f>IF(H74,INDEX($L76:$P76,H75+1),0)</f>
        <v>#NAME?</v>
      </c>
      <c r="I76" s="83" t="e">
        <f>IF(I74,INDEX($L76:$P76,I75+1),0)</f>
        <v>#NAME?</v>
      </c>
      <c r="J76" s="32"/>
      <c r="K76" s="32"/>
      <c r="L76" s="13">
        <v>0</v>
      </c>
      <c r="M76" s="13"/>
      <c r="N76" s="13"/>
      <c r="O76" s="13"/>
      <c r="P76" s="13"/>
    </row>
    <row r="77" spans="1:16">
      <c r="A77" s="10"/>
      <c r="B77" s="32"/>
      <c r="C77" s="78"/>
      <c r="D77" s="82" t="str">
        <f>IFERROR(IF(OR(ISTEXT(C77),C77=""),"",VLOOKUP(C77,param!A$4:B$15,2,FALSE)),"Param Not Recognised")</f>
        <v/>
      </c>
      <c r="E77" s="83" t="e">
        <f>IF(E74,INDEX($L77:$P77,E75+1),0)</f>
        <v>#NAME?</v>
      </c>
      <c r="F77" s="83" t="e">
        <f>IF(F74,INDEX($L77:$P77,F75+1),0)</f>
        <v>#NAME?</v>
      </c>
      <c r="G77" s="83" t="e">
        <f>IF(G74,INDEX($L77:$P77,G75+1),0)</f>
        <v>#NAME?</v>
      </c>
      <c r="H77" s="83" t="e">
        <f>IF(H74,INDEX($L77:$P77,H75+1),0)</f>
        <v>#NAME?</v>
      </c>
      <c r="I77" s="83" t="e">
        <f>IF(I74,INDEX($L77:$P77,I75+1),0)</f>
        <v>#NAME?</v>
      </c>
      <c r="J77" s="32"/>
      <c r="K77" s="32"/>
      <c r="L77" s="13">
        <v>0</v>
      </c>
      <c r="M77" s="13"/>
      <c r="N77" s="13"/>
      <c r="O77" s="13"/>
      <c r="P77" s="13"/>
    </row>
    <row r="78" spans="1:16">
      <c r="A78" s="10"/>
      <c r="B78" s="32"/>
      <c r="C78" s="78"/>
      <c r="D78" s="82" t="str">
        <f>IFERROR(IF(OR(ISTEXT(C78),C78=""),"",VLOOKUP(C78,param!A$4:B$15,2,FALSE)),"Param Not Recognised")</f>
        <v/>
      </c>
      <c r="E78" s="83" t="e">
        <f>IF(E74,INDEX($L78:$P78,E75+1),0)</f>
        <v>#NAME?</v>
      </c>
      <c r="F78" s="83" t="e">
        <f>IF(F74,INDEX($L78:$P78,F75+1),0)</f>
        <v>#NAME?</v>
      </c>
      <c r="G78" s="83" t="e">
        <f>IF(G74,INDEX($L78:$P78,G75+1),0)</f>
        <v>#NAME?</v>
      </c>
      <c r="H78" s="83" t="e">
        <f>IF(H74,INDEX($L78:$P78,H75+1),0)</f>
        <v>#NAME?</v>
      </c>
      <c r="I78" s="83" t="e">
        <f>IF(I74,INDEX($L78:$P78,I75+1),0)</f>
        <v>#NAME?</v>
      </c>
      <c r="J78" s="32"/>
      <c r="K78" s="32"/>
      <c r="L78" s="13">
        <v>0</v>
      </c>
      <c r="M78" s="13"/>
      <c r="N78" s="13"/>
      <c r="O78" s="13"/>
      <c r="P78" s="13"/>
    </row>
    <row r="79" spans="1:16">
      <c r="A79" s="10"/>
      <c r="B79" s="32"/>
      <c r="C79" s="78"/>
      <c r="D79" s="82" t="str">
        <f>IFERROR(IF(OR(ISTEXT(C79),C79=""),"",VLOOKUP(C79,param!A$4:B$15,2,FALSE)),"Param Not Recognised")</f>
        <v/>
      </c>
      <c r="E79" s="83" t="e">
        <f>IF(E74,INDEX($L79:$P79,E75+1),0)</f>
        <v>#NAME?</v>
      </c>
      <c r="F79" s="83" t="e">
        <f>IF(F74,INDEX($L79:$P79,F75+1),0)</f>
        <v>#NAME?</v>
      </c>
      <c r="G79" s="83" t="e">
        <f>IF(G74,INDEX($L79:$P79,G75+1),0)</f>
        <v>#NAME?</v>
      </c>
      <c r="H79" s="83" t="e">
        <f>IF(H74,INDEX($L79:$P79,H75+1),0)</f>
        <v>#NAME?</v>
      </c>
      <c r="I79" s="83" t="e">
        <f>IF(I74,INDEX($L79:$P79,I75+1),0)</f>
        <v>#NAME?</v>
      </c>
      <c r="J79" s="32"/>
      <c r="K79" s="32"/>
      <c r="L79" s="13">
        <v>0</v>
      </c>
      <c r="M79" s="13"/>
      <c r="N79" s="13"/>
      <c r="O79" s="13"/>
      <c r="P79" s="13"/>
    </row>
    <row r="80" spans="1:16">
      <c r="A80" s="10"/>
      <c r="B80" s="32"/>
      <c r="C80" s="78"/>
      <c r="D80" s="82" t="str">
        <f>IFERROR(IF(OR(ISTEXT(C80),C80=""),"",VLOOKUP(C80,param!A$4:B$15,2,FALSE)),"Param Not Recognised")</f>
        <v/>
      </c>
      <c r="E80" s="83" t="e">
        <f>IF(E74,INDEX($L80:$P80,E75+1),0)</f>
        <v>#NAME?</v>
      </c>
      <c r="F80" s="83" t="e">
        <f>IF(F74,INDEX($L80:$P80,F75+1),0)</f>
        <v>#NAME?</v>
      </c>
      <c r="G80" s="83" t="e">
        <f>IF(G74,INDEX($L80:$P80,G75+1),0)</f>
        <v>#NAME?</v>
      </c>
      <c r="H80" s="83" t="e">
        <f>IF(H74,INDEX($L80:$P80,H75+1),0)</f>
        <v>#NAME?</v>
      </c>
      <c r="I80" s="83" t="e">
        <f>IF(I74,INDEX($L80:$P80,I75+1),0)</f>
        <v>#NAME?</v>
      </c>
      <c r="J80" s="32"/>
      <c r="K80" s="32"/>
      <c r="L80" s="13">
        <v>0</v>
      </c>
      <c r="M80" s="13"/>
      <c r="N80" s="13"/>
      <c r="O80" s="13"/>
      <c r="P80" s="13"/>
    </row>
    <row r="81" spans="1:16">
      <c r="A81" s="10"/>
      <c r="B81" s="32"/>
      <c r="C81" s="78"/>
      <c r="D81" s="82" t="str">
        <f>IFERROR(IF(OR(ISTEXT(C81),C81=""),"",VLOOKUP(C81,param!A$4:B$15,2,FALSE)),"Param Not Recognised")</f>
        <v/>
      </c>
      <c r="E81" s="83" t="e">
        <f>IF(E74,INDEX($L81:$P81,E75+1),0)</f>
        <v>#NAME?</v>
      </c>
      <c r="F81" s="83" t="e">
        <f>IF(F74,INDEX($L81:$P81,F75+1),0)</f>
        <v>#NAME?</v>
      </c>
      <c r="G81" s="83" t="e">
        <f>IF(G74,INDEX($L81:$P81,G75+1),0)</f>
        <v>#NAME?</v>
      </c>
      <c r="H81" s="83" t="e">
        <f>IF(H74,INDEX($L81:$P81,H75+1),0)</f>
        <v>#NAME?</v>
      </c>
      <c r="I81" s="83" t="e">
        <f>IF(I74,INDEX($L81:$P81,I75+1),0)</f>
        <v>#NAME?</v>
      </c>
      <c r="J81" s="32"/>
      <c r="K81" s="32"/>
      <c r="L81" s="13">
        <v>0</v>
      </c>
      <c r="M81" s="13"/>
      <c r="N81" s="13"/>
      <c r="O81" s="13"/>
      <c r="P81" s="13"/>
    </row>
    <row r="82" spans="1:16">
      <c r="A82" s="10"/>
      <c r="B82" s="32"/>
      <c r="C82" s="78"/>
      <c r="D82" s="82" t="str">
        <f>IFERROR(IF(OR(ISTEXT(C82),C82=""),"",VLOOKUP(C82,param!A$4:B$15,2,FALSE)),"Param Not Recognised")</f>
        <v/>
      </c>
      <c r="E82" s="83" t="e">
        <f>IF(E74,INDEX($L82:$P82,E75+1),0)</f>
        <v>#NAME?</v>
      </c>
      <c r="F82" s="83" t="e">
        <f>IF(F74,INDEX($L82:$P82,F75+1),0)</f>
        <v>#NAME?</v>
      </c>
      <c r="G82" s="83" t="e">
        <f>IF(G74,INDEX($L82:$P82,G75+1),0)</f>
        <v>#NAME?</v>
      </c>
      <c r="H82" s="83" t="e">
        <f>IF(H74,INDEX($L82:$P82,H75+1),0)</f>
        <v>#NAME?</v>
      </c>
      <c r="I82" s="83" t="e">
        <f>IF(I74,INDEX($L82:$P82,I75+1),0)</f>
        <v>#NAME?</v>
      </c>
      <c r="J82" s="32"/>
      <c r="K82" s="32"/>
      <c r="L82" s="13">
        <v>0</v>
      </c>
      <c r="M82" s="13"/>
      <c r="N82" s="13"/>
      <c r="O82" s="13"/>
      <c r="P82" s="13"/>
    </row>
    <row r="83" spans="1:16">
      <c r="A83" s="10"/>
      <c r="B83" s="32"/>
      <c r="C83" s="78"/>
      <c r="D83" s="82" t="str">
        <f>IFERROR(IF(OR(ISTEXT(C83),C83=""),"",VLOOKUP(C83,param!A$4:B$15,2,FALSE)),"Param Not Recognised")</f>
        <v/>
      </c>
      <c r="E83" s="83" t="e">
        <f>IF(E74,INDEX($L83:$P83,E75+1),0)</f>
        <v>#NAME?</v>
      </c>
      <c r="F83" s="83" t="e">
        <f>IF(F74,INDEX($L83:$P83,F75+1),0)</f>
        <v>#NAME?</v>
      </c>
      <c r="G83" s="83" t="e">
        <f>IF(G74,INDEX($L83:$P83,G75+1),0)</f>
        <v>#NAME?</v>
      </c>
      <c r="H83" s="83" t="e">
        <f>IF(H74,INDEX($L83:$P83,H75+1),0)</f>
        <v>#NAME?</v>
      </c>
      <c r="I83" s="83" t="e">
        <f>IF(I74,INDEX($L83:$P83,I75+1),0)</f>
        <v>#NAME?</v>
      </c>
      <c r="J83" s="32"/>
      <c r="K83" s="32"/>
      <c r="L83" s="13">
        <v>0</v>
      </c>
      <c r="M83" s="13"/>
      <c r="N83" s="13"/>
      <c r="O83" s="13"/>
      <c r="P83" s="13"/>
    </row>
    <row r="84" spans="1:16">
      <c r="A84" s="10"/>
      <c r="B84" s="32"/>
      <c r="C84" s="78"/>
      <c r="D84" s="82" t="str">
        <f>IFERROR(IF(OR(ISTEXT(C84),C84=""),"",VLOOKUP(C84,param!A$4:B$15,2,FALSE)),"Param Not Recognised")</f>
        <v/>
      </c>
      <c r="E84" s="83" t="e">
        <f>IF(E74,INDEX($L84:$P84,E75+1),0)</f>
        <v>#NAME?</v>
      </c>
      <c r="F84" s="83" t="e">
        <f>IF(F74,INDEX($L84:$P84,F75+1),0)</f>
        <v>#NAME?</v>
      </c>
      <c r="G84" s="83" t="e">
        <f>IF(G74,INDEX($L84:$P84,G75+1),0)</f>
        <v>#NAME?</v>
      </c>
      <c r="H84" s="83" t="e">
        <f>IF(H74,INDEX($L84:$P84,H75+1),0)</f>
        <v>#NAME?</v>
      </c>
      <c r="I84" s="83" t="e">
        <f>IF(I74,INDEX($L84:$P84,I75+1),0)</f>
        <v>#NAME?</v>
      </c>
      <c r="J84" s="32"/>
      <c r="K84" s="32"/>
      <c r="L84" s="13">
        <v>0</v>
      </c>
      <c r="M84" s="13"/>
      <c r="N84" s="13"/>
      <c r="O84" s="13"/>
      <c r="P84" s="13"/>
    </row>
    <row r="85" spans="1:16">
      <c r="A85" s="10"/>
      <c r="B85" s="32"/>
      <c r="C85" s="78"/>
      <c r="D85" s="82" t="str">
        <f>IFERROR(IF(OR(ISTEXT(C85),C85=""),"",VLOOKUP(C85,param!A$4:B$15,2,FALSE)),"Param Not Recognised")</f>
        <v/>
      </c>
      <c r="E85" s="83" t="e">
        <f>IF(E74,INDEX($L85:$P85,E75+1),0)</f>
        <v>#NAME?</v>
      </c>
      <c r="F85" s="83" t="e">
        <f>IF(F74,INDEX($L85:$P85,F75+1),0)</f>
        <v>#NAME?</v>
      </c>
      <c r="G85" s="83" t="e">
        <f>IF(G74,INDEX($L85:$P85,G75+1),0)</f>
        <v>#NAME?</v>
      </c>
      <c r="H85" s="83" t="e">
        <f>IF(H74,INDEX($L85:$P85,H75+1),0)</f>
        <v>#NAME?</v>
      </c>
      <c r="I85" s="83" t="e">
        <f>IF(I74,INDEX($L85:$P85,I75+1),0)</f>
        <v>#NAME?</v>
      </c>
      <c r="J85" s="32"/>
      <c r="K85" s="32"/>
      <c r="L85" s="13">
        <v>0</v>
      </c>
      <c r="M85" s="13"/>
      <c r="N85" s="13"/>
      <c r="O85" s="13"/>
      <c r="P85" s="13"/>
    </row>
    <row r="86" spans="1:16">
      <c r="A86" s="26"/>
    </row>
    <row r="87" spans="1:16">
      <c r="A87" s="86">
        <v>7</v>
      </c>
      <c r="B87" s="38" t="str">
        <f>INDEX(SI_Name,A87+1)</f>
        <v>Project 7</v>
      </c>
      <c r="C87" s="31" t="s">
        <v>346</v>
      </c>
      <c r="D87" s="31"/>
      <c r="E87" s="33" t="e">
        <f>VLOOKUP($A87,calcTableSIsLaunched,adj_IndexTeam+1,FALSE)</f>
        <v>#NAME?</v>
      </c>
      <c r="F87" s="33" t="e">
        <f>VLOOKUP($A87,calcTableSIsLaunched,adj_IndexTeam+1,FALSE)</f>
        <v>#NAME?</v>
      </c>
      <c r="G87" s="33" t="e">
        <f>VLOOKUP($A87,calcTableSIsLaunched,adj_IndexTeam+1,FALSE)</f>
        <v>#NAME?</v>
      </c>
      <c r="H87" s="33" t="e">
        <f>VLOOKUP($A87,calcTableSIsLaunched,adj_IndexTeam+1,FALSE)</f>
        <v>#NAME?</v>
      </c>
      <c r="I87" s="33" t="e">
        <f>VLOOKUP($A87,calcTableSIsLaunched,adj_IndexTeam+1,FALSE)</f>
        <v>#NAME?</v>
      </c>
      <c r="J87" s="15">
        <f>SUMIF(C89:C98,adj_FTECode,M89:M98)</f>
        <v>0</v>
      </c>
      <c r="K87" s="15">
        <f>SUMIF(C89:C98,adj_CostCode,M89:M98)</f>
        <v>0</v>
      </c>
      <c r="L87" s="31"/>
      <c r="M87" s="31"/>
      <c r="N87" s="31"/>
      <c r="O87" s="31"/>
      <c r="P87" s="31"/>
    </row>
    <row r="88" spans="1:16">
      <c r="A88" s="10"/>
      <c r="B88" s="32"/>
      <c r="C88" s="32" t="s">
        <v>347</v>
      </c>
      <c r="D88" s="32"/>
      <c r="E88" s="33" t="e">
        <f>VLOOKUP($A87,calcTableSIsRoundsIntoLaunch,adj_IndexTeam+1,FALSE)</f>
        <v>#NAME?</v>
      </c>
      <c r="F88" s="33" t="e">
        <f>VLOOKUP($A87,calcTableSIsRoundsIntoLaunch,adj_IndexTeam+1,FALSE)</f>
        <v>#NAME?</v>
      </c>
      <c r="G88" s="33" t="e">
        <f>VLOOKUP($A87,calcTableSIsRoundsIntoLaunch,adj_IndexTeam+1,FALSE)</f>
        <v>#NAME?</v>
      </c>
      <c r="H88" s="33" t="e">
        <f>VLOOKUP($A87,calcTableSIsRoundsIntoLaunch,adj_IndexTeam+1,FALSE)</f>
        <v>#NAME?</v>
      </c>
      <c r="I88" s="33" t="e">
        <f>VLOOKUP($A87,calcTableSIsRoundsIntoLaunch,adj_IndexTeam+1,FALSE)</f>
        <v>#NAME?</v>
      </c>
      <c r="J88" s="32"/>
      <c r="K88" s="32"/>
      <c r="L88" s="32"/>
      <c r="M88" s="32"/>
      <c r="N88" s="32"/>
      <c r="O88" s="32"/>
      <c r="P88" s="32"/>
    </row>
    <row r="89" spans="1:16">
      <c r="A89" s="10"/>
      <c r="B89" s="32"/>
      <c r="C89" s="78"/>
      <c r="D89" s="82" t="str">
        <f>IFERROR(IF(OR(ISTEXT(C89),C89=""),"",VLOOKUP(C89,param!A$4:B$15,2,FALSE)),"Param Not Recognised")</f>
        <v/>
      </c>
      <c r="E89" s="83" t="e">
        <f>IF(E87,INDEX($L89:$P89,E88+1),0)</f>
        <v>#NAME?</v>
      </c>
      <c r="F89" s="83" t="e">
        <f>IF(F87,INDEX($L89:$P89,F88+1),0)</f>
        <v>#NAME?</v>
      </c>
      <c r="G89" s="83" t="e">
        <f>IF(G87,INDEX($L89:$P89,G88+1),0)</f>
        <v>#NAME?</v>
      </c>
      <c r="H89" s="83" t="e">
        <f>IF(H87,INDEX($L89:$P89,H88+1),0)</f>
        <v>#NAME?</v>
      </c>
      <c r="I89" s="83" t="e">
        <f>IF(I87,INDEX($L89:$P89,I88+1),0)</f>
        <v>#NAME?</v>
      </c>
      <c r="J89" s="32"/>
      <c r="K89" s="32"/>
      <c r="L89" s="13">
        <v>0</v>
      </c>
      <c r="M89" s="13"/>
      <c r="N89" s="13"/>
      <c r="O89" s="13"/>
      <c r="P89" s="13"/>
    </row>
    <row r="90" spans="1:16">
      <c r="A90" s="10"/>
      <c r="B90" s="32"/>
      <c r="C90" s="78"/>
      <c r="D90" s="82" t="str">
        <f>IFERROR(IF(OR(ISTEXT(C90),C90=""),"",VLOOKUP(C90,param!A$4:B$15,2,FALSE)),"Param Not Recognised")</f>
        <v/>
      </c>
      <c r="E90" s="83" t="e">
        <f>IF(E87,INDEX($L90:$P90,E88+1),0)</f>
        <v>#NAME?</v>
      </c>
      <c r="F90" s="83" t="e">
        <f>IF(F87,INDEX($L90:$P90,F88+1),0)</f>
        <v>#NAME?</v>
      </c>
      <c r="G90" s="83" t="e">
        <f>IF(G87,INDEX($L90:$P90,G88+1),0)</f>
        <v>#NAME?</v>
      </c>
      <c r="H90" s="83" t="e">
        <f>IF(H87,INDEX($L90:$P90,H88+1),0)</f>
        <v>#NAME?</v>
      </c>
      <c r="I90" s="83" t="e">
        <f>IF(I87,INDEX($L90:$P90,I88+1),0)</f>
        <v>#NAME?</v>
      </c>
      <c r="J90" s="32"/>
      <c r="K90" s="32"/>
      <c r="L90" s="13">
        <v>0</v>
      </c>
      <c r="M90" s="13"/>
      <c r="N90" s="13"/>
      <c r="O90" s="13"/>
      <c r="P90" s="13"/>
    </row>
    <row r="91" spans="1:16">
      <c r="A91" s="10"/>
      <c r="B91" s="32"/>
      <c r="C91" s="78"/>
      <c r="D91" s="82" t="str">
        <f>IFERROR(IF(OR(ISTEXT(C91),C91=""),"",VLOOKUP(C91,param!A$4:B$15,2,FALSE)),"Param Not Recognised")</f>
        <v/>
      </c>
      <c r="E91" s="83" t="e">
        <f>IF(E87,INDEX($L91:$P91,E88+1),0)</f>
        <v>#NAME?</v>
      </c>
      <c r="F91" s="83" t="e">
        <f>IF(F87,INDEX($L91:$P91,F88+1),0)</f>
        <v>#NAME?</v>
      </c>
      <c r="G91" s="83" t="e">
        <f>IF(G87,INDEX($L91:$P91,G88+1),0)</f>
        <v>#NAME?</v>
      </c>
      <c r="H91" s="83" t="e">
        <f>IF(H87,INDEX($L91:$P91,H88+1),0)</f>
        <v>#NAME?</v>
      </c>
      <c r="I91" s="83" t="e">
        <f>IF(I87,INDEX($L91:$P91,I88+1),0)</f>
        <v>#NAME?</v>
      </c>
      <c r="J91" s="32"/>
      <c r="K91" s="32"/>
      <c r="L91" s="13">
        <v>0</v>
      </c>
      <c r="M91" s="13"/>
      <c r="N91" s="13"/>
      <c r="O91" s="13"/>
      <c r="P91" s="13"/>
    </row>
    <row r="92" spans="1:16">
      <c r="A92" s="10"/>
      <c r="B92" s="32"/>
      <c r="C92" s="78"/>
      <c r="D92" s="82" t="str">
        <f>IFERROR(IF(OR(ISTEXT(C92),C92=""),"",VLOOKUP(C92,param!A$4:B$15,2,FALSE)),"Param Not Recognised")</f>
        <v/>
      </c>
      <c r="E92" s="83" t="e">
        <f>IF(E87,INDEX($L92:$P92,E88+1),0)</f>
        <v>#NAME?</v>
      </c>
      <c r="F92" s="83" t="e">
        <f>IF(F87,INDEX($L92:$P92,F88+1),0)</f>
        <v>#NAME?</v>
      </c>
      <c r="G92" s="83" t="e">
        <f>IF(G87,INDEX($L92:$P92,G88+1),0)</f>
        <v>#NAME?</v>
      </c>
      <c r="H92" s="83" t="e">
        <f>IF(H87,INDEX($L92:$P92,H88+1),0)</f>
        <v>#NAME?</v>
      </c>
      <c r="I92" s="83" t="e">
        <f>IF(I87,INDEX($L92:$P92,I88+1),0)</f>
        <v>#NAME?</v>
      </c>
      <c r="J92" s="32"/>
      <c r="K92" s="32"/>
      <c r="L92" s="13">
        <v>0</v>
      </c>
      <c r="M92" s="13"/>
      <c r="N92" s="13"/>
      <c r="O92" s="13"/>
      <c r="P92" s="13"/>
    </row>
    <row r="93" spans="1:16">
      <c r="A93" s="10"/>
      <c r="B93" s="32"/>
      <c r="C93" s="78"/>
      <c r="D93" s="82" t="str">
        <f>IFERROR(IF(OR(ISTEXT(C93),C93=""),"",VLOOKUP(C93,param!A$4:B$15,2,FALSE)),"Param Not Recognised")</f>
        <v/>
      </c>
      <c r="E93" s="83" t="e">
        <f>IF(E87,INDEX($L93:$P93,E88+1),0)</f>
        <v>#NAME?</v>
      </c>
      <c r="F93" s="83" t="e">
        <f>IF(F87,INDEX($L93:$P93,F88+1),0)</f>
        <v>#NAME?</v>
      </c>
      <c r="G93" s="83" t="e">
        <f>IF(G87,INDEX($L93:$P93,G88+1),0)</f>
        <v>#NAME?</v>
      </c>
      <c r="H93" s="83" t="e">
        <f>IF(H87,INDEX($L93:$P93,H88+1),0)</f>
        <v>#NAME?</v>
      </c>
      <c r="I93" s="83" t="e">
        <f>IF(I87,INDEX($L93:$P93,I88+1),0)</f>
        <v>#NAME?</v>
      </c>
      <c r="J93" s="32"/>
      <c r="K93" s="32"/>
      <c r="L93" s="13">
        <v>0</v>
      </c>
      <c r="M93" s="13"/>
      <c r="N93" s="13"/>
      <c r="O93" s="13"/>
      <c r="P93" s="13"/>
    </row>
    <row r="94" spans="1:16">
      <c r="A94" s="10"/>
      <c r="B94" s="32"/>
      <c r="C94" s="78"/>
      <c r="D94" s="82" t="str">
        <f>IFERROR(IF(OR(ISTEXT(C94),C94=""),"",VLOOKUP(C94,param!A$4:B$15,2,FALSE)),"Param Not Recognised")</f>
        <v/>
      </c>
      <c r="E94" s="83" t="e">
        <f>IF(E87,INDEX($L94:$P94,E88+1),0)</f>
        <v>#NAME?</v>
      </c>
      <c r="F94" s="83" t="e">
        <f>IF(F87,INDEX($L94:$P94,F88+1),0)</f>
        <v>#NAME?</v>
      </c>
      <c r="G94" s="83" t="e">
        <f>IF(G87,INDEX($L94:$P94,G88+1),0)</f>
        <v>#NAME?</v>
      </c>
      <c r="H94" s="83" t="e">
        <f>IF(H87,INDEX($L94:$P94,H88+1),0)</f>
        <v>#NAME?</v>
      </c>
      <c r="I94" s="83" t="e">
        <f>IF(I87,INDEX($L94:$P94,I88+1),0)</f>
        <v>#NAME?</v>
      </c>
      <c r="J94" s="32"/>
      <c r="K94" s="32"/>
      <c r="L94" s="13">
        <v>0</v>
      </c>
      <c r="M94" s="13"/>
      <c r="N94" s="13"/>
      <c r="O94" s="13"/>
      <c r="P94" s="13"/>
    </row>
    <row r="95" spans="1:16">
      <c r="A95" s="10"/>
      <c r="B95" s="32"/>
      <c r="C95" s="78"/>
      <c r="D95" s="82" t="str">
        <f>IFERROR(IF(OR(ISTEXT(C95),C95=""),"",VLOOKUP(C95,param!A$4:B$15,2,FALSE)),"Param Not Recognised")</f>
        <v/>
      </c>
      <c r="E95" s="83" t="e">
        <f>IF(E87,INDEX($L95:$P95,E88+1),0)</f>
        <v>#NAME?</v>
      </c>
      <c r="F95" s="83" t="e">
        <f>IF(F87,INDEX($L95:$P95,F88+1),0)</f>
        <v>#NAME?</v>
      </c>
      <c r="G95" s="83" t="e">
        <f>IF(G87,INDEX($L95:$P95,G88+1),0)</f>
        <v>#NAME?</v>
      </c>
      <c r="H95" s="83" t="e">
        <f>IF(H87,INDEX($L95:$P95,H88+1),0)</f>
        <v>#NAME?</v>
      </c>
      <c r="I95" s="83" t="e">
        <f>IF(I87,INDEX($L95:$P95,I88+1),0)</f>
        <v>#NAME?</v>
      </c>
      <c r="J95" s="32"/>
      <c r="K95" s="32"/>
      <c r="L95" s="13">
        <v>0</v>
      </c>
      <c r="M95" s="13"/>
      <c r="N95" s="13"/>
      <c r="O95" s="13"/>
      <c r="P95" s="13"/>
    </row>
    <row r="96" spans="1:16">
      <c r="A96" s="10"/>
      <c r="B96" s="32"/>
      <c r="C96" s="78"/>
      <c r="D96" s="82" t="str">
        <f>IFERROR(IF(OR(ISTEXT(C96),C96=""),"",VLOOKUP(C96,param!A$4:B$15,2,FALSE)),"Param Not Recognised")</f>
        <v/>
      </c>
      <c r="E96" s="83" t="e">
        <f>IF(E87,INDEX($L96:$P96,E88+1),0)</f>
        <v>#NAME?</v>
      </c>
      <c r="F96" s="83" t="e">
        <f>IF(F87,INDEX($L96:$P96,F88+1),0)</f>
        <v>#NAME?</v>
      </c>
      <c r="G96" s="83" t="e">
        <f>IF(G87,INDEX($L96:$P96,G88+1),0)</f>
        <v>#NAME?</v>
      </c>
      <c r="H96" s="83" t="e">
        <f>IF(H87,INDEX($L96:$P96,H88+1),0)</f>
        <v>#NAME?</v>
      </c>
      <c r="I96" s="83" t="e">
        <f>IF(I87,INDEX($L96:$P96,I88+1),0)</f>
        <v>#NAME?</v>
      </c>
      <c r="J96" s="32"/>
      <c r="K96" s="32"/>
      <c r="L96" s="13">
        <v>0</v>
      </c>
      <c r="M96" s="13"/>
      <c r="N96" s="13"/>
      <c r="O96" s="13"/>
      <c r="P96" s="13"/>
    </row>
    <row r="97" spans="1:16">
      <c r="A97" s="10"/>
      <c r="B97" s="32"/>
      <c r="C97" s="78"/>
      <c r="D97" s="82" t="str">
        <f>IFERROR(IF(OR(ISTEXT(C97),C97=""),"",VLOOKUP(C97,param!A$4:B$15,2,FALSE)),"Param Not Recognised")</f>
        <v/>
      </c>
      <c r="E97" s="83" t="e">
        <f>IF(E87,INDEX($L97:$P97,E88+1),0)</f>
        <v>#NAME?</v>
      </c>
      <c r="F97" s="83" t="e">
        <f>IF(F87,INDEX($L97:$P97,F88+1),0)</f>
        <v>#NAME?</v>
      </c>
      <c r="G97" s="83" t="e">
        <f>IF(G87,INDEX($L97:$P97,G88+1),0)</f>
        <v>#NAME?</v>
      </c>
      <c r="H97" s="83" t="e">
        <f>IF(H87,INDEX($L97:$P97,H88+1),0)</f>
        <v>#NAME?</v>
      </c>
      <c r="I97" s="83" t="e">
        <f>IF(I87,INDEX($L97:$P97,I88+1),0)</f>
        <v>#NAME?</v>
      </c>
      <c r="J97" s="32"/>
      <c r="K97" s="32"/>
      <c r="L97" s="13">
        <v>0</v>
      </c>
      <c r="M97" s="13"/>
      <c r="N97" s="13"/>
      <c r="O97" s="13"/>
      <c r="P97" s="13"/>
    </row>
    <row r="98" spans="1:16">
      <c r="A98" s="10"/>
      <c r="B98" s="32"/>
      <c r="C98" s="78"/>
      <c r="D98" s="82" t="str">
        <f>IFERROR(IF(OR(ISTEXT(C98),C98=""),"",VLOOKUP(C98,param!A$4:B$15,2,FALSE)),"Param Not Recognised")</f>
        <v/>
      </c>
      <c r="E98" s="83" t="e">
        <f>IF(E87,INDEX($L98:$P98,E88+1),0)</f>
        <v>#NAME?</v>
      </c>
      <c r="F98" s="83" t="e">
        <f>IF(F87,INDEX($L98:$P98,F88+1),0)</f>
        <v>#NAME?</v>
      </c>
      <c r="G98" s="83" t="e">
        <f>IF(G87,INDEX($L98:$P98,G88+1),0)</f>
        <v>#NAME?</v>
      </c>
      <c r="H98" s="83" t="e">
        <f>IF(H87,INDEX($L98:$P98,H88+1),0)</f>
        <v>#NAME?</v>
      </c>
      <c r="I98" s="83" t="e">
        <f>IF(I87,INDEX($L98:$P98,I88+1),0)</f>
        <v>#NAME?</v>
      </c>
      <c r="J98" s="32"/>
      <c r="K98" s="32"/>
      <c r="L98" s="13">
        <v>0</v>
      </c>
      <c r="M98" s="13"/>
      <c r="N98" s="13"/>
      <c r="O98" s="13"/>
      <c r="P98" s="13"/>
    </row>
    <row r="99" spans="1:16">
      <c r="A99" s="26"/>
    </row>
    <row r="100" spans="1:16">
      <c r="A100" s="86">
        <v>8</v>
      </c>
      <c r="B100" s="38" t="str">
        <f>INDEX(SI_Name,A100+1)</f>
        <v>Project 8</v>
      </c>
      <c r="C100" s="31" t="s">
        <v>346</v>
      </c>
      <c r="D100" s="31"/>
      <c r="E100" s="33" t="e">
        <f>VLOOKUP($A100,calcTableSIsLaunched,adj_IndexTeam+1,FALSE)</f>
        <v>#NAME?</v>
      </c>
      <c r="F100" s="33" t="e">
        <f>VLOOKUP($A100,calcTableSIsLaunched,adj_IndexTeam+1,FALSE)</f>
        <v>#NAME?</v>
      </c>
      <c r="G100" s="33" t="e">
        <f>VLOOKUP($A100,calcTableSIsLaunched,adj_IndexTeam+1,FALSE)</f>
        <v>#NAME?</v>
      </c>
      <c r="H100" s="33" t="e">
        <f>VLOOKUP($A100,calcTableSIsLaunched,adj_IndexTeam+1,FALSE)</f>
        <v>#NAME?</v>
      </c>
      <c r="I100" s="33" t="e">
        <f>VLOOKUP($A100,calcTableSIsLaunched,adj_IndexTeam+1,FALSE)</f>
        <v>#NAME?</v>
      </c>
      <c r="J100" s="15">
        <f>SUMIF(C102:C111,adj_FTECode,M102:M111)</f>
        <v>0</v>
      </c>
      <c r="K100" s="15">
        <f>SUMIF(C102:C111,adj_CostCode,M102:M111)</f>
        <v>0</v>
      </c>
      <c r="L100" s="31"/>
      <c r="M100" s="31"/>
      <c r="N100" s="31"/>
      <c r="O100" s="31"/>
      <c r="P100" s="31"/>
    </row>
    <row r="101" spans="1:16">
      <c r="A101" s="10"/>
      <c r="B101" s="32"/>
      <c r="C101" s="32" t="s">
        <v>347</v>
      </c>
      <c r="D101" s="32"/>
      <c r="E101" s="33" t="e">
        <f>VLOOKUP($A100,calcTableSIsRoundsIntoLaunch,adj_IndexTeam+1,FALSE)</f>
        <v>#NAME?</v>
      </c>
      <c r="F101" s="33" t="e">
        <f>VLOOKUP($A100,calcTableSIsRoundsIntoLaunch,adj_IndexTeam+1,FALSE)</f>
        <v>#NAME?</v>
      </c>
      <c r="G101" s="33" t="e">
        <f>VLOOKUP($A100,calcTableSIsRoundsIntoLaunch,adj_IndexTeam+1,FALSE)</f>
        <v>#NAME?</v>
      </c>
      <c r="H101" s="33" t="e">
        <f>VLOOKUP($A100,calcTableSIsRoundsIntoLaunch,adj_IndexTeam+1,FALSE)</f>
        <v>#NAME?</v>
      </c>
      <c r="I101" s="33" t="e">
        <f>VLOOKUP($A100,calcTableSIsRoundsIntoLaunch,adj_IndexTeam+1,FALSE)</f>
        <v>#NAME?</v>
      </c>
      <c r="J101" s="32"/>
      <c r="K101" s="32"/>
      <c r="L101" s="32"/>
      <c r="M101" s="32"/>
      <c r="N101" s="32"/>
      <c r="O101" s="32"/>
      <c r="P101" s="32"/>
    </row>
    <row r="102" spans="1:16">
      <c r="A102" s="10"/>
      <c r="B102" s="32"/>
      <c r="C102" s="78"/>
      <c r="D102" s="82" t="str">
        <f>IFERROR(IF(OR(ISTEXT(C102),C102=""),"",VLOOKUP(C102,param!A$4:B$15,2,FALSE)),"Param Not Recognised")</f>
        <v/>
      </c>
      <c r="E102" s="83" t="e">
        <f>IF(E100,INDEX($L102:$P102,E101+1),0)</f>
        <v>#NAME?</v>
      </c>
      <c r="F102" s="83" t="e">
        <f>IF(F100,INDEX($L102:$P102,F101+1),0)</f>
        <v>#NAME?</v>
      </c>
      <c r="G102" s="83" t="e">
        <f>IF(G100,INDEX($L102:$P102,G101+1),0)</f>
        <v>#NAME?</v>
      </c>
      <c r="H102" s="83" t="e">
        <f>IF(H100,INDEX($L102:$P102,H101+1),0)</f>
        <v>#NAME?</v>
      </c>
      <c r="I102" s="83" t="e">
        <f>IF(I100,INDEX($L102:$P102,I101+1),0)</f>
        <v>#NAME?</v>
      </c>
      <c r="J102" s="32"/>
      <c r="K102" s="32"/>
      <c r="L102" s="13">
        <v>0</v>
      </c>
      <c r="M102" s="13"/>
      <c r="N102" s="13"/>
      <c r="O102" s="13"/>
      <c r="P102" s="13"/>
    </row>
    <row r="103" spans="1:16">
      <c r="A103" s="10"/>
      <c r="B103" s="32"/>
      <c r="C103" s="78"/>
      <c r="D103" s="82" t="str">
        <f>IFERROR(IF(OR(ISTEXT(C103),C103=""),"",VLOOKUP(C103,param!A$4:B$15,2,FALSE)),"Param Not Recognised")</f>
        <v/>
      </c>
      <c r="E103" s="83" t="e">
        <f>IF(E100,INDEX($L103:$P103,E101+1),0)</f>
        <v>#NAME?</v>
      </c>
      <c r="F103" s="83" t="e">
        <f>IF(F100,INDEX($L103:$P103,F101+1),0)</f>
        <v>#NAME?</v>
      </c>
      <c r="G103" s="83" t="e">
        <f>IF(G100,INDEX($L103:$P103,G101+1),0)</f>
        <v>#NAME?</v>
      </c>
      <c r="H103" s="83" t="e">
        <f>IF(H100,INDEX($L103:$P103,H101+1),0)</f>
        <v>#NAME?</v>
      </c>
      <c r="I103" s="83" t="e">
        <f>IF(I100,INDEX($L103:$P103,I101+1),0)</f>
        <v>#NAME?</v>
      </c>
      <c r="J103" s="32"/>
      <c r="K103" s="32"/>
      <c r="L103" s="13">
        <v>0</v>
      </c>
      <c r="M103" s="13"/>
      <c r="N103" s="13"/>
      <c r="O103" s="13"/>
      <c r="P103" s="13"/>
    </row>
    <row r="104" spans="1:16">
      <c r="A104" s="10"/>
      <c r="B104" s="32"/>
      <c r="C104" s="78"/>
      <c r="D104" s="82" t="str">
        <f>IFERROR(IF(OR(ISTEXT(C104),C104=""),"",VLOOKUP(C104,param!A$4:B$15,2,FALSE)),"Param Not Recognised")</f>
        <v/>
      </c>
      <c r="E104" s="83" t="e">
        <f>IF(E100,INDEX($L104:$P104,E101+1),0)</f>
        <v>#NAME?</v>
      </c>
      <c r="F104" s="83" t="e">
        <f>IF(F100,INDEX($L104:$P104,F101+1),0)</f>
        <v>#NAME?</v>
      </c>
      <c r="G104" s="83" t="e">
        <f>IF(G100,INDEX($L104:$P104,G101+1),0)</f>
        <v>#NAME?</v>
      </c>
      <c r="H104" s="83" t="e">
        <f>IF(H100,INDEX($L104:$P104,H101+1),0)</f>
        <v>#NAME?</v>
      </c>
      <c r="I104" s="83" t="e">
        <f>IF(I100,INDEX($L104:$P104,I101+1),0)</f>
        <v>#NAME?</v>
      </c>
      <c r="J104" s="32"/>
      <c r="K104" s="32"/>
      <c r="L104" s="13">
        <v>0</v>
      </c>
      <c r="M104" s="13"/>
      <c r="N104" s="13"/>
      <c r="O104" s="13"/>
      <c r="P104" s="13"/>
    </row>
    <row r="105" spans="1:16">
      <c r="A105" s="10"/>
      <c r="B105" s="32"/>
      <c r="C105" s="78"/>
      <c r="D105" s="82" t="str">
        <f>IFERROR(IF(OR(ISTEXT(C105),C105=""),"",VLOOKUP(C105,param!A$4:B$15,2,FALSE)),"Param Not Recognised")</f>
        <v/>
      </c>
      <c r="E105" s="83" t="e">
        <f>IF(E100,INDEX($L105:$P105,E101+1),0)</f>
        <v>#NAME?</v>
      </c>
      <c r="F105" s="83" t="e">
        <f>IF(F100,INDEX($L105:$P105,F101+1),0)</f>
        <v>#NAME?</v>
      </c>
      <c r="G105" s="83" t="e">
        <f>IF(G100,INDEX($L105:$P105,G101+1),0)</f>
        <v>#NAME?</v>
      </c>
      <c r="H105" s="83" t="e">
        <f>IF(H100,INDEX($L105:$P105,H101+1),0)</f>
        <v>#NAME?</v>
      </c>
      <c r="I105" s="83" t="e">
        <f>IF(I100,INDEX($L105:$P105,I101+1),0)</f>
        <v>#NAME?</v>
      </c>
      <c r="J105" s="32"/>
      <c r="K105" s="32"/>
      <c r="L105" s="13">
        <v>0</v>
      </c>
      <c r="M105" s="13"/>
      <c r="N105" s="13"/>
      <c r="O105" s="13"/>
      <c r="P105" s="13"/>
    </row>
    <row r="106" spans="1:16">
      <c r="A106" s="10"/>
      <c r="B106" s="32"/>
      <c r="C106" s="78"/>
      <c r="D106" s="82" t="str">
        <f>IFERROR(IF(OR(ISTEXT(C106),C106=""),"",VLOOKUP(C106,param!A$4:B$15,2,FALSE)),"Param Not Recognised")</f>
        <v/>
      </c>
      <c r="E106" s="83" t="e">
        <f>IF(E100,INDEX($L106:$P106,E101+1),0)</f>
        <v>#NAME?</v>
      </c>
      <c r="F106" s="83" t="e">
        <f>IF(F100,INDEX($L106:$P106,F101+1),0)</f>
        <v>#NAME?</v>
      </c>
      <c r="G106" s="83" t="e">
        <f>IF(G100,INDEX($L106:$P106,G101+1),0)</f>
        <v>#NAME?</v>
      </c>
      <c r="H106" s="83" t="e">
        <f>IF(H100,INDEX($L106:$P106,H101+1),0)</f>
        <v>#NAME?</v>
      </c>
      <c r="I106" s="83" t="e">
        <f>IF(I100,INDEX($L106:$P106,I101+1),0)</f>
        <v>#NAME?</v>
      </c>
      <c r="J106" s="32"/>
      <c r="K106" s="32"/>
      <c r="L106" s="13">
        <v>0</v>
      </c>
      <c r="M106" s="13"/>
      <c r="N106" s="13"/>
      <c r="O106" s="13"/>
      <c r="P106" s="13"/>
    </row>
    <row r="107" spans="1:16">
      <c r="A107" s="10"/>
      <c r="B107" s="32"/>
      <c r="C107" s="78"/>
      <c r="D107" s="82" t="str">
        <f>IFERROR(IF(OR(ISTEXT(C107),C107=""),"",VLOOKUP(C107,param!A$4:B$15,2,FALSE)),"Param Not Recognised")</f>
        <v/>
      </c>
      <c r="E107" s="83" t="e">
        <f>IF(E100,INDEX($L107:$P107,E101+1),0)</f>
        <v>#NAME?</v>
      </c>
      <c r="F107" s="83" t="e">
        <f>IF(F100,INDEX($L107:$P107,F101+1),0)</f>
        <v>#NAME?</v>
      </c>
      <c r="G107" s="83" t="e">
        <f>IF(G100,INDEX($L107:$P107,G101+1),0)</f>
        <v>#NAME?</v>
      </c>
      <c r="H107" s="83" t="e">
        <f>IF(H100,INDEX($L107:$P107,H101+1),0)</f>
        <v>#NAME?</v>
      </c>
      <c r="I107" s="83" t="e">
        <f>IF(I100,INDEX($L107:$P107,I101+1),0)</f>
        <v>#NAME?</v>
      </c>
      <c r="J107" s="32"/>
      <c r="K107" s="32"/>
      <c r="L107" s="13">
        <v>0</v>
      </c>
      <c r="M107" s="13"/>
      <c r="N107" s="13"/>
      <c r="O107" s="13"/>
      <c r="P107" s="13"/>
    </row>
    <row r="108" spans="1:16">
      <c r="A108" s="10"/>
      <c r="B108" s="32"/>
      <c r="C108" s="78"/>
      <c r="D108" s="82" t="str">
        <f>IFERROR(IF(OR(ISTEXT(C108),C108=""),"",VLOOKUP(C108,param!A$4:B$15,2,FALSE)),"Param Not Recognised")</f>
        <v/>
      </c>
      <c r="E108" s="83" t="e">
        <f>IF(E100,INDEX($L108:$P108,E101+1),0)</f>
        <v>#NAME?</v>
      </c>
      <c r="F108" s="83" t="e">
        <f>IF(F100,INDEX($L108:$P108,F101+1),0)</f>
        <v>#NAME?</v>
      </c>
      <c r="G108" s="83" t="e">
        <f>IF(G100,INDEX($L108:$P108,G101+1),0)</f>
        <v>#NAME?</v>
      </c>
      <c r="H108" s="83" t="e">
        <f>IF(H100,INDEX($L108:$P108,H101+1),0)</f>
        <v>#NAME?</v>
      </c>
      <c r="I108" s="83" t="e">
        <f>IF(I100,INDEX($L108:$P108,I101+1),0)</f>
        <v>#NAME?</v>
      </c>
      <c r="J108" s="32"/>
      <c r="K108" s="32"/>
      <c r="L108" s="13">
        <v>0</v>
      </c>
      <c r="M108" s="13"/>
      <c r="N108" s="13"/>
      <c r="O108" s="13"/>
      <c r="P108" s="13"/>
    </row>
    <row r="109" spans="1:16">
      <c r="A109" s="10"/>
      <c r="B109" s="32"/>
      <c r="C109" s="78"/>
      <c r="D109" s="82" t="str">
        <f>IFERROR(IF(OR(ISTEXT(C109),C109=""),"",VLOOKUP(C109,param!A$4:B$15,2,FALSE)),"Param Not Recognised")</f>
        <v/>
      </c>
      <c r="E109" s="83" t="e">
        <f>IF(E100,INDEX($L109:$P109,E101+1),0)</f>
        <v>#NAME?</v>
      </c>
      <c r="F109" s="83" t="e">
        <f>IF(F100,INDEX($L109:$P109,F101+1),0)</f>
        <v>#NAME?</v>
      </c>
      <c r="G109" s="83" t="e">
        <f>IF(G100,INDEX($L109:$P109,G101+1),0)</f>
        <v>#NAME?</v>
      </c>
      <c r="H109" s="83" t="e">
        <f>IF(H100,INDEX($L109:$P109,H101+1),0)</f>
        <v>#NAME?</v>
      </c>
      <c r="I109" s="83" t="e">
        <f>IF(I100,INDEX($L109:$P109,I101+1),0)</f>
        <v>#NAME?</v>
      </c>
      <c r="J109" s="32"/>
      <c r="K109" s="32"/>
      <c r="L109" s="13">
        <v>0</v>
      </c>
      <c r="M109" s="13"/>
      <c r="N109" s="13"/>
      <c r="O109" s="13"/>
      <c r="P109" s="13"/>
    </row>
    <row r="110" spans="1:16">
      <c r="A110" s="10"/>
      <c r="B110" s="32"/>
      <c r="C110" s="78"/>
      <c r="D110" s="82" t="str">
        <f>IFERROR(IF(OR(ISTEXT(C110),C110=""),"",VLOOKUP(C110,param!A$4:B$15,2,FALSE)),"Param Not Recognised")</f>
        <v/>
      </c>
      <c r="E110" s="83" t="e">
        <f>IF(E100,INDEX($L110:$P110,E101+1),0)</f>
        <v>#NAME?</v>
      </c>
      <c r="F110" s="83" t="e">
        <f>IF(F100,INDEX($L110:$P110,F101+1),0)</f>
        <v>#NAME?</v>
      </c>
      <c r="G110" s="83" t="e">
        <f>IF(G100,INDEX($L110:$P110,G101+1),0)</f>
        <v>#NAME?</v>
      </c>
      <c r="H110" s="83" t="e">
        <f>IF(H100,INDEX($L110:$P110,H101+1),0)</f>
        <v>#NAME?</v>
      </c>
      <c r="I110" s="83" t="e">
        <f>IF(I100,INDEX($L110:$P110,I101+1),0)</f>
        <v>#NAME?</v>
      </c>
      <c r="J110" s="32"/>
      <c r="K110" s="32"/>
      <c r="L110" s="13">
        <v>0</v>
      </c>
      <c r="M110" s="13"/>
      <c r="N110" s="13"/>
      <c r="O110" s="13"/>
      <c r="P110" s="13"/>
    </row>
    <row r="111" spans="1:16">
      <c r="A111" s="10"/>
      <c r="B111" s="32"/>
      <c r="C111" s="78"/>
      <c r="D111" s="82" t="str">
        <f>IFERROR(IF(OR(ISTEXT(C111),C111=""),"",VLOOKUP(C111,param!A$4:B$15,2,FALSE)),"Param Not Recognised")</f>
        <v/>
      </c>
      <c r="E111" s="83" t="e">
        <f>IF(E100,INDEX($L111:$P111,E101+1),0)</f>
        <v>#NAME?</v>
      </c>
      <c r="F111" s="83" t="e">
        <f>IF(F100,INDEX($L111:$P111,F101+1),0)</f>
        <v>#NAME?</v>
      </c>
      <c r="G111" s="83" t="e">
        <f>IF(G100,INDEX($L111:$P111,G101+1),0)</f>
        <v>#NAME?</v>
      </c>
      <c r="H111" s="83" t="e">
        <f>IF(H100,INDEX($L111:$P111,H101+1),0)</f>
        <v>#NAME?</v>
      </c>
      <c r="I111" s="83" t="e">
        <f>IF(I100,INDEX($L111:$P111,I101+1),0)</f>
        <v>#NAME?</v>
      </c>
      <c r="J111" s="32"/>
      <c r="K111" s="32"/>
      <c r="L111" s="13">
        <v>0</v>
      </c>
      <c r="M111" s="13"/>
      <c r="N111" s="13"/>
      <c r="O111" s="13"/>
      <c r="P111" s="13"/>
    </row>
    <row r="112" spans="1:16">
      <c r="A112" s="26"/>
    </row>
    <row r="113" spans="1:16">
      <c r="A113" s="86">
        <v>9</v>
      </c>
      <c r="B113" s="38" t="str">
        <f>INDEX(SI_Name,A113+1)</f>
        <v>Project 9</v>
      </c>
      <c r="C113" s="31" t="s">
        <v>346</v>
      </c>
      <c r="D113" s="31"/>
      <c r="E113" s="33" t="e">
        <f>VLOOKUP($A113,calcTableSIsLaunched,adj_IndexTeam+1,FALSE)</f>
        <v>#NAME?</v>
      </c>
      <c r="F113" s="33" t="e">
        <f>VLOOKUP($A113,calcTableSIsLaunched,adj_IndexTeam+1,FALSE)</f>
        <v>#NAME?</v>
      </c>
      <c r="G113" s="33" t="e">
        <f>VLOOKUP($A113,calcTableSIsLaunched,adj_IndexTeam+1,FALSE)</f>
        <v>#NAME?</v>
      </c>
      <c r="H113" s="33" t="e">
        <f>VLOOKUP($A113,calcTableSIsLaunched,adj_IndexTeam+1,FALSE)</f>
        <v>#NAME?</v>
      </c>
      <c r="I113" s="33" t="e">
        <f>VLOOKUP($A113,calcTableSIsLaunched,adj_IndexTeam+1,FALSE)</f>
        <v>#NAME?</v>
      </c>
      <c r="J113" s="15">
        <f>SUMIF(C115:C124,adj_FTECode,M115:M124)</f>
        <v>0</v>
      </c>
      <c r="K113" s="15">
        <f>SUMIF(C115:C124,adj_CostCode,M115:M124)</f>
        <v>0</v>
      </c>
      <c r="L113" s="31"/>
      <c r="M113" s="31"/>
      <c r="N113" s="31"/>
      <c r="O113" s="31"/>
      <c r="P113" s="31"/>
    </row>
    <row r="114" spans="1:16">
      <c r="A114" s="10"/>
      <c r="B114" s="32"/>
      <c r="C114" s="32" t="s">
        <v>347</v>
      </c>
      <c r="D114" s="32"/>
      <c r="E114" s="33" t="e">
        <f>VLOOKUP($A113,calcTableSIsRoundsIntoLaunch,adj_IndexTeam+1,FALSE)</f>
        <v>#NAME?</v>
      </c>
      <c r="F114" s="33" t="e">
        <f>VLOOKUP($A113,calcTableSIsRoundsIntoLaunch,adj_IndexTeam+1,FALSE)</f>
        <v>#NAME?</v>
      </c>
      <c r="G114" s="33" t="e">
        <f>VLOOKUP($A113,calcTableSIsRoundsIntoLaunch,adj_IndexTeam+1,FALSE)</f>
        <v>#NAME?</v>
      </c>
      <c r="H114" s="33" t="e">
        <f>VLOOKUP($A113,calcTableSIsRoundsIntoLaunch,adj_IndexTeam+1,FALSE)</f>
        <v>#NAME?</v>
      </c>
      <c r="I114" s="33" t="e">
        <f>VLOOKUP($A113,calcTableSIsRoundsIntoLaunch,adj_IndexTeam+1,FALSE)</f>
        <v>#NAME?</v>
      </c>
      <c r="J114" s="32"/>
      <c r="K114" s="32"/>
      <c r="L114" s="32"/>
      <c r="M114" s="32"/>
      <c r="N114" s="32"/>
      <c r="O114" s="32"/>
      <c r="P114" s="32"/>
    </row>
    <row r="115" spans="1:16">
      <c r="A115" s="10"/>
      <c r="B115" s="32"/>
      <c r="C115" s="78"/>
      <c r="D115" s="82" t="str">
        <f>IFERROR(IF(OR(ISTEXT(C115),C115=""),"",VLOOKUP(C115,param!A$4:B$15,2,FALSE)),"Param Not Recognised")</f>
        <v/>
      </c>
      <c r="E115" s="83" t="e">
        <f>IF(E113,INDEX($L115:$P115,E114+1),0)</f>
        <v>#NAME?</v>
      </c>
      <c r="F115" s="83" t="e">
        <f>IF(F113,INDEX($L115:$P115,F114+1),0)</f>
        <v>#NAME?</v>
      </c>
      <c r="G115" s="83" t="e">
        <f>IF(G113,INDEX($L115:$P115,G114+1),0)</f>
        <v>#NAME?</v>
      </c>
      <c r="H115" s="83" t="e">
        <f>IF(H113,INDEX($L115:$P115,H114+1),0)</f>
        <v>#NAME?</v>
      </c>
      <c r="I115" s="83" t="e">
        <f>IF(I113,INDEX($L115:$P115,I114+1),0)</f>
        <v>#NAME?</v>
      </c>
      <c r="J115" s="32"/>
      <c r="K115" s="32"/>
      <c r="L115" s="13">
        <v>0</v>
      </c>
      <c r="M115" s="13"/>
      <c r="N115" s="13"/>
      <c r="O115" s="13"/>
      <c r="P115" s="13"/>
    </row>
    <row r="116" spans="1:16">
      <c r="A116" s="10"/>
      <c r="B116" s="32"/>
      <c r="C116" s="78"/>
      <c r="D116" s="82" t="str">
        <f>IFERROR(IF(OR(ISTEXT(C116),C116=""),"",VLOOKUP(C116,param!A$4:B$15,2,FALSE)),"Param Not Recognised")</f>
        <v/>
      </c>
      <c r="E116" s="83" t="e">
        <f>IF(E113,INDEX($L116:$P116,E114+1),0)</f>
        <v>#NAME?</v>
      </c>
      <c r="F116" s="83" t="e">
        <f>IF(F113,INDEX($L116:$P116,F114+1),0)</f>
        <v>#NAME?</v>
      </c>
      <c r="G116" s="83" t="e">
        <f>IF(G113,INDEX($L116:$P116,G114+1),0)</f>
        <v>#NAME?</v>
      </c>
      <c r="H116" s="83" t="e">
        <f>IF(H113,INDEX($L116:$P116,H114+1),0)</f>
        <v>#NAME?</v>
      </c>
      <c r="I116" s="83" t="e">
        <f>IF(I113,INDEX($L116:$P116,I114+1),0)</f>
        <v>#NAME?</v>
      </c>
      <c r="J116" s="32"/>
      <c r="K116" s="32"/>
      <c r="L116" s="13">
        <v>0</v>
      </c>
      <c r="M116" s="13"/>
      <c r="N116" s="13"/>
      <c r="O116" s="13"/>
      <c r="P116" s="13"/>
    </row>
    <row r="117" spans="1:16">
      <c r="A117" s="10"/>
      <c r="B117" s="32"/>
      <c r="C117" s="78"/>
      <c r="D117" s="82" t="str">
        <f>IFERROR(IF(OR(ISTEXT(C117),C117=""),"",VLOOKUP(C117,param!A$4:B$15,2,FALSE)),"Param Not Recognised")</f>
        <v/>
      </c>
      <c r="E117" s="83" t="e">
        <f>IF(E113,INDEX($L117:$P117,E114+1),0)</f>
        <v>#NAME?</v>
      </c>
      <c r="F117" s="83" t="e">
        <f>IF(F113,INDEX($L117:$P117,F114+1),0)</f>
        <v>#NAME?</v>
      </c>
      <c r="G117" s="83" t="e">
        <f>IF(G113,INDEX($L117:$P117,G114+1),0)</f>
        <v>#NAME?</v>
      </c>
      <c r="H117" s="83" t="e">
        <f>IF(H113,INDEX($L117:$P117,H114+1),0)</f>
        <v>#NAME?</v>
      </c>
      <c r="I117" s="83" t="e">
        <f>IF(I113,INDEX($L117:$P117,I114+1),0)</f>
        <v>#NAME?</v>
      </c>
      <c r="J117" s="32"/>
      <c r="K117" s="32"/>
      <c r="L117" s="13">
        <v>0</v>
      </c>
      <c r="M117" s="13"/>
      <c r="N117" s="13"/>
      <c r="O117" s="13"/>
      <c r="P117" s="13"/>
    </row>
    <row r="118" spans="1:16">
      <c r="A118" s="10"/>
      <c r="B118" s="32"/>
      <c r="C118" s="78"/>
      <c r="D118" s="82" t="str">
        <f>IFERROR(IF(OR(ISTEXT(C118),C118=""),"",VLOOKUP(C118,param!A$4:B$15,2,FALSE)),"Param Not Recognised")</f>
        <v/>
      </c>
      <c r="E118" s="83" t="e">
        <f>IF(E113,INDEX($L118:$P118,E114+1),0)</f>
        <v>#NAME?</v>
      </c>
      <c r="F118" s="83" t="e">
        <f>IF(F113,INDEX($L118:$P118,F114+1),0)</f>
        <v>#NAME?</v>
      </c>
      <c r="G118" s="83" t="e">
        <f>IF(G113,INDEX($L118:$P118,G114+1),0)</f>
        <v>#NAME?</v>
      </c>
      <c r="H118" s="83" t="e">
        <f>IF(H113,INDEX($L118:$P118,H114+1),0)</f>
        <v>#NAME?</v>
      </c>
      <c r="I118" s="83" t="e">
        <f>IF(I113,INDEX($L118:$P118,I114+1),0)</f>
        <v>#NAME?</v>
      </c>
      <c r="J118" s="32"/>
      <c r="K118" s="32"/>
      <c r="L118" s="13">
        <v>0</v>
      </c>
      <c r="M118" s="13"/>
      <c r="N118" s="13"/>
      <c r="O118" s="13"/>
      <c r="P118" s="13"/>
    </row>
    <row r="119" spans="1:16">
      <c r="A119" s="10"/>
      <c r="B119" s="32"/>
      <c r="C119" s="78"/>
      <c r="D119" s="82" t="str">
        <f>IFERROR(IF(OR(ISTEXT(C119),C119=""),"",VLOOKUP(C119,param!A$4:B$15,2,FALSE)),"Param Not Recognised")</f>
        <v/>
      </c>
      <c r="E119" s="83" t="e">
        <f>IF(E113,INDEX($L119:$P119,E114+1),0)</f>
        <v>#NAME?</v>
      </c>
      <c r="F119" s="83" t="e">
        <f>IF(F113,INDEX($L119:$P119,F114+1),0)</f>
        <v>#NAME?</v>
      </c>
      <c r="G119" s="83" t="e">
        <f>IF(G113,INDEX($L119:$P119,G114+1),0)</f>
        <v>#NAME?</v>
      </c>
      <c r="H119" s="83" t="e">
        <f>IF(H113,INDEX($L119:$P119,H114+1),0)</f>
        <v>#NAME?</v>
      </c>
      <c r="I119" s="83" t="e">
        <f>IF(I113,INDEX($L119:$P119,I114+1),0)</f>
        <v>#NAME?</v>
      </c>
      <c r="J119" s="32"/>
      <c r="K119" s="32"/>
      <c r="L119" s="13">
        <v>0</v>
      </c>
      <c r="M119" s="13"/>
      <c r="N119" s="13"/>
      <c r="O119" s="13"/>
      <c r="P119" s="13"/>
    </row>
    <row r="120" spans="1:16">
      <c r="A120" s="10"/>
      <c r="B120" s="32"/>
      <c r="C120" s="78"/>
      <c r="D120" s="82" t="str">
        <f>IFERROR(IF(OR(ISTEXT(C120),C120=""),"",VLOOKUP(C120,param!A$4:B$15,2,FALSE)),"Param Not Recognised")</f>
        <v/>
      </c>
      <c r="E120" s="83" t="e">
        <f>IF(E113,INDEX($L120:$P120,E114+1),0)</f>
        <v>#NAME?</v>
      </c>
      <c r="F120" s="83" t="e">
        <f>IF(F113,INDEX($L120:$P120,F114+1),0)</f>
        <v>#NAME?</v>
      </c>
      <c r="G120" s="83" t="e">
        <f>IF(G113,INDEX($L120:$P120,G114+1),0)</f>
        <v>#NAME?</v>
      </c>
      <c r="H120" s="83" t="e">
        <f>IF(H113,INDEX($L120:$P120,H114+1),0)</f>
        <v>#NAME?</v>
      </c>
      <c r="I120" s="83" t="e">
        <f>IF(I113,INDEX($L120:$P120,I114+1),0)</f>
        <v>#NAME?</v>
      </c>
      <c r="J120" s="32"/>
      <c r="K120" s="32"/>
      <c r="L120" s="13">
        <v>0</v>
      </c>
      <c r="M120" s="13"/>
      <c r="N120" s="13"/>
      <c r="O120" s="13"/>
      <c r="P120" s="13"/>
    </row>
    <row r="121" spans="1:16">
      <c r="A121" s="10"/>
      <c r="B121" s="32"/>
      <c r="C121" s="78"/>
      <c r="D121" s="82" t="str">
        <f>IFERROR(IF(OR(ISTEXT(C121),C121=""),"",VLOOKUP(C121,param!A$4:B$15,2,FALSE)),"Param Not Recognised")</f>
        <v/>
      </c>
      <c r="E121" s="83" t="e">
        <f>IF(E113,INDEX($L121:$P121,E114+1),0)</f>
        <v>#NAME?</v>
      </c>
      <c r="F121" s="83" t="e">
        <f>IF(F113,INDEX($L121:$P121,F114+1),0)</f>
        <v>#NAME?</v>
      </c>
      <c r="G121" s="83" t="e">
        <f>IF(G113,INDEX($L121:$P121,G114+1),0)</f>
        <v>#NAME?</v>
      </c>
      <c r="H121" s="83" t="e">
        <f>IF(H113,INDEX($L121:$P121,H114+1),0)</f>
        <v>#NAME?</v>
      </c>
      <c r="I121" s="83" t="e">
        <f>IF(I113,INDEX($L121:$P121,I114+1),0)</f>
        <v>#NAME?</v>
      </c>
      <c r="J121" s="32"/>
      <c r="K121" s="32"/>
      <c r="L121" s="13">
        <v>0</v>
      </c>
      <c r="M121" s="13"/>
      <c r="N121" s="13"/>
      <c r="O121" s="13"/>
      <c r="P121" s="13"/>
    </row>
    <row r="122" spans="1:16">
      <c r="A122" s="10"/>
      <c r="B122" s="32"/>
      <c r="C122" s="78"/>
      <c r="D122" s="82" t="str">
        <f>IFERROR(IF(OR(ISTEXT(C122),C122=""),"",VLOOKUP(C122,param!A$4:B$15,2,FALSE)),"Param Not Recognised")</f>
        <v/>
      </c>
      <c r="E122" s="83" t="e">
        <f>IF(E113,INDEX($L122:$P122,E114+1),0)</f>
        <v>#NAME?</v>
      </c>
      <c r="F122" s="83" t="e">
        <f>IF(F113,INDEX($L122:$P122,F114+1),0)</f>
        <v>#NAME?</v>
      </c>
      <c r="G122" s="83" t="e">
        <f>IF(G113,INDEX($L122:$P122,G114+1),0)</f>
        <v>#NAME?</v>
      </c>
      <c r="H122" s="83" t="e">
        <f>IF(H113,INDEX($L122:$P122,H114+1),0)</f>
        <v>#NAME?</v>
      </c>
      <c r="I122" s="83" t="e">
        <f>IF(I113,INDEX($L122:$P122,I114+1),0)</f>
        <v>#NAME?</v>
      </c>
      <c r="J122" s="32"/>
      <c r="K122" s="32"/>
      <c r="L122" s="13">
        <v>0</v>
      </c>
      <c r="M122" s="13"/>
      <c r="N122" s="13"/>
      <c r="O122" s="13"/>
      <c r="P122" s="13"/>
    </row>
    <row r="123" spans="1:16">
      <c r="A123" s="10"/>
      <c r="B123" s="32"/>
      <c r="C123" s="78"/>
      <c r="D123" s="82" t="str">
        <f>IFERROR(IF(OR(ISTEXT(C123),C123=""),"",VLOOKUP(C123,param!A$4:B$15,2,FALSE)),"Param Not Recognised")</f>
        <v/>
      </c>
      <c r="E123" s="83" t="e">
        <f>IF(E113,INDEX($L123:$P123,E114+1),0)</f>
        <v>#NAME?</v>
      </c>
      <c r="F123" s="83" t="e">
        <f>IF(F113,INDEX($L123:$P123,F114+1),0)</f>
        <v>#NAME?</v>
      </c>
      <c r="G123" s="83" t="e">
        <f>IF(G113,INDEX($L123:$P123,G114+1),0)</f>
        <v>#NAME?</v>
      </c>
      <c r="H123" s="83" t="e">
        <f>IF(H113,INDEX($L123:$P123,H114+1),0)</f>
        <v>#NAME?</v>
      </c>
      <c r="I123" s="83" t="e">
        <f>IF(I113,INDEX($L123:$P123,I114+1),0)</f>
        <v>#NAME?</v>
      </c>
      <c r="J123" s="32"/>
      <c r="K123" s="32"/>
      <c r="L123" s="13">
        <v>0</v>
      </c>
      <c r="M123" s="13"/>
      <c r="N123" s="13"/>
      <c r="O123" s="13"/>
      <c r="P123" s="13"/>
    </row>
    <row r="124" spans="1:16">
      <c r="A124" s="10"/>
      <c r="B124" s="32"/>
      <c r="C124" s="78"/>
      <c r="D124" s="82" t="str">
        <f>IFERROR(IF(OR(ISTEXT(C124),C124=""),"",VLOOKUP(C124,param!A$4:B$15,2,FALSE)),"Param Not Recognised")</f>
        <v/>
      </c>
      <c r="E124" s="83" t="e">
        <f>IF(E113,INDEX($L124:$P124,E114+1),0)</f>
        <v>#NAME?</v>
      </c>
      <c r="F124" s="83" t="e">
        <f>IF(F113,INDEX($L124:$P124,F114+1),0)</f>
        <v>#NAME?</v>
      </c>
      <c r="G124" s="83" t="e">
        <f>IF(G113,INDEX($L124:$P124,G114+1),0)</f>
        <v>#NAME?</v>
      </c>
      <c r="H124" s="83" t="e">
        <f>IF(H113,INDEX($L124:$P124,H114+1),0)</f>
        <v>#NAME?</v>
      </c>
      <c r="I124" s="83" t="e">
        <f>IF(I113,INDEX($L124:$P124,I114+1),0)</f>
        <v>#NAME?</v>
      </c>
      <c r="J124" s="32"/>
      <c r="K124" s="32"/>
      <c r="L124" s="13">
        <v>0</v>
      </c>
      <c r="M124" s="13"/>
      <c r="N124" s="13"/>
      <c r="O124" s="13"/>
      <c r="P124" s="13"/>
    </row>
    <row r="125" spans="1:16">
      <c r="A125" s="26"/>
    </row>
    <row r="126" spans="1:16">
      <c r="A126" s="86">
        <v>10</v>
      </c>
      <c r="B126" s="38" t="str">
        <f>INDEX(SI_Name,A126+1)</f>
        <v>Project 10</v>
      </c>
      <c r="C126" s="31" t="s">
        <v>346</v>
      </c>
      <c r="D126" s="31"/>
      <c r="E126" s="33" t="e">
        <f>VLOOKUP($A126,calcTableSIsLaunched,adj_IndexTeam+1,FALSE)</f>
        <v>#NAME?</v>
      </c>
      <c r="F126" s="33" t="e">
        <f>VLOOKUP($A126,calcTableSIsLaunched,adj_IndexTeam+1,FALSE)</f>
        <v>#NAME?</v>
      </c>
      <c r="G126" s="33" t="e">
        <f>VLOOKUP($A126,calcTableSIsLaunched,adj_IndexTeam+1,FALSE)</f>
        <v>#NAME?</v>
      </c>
      <c r="H126" s="33" t="e">
        <f>VLOOKUP($A126,calcTableSIsLaunched,adj_IndexTeam+1,FALSE)</f>
        <v>#NAME?</v>
      </c>
      <c r="I126" s="33" t="e">
        <f>VLOOKUP($A126,calcTableSIsLaunched,adj_IndexTeam+1,FALSE)</f>
        <v>#NAME?</v>
      </c>
      <c r="J126" s="15">
        <f>SUMIF(C128:C137,adj_FTECode,M128:M137)</f>
        <v>0</v>
      </c>
      <c r="K126" s="15">
        <f>SUMIF(C128:C137,adj_CostCode,M128:M137)</f>
        <v>0</v>
      </c>
      <c r="L126" s="31"/>
      <c r="M126" s="31"/>
      <c r="N126" s="31"/>
      <c r="O126" s="31"/>
      <c r="P126" s="31"/>
    </row>
    <row r="127" spans="1:16">
      <c r="A127" s="10"/>
      <c r="B127" s="32"/>
      <c r="C127" s="32" t="s">
        <v>347</v>
      </c>
      <c r="D127" s="32"/>
      <c r="E127" s="33" t="e">
        <f>VLOOKUP($A126,calcTableSIsRoundsIntoLaunch,adj_IndexTeam+1,FALSE)</f>
        <v>#NAME?</v>
      </c>
      <c r="F127" s="33" t="e">
        <f>VLOOKUP($A126,calcTableSIsRoundsIntoLaunch,adj_IndexTeam+1,FALSE)</f>
        <v>#NAME?</v>
      </c>
      <c r="G127" s="33" t="e">
        <f>VLOOKUP($A126,calcTableSIsRoundsIntoLaunch,adj_IndexTeam+1,FALSE)</f>
        <v>#NAME?</v>
      </c>
      <c r="H127" s="33" t="e">
        <f>VLOOKUP($A126,calcTableSIsRoundsIntoLaunch,adj_IndexTeam+1,FALSE)</f>
        <v>#NAME?</v>
      </c>
      <c r="I127" s="33" t="e">
        <f>VLOOKUP($A126,calcTableSIsRoundsIntoLaunch,adj_IndexTeam+1,FALSE)</f>
        <v>#NAME?</v>
      </c>
      <c r="J127" s="32"/>
      <c r="K127" s="32"/>
      <c r="L127" s="32"/>
      <c r="M127" s="32"/>
      <c r="N127" s="32"/>
      <c r="O127" s="32"/>
      <c r="P127" s="32"/>
    </row>
    <row r="128" spans="1:16">
      <c r="A128" s="10"/>
      <c r="B128" s="32"/>
      <c r="C128" s="78">
        <v>1002</v>
      </c>
      <c r="D128" s="82" t="str">
        <f>IFERROR(IF(OR(ISTEXT(C128),C128=""),"",VLOOKUP(C128,param!A$4:B$15,2,FALSE)),"Param Not Recognised")</f>
        <v>FTEs</v>
      </c>
      <c r="E128" s="83" t="e">
        <f>IF(E126,INDEX($L128:$P128,E127+1),0)</f>
        <v>#NAME?</v>
      </c>
      <c r="F128" s="83" t="e">
        <f>IF(F126,INDEX($L128:$P128,F127+1),0)</f>
        <v>#NAME?</v>
      </c>
      <c r="G128" s="83" t="e">
        <f>IF(G126,INDEX($L128:$P128,G127+1),0)</f>
        <v>#NAME?</v>
      </c>
      <c r="H128" s="83" t="e">
        <f>IF(H126,INDEX($L128:$P128,H127+1),0)</f>
        <v>#NAME?</v>
      </c>
      <c r="I128" s="83" t="e">
        <f>IF(I126,INDEX($L128:$P128,I127+1),0)</f>
        <v>#NAME?</v>
      </c>
      <c r="J128" s="32"/>
      <c r="K128" s="32"/>
      <c r="L128" s="13">
        <v>0</v>
      </c>
      <c r="M128" s="13"/>
      <c r="N128" s="13"/>
      <c r="O128" s="13"/>
      <c r="P128" s="13"/>
    </row>
    <row r="129" spans="1:16">
      <c r="A129" s="10"/>
      <c r="B129" s="32"/>
      <c r="C129" s="78"/>
      <c r="D129" s="82" t="str">
        <f>IFERROR(IF(OR(ISTEXT(C129),C129=""),"",VLOOKUP(C129,param!A$4:B$15,2,FALSE)),"Param Not Recognised")</f>
        <v/>
      </c>
      <c r="E129" s="83" t="e">
        <f>IF(E126,INDEX($L129:$P129,E127+1),0)</f>
        <v>#NAME?</v>
      </c>
      <c r="F129" s="83" t="e">
        <f>IF(F126,INDEX($L129:$P129,F127+1),0)</f>
        <v>#NAME?</v>
      </c>
      <c r="G129" s="83" t="e">
        <f>IF(G126,INDEX($L129:$P129,G127+1),0)</f>
        <v>#NAME?</v>
      </c>
      <c r="H129" s="83" t="e">
        <f>IF(H126,INDEX($L129:$P129,H127+1),0)</f>
        <v>#NAME?</v>
      </c>
      <c r="I129" s="83" t="e">
        <f>IF(I126,INDEX($L129:$P129,I127+1),0)</f>
        <v>#NAME?</v>
      </c>
      <c r="J129" s="32"/>
      <c r="K129" s="32"/>
      <c r="L129" s="13">
        <v>0</v>
      </c>
      <c r="M129" s="13"/>
      <c r="N129" s="13"/>
      <c r="O129" s="13"/>
      <c r="P129" s="13"/>
    </row>
    <row r="130" spans="1:16">
      <c r="A130" s="10"/>
      <c r="B130" s="32"/>
      <c r="C130" s="78"/>
      <c r="D130" s="82" t="str">
        <f>IFERROR(IF(OR(ISTEXT(C130),C130=""),"",VLOOKUP(C130,param!A$4:B$15,2,FALSE)),"Param Not Recognised")</f>
        <v/>
      </c>
      <c r="E130" s="83" t="e">
        <f>IF(E126,INDEX($L130:$P130,E127+1),0)</f>
        <v>#NAME?</v>
      </c>
      <c r="F130" s="83" t="e">
        <f>IF(F126,INDEX($L130:$P130,F127+1),0)</f>
        <v>#NAME?</v>
      </c>
      <c r="G130" s="83" t="e">
        <f>IF(G126,INDEX($L130:$P130,G127+1),0)</f>
        <v>#NAME?</v>
      </c>
      <c r="H130" s="83" t="e">
        <f>IF(H126,INDEX($L130:$P130,H127+1),0)</f>
        <v>#NAME?</v>
      </c>
      <c r="I130" s="83" t="e">
        <f>IF(I126,INDEX($L130:$P130,I127+1),0)</f>
        <v>#NAME?</v>
      </c>
      <c r="J130" s="32"/>
      <c r="K130" s="32"/>
      <c r="L130" s="13">
        <v>0</v>
      </c>
      <c r="M130" s="13"/>
      <c r="N130" s="13"/>
      <c r="O130" s="13"/>
      <c r="P130" s="13"/>
    </row>
    <row r="131" spans="1:16">
      <c r="A131" s="10"/>
      <c r="B131" s="32"/>
      <c r="C131" s="78"/>
      <c r="D131" s="82" t="str">
        <f>IFERROR(IF(OR(ISTEXT(C131),C131=""),"",VLOOKUP(C131,param!A$4:B$15,2,FALSE)),"Param Not Recognised")</f>
        <v/>
      </c>
      <c r="E131" s="83" t="e">
        <f>IF(E126,INDEX($L131:$P131,E127+1),0)</f>
        <v>#NAME?</v>
      </c>
      <c r="F131" s="83" t="e">
        <f>IF(F126,INDEX($L131:$P131,F127+1),0)</f>
        <v>#NAME?</v>
      </c>
      <c r="G131" s="83" t="e">
        <f>IF(G126,INDEX($L131:$P131,G127+1),0)</f>
        <v>#NAME?</v>
      </c>
      <c r="H131" s="83" t="e">
        <f>IF(H126,INDEX($L131:$P131,H127+1),0)</f>
        <v>#NAME?</v>
      </c>
      <c r="I131" s="83" t="e">
        <f>IF(I126,INDEX($L131:$P131,I127+1),0)</f>
        <v>#NAME?</v>
      </c>
      <c r="J131" s="32"/>
      <c r="K131" s="32"/>
      <c r="L131" s="13">
        <v>0</v>
      </c>
      <c r="M131" s="13"/>
      <c r="N131" s="13"/>
      <c r="O131" s="13"/>
      <c r="P131" s="13"/>
    </row>
    <row r="132" spans="1:16">
      <c r="A132" s="10"/>
      <c r="B132" s="32"/>
      <c r="C132" s="78"/>
      <c r="D132" s="82" t="str">
        <f>IFERROR(IF(OR(ISTEXT(C132),C132=""),"",VLOOKUP(C132,param!A$4:B$15,2,FALSE)),"Param Not Recognised")</f>
        <v/>
      </c>
      <c r="E132" s="83" t="e">
        <f>IF(E126,INDEX($L132:$P132,E127+1),0)</f>
        <v>#NAME?</v>
      </c>
      <c r="F132" s="83" t="e">
        <f>IF(F126,INDEX($L132:$P132,F127+1),0)</f>
        <v>#NAME?</v>
      </c>
      <c r="G132" s="83" t="e">
        <f>IF(G126,INDEX($L132:$P132,G127+1),0)</f>
        <v>#NAME?</v>
      </c>
      <c r="H132" s="83" t="e">
        <f>IF(H126,INDEX($L132:$P132,H127+1),0)</f>
        <v>#NAME?</v>
      </c>
      <c r="I132" s="83" t="e">
        <f>IF(I126,INDEX($L132:$P132,I127+1),0)</f>
        <v>#NAME?</v>
      </c>
      <c r="J132" s="32"/>
      <c r="K132" s="32"/>
      <c r="L132" s="13">
        <v>0</v>
      </c>
      <c r="M132" s="13"/>
      <c r="N132" s="13"/>
      <c r="O132" s="13"/>
      <c r="P132" s="13"/>
    </row>
    <row r="133" spans="1:16">
      <c r="A133" s="10"/>
      <c r="B133" s="32"/>
      <c r="C133" s="78"/>
      <c r="D133" s="82" t="str">
        <f>IFERROR(IF(OR(ISTEXT(C133),C133=""),"",VLOOKUP(C133,param!A$4:B$15,2,FALSE)),"Param Not Recognised")</f>
        <v/>
      </c>
      <c r="E133" s="83" t="e">
        <f>IF(E126,INDEX($L133:$P133,E127+1),0)</f>
        <v>#NAME?</v>
      </c>
      <c r="F133" s="83" t="e">
        <f>IF(F126,INDEX($L133:$P133,F127+1),0)</f>
        <v>#NAME?</v>
      </c>
      <c r="G133" s="83" t="e">
        <f>IF(G126,INDEX($L133:$P133,G127+1),0)</f>
        <v>#NAME?</v>
      </c>
      <c r="H133" s="83" t="e">
        <f>IF(H126,INDEX($L133:$P133,H127+1),0)</f>
        <v>#NAME?</v>
      </c>
      <c r="I133" s="83" t="e">
        <f>IF(I126,INDEX($L133:$P133,I127+1),0)</f>
        <v>#NAME?</v>
      </c>
      <c r="J133" s="32"/>
      <c r="K133" s="32"/>
      <c r="L133" s="13">
        <v>0</v>
      </c>
      <c r="M133" s="13"/>
      <c r="N133" s="13"/>
      <c r="O133" s="13"/>
      <c r="P133" s="13"/>
    </row>
    <row r="134" spans="1:16">
      <c r="A134" s="10"/>
      <c r="B134" s="32"/>
      <c r="C134" s="78"/>
      <c r="D134" s="82" t="str">
        <f>IFERROR(IF(OR(ISTEXT(C134),C134=""),"",VLOOKUP(C134,param!A$4:B$15,2,FALSE)),"Param Not Recognised")</f>
        <v/>
      </c>
      <c r="E134" s="83" t="e">
        <f>IF(E126,INDEX($L134:$P134,E127+1),0)</f>
        <v>#NAME?</v>
      </c>
      <c r="F134" s="83" t="e">
        <f>IF(F126,INDEX($L134:$P134,F127+1),0)</f>
        <v>#NAME?</v>
      </c>
      <c r="G134" s="83" t="e">
        <f>IF(G126,INDEX($L134:$P134,G127+1),0)</f>
        <v>#NAME?</v>
      </c>
      <c r="H134" s="83" t="e">
        <f>IF(H126,INDEX($L134:$P134,H127+1),0)</f>
        <v>#NAME?</v>
      </c>
      <c r="I134" s="83" t="e">
        <f>IF(I126,INDEX($L134:$P134,I127+1),0)</f>
        <v>#NAME?</v>
      </c>
      <c r="J134" s="32"/>
      <c r="K134" s="32"/>
      <c r="L134" s="13">
        <v>0</v>
      </c>
      <c r="M134" s="13"/>
      <c r="N134" s="13"/>
      <c r="O134" s="13"/>
      <c r="P134" s="13"/>
    </row>
    <row r="135" spans="1:16">
      <c r="A135" s="10"/>
      <c r="B135" s="32"/>
      <c r="C135" s="78"/>
      <c r="D135" s="82" t="str">
        <f>IFERROR(IF(OR(ISTEXT(C135),C135=""),"",VLOOKUP(C135,param!A$4:B$15,2,FALSE)),"Param Not Recognised")</f>
        <v/>
      </c>
      <c r="E135" s="83" t="e">
        <f>IF(E126,INDEX($L135:$P135,E127+1),0)</f>
        <v>#NAME?</v>
      </c>
      <c r="F135" s="83" t="e">
        <f>IF(F126,INDEX($L135:$P135,F127+1),0)</f>
        <v>#NAME?</v>
      </c>
      <c r="G135" s="83" t="e">
        <f>IF(G126,INDEX($L135:$P135,G127+1),0)</f>
        <v>#NAME?</v>
      </c>
      <c r="H135" s="83" t="e">
        <f>IF(H126,INDEX($L135:$P135,H127+1),0)</f>
        <v>#NAME?</v>
      </c>
      <c r="I135" s="83" t="e">
        <f>IF(I126,INDEX($L135:$P135,I127+1),0)</f>
        <v>#NAME?</v>
      </c>
      <c r="J135" s="32"/>
      <c r="K135" s="32"/>
      <c r="L135" s="13">
        <v>0</v>
      </c>
      <c r="M135" s="13"/>
      <c r="N135" s="13"/>
      <c r="O135" s="13"/>
      <c r="P135" s="13"/>
    </row>
    <row r="136" spans="1:16">
      <c r="A136" s="10"/>
      <c r="B136" s="32"/>
      <c r="C136" s="78"/>
      <c r="D136" s="82" t="str">
        <f>IFERROR(IF(OR(ISTEXT(C136),C136=""),"",VLOOKUP(C136,param!A$4:B$15,2,FALSE)),"Param Not Recognised")</f>
        <v/>
      </c>
      <c r="E136" s="83" t="e">
        <f>IF(E126,INDEX($L136:$P136,E127+1),0)</f>
        <v>#NAME?</v>
      </c>
      <c r="F136" s="83" t="e">
        <f>IF(F126,INDEX($L136:$P136,F127+1),0)</f>
        <v>#NAME?</v>
      </c>
      <c r="G136" s="83" t="e">
        <f>IF(G126,INDEX($L136:$P136,G127+1),0)</f>
        <v>#NAME?</v>
      </c>
      <c r="H136" s="83" t="e">
        <f>IF(H126,INDEX($L136:$P136,H127+1),0)</f>
        <v>#NAME?</v>
      </c>
      <c r="I136" s="83" t="e">
        <f>IF(I126,INDEX($L136:$P136,I127+1),0)</f>
        <v>#NAME?</v>
      </c>
      <c r="J136" s="32"/>
      <c r="K136" s="32"/>
      <c r="L136" s="13">
        <v>0</v>
      </c>
      <c r="M136" s="13"/>
      <c r="N136" s="13"/>
      <c r="O136" s="13"/>
      <c r="P136" s="13"/>
    </row>
    <row r="137" spans="1:16">
      <c r="A137" s="10"/>
      <c r="B137" s="32"/>
      <c r="C137" s="78"/>
      <c r="D137" s="82" t="str">
        <f>IFERROR(IF(OR(ISTEXT(C137),C137=""),"",VLOOKUP(C137,param!A$4:B$15,2,FALSE)),"Param Not Recognised")</f>
        <v/>
      </c>
      <c r="E137" s="83" t="e">
        <f>IF(E126,INDEX($L137:$P137,E127+1),0)</f>
        <v>#NAME?</v>
      </c>
      <c r="F137" s="83" t="e">
        <f>IF(F126,INDEX($L137:$P137,F127+1),0)</f>
        <v>#NAME?</v>
      </c>
      <c r="G137" s="83" t="e">
        <f>IF(G126,INDEX($L137:$P137,G127+1),0)</f>
        <v>#NAME?</v>
      </c>
      <c r="H137" s="83" t="e">
        <f>IF(H126,INDEX($L137:$P137,H127+1),0)</f>
        <v>#NAME?</v>
      </c>
      <c r="I137" s="83" t="e">
        <f>IF(I126,INDEX($L137:$P137,I127+1),0)</f>
        <v>#NAME?</v>
      </c>
      <c r="J137" s="32"/>
      <c r="K137" s="32"/>
      <c r="L137" s="13">
        <v>0</v>
      </c>
      <c r="M137" s="13"/>
      <c r="N137" s="13"/>
      <c r="O137" s="13"/>
      <c r="P137" s="13"/>
    </row>
    <row r="138" spans="1:16">
      <c r="A138" s="26"/>
    </row>
    <row r="139" spans="1:16">
      <c r="A139" s="86">
        <v>11</v>
      </c>
      <c r="B139" s="38" t="str">
        <f>INDEX(SI_Name,A139+1)</f>
        <v>Project 11</v>
      </c>
      <c r="C139" s="31" t="s">
        <v>346</v>
      </c>
      <c r="D139" s="31"/>
      <c r="E139" s="33" t="e">
        <f>VLOOKUP($A139,calcTableSIsLaunched,adj_IndexTeam+1,FALSE)</f>
        <v>#NAME?</v>
      </c>
      <c r="F139" s="33" t="e">
        <f>VLOOKUP($A139,calcTableSIsLaunched,adj_IndexTeam+1,FALSE)</f>
        <v>#NAME?</v>
      </c>
      <c r="G139" s="33" t="e">
        <f>VLOOKUP($A139,calcTableSIsLaunched,adj_IndexTeam+1,FALSE)</f>
        <v>#NAME?</v>
      </c>
      <c r="H139" s="33" t="e">
        <f>VLOOKUP($A139,calcTableSIsLaunched,adj_IndexTeam+1,FALSE)</f>
        <v>#NAME?</v>
      </c>
      <c r="I139" s="33" t="e">
        <f>VLOOKUP($A139,calcTableSIsLaunched,adj_IndexTeam+1,FALSE)</f>
        <v>#NAME?</v>
      </c>
      <c r="J139" s="15">
        <f>SUMIF(C141:C150,adj_FTECode,M141:M150)</f>
        <v>0</v>
      </c>
      <c r="K139" s="15">
        <f>SUMIF(C141:C150,adj_CostCode,M141:M150)</f>
        <v>0</v>
      </c>
      <c r="L139" s="31"/>
      <c r="M139" s="31"/>
      <c r="N139" s="31"/>
      <c r="O139" s="31"/>
      <c r="P139" s="31"/>
    </row>
    <row r="140" spans="1:16">
      <c r="A140" s="10"/>
      <c r="B140" s="32"/>
      <c r="C140" s="32" t="s">
        <v>347</v>
      </c>
      <c r="D140" s="32"/>
      <c r="E140" s="33" t="e">
        <f>VLOOKUP($A139,calcTableSIsRoundsIntoLaunch,adj_IndexTeam+1,FALSE)</f>
        <v>#NAME?</v>
      </c>
      <c r="F140" s="33" t="e">
        <f>VLOOKUP($A139,calcTableSIsRoundsIntoLaunch,adj_IndexTeam+1,FALSE)</f>
        <v>#NAME?</v>
      </c>
      <c r="G140" s="33" t="e">
        <f>VLOOKUP($A139,calcTableSIsRoundsIntoLaunch,adj_IndexTeam+1,FALSE)</f>
        <v>#NAME?</v>
      </c>
      <c r="H140" s="33" t="e">
        <f>VLOOKUP($A139,calcTableSIsRoundsIntoLaunch,adj_IndexTeam+1,FALSE)</f>
        <v>#NAME?</v>
      </c>
      <c r="I140" s="33" t="e">
        <f>VLOOKUP($A139,calcTableSIsRoundsIntoLaunch,adj_IndexTeam+1,FALSE)</f>
        <v>#NAME?</v>
      </c>
      <c r="J140" s="32"/>
      <c r="K140" s="32"/>
      <c r="L140" s="32"/>
      <c r="M140" s="32"/>
      <c r="N140" s="32"/>
      <c r="O140" s="32"/>
      <c r="P140" s="32"/>
    </row>
    <row r="141" spans="1:16">
      <c r="A141" s="10"/>
      <c r="B141" s="32"/>
      <c r="C141" s="78">
        <v>1002</v>
      </c>
      <c r="D141" s="82" t="str">
        <f>IFERROR(IF(OR(ISTEXT(C141),C141=""),"",VLOOKUP(C141,param!A$4:B$15,2,FALSE)),"Param Not Recognised")</f>
        <v>FTEs</v>
      </c>
      <c r="E141" s="83" t="e">
        <f>IF(E139,INDEX($L141:$P141,E140+1),0)</f>
        <v>#NAME?</v>
      </c>
      <c r="F141" s="83" t="e">
        <f>IF(F139,INDEX($L141:$P141,F140+1),0)</f>
        <v>#NAME?</v>
      </c>
      <c r="G141" s="83" t="e">
        <f>IF(G139,INDEX($L141:$P141,G140+1),0)</f>
        <v>#NAME?</v>
      </c>
      <c r="H141" s="83" t="e">
        <f>IF(H139,INDEX($L141:$P141,H140+1),0)</f>
        <v>#NAME?</v>
      </c>
      <c r="I141" s="83" t="e">
        <f>IF(I139,INDEX($L141:$P141,I140+1),0)</f>
        <v>#NAME?</v>
      </c>
      <c r="J141" s="32"/>
      <c r="K141" s="32"/>
      <c r="L141" s="13">
        <v>0</v>
      </c>
      <c r="M141" s="13"/>
      <c r="N141" s="13"/>
      <c r="O141" s="13"/>
      <c r="P141" s="13"/>
    </row>
    <row r="142" spans="1:16">
      <c r="A142" s="10"/>
      <c r="B142" s="32"/>
      <c r="C142" s="78"/>
      <c r="D142" s="82" t="str">
        <f>IFERROR(IF(OR(ISTEXT(C142),C142=""),"",VLOOKUP(C142,param!A$4:B$15,2,FALSE)),"Param Not Recognised")</f>
        <v/>
      </c>
      <c r="E142" s="83" t="e">
        <f>IF(E139,INDEX($L142:$P142,E140+1),0)</f>
        <v>#NAME?</v>
      </c>
      <c r="F142" s="83" t="e">
        <f>IF(F139,INDEX($L142:$P142,F140+1),0)</f>
        <v>#NAME?</v>
      </c>
      <c r="G142" s="83" t="e">
        <f>IF(G139,INDEX($L142:$P142,G140+1),0)</f>
        <v>#NAME?</v>
      </c>
      <c r="H142" s="83" t="e">
        <f>IF(H139,INDEX($L142:$P142,H140+1),0)</f>
        <v>#NAME?</v>
      </c>
      <c r="I142" s="83" t="e">
        <f>IF(I139,INDEX($L142:$P142,I140+1),0)</f>
        <v>#NAME?</v>
      </c>
      <c r="J142" s="32"/>
      <c r="K142" s="32"/>
      <c r="L142" s="13">
        <v>0</v>
      </c>
      <c r="M142" s="13"/>
      <c r="N142" s="13"/>
      <c r="O142" s="13"/>
      <c r="P142" s="13"/>
    </row>
    <row r="143" spans="1:16">
      <c r="A143" s="10"/>
      <c r="B143" s="32"/>
      <c r="C143" s="78"/>
      <c r="D143" s="82" t="str">
        <f>IFERROR(IF(OR(ISTEXT(C143),C143=""),"",VLOOKUP(C143,param!A$4:B$15,2,FALSE)),"Param Not Recognised")</f>
        <v/>
      </c>
      <c r="E143" s="83" t="e">
        <f>IF(E139,INDEX($L143:$P143,E140+1),0)</f>
        <v>#NAME?</v>
      </c>
      <c r="F143" s="83" t="e">
        <f>IF(F139,INDEX($L143:$P143,F140+1),0)</f>
        <v>#NAME?</v>
      </c>
      <c r="G143" s="83" t="e">
        <f>IF(G139,INDEX($L143:$P143,G140+1),0)</f>
        <v>#NAME?</v>
      </c>
      <c r="H143" s="83" t="e">
        <f>IF(H139,INDEX($L143:$P143,H140+1),0)</f>
        <v>#NAME?</v>
      </c>
      <c r="I143" s="83" t="e">
        <f>IF(I139,INDEX($L143:$P143,I140+1),0)</f>
        <v>#NAME?</v>
      </c>
      <c r="J143" s="32"/>
      <c r="K143" s="32"/>
      <c r="L143" s="13">
        <v>0</v>
      </c>
      <c r="M143" s="13"/>
      <c r="N143" s="13"/>
      <c r="O143" s="13"/>
      <c r="P143" s="13"/>
    </row>
    <row r="144" spans="1:16">
      <c r="A144" s="10"/>
      <c r="B144" s="32"/>
      <c r="C144" s="78"/>
      <c r="D144" s="82" t="str">
        <f>IFERROR(IF(OR(ISTEXT(C144),C144=""),"",VLOOKUP(C144,param!A$4:B$15,2,FALSE)),"Param Not Recognised")</f>
        <v/>
      </c>
      <c r="E144" s="83" t="e">
        <f>IF(E139,INDEX($L144:$P144,E140+1),0)</f>
        <v>#NAME?</v>
      </c>
      <c r="F144" s="83" t="e">
        <f>IF(F139,INDEX($L144:$P144,F140+1),0)</f>
        <v>#NAME?</v>
      </c>
      <c r="G144" s="83" t="e">
        <f>IF(G139,INDEX($L144:$P144,G140+1),0)</f>
        <v>#NAME?</v>
      </c>
      <c r="H144" s="83" t="e">
        <f>IF(H139,INDEX($L144:$P144,H140+1),0)</f>
        <v>#NAME?</v>
      </c>
      <c r="I144" s="83" t="e">
        <f>IF(I139,INDEX($L144:$P144,I140+1),0)</f>
        <v>#NAME?</v>
      </c>
      <c r="J144" s="32"/>
      <c r="K144" s="32"/>
      <c r="L144" s="13">
        <v>0</v>
      </c>
      <c r="M144" s="13"/>
      <c r="N144" s="13"/>
      <c r="O144" s="13"/>
      <c r="P144" s="13"/>
    </row>
    <row r="145" spans="1:16">
      <c r="A145" s="10"/>
      <c r="B145" s="32"/>
      <c r="C145" s="78"/>
      <c r="D145" s="82" t="str">
        <f>IFERROR(IF(OR(ISTEXT(C145),C145=""),"",VLOOKUP(C145,param!A$4:B$15,2,FALSE)),"Param Not Recognised")</f>
        <v/>
      </c>
      <c r="E145" s="83" t="e">
        <f>IF(E139,INDEX($L145:$P145,E140+1),0)</f>
        <v>#NAME?</v>
      </c>
      <c r="F145" s="83" t="e">
        <f>IF(F139,INDEX($L145:$P145,F140+1),0)</f>
        <v>#NAME?</v>
      </c>
      <c r="G145" s="83" t="e">
        <f>IF(G139,INDEX($L145:$P145,G140+1),0)</f>
        <v>#NAME?</v>
      </c>
      <c r="H145" s="83" t="e">
        <f>IF(H139,INDEX($L145:$P145,H140+1),0)</f>
        <v>#NAME?</v>
      </c>
      <c r="I145" s="83" t="e">
        <f>IF(I139,INDEX($L145:$P145,I140+1),0)</f>
        <v>#NAME?</v>
      </c>
      <c r="J145" s="32"/>
      <c r="K145" s="32"/>
      <c r="L145" s="13">
        <v>0</v>
      </c>
      <c r="M145" s="13"/>
      <c r="N145" s="13"/>
      <c r="O145" s="13"/>
      <c r="P145" s="13"/>
    </row>
    <row r="146" spans="1:16">
      <c r="A146" s="10"/>
      <c r="B146" s="32"/>
      <c r="C146" s="78"/>
      <c r="D146" s="82" t="str">
        <f>IFERROR(IF(OR(ISTEXT(C146),C146=""),"",VLOOKUP(C146,param!A$4:B$15,2,FALSE)),"Param Not Recognised")</f>
        <v/>
      </c>
      <c r="E146" s="83" t="e">
        <f>IF(E139,INDEX($L146:$P146,E140+1),0)</f>
        <v>#NAME?</v>
      </c>
      <c r="F146" s="83" t="e">
        <f>IF(F139,INDEX($L146:$P146,F140+1),0)</f>
        <v>#NAME?</v>
      </c>
      <c r="G146" s="83" t="e">
        <f>IF(G139,INDEX($L146:$P146,G140+1),0)</f>
        <v>#NAME?</v>
      </c>
      <c r="H146" s="83" t="e">
        <f>IF(H139,INDEX($L146:$P146,H140+1),0)</f>
        <v>#NAME?</v>
      </c>
      <c r="I146" s="83" t="e">
        <f>IF(I139,INDEX($L146:$P146,I140+1),0)</f>
        <v>#NAME?</v>
      </c>
      <c r="J146" s="32"/>
      <c r="K146" s="32"/>
      <c r="L146" s="13">
        <v>0</v>
      </c>
      <c r="M146" s="13"/>
      <c r="N146" s="13"/>
      <c r="O146" s="13"/>
      <c r="P146" s="13"/>
    </row>
    <row r="147" spans="1:16">
      <c r="A147" s="10"/>
      <c r="B147" s="32"/>
      <c r="C147" s="78"/>
      <c r="D147" s="82" t="str">
        <f>IFERROR(IF(OR(ISTEXT(C147),C147=""),"",VLOOKUP(C147,param!A$4:B$15,2,FALSE)),"Param Not Recognised")</f>
        <v/>
      </c>
      <c r="E147" s="83" t="e">
        <f>IF(E139,INDEX($L147:$P147,E140+1),0)</f>
        <v>#NAME?</v>
      </c>
      <c r="F147" s="83" t="e">
        <f>IF(F139,INDEX($L147:$P147,F140+1),0)</f>
        <v>#NAME?</v>
      </c>
      <c r="G147" s="83" t="e">
        <f>IF(G139,INDEX($L147:$P147,G140+1),0)</f>
        <v>#NAME?</v>
      </c>
      <c r="H147" s="83" t="e">
        <f>IF(H139,INDEX($L147:$P147,H140+1),0)</f>
        <v>#NAME?</v>
      </c>
      <c r="I147" s="83" t="e">
        <f>IF(I139,INDEX($L147:$P147,I140+1),0)</f>
        <v>#NAME?</v>
      </c>
      <c r="J147" s="32"/>
      <c r="K147" s="32"/>
      <c r="L147" s="13">
        <v>0</v>
      </c>
      <c r="M147" s="13"/>
      <c r="N147" s="13"/>
      <c r="O147" s="13"/>
      <c r="P147" s="13"/>
    </row>
    <row r="148" spans="1:16">
      <c r="A148" s="10"/>
      <c r="B148" s="32"/>
      <c r="C148" s="78"/>
      <c r="D148" s="82" t="str">
        <f>IFERROR(IF(OR(ISTEXT(C148),C148=""),"",VLOOKUP(C148,param!A$4:B$15,2,FALSE)),"Param Not Recognised")</f>
        <v/>
      </c>
      <c r="E148" s="83" t="e">
        <f>IF(E139,INDEX($L148:$P148,E140+1),0)</f>
        <v>#NAME?</v>
      </c>
      <c r="F148" s="83" t="e">
        <f>IF(F139,INDEX($L148:$P148,F140+1),0)</f>
        <v>#NAME?</v>
      </c>
      <c r="G148" s="83" t="e">
        <f>IF(G139,INDEX($L148:$P148,G140+1),0)</f>
        <v>#NAME?</v>
      </c>
      <c r="H148" s="83" t="e">
        <f>IF(H139,INDEX($L148:$P148,H140+1),0)</f>
        <v>#NAME?</v>
      </c>
      <c r="I148" s="83" t="e">
        <f>IF(I139,INDEX($L148:$P148,I140+1),0)</f>
        <v>#NAME?</v>
      </c>
      <c r="J148" s="32"/>
      <c r="K148" s="32"/>
      <c r="L148" s="13">
        <v>0</v>
      </c>
      <c r="M148" s="13"/>
      <c r="N148" s="13"/>
      <c r="O148" s="13"/>
      <c r="P148" s="13"/>
    </row>
    <row r="149" spans="1:16">
      <c r="A149" s="10"/>
      <c r="B149" s="32"/>
      <c r="C149" s="78"/>
      <c r="D149" s="82" t="str">
        <f>IFERROR(IF(OR(ISTEXT(C149),C149=""),"",VLOOKUP(C149,param!A$4:B$15,2,FALSE)),"Param Not Recognised")</f>
        <v/>
      </c>
      <c r="E149" s="83" t="e">
        <f>IF(E139,INDEX($L149:$P149,E140+1),0)</f>
        <v>#NAME?</v>
      </c>
      <c r="F149" s="83" t="e">
        <f>IF(F139,INDEX($L149:$P149,F140+1),0)</f>
        <v>#NAME?</v>
      </c>
      <c r="G149" s="83" t="e">
        <f>IF(G139,INDEX($L149:$P149,G140+1),0)</f>
        <v>#NAME?</v>
      </c>
      <c r="H149" s="83" t="e">
        <f>IF(H139,INDEX($L149:$P149,H140+1),0)</f>
        <v>#NAME?</v>
      </c>
      <c r="I149" s="83" t="e">
        <f>IF(I139,INDEX($L149:$P149,I140+1),0)</f>
        <v>#NAME?</v>
      </c>
      <c r="J149" s="32"/>
      <c r="K149" s="32"/>
      <c r="L149" s="13">
        <v>0</v>
      </c>
      <c r="M149" s="13"/>
      <c r="N149" s="13"/>
      <c r="O149" s="13"/>
      <c r="P149" s="13"/>
    </row>
    <row r="150" spans="1:16">
      <c r="A150" s="10"/>
      <c r="B150" s="32"/>
      <c r="C150" s="78"/>
      <c r="D150" s="82" t="str">
        <f>IFERROR(IF(OR(ISTEXT(C150),C150=""),"",VLOOKUP(C150,param!A$4:B$15,2,FALSE)),"Param Not Recognised")</f>
        <v/>
      </c>
      <c r="E150" s="83" t="e">
        <f>IF(E139,INDEX($L150:$P150,E140+1),0)</f>
        <v>#NAME?</v>
      </c>
      <c r="F150" s="83" t="e">
        <f>IF(F139,INDEX($L150:$P150,F140+1),0)</f>
        <v>#NAME?</v>
      </c>
      <c r="G150" s="83" t="e">
        <f>IF(G139,INDEX($L150:$P150,G140+1),0)</f>
        <v>#NAME?</v>
      </c>
      <c r="H150" s="83" t="e">
        <f>IF(H139,INDEX($L150:$P150,H140+1),0)</f>
        <v>#NAME?</v>
      </c>
      <c r="I150" s="83" t="e">
        <f>IF(I139,INDEX($L150:$P150,I140+1),0)</f>
        <v>#NAME?</v>
      </c>
      <c r="J150" s="32"/>
      <c r="K150" s="32"/>
      <c r="L150" s="13">
        <v>0</v>
      </c>
      <c r="M150" s="13"/>
      <c r="N150" s="13"/>
      <c r="O150" s="13"/>
      <c r="P150" s="13"/>
    </row>
    <row r="151" spans="1:16">
      <c r="A151" s="26"/>
    </row>
    <row r="152" spans="1:16">
      <c r="A152" s="86">
        <v>12</v>
      </c>
      <c r="B152" s="38">
        <f>INDEX(SI_Name,A152+1)</f>
        <v>0</v>
      </c>
      <c r="C152" s="31" t="s">
        <v>346</v>
      </c>
      <c r="D152" s="31"/>
      <c r="E152" s="33" t="e">
        <f>VLOOKUP($A152,calcTableSIsLaunched,adj_IndexTeam+1,FALSE)</f>
        <v>#NAME?</v>
      </c>
      <c r="F152" s="33" t="e">
        <f>VLOOKUP($A152,calcTableSIsLaunched,adj_IndexTeam+1,FALSE)</f>
        <v>#NAME?</v>
      </c>
      <c r="G152" s="33" t="e">
        <f>VLOOKUP($A152,calcTableSIsLaunched,adj_IndexTeam+1,FALSE)</f>
        <v>#NAME?</v>
      </c>
      <c r="H152" s="33" t="e">
        <f>VLOOKUP($A152,calcTableSIsLaunched,adj_IndexTeam+1,FALSE)</f>
        <v>#NAME?</v>
      </c>
      <c r="I152" s="33" t="e">
        <f>VLOOKUP($A152,calcTableSIsLaunched,adj_IndexTeam+1,FALSE)</f>
        <v>#NAME?</v>
      </c>
      <c r="J152" s="15">
        <f>SUMIF(C154:C163,adj_FTECode,M154:M163)</f>
        <v>0</v>
      </c>
      <c r="K152" s="15">
        <f>SUMIF(C154:C163,adj_CostCode,M154:M163)</f>
        <v>0</v>
      </c>
      <c r="L152" s="31"/>
      <c r="M152" s="31"/>
      <c r="N152" s="31"/>
      <c r="O152" s="31"/>
      <c r="P152" s="31"/>
    </row>
    <row r="153" spans="1:16">
      <c r="A153" s="10"/>
      <c r="B153" s="32"/>
      <c r="C153" s="32" t="s">
        <v>347</v>
      </c>
      <c r="D153" s="32"/>
      <c r="E153" s="33" t="e">
        <f>VLOOKUP($A152,calcTableSIsRoundsIntoLaunch,adj_IndexTeam+1,FALSE)</f>
        <v>#NAME?</v>
      </c>
      <c r="F153" s="33" t="e">
        <f>VLOOKUP($A152,calcTableSIsRoundsIntoLaunch,adj_IndexTeam+1,FALSE)</f>
        <v>#NAME?</v>
      </c>
      <c r="G153" s="33" t="e">
        <f>VLOOKUP($A152,calcTableSIsRoundsIntoLaunch,adj_IndexTeam+1,FALSE)</f>
        <v>#NAME?</v>
      </c>
      <c r="H153" s="33" t="e">
        <f>VLOOKUP($A152,calcTableSIsRoundsIntoLaunch,adj_IndexTeam+1,FALSE)</f>
        <v>#NAME?</v>
      </c>
      <c r="I153" s="33" t="e">
        <f>VLOOKUP($A152,calcTableSIsRoundsIntoLaunch,adj_IndexTeam+1,FALSE)</f>
        <v>#NAME?</v>
      </c>
      <c r="J153" s="32"/>
      <c r="K153" s="32"/>
      <c r="L153" s="32"/>
      <c r="M153" s="32"/>
      <c r="N153" s="32"/>
      <c r="O153" s="32"/>
      <c r="P153" s="32"/>
    </row>
    <row r="154" spans="1:16">
      <c r="A154" s="10"/>
      <c r="B154" s="32"/>
      <c r="C154" s="78">
        <v>1002</v>
      </c>
      <c r="D154" s="82" t="str">
        <f>IFERROR(IF(OR(ISTEXT(C154),C154=""),"",VLOOKUP(C154,param!A$4:B$15,2,FALSE)),"Param Not Recognised")</f>
        <v>FTEs</v>
      </c>
      <c r="E154" s="83" t="e">
        <f>IF(E152,INDEX($L154:$P154,E153+1),0)</f>
        <v>#NAME?</v>
      </c>
      <c r="F154" s="83" t="e">
        <f>IF(F152,INDEX($L154:$P154,F153+1),0)</f>
        <v>#NAME?</v>
      </c>
      <c r="G154" s="83" t="e">
        <f>IF(G152,INDEX($L154:$P154,G153+1),0)</f>
        <v>#NAME?</v>
      </c>
      <c r="H154" s="83" t="e">
        <f>IF(H152,INDEX($L154:$P154,H153+1),0)</f>
        <v>#NAME?</v>
      </c>
      <c r="I154" s="83" t="e">
        <f>IF(I152,INDEX($L154:$P154,I153+1),0)</f>
        <v>#NAME?</v>
      </c>
      <c r="J154" s="32"/>
      <c r="K154" s="32"/>
      <c r="L154" s="13">
        <v>0</v>
      </c>
      <c r="M154" s="13"/>
      <c r="N154" s="13"/>
      <c r="O154" s="13"/>
      <c r="P154" s="13"/>
    </row>
    <row r="155" spans="1:16">
      <c r="A155" s="10"/>
      <c r="B155" s="32"/>
      <c r="C155" s="78"/>
      <c r="D155" s="82" t="str">
        <f>IFERROR(IF(OR(ISTEXT(C155),C155=""),"",VLOOKUP(C155,param!A$4:B$15,2,FALSE)),"Param Not Recognised")</f>
        <v/>
      </c>
      <c r="E155" s="83" t="e">
        <f>IF(E152,INDEX($L155:$P155,E153+1),0)</f>
        <v>#NAME?</v>
      </c>
      <c r="F155" s="83" t="e">
        <f>IF(F152,INDEX($L155:$P155,F153+1),0)</f>
        <v>#NAME?</v>
      </c>
      <c r="G155" s="83" t="e">
        <f>IF(G152,INDEX($L155:$P155,G153+1),0)</f>
        <v>#NAME?</v>
      </c>
      <c r="H155" s="83" t="e">
        <f>IF(H152,INDEX($L155:$P155,H153+1),0)</f>
        <v>#NAME?</v>
      </c>
      <c r="I155" s="83" t="e">
        <f>IF(I152,INDEX($L155:$P155,I153+1),0)</f>
        <v>#NAME?</v>
      </c>
      <c r="J155" s="32"/>
      <c r="K155" s="32"/>
      <c r="L155" s="13">
        <v>0</v>
      </c>
      <c r="M155" s="13"/>
      <c r="N155" s="13"/>
      <c r="O155" s="13"/>
      <c r="P155" s="13"/>
    </row>
    <row r="156" spans="1:16">
      <c r="A156" s="10"/>
      <c r="B156" s="32"/>
      <c r="C156" s="78"/>
      <c r="D156" s="82" t="str">
        <f>IFERROR(IF(OR(ISTEXT(C156),C156=""),"",VLOOKUP(C156,param!A$4:B$15,2,FALSE)),"Param Not Recognised")</f>
        <v/>
      </c>
      <c r="E156" s="83" t="e">
        <f>IF(E152,INDEX($L156:$P156,E153+1),0)</f>
        <v>#NAME?</v>
      </c>
      <c r="F156" s="83" t="e">
        <f>IF(F152,INDEX($L156:$P156,F153+1),0)</f>
        <v>#NAME?</v>
      </c>
      <c r="G156" s="83" t="e">
        <f>IF(G152,INDEX($L156:$P156,G153+1),0)</f>
        <v>#NAME?</v>
      </c>
      <c r="H156" s="83" t="e">
        <f>IF(H152,INDEX($L156:$P156,H153+1),0)</f>
        <v>#NAME?</v>
      </c>
      <c r="I156" s="83" t="e">
        <f>IF(I152,INDEX($L156:$P156,I153+1),0)</f>
        <v>#NAME?</v>
      </c>
      <c r="J156" s="32"/>
      <c r="K156" s="32"/>
      <c r="L156" s="13">
        <v>0</v>
      </c>
      <c r="M156" s="13"/>
      <c r="N156" s="13"/>
      <c r="O156" s="13"/>
      <c r="P156" s="13"/>
    </row>
    <row r="157" spans="1:16">
      <c r="A157" s="10"/>
      <c r="B157" s="32"/>
      <c r="C157" s="78"/>
      <c r="D157" s="82" t="str">
        <f>IFERROR(IF(OR(ISTEXT(C157),C157=""),"",VLOOKUP(C157,param!A$4:B$15,2,FALSE)),"Param Not Recognised")</f>
        <v/>
      </c>
      <c r="E157" s="83" t="e">
        <f>IF(E152,INDEX($L157:$P157,E153+1),0)</f>
        <v>#NAME?</v>
      </c>
      <c r="F157" s="83" t="e">
        <f>IF(F152,INDEX($L157:$P157,F153+1),0)</f>
        <v>#NAME?</v>
      </c>
      <c r="G157" s="83" t="e">
        <f>IF(G152,INDEX($L157:$P157,G153+1),0)</f>
        <v>#NAME?</v>
      </c>
      <c r="H157" s="83" t="e">
        <f>IF(H152,INDEX($L157:$P157,H153+1),0)</f>
        <v>#NAME?</v>
      </c>
      <c r="I157" s="83" t="e">
        <f>IF(I152,INDEX($L157:$P157,I153+1),0)</f>
        <v>#NAME?</v>
      </c>
      <c r="J157" s="32"/>
      <c r="K157" s="32"/>
      <c r="L157" s="13">
        <v>0</v>
      </c>
      <c r="M157" s="13"/>
      <c r="N157" s="13"/>
      <c r="O157" s="13"/>
      <c r="P157" s="13"/>
    </row>
    <row r="158" spans="1:16">
      <c r="A158" s="10"/>
      <c r="B158" s="32"/>
      <c r="C158" s="78"/>
      <c r="D158" s="82" t="str">
        <f>IFERROR(IF(OR(ISTEXT(C158),C158=""),"",VLOOKUP(C158,param!A$4:B$15,2,FALSE)),"Param Not Recognised")</f>
        <v/>
      </c>
      <c r="E158" s="83" t="e">
        <f>IF(E152,INDEX($L158:$P158,E153+1),0)</f>
        <v>#NAME?</v>
      </c>
      <c r="F158" s="83" t="e">
        <f>IF(F152,INDEX($L158:$P158,F153+1),0)</f>
        <v>#NAME?</v>
      </c>
      <c r="G158" s="83" t="e">
        <f>IF(G152,INDEX($L158:$P158,G153+1),0)</f>
        <v>#NAME?</v>
      </c>
      <c r="H158" s="83" t="e">
        <f>IF(H152,INDEX($L158:$P158,H153+1),0)</f>
        <v>#NAME?</v>
      </c>
      <c r="I158" s="83" t="e">
        <f>IF(I152,INDEX($L158:$P158,I153+1),0)</f>
        <v>#NAME?</v>
      </c>
      <c r="J158" s="32"/>
      <c r="K158" s="32"/>
      <c r="L158" s="13">
        <v>0</v>
      </c>
      <c r="M158" s="13"/>
      <c r="N158" s="13"/>
      <c r="O158" s="13"/>
      <c r="P158" s="13"/>
    </row>
    <row r="159" spans="1:16">
      <c r="A159" s="10"/>
      <c r="B159" s="32"/>
      <c r="C159" s="78"/>
      <c r="D159" s="82" t="str">
        <f>IFERROR(IF(OR(ISTEXT(C159),C159=""),"",VLOOKUP(C159,param!A$4:B$15,2,FALSE)),"Param Not Recognised")</f>
        <v/>
      </c>
      <c r="E159" s="83" t="e">
        <f>IF(E152,INDEX($L159:$P159,E153+1),0)</f>
        <v>#NAME?</v>
      </c>
      <c r="F159" s="83" t="e">
        <f>IF(F152,INDEX($L159:$P159,F153+1),0)</f>
        <v>#NAME?</v>
      </c>
      <c r="G159" s="83" t="e">
        <f>IF(G152,INDEX($L159:$P159,G153+1),0)</f>
        <v>#NAME?</v>
      </c>
      <c r="H159" s="83" t="e">
        <f>IF(H152,INDEX($L159:$P159,H153+1),0)</f>
        <v>#NAME?</v>
      </c>
      <c r="I159" s="83" t="e">
        <f>IF(I152,INDEX($L159:$P159,I153+1),0)</f>
        <v>#NAME?</v>
      </c>
      <c r="J159" s="32"/>
      <c r="K159" s="32"/>
      <c r="L159" s="13">
        <v>0</v>
      </c>
      <c r="M159" s="13"/>
      <c r="N159" s="13"/>
      <c r="O159" s="13"/>
      <c r="P159" s="13"/>
    </row>
    <row r="160" spans="1:16">
      <c r="A160" s="10"/>
      <c r="B160" s="32"/>
      <c r="C160" s="78"/>
      <c r="D160" s="82" t="str">
        <f>IFERROR(IF(OR(ISTEXT(C160),C160=""),"",VLOOKUP(C160,param!A$4:B$15,2,FALSE)),"Param Not Recognised")</f>
        <v/>
      </c>
      <c r="E160" s="83" t="e">
        <f>IF(E152,INDEX($L160:$P160,E153+1),0)</f>
        <v>#NAME?</v>
      </c>
      <c r="F160" s="83" t="e">
        <f>IF(F152,INDEX($L160:$P160,F153+1),0)</f>
        <v>#NAME?</v>
      </c>
      <c r="G160" s="83" t="e">
        <f>IF(G152,INDEX($L160:$P160,G153+1),0)</f>
        <v>#NAME?</v>
      </c>
      <c r="H160" s="83" t="e">
        <f>IF(H152,INDEX($L160:$P160,H153+1),0)</f>
        <v>#NAME?</v>
      </c>
      <c r="I160" s="83" t="e">
        <f>IF(I152,INDEX($L160:$P160,I153+1),0)</f>
        <v>#NAME?</v>
      </c>
      <c r="J160" s="32"/>
      <c r="K160" s="32"/>
      <c r="L160" s="13">
        <v>0</v>
      </c>
      <c r="M160" s="13"/>
      <c r="N160" s="13"/>
      <c r="O160" s="13"/>
      <c r="P160" s="13"/>
    </row>
    <row r="161" spans="1:16">
      <c r="A161" s="10"/>
      <c r="B161" s="32"/>
      <c r="C161" s="78"/>
      <c r="D161" s="82" t="str">
        <f>IFERROR(IF(OR(ISTEXT(C161),C161=""),"",VLOOKUP(C161,param!A$4:B$15,2,FALSE)),"Param Not Recognised")</f>
        <v/>
      </c>
      <c r="E161" s="83" t="e">
        <f>IF(E152,INDEX($L161:$P161,E153+1),0)</f>
        <v>#NAME?</v>
      </c>
      <c r="F161" s="83" t="e">
        <f>IF(F152,INDEX($L161:$P161,F153+1),0)</f>
        <v>#NAME?</v>
      </c>
      <c r="G161" s="83" t="e">
        <f>IF(G152,INDEX($L161:$P161,G153+1),0)</f>
        <v>#NAME?</v>
      </c>
      <c r="H161" s="83" t="e">
        <f>IF(H152,INDEX($L161:$P161,H153+1),0)</f>
        <v>#NAME?</v>
      </c>
      <c r="I161" s="83" t="e">
        <f>IF(I152,INDEX($L161:$P161,I153+1),0)</f>
        <v>#NAME?</v>
      </c>
      <c r="J161" s="32"/>
      <c r="K161" s="32"/>
      <c r="L161" s="13">
        <v>0</v>
      </c>
      <c r="M161" s="13"/>
      <c r="N161" s="13"/>
      <c r="O161" s="13"/>
      <c r="P161" s="13"/>
    </row>
    <row r="162" spans="1:16">
      <c r="A162" s="10"/>
      <c r="B162" s="32"/>
      <c r="C162" s="78"/>
      <c r="D162" s="82" t="str">
        <f>IFERROR(IF(OR(ISTEXT(C162),C162=""),"",VLOOKUP(C162,param!A$4:B$15,2,FALSE)),"Param Not Recognised")</f>
        <v/>
      </c>
      <c r="E162" s="83" t="e">
        <f>IF(E152,INDEX($L162:$P162,E153+1),0)</f>
        <v>#NAME?</v>
      </c>
      <c r="F162" s="83" t="e">
        <f>IF(F152,INDEX($L162:$P162,F153+1),0)</f>
        <v>#NAME?</v>
      </c>
      <c r="G162" s="83" t="e">
        <f>IF(G152,INDEX($L162:$P162,G153+1),0)</f>
        <v>#NAME?</v>
      </c>
      <c r="H162" s="83" t="e">
        <f>IF(H152,INDEX($L162:$P162,H153+1),0)</f>
        <v>#NAME?</v>
      </c>
      <c r="I162" s="83" t="e">
        <f>IF(I152,INDEX($L162:$P162,I153+1),0)</f>
        <v>#NAME?</v>
      </c>
      <c r="J162" s="32"/>
      <c r="K162" s="32"/>
      <c r="L162" s="13">
        <v>0</v>
      </c>
      <c r="M162" s="13"/>
      <c r="N162" s="13"/>
      <c r="O162" s="13"/>
      <c r="P162" s="13"/>
    </row>
    <row r="163" spans="1:16">
      <c r="A163" s="10"/>
      <c r="B163" s="32"/>
      <c r="C163" s="78"/>
      <c r="D163" s="82" t="str">
        <f>IFERROR(IF(OR(ISTEXT(C163),C163=""),"",VLOOKUP(C163,param!A$4:B$15,2,FALSE)),"Param Not Recognised")</f>
        <v/>
      </c>
      <c r="E163" s="83" t="e">
        <f>IF(E152,INDEX($L163:$P163,E153+1),0)</f>
        <v>#NAME?</v>
      </c>
      <c r="F163" s="83" t="e">
        <f>IF(F152,INDEX($L163:$P163,F153+1),0)</f>
        <v>#NAME?</v>
      </c>
      <c r="G163" s="83" t="e">
        <f>IF(G152,INDEX($L163:$P163,G153+1),0)</f>
        <v>#NAME?</v>
      </c>
      <c r="H163" s="83" t="e">
        <f>IF(H152,INDEX($L163:$P163,H153+1),0)</f>
        <v>#NAME?</v>
      </c>
      <c r="I163" s="83" t="e">
        <f>IF(I152,INDEX($L163:$P163,I153+1),0)</f>
        <v>#NAME?</v>
      </c>
      <c r="J163" s="32"/>
      <c r="K163" s="32"/>
      <c r="L163" s="13">
        <v>0</v>
      </c>
      <c r="M163" s="13"/>
      <c r="N163" s="13"/>
      <c r="O163" s="13"/>
      <c r="P163" s="13"/>
    </row>
    <row r="164" spans="1:16">
      <c r="A164" s="26"/>
    </row>
    <row r="165" spans="1:16">
      <c r="A165" s="86">
        <v>13</v>
      </c>
      <c r="B165" s="38">
        <f>INDEX(SI_Name,A165+1)</f>
        <v>0</v>
      </c>
      <c r="C165" s="31" t="s">
        <v>346</v>
      </c>
      <c r="D165" s="31"/>
      <c r="E165" s="33" t="e">
        <f>VLOOKUP($A165,calcTableSIsLaunched,adj_IndexTeam+1,FALSE)</f>
        <v>#NAME?</v>
      </c>
      <c r="F165" s="33" t="e">
        <f>VLOOKUP($A165,calcTableSIsLaunched,adj_IndexTeam+1,FALSE)</f>
        <v>#NAME?</v>
      </c>
      <c r="G165" s="33" t="e">
        <f>VLOOKUP($A165,calcTableSIsLaunched,adj_IndexTeam+1,FALSE)</f>
        <v>#NAME?</v>
      </c>
      <c r="H165" s="33" t="e">
        <f>VLOOKUP($A165,calcTableSIsLaunched,adj_IndexTeam+1,FALSE)</f>
        <v>#NAME?</v>
      </c>
      <c r="I165" s="33" t="e">
        <f>VLOOKUP($A165,calcTableSIsLaunched,adj_IndexTeam+1,FALSE)</f>
        <v>#NAME?</v>
      </c>
      <c r="J165" s="15">
        <f>SUMIF(C167:C176,adj_FTECode,M167:M176)</f>
        <v>0</v>
      </c>
      <c r="K165" s="15">
        <f>SUMIF(C167:C176,adj_CostCode,M167:M176)</f>
        <v>0</v>
      </c>
      <c r="L165" s="31"/>
      <c r="M165" s="31"/>
      <c r="N165" s="31"/>
      <c r="O165" s="31"/>
      <c r="P165" s="31"/>
    </row>
    <row r="166" spans="1:16">
      <c r="A166" s="10"/>
      <c r="B166" s="32"/>
      <c r="C166" s="32" t="s">
        <v>347</v>
      </c>
      <c r="D166" s="32"/>
      <c r="E166" s="33" t="e">
        <f>VLOOKUP($A165,calcTableSIsRoundsIntoLaunch,adj_IndexTeam+1,FALSE)</f>
        <v>#NAME?</v>
      </c>
      <c r="F166" s="33" t="e">
        <f>VLOOKUP($A165,calcTableSIsRoundsIntoLaunch,adj_IndexTeam+1,FALSE)</f>
        <v>#NAME?</v>
      </c>
      <c r="G166" s="33" t="e">
        <f>VLOOKUP($A165,calcTableSIsRoundsIntoLaunch,adj_IndexTeam+1,FALSE)</f>
        <v>#NAME?</v>
      </c>
      <c r="H166" s="33" t="e">
        <f>VLOOKUP($A165,calcTableSIsRoundsIntoLaunch,adj_IndexTeam+1,FALSE)</f>
        <v>#NAME?</v>
      </c>
      <c r="I166" s="33" t="e">
        <f>VLOOKUP($A165,calcTableSIsRoundsIntoLaunch,adj_IndexTeam+1,FALSE)</f>
        <v>#NAME?</v>
      </c>
      <c r="J166" s="32"/>
      <c r="K166" s="32"/>
      <c r="L166" s="32"/>
      <c r="M166" s="32"/>
      <c r="N166" s="32"/>
      <c r="O166" s="32"/>
      <c r="P166" s="32"/>
    </row>
    <row r="167" spans="1:16">
      <c r="A167" s="10"/>
      <c r="B167" s="32"/>
      <c r="C167" s="78">
        <v>1002</v>
      </c>
      <c r="D167" s="82" t="str">
        <f>IFERROR(IF(OR(ISTEXT(C167),C167=""),"",VLOOKUP(C167,param!A$4:B$15,2,FALSE)),"Param Not Recognised")</f>
        <v>FTEs</v>
      </c>
      <c r="E167" s="83" t="e">
        <f>IF(E165,INDEX($L167:$P167,E166+1),0)</f>
        <v>#NAME?</v>
      </c>
      <c r="F167" s="83" t="e">
        <f>IF(F165,INDEX($L167:$P167,F166+1),0)</f>
        <v>#NAME?</v>
      </c>
      <c r="G167" s="83" t="e">
        <f>IF(G165,INDEX($L167:$P167,G166+1),0)</f>
        <v>#NAME?</v>
      </c>
      <c r="H167" s="83" t="e">
        <f>IF(H165,INDEX($L167:$P167,H166+1),0)</f>
        <v>#NAME?</v>
      </c>
      <c r="I167" s="83" t="e">
        <f>IF(I165,INDEX($L167:$P167,I166+1),0)</f>
        <v>#NAME?</v>
      </c>
      <c r="J167" s="32"/>
      <c r="K167" s="32"/>
      <c r="L167" s="13">
        <v>0</v>
      </c>
      <c r="M167" s="13"/>
      <c r="N167" s="13"/>
      <c r="O167" s="13"/>
      <c r="P167" s="13"/>
    </row>
    <row r="168" spans="1:16">
      <c r="A168" s="10"/>
      <c r="B168" s="32"/>
      <c r="C168" s="78"/>
      <c r="D168" s="82" t="str">
        <f>IFERROR(IF(OR(ISTEXT(C168),C168=""),"",VLOOKUP(C168,param!A$4:B$15,2,FALSE)),"Param Not Recognised")</f>
        <v/>
      </c>
      <c r="E168" s="83" t="e">
        <f>IF(E165,INDEX($L168:$P168,E166+1),0)</f>
        <v>#NAME?</v>
      </c>
      <c r="F168" s="83" t="e">
        <f>IF(F165,INDEX($L168:$P168,F166+1),0)</f>
        <v>#NAME?</v>
      </c>
      <c r="G168" s="83" t="e">
        <f>IF(G165,INDEX($L168:$P168,G166+1),0)</f>
        <v>#NAME?</v>
      </c>
      <c r="H168" s="83" t="e">
        <f>IF(H165,INDEX($L168:$P168,H166+1),0)</f>
        <v>#NAME?</v>
      </c>
      <c r="I168" s="83" t="e">
        <f>IF(I165,INDEX($L168:$P168,I166+1),0)</f>
        <v>#NAME?</v>
      </c>
      <c r="J168" s="32"/>
      <c r="K168" s="32"/>
      <c r="L168" s="13">
        <v>0</v>
      </c>
      <c r="M168" s="13"/>
      <c r="N168" s="13"/>
      <c r="O168" s="13"/>
      <c r="P168" s="13"/>
    </row>
    <row r="169" spans="1:16">
      <c r="A169" s="10"/>
      <c r="B169" s="32"/>
      <c r="C169" s="78"/>
      <c r="D169" s="82" t="str">
        <f>IFERROR(IF(OR(ISTEXT(C169),C169=""),"",VLOOKUP(C169,param!A$4:B$15,2,FALSE)),"Param Not Recognised")</f>
        <v/>
      </c>
      <c r="E169" s="83" t="e">
        <f>IF(E165,INDEX($L169:$P169,E166+1),0)</f>
        <v>#NAME?</v>
      </c>
      <c r="F169" s="83" t="e">
        <f>IF(F165,INDEX($L169:$P169,F166+1),0)</f>
        <v>#NAME?</v>
      </c>
      <c r="G169" s="83" t="e">
        <f>IF(G165,INDEX($L169:$P169,G166+1),0)</f>
        <v>#NAME?</v>
      </c>
      <c r="H169" s="83" t="e">
        <f>IF(H165,INDEX($L169:$P169,H166+1),0)</f>
        <v>#NAME?</v>
      </c>
      <c r="I169" s="83" t="e">
        <f>IF(I165,INDEX($L169:$P169,I166+1),0)</f>
        <v>#NAME?</v>
      </c>
      <c r="J169" s="32"/>
      <c r="K169" s="32"/>
      <c r="L169" s="13">
        <v>0</v>
      </c>
      <c r="M169" s="13"/>
      <c r="N169" s="13"/>
      <c r="O169" s="13"/>
      <c r="P169" s="13"/>
    </row>
    <row r="170" spans="1:16">
      <c r="A170" s="10"/>
      <c r="B170" s="32"/>
      <c r="C170" s="78"/>
      <c r="D170" s="82" t="str">
        <f>IFERROR(IF(OR(ISTEXT(C170),C170=""),"",VLOOKUP(C170,param!A$4:B$15,2,FALSE)),"Param Not Recognised")</f>
        <v/>
      </c>
      <c r="E170" s="83" t="e">
        <f>IF(E165,INDEX($L170:$P170,E166+1),0)</f>
        <v>#NAME?</v>
      </c>
      <c r="F170" s="83" t="e">
        <f>IF(F165,INDEX($L170:$P170,F166+1),0)</f>
        <v>#NAME?</v>
      </c>
      <c r="G170" s="83" t="e">
        <f>IF(G165,INDEX($L170:$P170,G166+1),0)</f>
        <v>#NAME?</v>
      </c>
      <c r="H170" s="83" t="e">
        <f>IF(H165,INDEX($L170:$P170,H166+1),0)</f>
        <v>#NAME?</v>
      </c>
      <c r="I170" s="83" t="e">
        <f>IF(I165,INDEX($L170:$P170,I166+1),0)</f>
        <v>#NAME?</v>
      </c>
      <c r="J170" s="32"/>
      <c r="K170" s="32"/>
      <c r="L170" s="13">
        <v>0</v>
      </c>
      <c r="M170" s="13"/>
      <c r="N170" s="13"/>
      <c r="O170" s="13"/>
      <c r="P170" s="13"/>
    </row>
    <row r="171" spans="1:16">
      <c r="A171" s="10"/>
      <c r="B171" s="32"/>
      <c r="C171" s="78"/>
      <c r="D171" s="82" t="str">
        <f>IFERROR(IF(OR(ISTEXT(C171),C171=""),"",VLOOKUP(C171,param!A$4:B$15,2,FALSE)),"Param Not Recognised")</f>
        <v/>
      </c>
      <c r="E171" s="83" t="e">
        <f>IF(E165,INDEX($L171:$P171,E166+1),0)</f>
        <v>#NAME?</v>
      </c>
      <c r="F171" s="83" t="e">
        <f>IF(F165,INDEX($L171:$P171,F166+1),0)</f>
        <v>#NAME?</v>
      </c>
      <c r="G171" s="83" t="e">
        <f>IF(G165,INDEX($L171:$P171,G166+1),0)</f>
        <v>#NAME?</v>
      </c>
      <c r="H171" s="83" t="e">
        <f>IF(H165,INDEX($L171:$P171,H166+1),0)</f>
        <v>#NAME?</v>
      </c>
      <c r="I171" s="83" t="e">
        <f>IF(I165,INDEX($L171:$P171,I166+1),0)</f>
        <v>#NAME?</v>
      </c>
      <c r="J171" s="32"/>
      <c r="K171" s="32"/>
      <c r="L171" s="13">
        <v>0</v>
      </c>
      <c r="M171" s="13"/>
      <c r="N171" s="13"/>
      <c r="O171" s="13"/>
      <c r="P171" s="13"/>
    </row>
    <row r="172" spans="1:16">
      <c r="A172" s="10"/>
      <c r="B172" s="32"/>
      <c r="C172" s="78"/>
      <c r="D172" s="82" t="str">
        <f>IFERROR(IF(OR(ISTEXT(C172),C172=""),"",VLOOKUP(C172,param!A$4:B$15,2,FALSE)),"Param Not Recognised")</f>
        <v/>
      </c>
      <c r="E172" s="83" t="e">
        <f>IF(E165,INDEX($L172:$P172,E166+1),0)</f>
        <v>#NAME?</v>
      </c>
      <c r="F172" s="83" t="e">
        <f>IF(F165,INDEX($L172:$P172,F166+1),0)</f>
        <v>#NAME?</v>
      </c>
      <c r="G172" s="83" t="e">
        <f>IF(G165,INDEX($L172:$P172,G166+1),0)</f>
        <v>#NAME?</v>
      </c>
      <c r="H172" s="83" t="e">
        <f>IF(H165,INDEX($L172:$P172,H166+1),0)</f>
        <v>#NAME?</v>
      </c>
      <c r="I172" s="83" t="e">
        <f>IF(I165,INDEX($L172:$P172,I166+1),0)</f>
        <v>#NAME?</v>
      </c>
      <c r="J172" s="32"/>
      <c r="K172" s="32"/>
      <c r="L172" s="13">
        <v>0</v>
      </c>
      <c r="M172" s="13"/>
      <c r="N172" s="13"/>
      <c r="O172" s="13"/>
      <c r="P172" s="13"/>
    </row>
    <row r="173" spans="1:16">
      <c r="A173" s="10"/>
      <c r="B173" s="32"/>
      <c r="C173" s="78"/>
      <c r="D173" s="82" t="str">
        <f>IFERROR(IF(OR(ISTEXT(C173),C173=""),"",VLOOKUP(C173,param!A$4:B$15,2,FALSE)),"Param Not Recognised")</f>
        <v/>
      </c>
      <c r="E173" s="83" t="e">
        <f>IF(E165,INDEX($L173:$P173,E166+1),0)</f>
        <v>#NAME?</v>
      </c>
      <c r="F173" s="83" t="e">
        <f>IF(F165,INDEX($L173:$P173,F166+1),0)</f>
        <v>#NAME?</v>
      </c>
      <c r="G173" s="83" t="e">
        <f>IF(G165,INDEX($L173:$P173,G166+1),0)</f>
        <v>#NAME?</v>
      </c>
      <c r="H173" s="83" t="e">
        <f>IF(H165,INDEX($L173:$P173,H166+1),0)</f>
        <v>#NAME?</v>
      </c>
      <c r="I173" s="83" t="e">
        <f>IF(I165,INDEX($L173:$P173,I166+1),0)</f>
        <v>#NAME?</v>
      </c>
      <c r="J173" s="32"/>
      <c r="K173" s="32"/>
      <c r="L173" s="13">
        <v>0</v>
      </c>
      <c r="M173" s="13"/>
      <c r="N173" s="13"/>
      <c r="O173" s="13"/>
      <c r="P173" s="13"/>
    </row>
    <row r="174" spans="1:16">
      <c r="A174" s="10"/>
      <c r="B174" s="32"/>
      <c r="C174" s="78"/>
      <c r="D174" s="82" t="str">
        <f>IFERROR(IF(OR(ISTEXT(C174),C174=""),"",VLOOKUP(C174,param!A$4:B$15,2,FALSE)),"Param Not Recognised")</f>
        <v/>
      </c>
      <c r="E174" s="83" t="e">
        <f>IF(E165,INDEX($L174:$P174,E166+1),0)</f>
        <v>#NAME?</v>
      </c>
      <c r="F174" s="83" t="e">
        <f>IF(F165,INDEX($L174:$P174,F166+1),0)</f>
        <v>#NAME?</v>
      </c>
      <c r="G174" s="83" t="e">
        <f>IF(G165,INDEX($L174:$P174,G166+1),0)</f>
        <v>#NAME?</v>
      </c>
      <c r="H174" s="83" t="e">
        <f>IF(H165,INDEX($L174:$P174,H166+1),0)</f>
        <v>#NAME?</v>
      </c>
      <c r="I174" s="83" t="e">
        <f>IF(I165,INDEX($L174:$P174,I166+1),0)</f>
        <v>#NAME?</v>
      </c>
      <c r="J174" s="32"/>
      <c r="K174" s="32"/>
      <c r="L174" s="13">
        <v>0</v>
      </c>
      <c r="M174" s="13"/>
      <c r="N174" s="13"/>
      <c r="O174" s="13"/>
      <c r="P174" s="13"/>
    </row>
    <row r="175" spans="1:16">
      <c r="A175" s="10"/>
      <c r="B175" s="32"/>
      <c r="C175" s="78"/>
      <c r="D175" s="82" t="str">
        <f>IFERROR(IF(OR(ISTEXT(C175),C175=""),"",VLOOKUP(C175,param!A$4:B$15,2,FALSE)),"Param Not Recognised")</f>
        <v/>
      </c>
      <c r="E175" s="83" t="e">
        <f>IF(E165,INDEX($L175:$P175,E166+1),0)</f>
        <v>#NAME?</v>
      </c>
      <c r="F175" s="83" t="e">
        <f>IF(F165,INDEX($L175:$P175,F166+1),0)</f>
        <v>#NAME?</v>
      </c>
      <c r="G175" s="83" t="e">
        <f>IF(G165,INDEX($L175:$P175,G166+1),0)</f>
        <v>#NAME?</v>
      </c>
      <c r="H175" s="83" t="e">
        <f>IF(H165,INDEX($L175:$P175,H166+1),0)</f>
        <v>#NAME?</v>
      </c>
      <c r="I175" s="83" t="e">
        <f>IF(I165,INDEX($L175:$P175,I166+1),0)</f>
        <v>#NAME?</v>
      </c>
      <c r="J175" s="32"/>
      <c r="K175" s="32"/>
      <c r="L175" s="13">
        <v>0</v>
      </c>
      <c r="M175" s="13"/>
      <c r="N175" s="13"/>
      <c r="O175" s="13"/>
      <c r="P175" s="13"/>
    </row>
    <row r="176" spans="1:16">
      <c r="A176" s="10"/>
      <c r="B176" s="32"/>
      <c r="C176" s="78"/>
      <c r="D176" s="82" t="str">
        <f>IFERROR(IF(OR(ISTEXT(C176),C176=""),"",VLOOKUP(C176,param!A$4:B$15,2,FALSE)),"Param Not Recognised")</f>
        <v/>
      </c>
      <c r="E176" s="83" t="e">
        <f>IF(E165,INDEX($L176:$P176,E166+1),0)</f>
        <v>#NAME?</v>
      </c>
      <c r="F176" s="83" t="e">
        <f>IF(F165,INDEX($L176:$P176,F166+1),0)</f>
        <v>#NAME?</v>
      </c>
      <c r="G176" s="83" t="e">
        <f>IF(G165,INDEX($L176:$P176,G166+1),0)</f>
        <v>#NAME?</v>
      </c>
      <c r="H176" s="83" t="e">
        <f>IF(H165,INDEX($L176:$P176,H166+1),0)</f>
        <v>#NAME?</v>
      </c>
      <c r="I176" s="83" t="e">
        <f>IF(I165,INDEX($L176:$P176,I166+1),0)</f>
        <v>#NAME?</v>
      </c>
      <c r="J176" s="32"/>
      <c r="K176" s="32"/>
      <c r="L176" s="13">
        <v>0</v>
      </c>
      <c r="M176" s="13"/>
      <c r="N176" s="13"/>
      <c r="O176" s="13"/>
      <c r="P176" s="13"/>
    </row>
    <row r="177" spans="1:16">
      <c r="A177" s="26"/>
    </row>
    <row r="178" spans="1:16">
      <c r="A178" s="86">
        <v>14</v>
      </c>
      <c r="B178" s="38">
        <f>INDEX(SI_Name,A178+1)</f>
        <v>0</v>
      </c>
      <c r="C178" s="31" t="s">
        <v>346</v>
      </c>
      <c r="D178" s="31"/>
      <c r="E178" s="33" t="e">
        <f>VLOOKUP($A178,calcTableSIsLaunched,adj_IndexTeam+1,FALSE)</f>
        <v>#NAME?</v>
      </c>
      <c r="F178" s="33" t="e">
        <f>VLOOKUP($A178,calcTableSIsLaunched,adj_IndexTeam+1,FALSE)</f>
        <v>#NAME?</v>
      </c>
      <c r="G178" s="33" t="e">
        <f>VLOOKUP($A178,calcTableSIsLaunched,adj_IndexTeam+1,FALSE)</f>
        <v>#NAME?</v>
      </c>
      <c r="H178" s="33" t="e">
        <f>VLOOKUP($A178,calcTableSIsLaunched,adj_IndexTeam+1,FALSE)</f>
        <v>#NAME?</v>
      </c>
      <c r="I178" s="33" t="e">
        <f>VLOOKUP($A178,calcTableSIsLaunched,adj_IndexTeam+1,FALSE)</f>
        <v>#NAME?</v>
      </c>
      <c r="J178" s="15">
        <f>SUMIF(C180:C189,adj_FTECode,M180:M189)</f>
        <v>0</v>
      </c>
      <c r="K178" s="15">
        <f>SUMIF(C180:C189,adj_CostCode,M180:M189)</f>
        <v>0</v>
      </c>
      <c r="L178" s="31"/>
      <c r="M178" s="31"/>
      <c r="N178" s="31"/>
      <c r="O178" s="31"/>
      <c r="P178" s="31"/>
    </row>
    <row r="179" spans="1:16">
      <c r="A179" s="10"/>
      <c r="B179" s="32"/>
      <c r="C179" s="32" t="s">
        <v>347</v>
      </c>
      <c r="D179" s="32"/>
      <c r="E179" s="33" t="e">
        <f>VLOOKUP($A178,calcTableSIsRoundsIntoLaunch,adj_IndexTeam+1,FALSE)</f>
        <v>#NAME?</v>
      </c>
      <c r="F179" s="33" t="e">
        <f>VLOOKUP($A178,calcTableSIsRoundsIntoLaunch,adj_IndexTeam+1,FALSE)</f>
        <v>#NAME?</v>
      </c>
      <c r="G179" s="33" t="e">
        <f>VLOOKUP($A178,calcTableSIsRoundsIntoLaunch,adj_IndexTeam+1,FALSE)</f>
        <v>#NAME?</v>
      </c>
      <c r="H179" s="33" t="e">
        <f>VLOOKUP($A178,calcTableSIsRoundsIntoLaunch,adj_IndexTeam+1,FALSE)</f>
        <v>#NAME?</v>
      </c>
      <c r="I179" s="33" t="e">
        <f>VLOOKUP($A178,calcTableSIsRoundsIntoLaunch,adj_IndexTeam+1,FALSE)</f>
        <v>#NAME?</v>
      </c>
      <c r="J179" s="32"/>
      <c r="K179" s="32"/>
      <c r="L179" s="32"/>
      <c r="M179" s="32"/>
      <c r="N179" s="32"/>
      <c r="O179" s="32"/>
      <c r="P179" s="32"/>
    </row>
    <row r="180" spans="1:16">
      <c r="A180" s="10"/>
      <c r="B180" s="32"/>
      <c r="C180" s="78">
        <v>1002</v>
      </c>
      <c r="D180" s="82" t="str">
        <f>IFERROR(IF(OR(ISTEXT(C180),C180=""),"",VLOOKUP(C180,param!A$4:B$15,2,FALSE)),"Param Not Recognised")</f>
        <v>FTEs</v>
      </c>
      <c r="E180" s="83" t="e">
        <f>IF(E178,INDEX($L180:$P180,E179+1),0)</f>
        <v>#NAME?</v>
      </c>
      <c r="F180" s="83" t="e">
        <f>IF(F178,INDEX($L180:$P180,F179+1),0)</f>
        <v>#NAME?</v>
      </c>
      <c r="G180" s="83" t="e">
        <f>IF(G178,INDEX($L180:$P180,G179+1),0)</f>
        <v>#NAME?</v>
      </c>
      <c r="H180" s="83" t="e">
        <f>IF(H178,INDEX($L180:$P180,H179+1),0)</f>
        <v>#NAME?</v>
      </c>
      <c r="I180" s="83" t="e">
        <f>IF(I178,INDEX($L180:$P180,I179+1),0)</f>
        <v>#NAME?</v>
      </c>
      <c r="J180" s="32"/>
      <c r="K180" s="32"/>
      <c r="L180" s="13">
        <v>0</v>
      </c>
      <c r="M180" s="13"/>
      <c r="N180" s="13"/>
      <c r="O180" s="13"/>
      <c r="P180" s="13"/>
    </row>
    <row r="181" spans="1:16">
      <c r="A181" s="10"/>
      <c r="B181" s="32"/>
      <c r="C181" s="78"/>
      <c r="D181" s="82" t="str">
        <f>IFERROR(IF(OR(ISTEXT(C181),C181=""),"",VLOOKUP(C181,param!A$4:B$15,2,FALSE)),"Param Not Recognised")</f>
        <v/>
      </c>
      <c r="E181" s="83" t="e">
        <f>IF(E178,INDEX($L181:$P181,E179+1),0)</f>
        <v>#NAME?</v>
      </c>
      <c r="F181" s="83" t="e">
        <f>IF(F178,INDEX($L181:$P181,F179+1),0)</f>
        <v>#NAME?</v>
      </c>
      <c r="G181" s="83" t="e">
        <f>IF(G178,INDEX($L181:$P181,G179+1),0)</f>
        <v>#NAME?</v>
      </c>
      <c r="H181" s="83" t="e">
        <f>IF(H178,INDEX($L181:$P181,H179+1),0)</f>
        <v>#NAME?</v>
      </c>
      <c r="I181" s="83" t="e">
        <f>IF(I178,INDEX($L181:$P181,I179+1),0)</f>
        <v>#NAME?</v>
      </c>
      <c r="J181" s="32"/>
      <c r="K181" s="32"/>
      <c r="L181" s="13">
        <v>0</v>
      </c>
      <c r="M181" s="13"/>
      <c r="N181" s="13"/>
      <c r="O181" s="13"/>
      <c r="P181" s="13"/>
    </row>
    <row r="182" spans="1:16">
      <c r="A182" s="10"/>
      <c r="B182" s="32"/>
      <c r="C182" s="78"/>
      <c r="D182" s="82" t="str">
        <f>IFERROR(IF(OR(ISTEXT(C182),C182=""),"",VLOOKUP(C182,param!A$4:B$15,2,FALSE)),"Param Not Recognised")</f>
        <v/>
      </c>
      <c r="E182" s="83" t="e">
        <f>IF(E178,INDEX($L182:$P182,E179+1),0)</f>
        <v>#NAME?</v>
      </c>
      <c r="F182" s="83" t="e">
        <f>IF(F178,INDEX($L182:$P182,F179+1),0)</f>
        <v>#NAME?</v>
      </c>
      <c r="G182" s="83" t="e">
        <f>IF(G178,INDEX($L182:$P182,G179+1),0)</f>
        <v>#NAME?</v>
      </c>
      <c r="H182" s="83" t="e">
        <f>IF(H178,INDEX($L182:$P182,H179+1),0)</f>
        <v>#NAME?</v>
      </c>
      <c r="I182" s="83" t="e">
        <f>IF(I178,INDEX($L182:$P182,I179+1),0)</f>
        <v>#NAME?</v>
      </c>
      <c r="J182" s="32"/>
      <c r="K182" s="32"/>
      <c r="L182" s="13">
        <v>0</v>
      </c>
      <c r="M182" s="13"/>
      <c r="N182" s="13"/>
      <c r="O182" s="13"/>
      <c r="P182" s="13"/>
    </row>
    <row r="183" spans="1:16">
      <c r="A183" s="10"/>
      <c r="B183" s="32"/>
      <c r="C183" s="78"/>
      <c r="D183" s="82" t="str">
        <f>IFERROR(IF(OR(ISTEXT(C183),C183=""),"",VLOOKUP(C183,param!A$4:B$15,2,FALSE)),"Param Not Recognised")</f>
        <v/>
      </c>
      <c r="E183" s="83" t="e">
        <f>IF(E178,INDEX($L183:$P183,E179+1),0)</f>
        <v>#NAME?</v>
      </c>
      <c r="F183" s="83" t="e">
        <f>IF(F178,INDEX($L183:$P183,F179+1),0)</f>
        <v>#NAME?</v>
      </c>
      <c r="G183" s="83" t="e">
        <f>IF(G178,INDEX($L183:$P183,G179+1),0)</f>
        <v>#NAME?</v>
      </c>
      <c r="H183" s="83" t="e">
        <f>IF(H178,INDEX($L183:$P183,H179+1),0)</f>
        <v>#NAME?</v>
      </c>
      <c r="I183" s="83" t="e">
        <f>IF(I178,INDEX($L183:$P183,I179+1),0)</f>
        <v>#NAME?</v>
      </c>
      <c r="J183" s="32"/>
      <c r="K183" s="32"/>
      <c r="L183" s="13">
        <v>0</v>
      </c>
      <c r="M183" s="13"/>
      <c r="N183" s="13"/>
      <c r="O183" s="13"/>
      <c r="P183" s="13"/>
    </row>
    <row r="184" spans="1:16">
      <c r="A184" s="10"/>
      <c r="B184" s="32"/>
      <c r="C184" s="78"/>
      <c r="D184" s="82" t="str">
        <f>IFERROR(IF(OR(ISTEXT(C184),C184=""),"",VLOOKUP(C184,param!A$4:B$15,2,FALSE)),"Param Not Recognised")</f>
        <v/>
      </c>
      <c r="E184" s="83" t="e">
        <f>IF(E178,INDEX($L184:$P184,E179+1),0)</f>
        <v>#NAME?</v>
      </c>
      <c r="F184" s="83" t="e">
        <f>IF(F178,INDEX($L184:$P184,F179+1),0)</f>
        <v>#NAME?</v>
      </c>
      <c r="G184" s="83" t="e">
        <f>IF(G178,INDEX($L184:$P184,G179+1),0)</f>
        <v>#NAME?</v>
      </c>
      <c r="H184" s="83" t="e">
        <f>IF(H178,INDEX($L184:$P184,H179+1),0)</f>
        <v>#NAME?</v>
      </c>
      <c r="I184" s="83" t="e">
        <f>IF(I178,INDEX($L184:$P184,I179+1),0)</f>
        <v>#NAME?</v>
      </c>
      <c r="J184" s="32"/>
      <c r="K184" s="32"/>
      <c r="L184" s="13">
        <v>0</v>
      </c>
      <c r="M184" s="13"/>
      <c r="N184" s="13"/>
      <c r="O184" s="13"/>
      <c r="P184" s="13"/>
    </row>
    <row r="185" spans="1:16">
      <c r="A185" s="10"/>
      <c r="B185" s="32"/>
      <c r="C185" s="78"/>
      <c r="D185" s="82" t="str">
        <f>IFERROR(IF(OR(ISTEXT(C185),C185=""),"",VLOOKUP(C185,param!A$4:B$15,2,FALSE)),"Param Not Recognised")</f>
        <v/>
      </c>
      <c r="E185" s="83" t="e">
        <f>IF(E178,INDEX($L185:$P185,E179+1),0)</f>
        <v>#NAME?</v>
      </c>
      <c r="F185" s="83" t="e">
        <f>IF(F178,INDEX($L185:$P185,F179+1),0)</f>
        <v>#NAME?</v>
      </c>
      <c r="G185" s="83" t="e">
        <f>IF(G178,INDEX($L185:$P185,G179+1),0)</f>
        <v>#NAME?</v>
      </c>
      <c r="H185" s="83" t="e">
        <f>IF(H178,INDEX($L185:$P185,H179+1),0)</f>
        <v>#NAME?</v>
      </c>
      <c r="I185" s="83" t="e">
        <f>IF(I178,INDEX($L185:$P185,I179+1),0)</f>
        <v>#NAME?</v>
      </c>
      <c r="J185" s="32"/>
      <c r="K185" s="32"/>
      <c r="L185" s="13">
        <v>0</v>
      </c>
      <c r="M185" s="13"/>
      <c r="N185" s="13"/>
      <c r="O185" s="13"/>
      <c r="P185" s="13"/>
    </row>
    <row r="186" spans="1:16">
      <c r="A186" s="10"/>
      <c r="B186" s="32"/>
      <c r="C186" s="78"/>
      <c r="D186" s="82" t="str">
        <f>IFERROR(IF(OR(ISTEXT(C186),C186=""),"",VLOOKUP(C186,param!A$4:B$15,2,FALSE)),"Param Not Recognised")</f>
        <v/>
      </c>
      <c r="E186" s="83" t="e">
        <f>IF(E178,INDEX($L186:$P186,E179+1),0)</f>
        <v>#NAME?</v>
      </c>
      <c r="F186" s="83" t="e">
        <f>IF(F178,INDEX($L186:$P186,F179+1),0)</f>
        <v>#NAME?</v>
      </c>
      <c r="G186" s="83" t="e">
        <f>IF(G178,INDEX($L186:$P186,G179+1),0)</f>
        <v>#NAME?</v>
      </c>
      <c r="H186" s="83" t="e">
        <f>IF(H178,INDEX($L186:$P186,H179+1),0)</f>
        <v>#NAME?</v>
      </c>
      <c r="I186" s="83" t="e">
        <f>IF(I178,INDEX($L186:$P186,I179+1),0)</f>
        <v>#NAME?</v>
      </c>
      <c r="J186" s="32"/>
      <c r="K186" s="32"/>
      <c r="L186" s="13">
        <v>0</v>
      </c>
      <c r="M186" s="13"/>
      <c r="N186" s="13"/>
      <c r="O186" s="13"/>
      <c r="P186" s="13"/>
    </row>
    <row r="187" spans="1:16">
      <c r="A187" s="10"/>
      <c r="B187" s="32"/>
      <c r="C187" s="78"/>
      <c r="D187" s="82" t="str">
        <f>IFERROR(IF(OR(ISTEXT(C187),C187=""),"",VLOOKUP(C187,param!A$4:B$15,2,FALSE)),"Param Not Recognised")</f>
        <v/>
      </c>
      <c r="E187" s="83" t="e">
        <f>IF(E178,INDEX($L187:$P187,E179+1),0)</f>
        <v>#NAME?</v>
      </c>
      <c r="F187" s="83" t="e">
        <f>IF(F178,INDEX($L187:$P187,F179+1),0)</f>
        <v>#NAME?</v>
      </c>
      <c r="G187" s="83" t="e">
        <f>IF(G178,INDEX($L187:$P187,G179+1),0)</f>
        <v>#NAME?</v>
      </c>
      <c r="H187" s="83" t="e">
        <f>IF(H178,INDEX($L187:$P187,H179+1),0)</f>
        <v>#NAME?</v>
      </c>
      <c r="I187" s="83" t="e">
        <f>IF(I178,INDEX($L187:$P187,I179+1),0)</f>
        <v>#NAME?</v>
      </c>
      <c r="J187" s="32"/>
      <c r="K187" s="32"/>
      <c r="L187" s="13">
        <v>0</v>
      </c>
      <c r="M187" s="13"/>
      <c r="N187" s="13"/>
      <c r="O187" s="13"/>
      <c r="P187" s="13"/>
    </row>
    <row r="188" spans="1:16">
      <c r="A188" s="10"/>
      <c r="B188" s="32"/>
      <c r="C188" s="78"/>
      <c r="D188" s="82" t="str">
        <f>IFERROR(IF(OR(ISTEXT(C188),C188=""),"",VLOOKUP(C188,param!A$4:B$15,2,FALSE)),"Param Not Recognised")</f>
        <v/>
      </c>
      <c r="E188" s="83" t="e">
        <f>IF(E178,INDEX($L188:$P188,E179+1),0)</f>
        <v>#NAME?</v>
      </c>
      <c r="F188" s="83" t="e">
        <f>IF(F178,INDEX($L188:$P188,F179+1),0)</f>
        <v>#NAME?</v>
      </c>
      <c r="G188" s="83" t="e">
        <f>IF(G178,INDEX($L188:$P188,G179+1),0)</f>
        <v>#NAME?</v>
      </c>
      <c r="H188" s="83" t="e">
        <f>IF(H178,INDEX($L188:$P188,H179+1),0)</f>
        <v>#NAME?</v>
      </c>
      <c r="I188" s="83" t="e">
        <f>IF(I178,INDEX($L188:$P188,I179+1),0)</f>
        <v>#NAME?</v>
      </c>
      <c r="J188" s="32"/>
      <c r="K188" s="32"/>
      <c r="L188" s="13">
        <v>0</v>
      </c>
      <c r="M188" s="13"/>
      <c r="N188" s="13"/>
      <c r="O188" s="13"/>
      <c r="P188" s="13"/>
    </row>
    <row r="189" spans="1:16">
      <c r="A189" s="10"/>
      <c r="B189" s="32"/>
      <c r="C189" s="78"/>
      <c r="D189" s="82" t="str">
        <f>IFERROR(IF(OR(ISTEXT(C189),C189=""),"",VLOOKUP(C189,param!A$4:B$15,2,FALSE)),"Param Not Recognised")</f>
        <v/>
      </c>
      <c r="E189" s="83" t="e">
        <f>IF(E178,INDEX($L189:$P189,E179+1),0)</f>
        <v>#NAME?</v>
      </c>
      <c r="F189" s="83" t="e">
        <f>IF(F178,INDEX($L189:$P189,F179+1),0)</f>
        <v>#NAME?</v>
      </c>
      <c r="G189" s="83" t="e">
        <f>IF(G178,INDEX($L189:$P189,G179+1),0)</f>
        <v>#NAME?</v>
      </c>
      <c r="H189" s="83" t="e">
        <f>IF(H178,INDEX($L189:$P189,H179+1),0)</f>
        <v>#NAME?</v>
      </c>
      <c r="I189" s="83" t="e">
        <f>IF(I178,INDEX($L189:$P189,I179+1),0)</f>
        <v>#NAME?</v>
      </c>
      <c r="J189" s="32"/>
      <c r="K189" s="32"/>
      <c r="L189" s="13">
        <v>0</v>
      </c>
      <c r="M189" s="13"/>
      <c r="N189" s="13"/>
      <c r="O189" s="13"/>
      <c r="P189" s="13"/>
    </row>
    <row r="190" spans="1:16">
      <c r="A190" s="86"/>
    </row>
    <row r="191" spans="1:16">
      <c r="A191" s="86">
        <v>15</v>
      </c>
      <c r="B191" s="38">
        <f>INDEX(SI_Name,A191+1)</f>
        <v>0</v>
      </c>
      <c r="C191" s="31" t="s">
        <v>346</v>
      </c>
      <c r="D191" s="31"/>
      <c r="E191" s="33" t="e">
        <f>VLOOKUP($A191,calcTableSIsLaunched,adj_IndexTeam+1,FALSE)</f>
        <v>#NAME?</v>
      </c>
      <c r="F191" s="33" t="e">
        <f>VLOOKUP($A191,calcTableSIsLaunched,adj_IndexTeam+1,FALSE)</f>
        <v>#NAME?</v>
      </c>
      <c r="G191" s="33" t="e">
        <f>VLOOKUP($A191,calcTableSIsLaunched,adj_IndexTeam+1,FALSE)</f>
        <v>#NAME?</v>
      </c>
      <c r="H191" s="33" t="e">
        <f>VLOOKUP($A191,calcTableSIsLaunched,adj_IndexTeam+1,FALSE)</f>
        <v>#NAME?</v>
      </c>
      <c r="I191" s="33" t="e">
        <f>VLOOKUP($A191,calcTableSIsLaunched,adj_IndexTeam+1,FALSE)</f>
        <v>#NAME?</v>
      </c>
      <c r="J191" s="15">
        <f>SUMIF(C193:C202,adj_FTECode,M193:M202)</f>
        <v>0</v>
      </c>
      <c r="K191" s="15">
        <f>SUMIF(C193:C202,adj_CostCode,M193:M202)</f>
        <v>0</v>
      </c>
      <c r="L191" s="31"/>
      <c r="M191" s="31"/>
      <c r="N191" s="31"/>
      <c r="O191" s="31"/>
      <c r="P191" s="31"/>
    </row>
    <row r="192" spans="1:16">
      <c r="A192" s="10"/>
      <c r="B192" s="32"/>
      <c r="C192" s="32" t="s">
        <v>347</v>
      </c>
      <c r="D192" s="32"/>
      <c r="E192" s="33" t="e">
        <f>VLOOKUP($A191,calcTableSIsRoundsIntoLaunch,adj_IndexTeam+1,FALSE)</f>
        <v>#NAME?</v>
      </c>
      <c r="F192" s="33" t="e">
        <f>VLOOKUP($A191,calcTableSIsRoundsIntoLaunch,adj_IndexTeam+1,FALSE)</f>
        <v>#NAME?</v>
      </c>
      <c r="G192" s="33" t="e">
        <f>VLOOKUP($A191,calcTableSIsRoundsIntoLaunch,adj_IndexTeam+1,FALSE)</f>
        <v>#NAME?</v>
      </c>
      <c r="H192" s="33" t="e">
        <f>VLOOKUP($A191,calcTableSIsRoundsIntoLaunch,adj_IndexTeam+1,FALSE)</f>
        <v>#NAME?</v>
      </c>
      <c r="I192" s="33" t="e">
        <f>VLOOKUP($A191,calcTableSIsRoundsIntoLaunch,adj_IndexTeam+1,FALSE)</f>
        <v>#NAME?</v>
      </c>
      <c r="J192" s="32"/>
      <c r="K192" s="32"/>
      <c r="L192" s="32"/>
      <c r="M192" s="32"/>
      <c r="N192" s="32"/>
      <c r="O192" s="32"/>
      <c r="P192" s="32"/>
    </row>
    <row r="193" spans="1:16">
      <c r="A193" s="10"/>
      <c r="B193" s="32"/>
      <c r="C193" s="78">
        <v>1002</v>
      </c>
      <c r="D193" s="82" t="str">
        <f>IFERROR(IF(OR(ISTEXT(C193),C193=""),"",VLOOKUP(C193,param!A$4:B$15,2,FALSE)),"Param Not Recognised")</f>
        <v>FTEs</v>
      </c>
      <c r="E193" s="83" t="e">
        <f>IF(E191,INDEX($L193:$P193,E192+1),0)</f>
        <v>#NAME?</v>
      </c>
      <c r="F193" s="83" t="e">
        <f>IF(F191,INDEX($L193:$P193,F192+1),0)</f>
        <v>#NAME?</v>
      </c>
      <c r="G193" s="83" t="e">
        <f>IF(G191,INDEX($L193:$P193,G192+1),0)</f>
        <v>#NAME?</v>
      </c>
      <c r="H193" s="83" t="e">
        <f>IF(H191,INDEX($L193:$P193,H192+1),0)</f>
        <v>#NAME?</v>
      </c>
      <c r="I193" s="83" t="e">
        <f>IF(I191,INDEX($L193:$P193,I192+1),0)</f>
        <v>#NAME?</v>
      </c>
      <c r="J193" s="32"/>
      <c r="K193" s="32"/>
      <c r="L193" s="13">
        <v>0</v>
      </c>
      <c r="M193" s="13"/>
      <c r="N193" s="13"/>
      <c r="O193" s="13"/>
      <c r="P193" s="13"/>
    </row>
    <row r="194" spans="1:16">
      <c r="A194" s="10"/>
      <c r="B194" s="32"/>
      <c r="C194" s="78"/>
      <c r="D194" s="82" t="str">
        <f>IFERROR(IF(OR(ISTEXT(C194),C194=""),"",VLOOKUP(C194,param!A$4:B$15,2,FALSE)),"Param Not Recognised")</f>
        <v/>
      </c>
      <c r="E194" s="83" t="e">
        <f>IF(E191,INDEX($L194:$P194,E192+1),0)</f>
        <v>#NAME?</v>
      </c>
      <c r="F194" s="83" t="e">
        <f>IF(F191,INDEX($L194:$P194,F192+1),0)</f>
        <v>#NAME?</v>
      </c>
      <c r="G194" s="83" t="e">
        <f>IF(G191,INDEX($L194:$P194,G192+1),0)</f>
        <v>#NAME?</v>
      </c>
      <c r="H194" s="83" t="e">
        <f>IF(H191,INDEX($L194:$P194,H192+1),0)</f>
        <v>#NAME?</v>
      </c>
      <c r="I194" s="83" t="e">
        <f>IF(I191,INDEX($L194:$P194,I192+1),0)</f>
        <v>#NAME?</v>
      </c>
      <c r="J194" s="32"/>
      <c r="K194" s="32"/>
      <c r="L194" s="13">
        <v>0</v>
      </c>
      <c r="M194" s="13"/>
      <c r="N194" s="13"/>
      <c r="O194" s="13"/>
      <c r="P194" s="13"/>
    </row>
    <row r="195" spans="1:16">
      <c r="A195" s="10"/>
      <c r="B195" s="32"/>
      <c r="C195" s="78"/>
      <c r="D195" s="82" t="str">
        <f>IFERROR(IF(OR(ISTEXT(C195),C195=""),"",VLOOKUP(C195,param!A$4:B$15,2,FALSE)),"Param Not Recognised")</f>
        <v/>
      </c>
      <c r="E195" s="83" t="e">
        <f>IF(E191,INDEX($L195:$P195,E192+1),0)</f>
        <v>#NAME?</v>
      </c>
      <c r="F195" s="83" t="e">
        <f>IF(F191,INDEX($L195:$P195,F192+1),0)</f>
        <v>#NAME?</v>
      </c>
      <c r="G195" s="83" t="e">
        <f>IF(G191,INDEX($L195:$P195,G192+1),0)</f>
        <v>#NAME?</v>
      </c>
      <c r="H195" s="83" t="e">
        <f>IF(H191,INDEX($L195:$P195,H192+1),0)</f>
        <v>#NAME?</v>
      </c>
      <c r="I195" s="83" t="e">
        <f>IF(I191,INDEX($L195:$P195,I192+1),0)</f>
        <v>#NAME?</v>
      </c>
      <c r="J195" s="32"/>
      <c r="K195" s="32"/>
      <c r="L195" s="13">
        <v>0</v>
      </c>
      <c r="M195" s="13"/>
      <c r="N195" s="13"/>
      <c r="O195" s="13"/>
      <c r="P195" s="13"/>
    </row>
    <row r="196" spans="1:16">
      <c r="A196" s="10"/>
      <c r="B196" s="32"/>
      <c r="C196" s="78"/>
      <c r="D196" s="82" t="str">
        <f>IFERROR(IF(OR(ISTEXT(C196),C196=""),"",VLOOKUP(C196,param!A$4:B$15,2,FALSE)),"Param Not Recognised")</f>
        <v/>
      </c>
      <c r="E196" s="83" t="e">
        <f>IF(E191,INDEX($L196:$P196,E192+1),0)</f>
        <v>#NAME?</v>
      </c>
      <c r="F196" s="83" t="e">
        <f>IF(F191,INDEX($L196:$P196,F192+1),0)</f>
        <v>#NAME?</v>
      </c>
      <c r="G196" s="83" t="e">
        <f>IF(G191,INDEX($L196:$P196,G192+1),0)</f>
        <v>#NAME?</v>
      </c>
      <c r="H196" s="83" t="e">
        <f>IF(H191,INDEX($L196:$P196,H192+1),0)</f>
        <v>#NAME?</v>
      </c>
      <c r="I196" s="83" t="e">
        <f>IF(I191,INDEX($L196:$P196,I192+1),0)</f>
        <v>#NAME?</v>
      </c>
      <c r="J196" s="32"/>
      <c r="K196" s="32"/>
      <c r="L196" s="13">
        <v>0</v>
      </c>
      <c r="M196" s="13"/>
      <c r="N196" s="13"/>
      <c r="O196" s="13"/>
      <c r="P196" s="13"/>
    </row>
    <row r="197" spans="1:16">
      <c r="A197" s="10"/>
      <c r="B197" s="32"/>
      <c r="C197" s="78"/>
      <c r="D197" s="82" t="str">
        <f>IFERROR(IF(OR(ISTEXT(C197),C197=""),"",VLOOKUP(C197,param!A$4:B$15,2,FALSE)),"Param Not Recognised")</f>
        <v/>
      </c>
      <c r="E197" s="83" t="e">
        <f>IF(E191,INDEX($L197:$P197,E192+1),0)</f>
        <v>#NAME?</v>
      </c>
      <c r="F197" s="83" t="e">
        <f>IF(F191,INDEX($L197:$P197,F192+1),0)</f>
        <v>#NAME?</v>
      </c>
      <c r="G197" s="83" t="e">
        <f>IF(G191,INDEX($L197:$P197,G192+1),0)</f>
        <v>#NAME?</v>
      </c>
      <c r="H197" s="83" t="e">
        <f>IF(H191,INDEX($L197:$P197,H192+1),0)</f>
        <v>#NAME?</v>
      </c>
      <c r="I197" s="83" t="e">
        <f>IF(I191,INDEX($L197:$P197,I192+1),0)</f>
        <v>#NAME?</v>
      </c>
      <c r="J197" s="32"/>
      <c r="K197" s="32"/>
      <c r="L197" s="13">
        <v>0</v>
      </c>
      <c r="M197" s="13"/>
      <c r="N197" s="13"/>
      <c r="O197" s="13"/>
      <c r="P197" s="13"/>
    </row>
    <row r="198" spans="1:16">
      <c r="A198" s="10"/>
      <c r="B198" s="32"/>
      <c r="C198" s="78"/>
      <c r="D198" s="82" t="str">
        <f>IFERROR(IF(OR(ISTEXT(C198),C198=""),"",VLOOKUP(C198,param!A$4:B$15,2,FALSE)),"Param Not Recognised")</f>
        <v/>
      </c>
      <c r="E198" s="83" t="e">
        <f>IF(E191,INDEX($L198:$P198,E192+1),0)</f>
        <v>#NAME?</v>
      </c>
      <c r="F198" s="83" t="e">
        <f>IF(F191,INDEX($L198:$P198,F192+1),0)</f>
        <v>#NAME?</v>
      </c>
      <c r="G198" s="83" t="e">
        <f>IF(G191,INDEX($L198:$P198,G192+1),0)</f>
        <v>#NAME?</v>
      </c>
      <c r="H198" s="83" t="e">
        <f>IF(H191,INDEX($L198:$P198,H192+1),0)</f>
        <v>#NAME?</v>
      </c>
      <c r="I198" s="83" t="e">
        <f>IF(I191,INDEX($L198:$P198,I192+1),0)</f>
        <v>#NAME?</v>
      </c>
      <c r="J198" s="32"/>
      <c r="K198" s="32"/>
      <c r="L198" s="13">
        <v>0</v>
      </c>
      <c r="M198" s="13"/>
      <c r="N198" s="13"/>
      <c r="O198" s="13"/>
      <c r="P198" s="13"/>
    </row>
    <row r="199" spans="1:16">
      <c r="A199" s="10"/>
      <c r="B199" s="32"/>
      <c r="C199" s="78"/>
      <c r="D199" s="82" t="str">
        <f>IFERROR(IF(OR(ISTEXT(C199),C199=""),"",VLOOKUP(C199,param!A$4:B$15,2,FALSE)),"Param Not Recognised")</f>
        <v/>
      </c>
      <c r="E199" s="83" t="e">
        <f>IF(E191,INDEX($L199:$P199,E192+1),0)</f>
        <v>#NAME?</v>
      </c>
      <c r="F199" s="83" t="e">
        <f>IF(F191,INDEX($L199:$P199,F192+1),0)</f>
        <v>#NAME?</v>
      </c>
      <c r="G199" s="83" t="e">
        <f>IF(G191,INDEX($L199:$P199,G192+1),0)</f>
        <v>#NAME?</v>
      </c>
      <c r="H199" s="83" t="e">
        <f>IF(H191,INDEX($L199:$P199,H192+1),0)</f>
        <v>#NAME?</v>
      </c>
      <c r="I199" s="83" t="e">
        <f>IF(I191,INDEX($L199:$P199,I192+1),0)</f>
        <v>#NAME?</v>
      </c>
      <c r="J199" s="32"/>
      <c r="K199" s="32"/>
      <c r="L199" s="13">
        <v>0</v>
      </c>
      <c r="M199" s="13"/>
      <c r="N199" s="13"/>
      <c r="O199" s="13"/>
      <c r="P199" s="13"/>
    </row>
    <row r="200" spans="1:16">
      <c r="A200" s="10"/>
      <c r="B200" s="32"/>
      <c r="C200" s="78"/>
      <c r="D200" s="82" t="str">
        <f>IFERROR(IF(OR(ISTEXT(C200),C200=""),"",VLOOKUP(C200,param!A$4:B$15,2,FALSE)),"Param Not Recognised")</f>
        <v/>
      </c>
      <c r="E200" s="83" t="e">
        <f>IF(E191,INDEX($L200:$P200,E192+1),0)</f>
        <v>#NAME?</v>
      </c>
      <c r="F200" s="83" t="e">
        <f>IF(F191,INDEX($L200:$P200,F192+1),0)</f>
        <v>#NAME?</v>
      </c>
      <c r="G200" s="83" t="e">
        <f>IF(G191,INDEX($L200:$P200,G192+1),0)</f>
        <v>#NAME?</v>
      </c>
      <c r="H200" s="83" t="e">
        <f>IF(H191,INDEX($L200:$P200,H192+1),0)</f>
        <v>#NAME?</v>
      </c>
      <c r="I200" s="83" t="e">
        <f>IF(I191,INDEX($L200:$P200,I192+1),0)</f>
        <v>#NAME?</v>
      </c>
      <c r="J200" s="32"/>
      <c r="K200" s="32"/>
      <c r="L200" s="13">
        <v>0</v>
      </c>
      <c r="M200" s="13"/>
      <c r="N200" s="13"/>
      <c r="O200" s="13"/>
      <c r="P200" s="13"/>
    </row>
    <row r="201" spans="1:16">
      <c r="A201" s="10"/>
      <c r="B201" s="32"/>
      <c r="C201" s="78"/>
      <c r="D201" s="82" t="str">
        <f>IFERROR(IF(OR(ISTEXT(C201),C201=""),"",VLOOKUP(C201,param!A$4:B$15,2,FALSE)),"Param Not Recognised")</f>
        <v/>
      </c>
      <c r="E201" s="83" t="e">
        <f>IF(E191,INDEX($L201:$P201,E192+1),0)</f>
        <v>#NAME?</v>
      </c>
      <c r="F201" s="83" t="e">
        <f>IF(F191,INDEX($L201:$P201,F192+1),0)</f>
        <v>#NAME?</v>
      </c>
      <c r="G201" s="83" t="e">
        <f>IF(G191,INDEX($L201:$P201,G192+1),0)</f>
        <v>#NAME?</v>
      </c>
      <c r="H201" s="83" t="e">
        <f>IF(H191,INDEX($L201:$P201,H192+1),0)</f>
        <v>#NAME?</v>
      </c>
      <c r="I201" s="83" t="e">
        <f>IF(I191,INDEX($L201:$P201,I192+1),0)</f>
        <v>#NAME?</v>
      </c>
      <c r="J201" s="32"/>
      <c r="K201" s="32"/>
      <c r="L201" s="13">
        <v>0</v>
      </c>
      <c r="M201" s="13"/>
      <c r="N201" s="13"/>
      <c r="O201" s="13"/>
      <c r="P201" s="13"/>
    </row>
    <row r="202" spans="1:16">
      <c r="A202" s="10"/>
      <c r="B202" s="32"/>
      <c r="C202" s="78"/>
      <c r="D202" s="82" t="str">
        <f>IFERROR(IF(OR(ISTEXT(C202),C202=""),"",VLOOKUP(C202,param!A$4:B$15,2,FALSE)),"Param Not Recognised")</f>
        <v/>
      </c>
      <c r="E202" s="83" t="e">
        <f>IF(E191,INDEX($L202:$P202,E192+1),0)</f>
        <v>#NAME?</v>
      </c>
      <c r="F202" s="83" t="e">
        <f>IF(F191,INDEX($L202:$P202,F192+1),0)</f>
        <v>#NAME?</v>
      </c>
      <c r="G202" s="83" t="e">
        <f>IF(G191,INDEX($L202:$P202,G192+1),0)</f>
        <v>#NAME?</v>
      </c>
      <c r="H202" s="83" t="e">
        <f>IF(H191,INDEX($L202:$P202,H192+1),0)</f>
        <v>#NAME?</v>
      </c>
      <c r="I202" s="83" t="e">
        <f>IF(I191,INDEX($L202:$P202,I192+1),0)</f>
        <v>#NAME?</v>
      </c>
      <c r="J202" s="32"/>
      <c r="K202" s="32"/>
      <c r="L202" s="13">
        <v>0</v>
      </c>
      <c r="M202" s="13"/>
      <c r="N202" s="13"/>
      <c r="O202" s="13"/>
      <c r="P202" s="13"/>
    </row>
    <row r="203" spans="1:16">
      <c r="A203" s="26"/>
    </row>
    <row r="204" spans="1:16">
      <c r="A204" s="86">
        <v>16</v>
      </c>
      <c r="B204" s="38">
        <f>INDEX(SI_Name,A204+1)</f>
        <v>0</v>
      </c>
      <c r="C204" s="31" t="s">
        <v>346</v>
      </c>
      <c r="D204" s="31"/>
      <c r="E204" s="33" t="e">
        <f>VLOOKUP($A204,calcTableSIsLaunched,adj_IndexTeam+1,FALSE)</f>
        <v>#NAME?</v>
      </c>
      <c r="F204" s="33" t="e">
        <f>VLOOKUP($A204,calcTableSIsLaunched,adj_IndexTeam+1,FALSE)</f>
        <v>#NAME?</v>
      </c>
      <c r="G204" s="33" t="e">
        <f>VLOOKUP($A204,calcTableSIsLaunched,adj_IndexTeam+1,FALSE)</f>
        <v>#NAME?</v>
      </c>
      <c r="H204" s="33" t="e">
        <f>VLOOKUP($A204,calcTableSIsLaunched,adj_IndexTeam+1,FALSE)</f>
        <v>#NAME?</v>
      </c>
      <c r="I204" s="33" t="e">
        <f>VLOOKUP($A204,calcTableSIsLaunched,adj_IndexTeam+1,FALSE)</f>
        <v>#NAME?</v>
      </c>
      <c r="J204" s="15">
        <f>SUMIF(C206:C215,adj_FTECode,M206:M215)</f>
        <v>0</v>
      </c>
      <c r="K204" s="15">
        <f>SUMIF(C206:C215,adj_CostCode,M206:M215)</f>
        <v>0</v>
      </c>
      <c r="L204" s="31"/>
      <c r="M204" s="31"/>
      <c r="N204" s="31"/>
      <c r="O204" s="31"/>
      <c r="P204" s="31"/>
    </row>
    <row r="205" spans="1:16">
      <c r="A205" s="10"/>
      <c r="B205" s="32"/>
      <c r="C205" s="32" t="s">
        <v>347</v>
      </c>
      <c r="D205" s="32"/>
      <c r="E205" s="33" t="e">
        <f>VLOOKUP($A204,calcTableSIsRoundsIntoLaunch,adj_IndexTeam+1,FALSE)</f>
        <v>#NAME?</v>
      </c>
      <c r="F205" s="33" t="e">
        <f>VLOOKUP($A204,calcTableSIsRoundsIntoLaunch,adj_IndexTeam+1,FALSE)</f>
        <v>#NAME?</v>
      </c>
      <c r="G205" s="33" t="e">
        <f>VLOOKUP($A204,calcTableSIsRoundsIntoLaunch,adj_IndexTeam+1,FALSE)</f>
        <v>#NAME?</v>
      </c>
      <c r="H205" s="33" t="e">
        <f>VLOOKUP($A204,calcTableSIsRoundsIntoLaunch,adj_IndexTeam+1,FALSE)</f>
        <v>#NAME?</v>
      </c>
      <c r="I205" s="33" t="e">
        <f>VLOOKUP($A204,calcTableSIsRoundsIntoLaunch,adj_IndexTeam+1,FALSE)</f>
        <v>#NAME?</v>
      </c>
      <c r="J205" s="32"/>
      <c r="K205" s="32"/>
      <c r="L205" s="32"/>
      <c r="M205" s="32"/>
      <c r="N205" s="32"/>
      <c r="O205" s="32"/>
      <c r="P205" s="32"/>
    </row>
    <row r="206" spans="1:16">
      <c r="A206" s="10"/>
      <c r="B206" s="32"/>
      <c r="C206" s="78">
        <v>1002</v>
      </c>
      <c r="D206" s="82" t="str">
        <f>IFERROR(IF(OR(ISTEXT(C206),C206=""),"",VLOOKUP(C206,param!A$4:B$15,2,FALSE)),"Param Not Recognised")</f>
        <v>FTEs</v>
      </c>
      <c r="E206" s="83" t="e">
        <f>IF(E204,INDEX($L206:$P206,E205+1),0)</f>
        <v>#NAME?</v>
      </c>
      <c r="F206" s="83" t="e">
        <f>IF(F204,INDEX($L206:$P206,F205+1),0)</f>
        <v>#NAME?</v>
      </c>
      <c r="G206" s="83" t="e">
        <f>IF(G204,INDEX($L206:$P206,G205+1),0)</f>
        <v>#NAME?</v>
      </c>
      <c r="H206" s="83" t="e">
        <f>IF(H204,INDEX($L206:$P206,H205+1),0)</f>
        <v>#NAME?</v>
      </c>
      <c r="I206" s="83" t="e">
        <f>IF(I204,INDEX($L206:$P206,I205+1),0)</f>
        <v>#NAME?</v>
      </c>
      <c r="J206" s="32"/>
      <c r="K206" s="32"/>
      <c r="L206" s="13">
        <v>0</v>
      </c>
      <c r="M206" s="13"/>
      <c r="N206" s="13"/>
      <c r="O206" s="13"/>
      <c r="P206" s="13"/>
    </row>
    <row r="207" spans="1:16">
      <c r="A207" s="10"/>
      <c r="B207" s="32"/>
      <c r="C207" s="78"/>
      <c r="D207" s="82" t="str">
        <f>IFERROR(IF(OR(ISTEXT(C207),C207=""),"",VLOOKUP(C207,param!A$4:B$15,2,FALSE)),"Param Not Recognised")</f>
        <v/>
      </c>
      <c r="E207" s="83" t="e">
        <f>IF(E204,INDEX($L207:$P207,E205+1),0)</f>
        <v>#NAME?</v>
      </c>
      <c r="F207" s="83" t="e">
        <f>IF(F204,INDEX($L207:$P207,F205+1),0)</f>
        <v>#NAME?</v>
      </c>
      <c r="G207" s="83" t="e">
        <f>IF(G204,INDEX($L207:$P207,G205+1),0)</f>
        <v>#NAME?</v>
      </c>
      <c r="H207" s="83" t="e">
        <f>IF(H204,INDEX($L207:$P207,H205+1),0)</f>
        <v>#NAME?</v>
      </c>
      <c r="I207" s="83" t="e">
        <f>IF(I204,INDEX($L207:$P207,I205+1),0)</f>
        <v>#NAME?</v>
      </c>
      <c r="J207" s="32"/>
      <c r="K207" s="32"/>
      <c r="L207" s="13">
        <v>0</v>
      </c>
      <c r="M207" s="13"/>
      <c r="N207" s="13"/>
      <c r="O207" s="13"/>
      <c r="P207" s="13"/>
    </row>
    <row r="208" spans="1:16">
      <c r="A208" s="10"/>
      <c r="B208" s="32"/>
      <c r="C208" s="78"/>
      <c r="D208" s="82" t="str">
        <f>IFERROR(IF(OR(ISTEXT(C208),C208=""),"",VLOOKUP(C208,param!A$4:B$15,2,FALSE)),"Param Not Recognised")</f>
        <v/>
      </c>
      <c r="E208" s="83" t="e">
        <f>IF(E204,INDEX($L208:$P208,E205+1),0)</f>
        <v>#NAME?</v>
      </c>
      <c r="F208" s="83" t="e">
        <f>IF(F204,INDEX($L208:$P208,F205+1),0)</f>
        <v>#NAME?</v>
      </c>
      <c r="G208" s="83" t="e">
        <f>IF(G204,INDEX($L208:$P208,G205+1),0)</f>
        <v>#NAME?</v>
      </c>
      <c r="H208" s="83" t="e">
        <f>IF(H204,INDEX($L208:$P208,H205+1),0)</f>
        <v>#NAME?</v>
      </c>
      <c r="I208" s="83" t="e">
        <f>IF(I204,INDEX($L208:$P208,I205+1),0)</f>
        <v>#NAME?</v>
      </c>
      <c r="J208" s="32"/>
      <c r="K208" s="32"/>
      <c r="L208" s="13">
        <v>0</v>
      </c>
      <c r="M208" s="13"/>
      <c r="N208" s="13"/>
      <c r="O208" s="13"/>
      <c r="P208" s="13"/>
    </row>
    <row r="209" spans="1:16">
      <c r="A209" s="10"/>
      <c r="B209" s="32"/>
      <c r="C209" s="78"/>
      <c r="D209" s="82" t="str">
        <f>IFERROR(IF(OR(ISTEXT(C209),C209=""),"",VLOOKUP(C209,param!A$4:B$15,2,FALSE)),"Param Not Recognised")</f>
        <v/>
      </c>
      <c r="E209" s="83" t="e">
        <f>IF(E204,INDEX($L209:$P209,E205+1),0)</f>
        <v>#NAME?</v>
      </c>
      <c r="F209" s="83" t="e">
        <f>IF(F204,INDEX($L209:$P209,F205+1),0)</f>
        <v>#NAME?</v>
      </c>
      <c r="G209" s="83" t="e">
        <f>IF(G204,INDEX($L209:$P209,G205+1),0)</f>
        <v>#NAME?</v>
      </c>
      <c r="H209" s="83" t="e">
        <f>IF(H204,INDEX($L209:$P209,H205+1),0)</f>
        <v>#NAME?</v>
      </c>
      <c r="I209" s="83" t="e">
        <f>IF(I204,INDEX($L209:$P209,I205+1),0)</f>
        <v>#NAME?</v>
      </c>
      <c r="J209" s="32"/>
      <c r="K209" s="32"/>
      <c r="L209" s="13">
        <v>0</v>
      </c>
      <c r="M209" s="13"/>
      <c r="N209" s="13"/>
      <c r="O209" s="13"/>
      <c r="P209" s="13"/>
    </row>
    <row r="210" spans="1:16">
      <c r="A210" s="10"/>
      <c r="B210" s="32"/>
      <c r="C210" s="78"/>
      <c r="D210" s="82" t="str">
        <f>IFERROR(IF(OR(ISTEXT(C210),C210=""),"",VLOOKUP(C210,param!A$4:B$15,2,FALSE)),"Param Not Recognised")</f>
        <v/>
      </c>
      <c r="E210" s="83" t="e">
        <f>IF(E204,INDEX($L210:$P210,E205+1),0)</f>
        <v>#NAME?</v>
      </c>
      <c r="F210" s="83" t="e">
        <f>IF(F204,INDEX($L210:$P210,F205+1),0)</f>
        <v>#NAME?</v>
      </c>
      <c r="G210" s="83" t="e">
        <f>IF(G204,INDEX($L210:$P210,G205+1),0)</f>
        <v>#NAME?</v>
      </c>
      <c r="H210" s="83" t="e">
        <f>IF(H204,INDEX($L210:$P210,H205+1),0)</f>
        <v>#NAME?</v>
      </c>
      <c r="I210" s="83" t="e">
        <f>IF(I204,INDEX($L210:$P210,I205+1),0)</f>
        <v>#NAME?</v>
      </c>
      <c r="J210" s="32"/>
      <c r="K210" s="32"/>
      <c r="L210" s="13">
        <v>0</v>
      </c>
      <c r="M210" s="13"/>
      <c r="N210" s="13"/>
      <c r="O210" s="13"/>
      <c r="P210" s="13"/>
    </row>
    <row r="211" spans="1:16">
      <c r="A211" s="10"/>
      <c r="B211" s="32"/>
      <c r="C211" s="78"/>
      <c r="D211" s="82" t="str">
        <f>IFERROR(IF(OR(ISTEXT(C211),C211=""),"",VLOOKUP(C211,param!A$4:B$15,2,FALSE)),"Param Not Recognised")</f>
        <v/>
      </c>
      <c r="E211" s="83" t="e">
        <f>IF(E204,INDEX($L211:$P211,E205+1),0)</f>
        <v>#NAME?</v>
      </c>
      <c r="F211" s="83" t="e">
        <f>IF(F204,INDEX($L211:$P211,F205+1),0)</f>
        <v>#NAME?</v>
      </c>
      <c r="G211" s="83" t="e">
        <f>IF(G204,INDEX($L211:$P211,G205+1),0)</f>
        <v>#NAME?</v>
      </c>
      <c r="H211" s="83" t="e">
        <f>IF(H204,INDEX($L211:$P211,H205+1),0)</f>
        <v>#NAME?</v>
      </c>
      <c r="I211" s="83" t="e">
        <f>IF(I204,INDEX($L211:$P211,I205+1),0)</f>
        <v>#NAME?</v>
      </c>
      <c r="J211" s="32"/>
      <c r="K211" s="32"/>
      <c r="L211" s="13">
        <v>0</v>
      </c>
      <c r="M211" s="13"/>
      <c r="N211" s="13"/>
      <c r="O211" s="13"/>
      <c r="P211" s="13"/>
    </row>
    <row r="212" spans="1:16">
      <c r="A212" s="10"/>
      <c r="B212" s="32"/>
      <c r="C212" s="78"/>
      <c r="D212" s="82" t="str">
        <f>IFERROR(IF(OR(ISTEXT(C212),C212=""),"",VLOOKUP(C212,param!A$4:B$15,2,FALSE)),"Param Not Recognised")</f>
        <v/>
      </c>
      <c r="E212" s="83" t="e">
        <f>IF(E204,INDEX($L212:$P212,E205+1),0)</f>
        <v>#NAME?</v>
      </c>
      <c r="F212" s="83" t="e">
        <f>IF(F204,INDEX($L212:$P212,F205+1),0)</f>
        <v>#NAME?</v>
      </c>
      <c r="G212" s="83" t="e">
        <f>IF(G204,INDEX($L212:$P212,G205+1),0)</f>
        <v>#NAME?</v>
      </c>
      <c r="H212" s="83" t="e">
        <f>IF(H204,INDEX($L212:$P212,H205+1),0)</f>
        <v>#NAME?</v>
      </c>
      <c r="I212" s="83" t="e">
        <f>IF(I204,INDEX($L212:$P212,I205+1),0)</f>
        <v>#NAME?</v>
      </c>
      <c r="J212" s="32"/>
      <c r="K212" s="32"/>
      <c r="L212" s="13">
        <v>0</v>
      </c>
      <c r="M212" s="13"/>
      <c r="N212" s="13"/>
      <c r="O212" s="13"/>
      <c r="P212" s="13"/>
    </row>
    <row r="213" spans="1:16">
      <c r="A213" s="10"/>
      <c r="B213" s="32"/>
      <c r="C213" s="78"/>
      <c r="D213" s="82" t="str">
        <f>IFERROR(IF(OR(ISTEXT(C213),C213=""),"",VLOOKUP(C213,param!A$4:B$15,2,FALSE)),"Param Not Recognised")</f>
        <v/>
      </c>
      <c r="E213" s="83" t="e">
        <f>IF(E204,INDEX($L213:$P213,E205+1),0)</f>
        <v>#NAME?</v>
      </c>
      <c r="F213" s="83" t="e">
        <f>IF(F204,INDEX($L213:$P213,F205+1),0)</f>
        <v>#NAME?</v>
      </c>
      <c r="G213" s="83" t="e">
        <f>IF(G204,INDEX($L213:$P213,G205+1),0)</f>
        <v>#NAME?</v>
      </c>
      <c r="H213" s="83" t="e">
        <f>IF(H204,INDEX($L213:$P213,H205+1),0)</f>
        <v>#NAME?</v>
      </c>
      <c r="I213" s="83" t="e">
        <f>IF(I204,INDEX($L213:$P213,I205+1),0)</f>
        <v>#NAME?</v>
      </c>
      <c r="J213" s="32"/>
      <c r="K213" s="32"/>
      <c r="L213" s="13">
        <v>0</v>
      </c>
      <c r="M213" s="13"/>
      <c r="N213" s="13"/>
      <c r="O213" s="13"/>
      <c r="P213" s="13"/>
    </row>
    <row r="214" spans="1:16">
      <c r="A214" s="10"/>
      <c r="B214" s="32"/>
      <c r="C214" s="78"/>
      <c r="D214" s="82" t="str">
        <f>IFERROR(IF(OR(ISTEXT(C214),C214=""),"",VLOOKUP(C214,param!A$4:B$15,2,FALSE)),"Param Not Recognised")</f>
        <v/>
      </c>
      <c r="E214" s="83" t="e">
        <f>IF(E204,INDEX($L214:$P214,E205+1),0)</f>
        <v>#NAME?</v>
      </c>
      <c r="F214" s="83" t="e">
        <f>IF(F204,INDEX($L214:$P214,F205+1),0)</f>
        <v>#NAME?</v>
      </c>
      <c r="G214" s="83" t="e">
        <f>IF(G204,INDEX($L214:$P214,G205+1),0)</f>
        <v>#NAME?</v>
      </c>
      <c r="H214" s="83" t="e">
        <f>IF(H204,INDEX($L214:$P214,H205+1),0)</f>
        <v>#NAME?</v>
      </c>
      <c r="I214" s="83" t="e">
        <f>IF(I204,INDEX($L214:$P214,I205+1),0)</f>
        <v>#NAME?</v>
      </c>
      <c r="J214" s="32"/>
      <c r="K214" s="32"/>
      <c r="L214" s="13">
        <v>0</v>
      </c>
      <c r="M214" s="13"/>
      <c r="N214" s="13"/>
      <c r="O214" s="13"/>
      <c r="P214" s="13"/>
    </row>
    <row r="215" spans="1:16">
      <c r="A215" s="10"/>
      <c r="B215" s="32"/>
      <c r="C215" s="78"/>
      <c r="D215" s="82" t="str">
        <f>IFERROR(IF(OR(ISTEXT(C215),C215=""),"",VLOOKUP(C215,param!A$4:B$15,2,FALSE)),"Param Not Recognised")</f>
        <v/>
      </c>
      <c r="E215" s="83" t="e">
        <f>IF(E204,INDEX($L215:$P215,E205+1),0)</f>
        <v>#NAME?</v>
      </c>
      <c r="F215" s="83" t="e">
        <f>IF(F204,INDEX($L215:$P215,F205+1),0)</f>
        <v>#NAME?</v>
      </c>
      <c r="G215" s="83" t="e">
        <f>IF(G204,INDEX($L215:$P215,G205+1),0)</f>
        <v>#NAME?</v>
      </c>
      <c r="H215" s="83" t="e">
        <f>IF(H204,INDEX($L215:$P215,H205+1),0)</f>
        <v>#NAME?</v>
      </c>
      <c r="I215" s="83" t="e">
        <f>IF(I204,INDEX($L215:$P215,I205+1),0)</f>
        <v>#NAME?</v>
      </c>
      <c r="J215" s="32"/>
      <c r="K215" s="32"/>
      <c r="L215" s="13">
        <v>0</v>
      </c>
      <c r="M215" s="13"/>
      <c r="N215" s="13"/>
      <c r="O215" s="13"/>
      <c r="P215" s="13"/>
    </row>
    <row r="216" spans="1:16">
      <c r="A216" s="26"/>
    </row>
    <row r="217" spans="1:16">
      <c r="A217" s="86">
        <v>17</v>
      </c>
      <c r="B217" s="38">
        <f>INDEX(SI_Name,A217+1)</f>
        <v>0</v>
      </c>
      <c r="C217" s="31" t="s">
        <v>346</v>
      </c>
      <c r="D217" s="31"/>
      <c r="E217" s="33" t="e">
        <f>VLOOKUP($A217,calcTableSIsLaunched,adj_IndexTeam+1,FALSE)</f>
        <v>#NAME?</v>
      </c>
      <c r="F217" s="33" t="e">
        <f>VLOOKUP($A217,calcTableSIsLaunched,adj_IndexTeam+1,FALSE)</f>
        <v>#NAME?</v>
      </c>
      <c r="G217" s="33" t="e">
        <f>VLOOKUP($A217,calcTableSIsLaunched,adj_IndexTeam+1,FALSE)</f>
        <v>#NAME?</v>
      </c>
      <c r="H217" s="33" t="e">
        <f>VLOOKUP($A217,calcTableSIsLaunched,adj_IndexTeam+1,FALSE)</f>
        <v>#NAME?</v>
      </c>
      <c r="I217" s="33" t="e">
        <f>VLOOKUP($A217,calcTableSIsLaunched,adj_IndexTeam+1,FALSE)</f>
        <v>#NAME?</v>
      </c>
      <c r="J217" s="15">
        <f>SUMIF(C219:C228,adj_FTECode,M219:M228)</f>
        <v>0</v>
      </c>
      <c r="K217" s="15">
        <f>SUMIF(C219:C228,adj_CostCode,M219:M228)</f>
        <v>0</v>
      </c>
      <c r="L217" s="31"/>
      <c r="M217" s="31"/>
      <c r="N217" s="31"/>
      <c r="O217" s="31"/>
      <c r="P217" s="31"/>
    </row>
    <row r="218" spans="1:16">
      <c r="A218" s="10"/>
      <c r="B218" s="32"/>
      <c r="C218" s="32" t="s">
        <v>347</v>
      </c>
      <c r="D218" s="32"/>
      <c r="E218" s="33" t="e">
        <f>VLOOKUP($A217,calcTableSIsRoundsIntoLaunch,adj_IndexTeam+1,FALSE)</f>
        <v>#NAME?</v>
      </c>
      <c r="F218" s="33" t="e">
        <f>VLOOKUP($A217,calcTableSIsRoundsIntoLaunch,adj_IndexTeam+1,FALSE)</f>
        <v>#NAME?</v>
      </c>
      <c r="G218" s="33" t="e">
        <f>VLOOKUP($A217,calcTableSIsRoundsIntoLaunch,adj_IndexTeam+1,FALSE)</f>
        <v>#NAME?</v>
      </c>
      <c r="H218" s="33" t="e">
        <f>VLOOKUP($A217,calcTableSIsRoundsIntoLaunch,adj_IndexTeam+1,FALSE)</f>
        <v>#NAME?</v>
      </c>
      <c r="I218" s="33" t="e">
        <f>VLOOKUP($A217,calcTableSIsRoundsIntoLaunch,adj_IndexTeam+1,FALSE)</f>
        <v>#NAME?</v>
      </c>
      <c r="J218" s="32"/>
      <c r="K218" s="32"/>
      <c r="L218" s="32"/>
      <c r="M218" s="32"/>
      <c r="N218" s="32"/>
      <c r="O218" s="32"/>
      <c r="P218" s="32"/>
    </row>
    <row r="219" spans="1:16">
      <c r="A219" s="10"/>
      <c r="B219" s="32"/>
      <c r="C219" s="78">
        <v>1002</v>
      </c>
      <c r="D219" s="82" t="str">
        <f>IFERROR(IF(OR(ISTEXT(C219),C219=""),"",VLOOKUP(C219,param!A$4:B$15,2,FALSE)),"Param Not Recognised")</f>
        <v>FTEs</v>
      </c>
      <c r="E219" s="83" t="e">
        <f>IF(E217,INDEX($L219:$P219,E218+1),0)</f>
        <v>#NAME?</v>
      </c>
      <c r="F219" s="83" t="e">
        <f>IF(F217,INDEX($L219:$P219,F218+1),0)</f>
        <v>#NAME?</v>
      </c>
      <c r="G219" s="83" t="e">
        <f>IF(G217,INDEX($L219:$P219,G218+1),0)</f>
        <v>#NAME?</v>
      </c>
      <c r="H219" s="83" t="e">
        <f>IF(H217,INDEX($L219:$P219,H218+1),0)</f>
        <v>#NAME?</v>
      </c>
      <c r="I219" s="83" t="e">
        <f>IF(I217,INDEX($L219:$P219,I218+1),0)</f>
        <v>#NAME?</v>
      </c>
      <c r="J219" s="32"/>
      <c r="K219" s="32"/>
      <c r="L219" s="13">
        <v>0</v>
      </c>
      <c r="M219" s="13"/>
      <c r="N219" s="13"/>
      <c r="O219" s="13"/>
      <c r="P219" s="13"/>
    </row>
    <row r="220" spans="1:16">
      <c r="A220" s="10"/>
      <c r="B220" s="32"/>
      <c r="C220" s="78"/>
      <c r="D220" s="82" t="str">
        <f>IFERROR(IF(OR(ISTEXT(C220),C220=""),"",VLOOKUP(C220,param!A$4:B$15,2,FALSE)),"Param Not Recognised")</f>
        <v/>
      </c>
      <c r="E220" s="83" t="e">
        <f>IF(E217,INDEX($L220:$P220,E218+1),0)</f>
        <v>#NAME?</v>
      </c>
      <c r="F220" s="83" t="e">
        <f>IF(F217,INDEX($L220:$P220,F218+1),0)</f>
        <v>#NAME?</v>
      </c>
      <c r="G220" s="83" t="e">
        <f>IF(G217,INDEX($L220:$P220,G218+1),0)</f>
        <v>#NAME?</v>
      </c>
      <c r="H220" s="83" t="e">
        <f>IF(H217,INDEX($L220:$P220,H218+1),0)</f>
        <v>#NAME?</v>
      </c>
      <c r="I220" s="83" t="e">
        <f>IF(I217,INDEX($L220:$P220,I218+1),0)</f>
        <v>#NAME?</v>
      </c>
      <c r="J220" s="32"/>
      <c r="K220" s="32"/>
      <c r="L220" s="13">
        <v>0</v>
      </c>
      <c r="M220" s="13"/>
      <c r="N220" s="13"/>
      <c r="O220" s="13"/>
      <c r="P220" s="13"/>
    </row>
    <row r="221" spans="1:16">
      <c r="A221" s="10"/>
      <c r="B221" s="32"/>
      <c r="C221" s="78"/>
      <c r="D221" s="82" t="str">
        <f>IFERROR(IF(OR(ISTEXT(C221),C221=""),"",VLOOKUP(C221,param!A$4:B$15,2,FALSE)),"Param Not Recognised")</f>
        <v/>
      </c>
      <c r="E221" s="83" t="e">
        <f>IF(E217,INDEX($L221:$P221,E218+1),0)</f>
        <v>#NAME?</v>
      </c>
      <c r="F221" s="83" t="e">
        <f>IF(F217,INDEX($L221:$P221,F218+1),0)</f>
        <v>#NAME?</v>
      </c>
      <c r="G221" s="83" t="e">
        <f>IF(G217,INDEX($L221:$P221,G218+1),0)</f>
        <v>#NAME?</v>
      </c>
      <c r="H221" s="83" t="e">
        <f>IF(H217,INDEX($L221:$P221,H218+1),0)</f>
        <v>#NAME?</v>
      </c>
      <c r="I221" s="83" t="e">
        <f>IF(I217,INDEX($L221:$P221,I218+1),0)</f>
        <v>#NAME?</v>
      </c>
      <c r="J221" s="32"/>
      <c r="K221" s="32"/>
      <c r="L221" s="13">
        <v>0</v>
      </c>
      <c r="M221" s="13"/>
      <c r="N221" s="13"/>
      <c r="O221" s="13"/>
      <c r="P221" s="13"/>
    </row>
    <row r="222" spans="1:16">
      <c r="A222" s="10"/>
      <c r="B222" s="32"/>
      <c r="C222" s="78"/>
      <c r="D222" s="82" t="str">
        <f>IFERROR(IF(OR(ISTEXT(C222),C222=""),"",VLOOKUP(C222,param!A$4:B$15,2,FALSE)),"Param Not Recognised")</f>
        <v/>
      </c>
      <c r="E222" s="83" t="e">
        <f>IF(E217,INDEX($L222:$P222,E218+1),0)</f>
        <v>#NAME?</v>
      </c>
      <c r="F222" s="83" t="e">
        <f>IF(F217,INDEX($L222:$P222,F218+1),0)</f>
        <v>#NAME?</v>
      </c>
      <c r="G222" s="83" t="e">
        <f>IF(G217,INDEX($L222:$P222,G218+1),0)</f>
        <v>#NAME?</v>
      </c>
      <c r="H222" s="83" t="e">
        <f>IF(H217,INDEX($L222:$P222,H218+1),0)</f>
        <v>#NAME?</v>
      </c>
      <c r="I222" s="83" t="e">
        <f>IF(I217,INDEX($L222:$P222,I218+1),0)</f>
        <v>#NAME?</v>
      </c>
      <c r="J222" s="32"/>
      <c r="K222" s="32"/>
      <c r="L222" s="13">
        <v>0</v>
      </c>
      <c r="M222" s="13"/>
      <c r="N222" s="13"/>
      <c r="O222" s="13"/>
      <c r="P222" s="13"/>
    </row>
    <row r="223" spans="1:16">
      <c r="A223" s="10"/>
      <c r="B223" s="32"/>
      <c r="C223" s="78"/>
      <c r="D223" s="82" t="str">
        <f>IFERROR(IF(OR(ISTEXT(C223),C223=""),"",VLOOKUP(C223,param!A$4:B$15,2,FALSE)),"Param Not Recognised")</f>
        <v/>
      </c>
      <c r="E223" s="83" t="e">
        <f>IF(E217,INDEX($L223:$P223,E218+1),0)</f>
        <v>#NAME?</v>
      </c>
      <c r="F223" s="83" t="e">
        <f>IF(F217,INDEX($L223:$P223,F218+1),0)</f>
        <v>#NAME?</v>
      </c>
      <c r="G223" s="83" t="e">
        <f>IF(G217,INDEX($L223:$P223,G218+1),0)</f>
        <v>#NAME?</v>
      </c>
      <c r="H223" s="83" t="e">
        <f>IF(H217,INDEX($L223:$P223,H218+1),0)</f>
        <v>#NAME?</v>
      </c>
      <c r="I223" s="83" t="e">
        <f>IF(I217,INDEX($L223:$P223,I218+1),0)</f>
        <v>#NAME?</v>
      </c>
      <c r="J223" s="32"/>
      <c r="K223" s="32"/>
      <c r="L223" s="13">
        <v>0</v>
      </c>
      <c r="M223" s="13"/>
      <c r="N223" s="13"/>
      <c r="O223" s="13"/>
      <c r="P223" s="13"/>
    </row>
    <row r="224" spans="1:16">
      <c r="A224" s="10"/>
      <c r="B224" s="32"/>
      <c r="C224" s="78"/>
      <c r="D224" s="82" t="str">
        <f>IFERROR(IF(OR(ISTEXT(C224),C224=""),"",VLOOKUP(C224,param!A$4:B$15,2,FALSE)),"Param Not Recognised")</f>
        <v/>
      </c>
      <c r="E224" s="83" t="e">
        <f>IF(E217,INDEX($L224:$P224,E218+1),0)</f>
        <v>#NAME?</v>
      </c>
      <c r="F224" s="83" t="e">
        <f>IF(F217,INDEX($L224:$P224,F218+1),0)</f>
        <v>#NAME?</v>
      </c>
      <c r="G224" s="83" t="e">
        <f>IF(G217,INDEX($L224:$P224,G218+1),0)</f>
        <v>#NAME?</v>
      </c>
      <c r="H224" s="83" t="e">
        <f>IF(H217,INDEX($L224:$P224,H218+1),0)</f>
        <v>#NAME?</v>
      </c>
      <c r="I224" s="83" t="e">
        <f>IF(I217,INDEX($L224:$P224,I218+1),0)</f>
        <v>#NAME?</v>
      </c>
      <c r="J224" s="32"/>
      <c r="K224" s="32"/>
      <c r="L224" s="13">
        <v>0</v>
      </c>
      <c r="M224" s="13"/>
      <c r="N224" s="13"/>
      <c r="O224" s="13"/>
      <c r="P224" s="13"/>
    </row>
    <row r="225" spans="1:16">
      <c r="A225" s="10"/>
      <c r="B225" s="32"/>
      <c r="C225" s="78"/>
      <c r="D225" s="82" t="str">
        <f>IFERROR(IF(OR(ISTEXT(C225),C225=""),"",VLOOKUP(C225,param!A$4:B$15,2,FALSE)),"Param Not Recognised")</f>
        <v/>
      </c>
      <c r="E225" s="83" t="e">
        <f>IF(E217,INDEX($L225:$P225,E218+1),0)</f>
        <v>#NAME?</v>
      </c>
      <c r="F225" s="83" t="e">
        <f>IF(F217,INDEX($L225:$P225,F218+1),0)</f>
        <v>#NAME?</v>
      </c>
      <c r="G225" s="83" t="e">
        <f>IF(G217,INDEX($L225:$P225,G218+1),0)</f>
        <v>#NAME?</v>
      </c>
      <c r="H225" s="83" t="e">
        <f>IF(H217,INDEX($L225:$P225,H218+1),0)</f>
        <v>#NAME?</v>
      </c>
      <c r="I225" s="83" t="e">
        <f>IF(I217,INDEX($L225:$P225,I218+1),0)</f>
        <v>#NAME?</v>
      </c>
      <c r="J225" s="32"/>
      <c r="K225" s="32"/>
      <c r="L225" s="13">
        <v>0</v>
      </c>
      <c r="M225" s="13"/>
      <c r="N225" s="13"/>
      <c r="O225" s="13"/>
      <c r="P225" s="13"/>
    </row>
    <row r="226" spans="1:16">
      <c r="A226" s="10"/>
      <c r="B226" s="32"/>
      <c r="C226" s="78"/>
      <c r="D226" s="82" t="str">
        <f>IFERROR(IF(OR(ISTEXT(C226),C226=""),"",VLOOKUP(C226,param!A$4:B$15,2,FALSE)),"Param Not Recognised")</f>
        <v/>
      </c>
      <c r="E226" s="83" t="e">
        <f>IF(E217,INDEX($L226:$P226,E218+1),0)</f>
        <v>#NAME?</v>
      </c>
      <c r="F226" s="83" t="e">
        <f>IF(F217,INDEX($L226:$P226,F218+1),0)</f>
        <v>#NAME?</v>
      </c>
      <c r="G226" s="83" t="e">
        <f>IF(G217,INDEX($L226:$P226,G218+1),0)</f>
        <v>#NAME?</v>
      </c>
      <c r="H226" s="83" t="e">
        <f>IF(H217,INDEX($L226:$P226,H218+1),0)</f>
        <v>#NAME?</v>
      </c>
      <c r="I226" s="83" t="e">
        <f>IF(I217,INDEX($L226:$P226,I218+1),0)</f>
        <v>#NAME?</v>
      </c>
      <c r="J226" s="32"/>
      <c r="K226" s="32"/>
      <c r="L226" s="13">
        <v>0</v>
      </c>
      <c r="M226" s="13"/>
      <c r="N226" s="13"/>
      <c r="O226" s="13"/>
      <c r="P226" s="13"/>
    </row>
    <row r="227" spans="1:16">
      <c r="A227" s="10"/>
      <c r="B227" s="32"/>
      <c r="C227" s="78"/>
      <c r="D227" s="82" t="str">
        <f>IFERROR(IF(OR(ISTEXT(C227),C227=""),"",VLOOKUP(C227,param!A$4:B$15,2,FALSE)),"Param Not Recognised")</f>
        <v/>
      </c>
      <c r="E227" s="83" t="e">
        <f>IF(E217,INDEX($L227:$P227,E218+1),0)</f>
        <v>#NAME?</v>
      </c>
      <c r="F227" s="83" t="e">
        <f>IF(F217,INDEX($L227:$P227,F218+1),0)</f>
        <v>#NAME?</v>
      </c>
      <c r="G227" s="83" t="e">
        <f>IF(G217,INDEX($L227:$P227,G218+1),0)</f>
        <v>#NAME?</v>
      </c>
      <c r="H227" s="83" t="e">
        <f>IF(H217,INDEX($L227:$P227,H218+1),0)</f>
        <v>#NAME?</v>
      </c>
      <c r="I227" s="83" t="e">
        <f>IF(I217,INDEX($L227:$P227,I218+1),0)</f>
        <v>#NAME?</v>
      </c>
      <c r="J227" s="32"/>
      <c r="K227" s="32"/>
      <c r="L227" s="13">
        <v>0</v>
      </c>
      <c r="M227" s="13"/>
      <c r="N227" s="13"/>
      <c r="O227" s="13"/>
      <c r="P227" s="13"/>
    </row>
    <row r="228" spans="1:16">
      <c r="A228" s="10"/>
      <c r="B228" s="32"/>
      <c r="C228" s="78"/>
      <c r="D228" s="82" t="str">
        <f>IFERROR(IF(OR(ISTEXT(C228),C228=""),"",VLOOKUP(C228,param!A$4:B$15,2,FALSE)),"Param Not Recognised")</f>
        <v/>
      </c>
      <c r="E228" s="83" t="e">
        <f>IF(E217,INDEX($L228:$P228,E218+1),0)</f>
        <v>#NAME?</v>
      </c>
      <c r="F228" s="83" t="e">
        <f>IF(F217,INDEX($L228:$P228,F218+1),0)</f>
        <v>#NAME?</v>
      </c>
      <c r="G228" s="83" t="e">
        <f>IF(G217,INDEX($L228:$P228,G218+1),0)</f>
        <v>#NAME?</v>
      </c>
      <c r="H228" s="83" t="e">
        <f>IF(H217,INDEX($L228:$P228,H218+1),0)</f>
        <v>#NAME?</v>
      </c>
      <c r="I228" s="83" t="e">
        <f>IF(I217,INDEX($L228:$P228,I218+1),0)</f>
        <v>#NAME?</v>
      </c>
      <c r="J228" s="32"/>
      <c r="K228" s="32"/>
      <c r="L228" s="13">
        <v>0</v>
      </c>
      <c r="M228" s="13"/>
      <c r="N228" s="13"/>
      <c r="O228" s="13"/>
      <c r="P228" s="13"/>
    </row>
    <row r="229" spans="1:16">
      <c r="A229" s="26"/>
    </row>
    <row r="230" spans="1:16">
      <c r="A230" s="86">
        <v>18</v>
      </c>
      <c r="B230" s="38">
        <f>INDEX(SI_Name,A230+1)</f>
        <v>0</v>
      </c>
      <c r="C230" s="31" t="s">
        <v>346</v>
      </c>
      <c r="D230" s="31"/>
      <c r="E230" s="33" t="e">
        <f>VLOOKUP($A230,calcTableSIsLaunched,adj_IndexTeam+1,FALSE)</f>
        <v>#NAME?</v>
      </c>
      <c r="F230" s="33" t="e">
        <f>VLOOKUP($A230,calcTableSIsLaunched,adj_IndexTeam+1,FALSE)</f>
        <v>#NAME?</v>
      </c>
      <c r="G230" s="33" t="e">
        <f>VLOOKUP($A230,calcTableSIsLaunched,adj_IndexTeam+1,FALSE)</f>
        <v>#NAME?</v>
      </c>
      <c r="H230" s="33" t="e">
        <f>VLOOKUP($A230,calcTableSIsLaunched,adj_IndexTeam+1,FALSE)</f>
        <v>#NAME?</v>
      </c>
      <c r="I230" s="33" t="e">
        <f>VLOOKUP($A230,calcTableSIsLaunched,adj_IndexTeam+1,FALSE)</f>
        <v>#NAME?</v>
      </c>
      <c r="J230" s="15">
        <f>SUMIF(C232:C241,adj_FTECode,M232:M241)</f>
        <v>0</v>
      </c>
      <c r="K230" s="15">
        <f>SUMIF(C232:C241,adj_CostCode,M232:M241)</f>
        <v>0</v>
      </c>
      <c r="L230" s="31"/>
      <c r="M230" s="31"/>
      <c r="N230" s="31"/>
      <c r="O230" s="31"/>
      <c r="P230" s="31"/>
    </row>
    <row r="231" spans="1:16">
      <c r="A231" s="10"/>
      <c r="B231" s="32"/>
      <c r="C231" s="32" t="s">
        <v>347</v>
      </c>
      <c r="D231" s="32"/>
      <c r="E231" s="33" t="e">
        <f>VLOOKUP($A230,calcTableSIsRoundsIntoLaunch,adj_IndexTeam+1,FALSE)</f>
        <v>#NAME?</v>
      </c>
      <c r="F231" s="33" t="e">
        <f>VLOOKUP($A230,calcTableSIsRoundsIntoLaunch,adj_IndexTeam+1,FALSE)</f>
        <v>#NAME?</v>
      </c>
      <c r="G231" s="33" t="e">
        <f>VLOOKUP($A230,calcTableSIsRoundsIntoLaunch,adj_IndexTeam+1,FALSE)</f>
        <v>#NAME?</v>
      </c>
      <c r="H231" s="33" t="e">
        <f>VLOOKUP($A230,calcTableSIsRoundsIntoLaunch,adj_IndexTeam+1,FALSE)</f>
        <v>#NAME?</v>
      </c>
      <c r="I231" s="33" t="e">
        <f>VLOOKUP($A230,calcTableSIsRoundsIntoLaunch,adj_IndexTeam+1,FALSE)</f>
        <v>#NAME?</v>
      </c>
      <c r="J231" s="32"/>
      <c r="K231" s="32"/>
      <c r="L231" s="32"/>
      <c r="M231" s="32"/>
      <c r="N231" s="32"/>
      <c r="O231" s="32"/>
      <c r="P231" s="32"/>
    </row>
    <row r="232" spans="1:16">
      <c r="A232" s="10"/>
      <c r="B232" s="32"/>
      <c r="C232" s="78">
        <v>1002</v>
      </c>
      <c r="D232" s="82" t="str">
        <f>IFERROR(IF(OR(ISTEXT(C232),C232=""),"",VLOOKUP(C232,param!A$4:B$15,2,FALSE)),"Param Not Recognised")</f>
        <v>FTEs</v>
      </c>
      <c r="E232" s="83" t="e">
        <f>IF(E230,INDEX($L232:$P232,E231+1),0)</f>
        <v>#NAME?</v>
      </c>
      <c r="F232" s="83" t="e">
        <f>IF(F230,INDEX($L232:$P232,F231+1),0)</f>
        <v>#NAME?</v>
      </c>
      <c r="G232" s="83" t="e">
        <f>IF(G230,INDEX($L232:$P232,G231+1),0)</f>
        <v>#NAME?</v>
      </c>
      <c r="H232" s="83" t="e">
        <f>IF(H230,INDEX($L232:$P232,H231+1),0)</f>
        <v>#NAME?</v>
      </c>
      <c r="I232" s="83" t="e">
        <f>IF(I230,INDEX($L232:$P232,I231+1),0)</f>
        <v>#NAME?</v>
      </c>
      <c r="J232" s="32"/>
      <c r="K232" s="32"/>
      <c r="L232" s="13">
        <v>0</v>
      </c>
      <c r="M232" s="13"/>
      <c r="N232" s="13"/>
      <c r="O232" s="13"/>
      <c r="P232" s="13"/>
    </row>
    <row r="233" spans="1:16">
      <c r="A233" s="10"/>
      <c r="B233" s="32"/>
      <c r="C233" s="78"/>
      <c r="D233" s="82" t="str">
        <f>IFERROR(IF(OR(ISTEXT(C233),C233=""),"",VLOOKUP(C233,param!A$4:B$15,2,FALSE)),"Param Not Recognised")</f>
        <v/>
      </c>
      <c r="E233" s="83" t="e">
        <f>IF(E230,INDEX($L233:$P233,E231+1),0)</f>
        <v>#NAME?</v>
      </c>
      <c r="F233" s="83" t="e">
        <f>IF(F230,INDEX($L233:$P233,F231+1),0)</f>
        <v>#NAME?</v>
      </c>
      <c r="G233" s="83" t="e">
        <f>IF(G230,INDEX($L233:$P233,G231+1),0)</f>
        <v>#NAME?</v>
      </c>
      <c r="H233" s="83" t="e">
        <f>IF(H230,INDEX($L233:$P233,H231+1),0)</f>
        <v>#NAME?</v>
      </c>
      <c r="I233" s="83" t="e">
        <f>IF(I230,INDEX($L233:$P233,I231+1),0)</f>
        <v>#NAME?</v>
      </c>
      <c r="J233" s="32"/>
      <c r="K233" s="32"/>
      <c r="L233" s="13">
        <v>0</v>
      </c>
      <c r="M233" s="13"/>
      <c r="N233" s="13"/>
      <c r="O233" s="13"/>
      <c r="P233" s="13"/>
    </row>
    <row r="234" spans="1:16">
      <c r="A234" s="10"/>
      <c r="B234" s="32"/>
      <c r="C234" s="78"/>
      <c r="D234" s="82" t="str">
        <f>IFERROR(IF(OR(ISTEXT(C234),C234=""),"",VLOOKUP(C234,param!A$4:B$15,2,FALSE)),"Param Not Recognised")</f>
        <v/>
      </c>
      <c r="E234" s="83" t="e">
        <f>IF(E230,INDEX($L234:$P234,E231+1),0)</f>
        <v>#NAME?</v>
      </c>
      <c r="F234" s="83" t="e">
        <f>IF(F230,INDEX($L234:$P234,F231+1),0)</f>
        <v>#NAME?</v>
      </c>
      <c r="G234" s="83" t="e">
        <f>IF(G230,INDEX($L234:$P234,G231+1),0)</f>
        <v>#NAME?</v>
      </c>
      <c r="H234" s="83" t="e">
        <f>IF(H230,INDEX($L234:$P234,H231+1),0)</f>
        <v>#NAME?</v>
      </c>
      <c r="I234" s="83" t="e">
        <f>IF(I230,INDEX($L234:$P234,I231+1),0)</f>
        <v>#NAME?</v>
      </c>
      <c r="J234" s="32"/>
      <c r="K234" s="32"/>
      <c r="L234" s="13">
        <v>0</v>
      </c>
      <c r="M234" s="13"/>
      <c r="N234" s="13"/>
      <c r="O234" s="13"/>
      <c r="P234" s="13"/>
    </row>
    <row r="235" spans="1:16">
      <c r="A235" s="10"/>
      <c r="B235" s="32"/>
      <c r="C235" s="78"/>
      <c r="D235" s="82" t="str">
        <f>IFERROR(IF(OR(ISTEXT(C235),C235=""),"",VLOOKUP(C235,param!A$4:B$15,2,FALSE)),"Param Not Recognised")</f>
        <v/>
      </c>
      <c r="E235" s="83" t="e">
        <f>IF(E230,INDEX($L235:$P235,E231+1),0)</f>
        <v>#NAME?</v>
      </c>
      <c r="F235" s="83" t="e">
        <f>IF(F230,INDEX($L235:$P235,F231+1),0)</f>
        <v>#NAME?</v>
      </c>
      <c r="G235" s="83" t="e">
        <f>IF(G230,INDEX($L235:$P235,G231+1),0)</f>
        <v>#NAME?</v>
      </c>
      <c r="H235" s="83" t="e">
        <f>IF(H230,INDEX($L235:$P235,H231+1),0)</f>
        <v>#NAME?</v>
      </c>
      <c r="I235" s="83" t="e">
        <f>IF(I230,INDEX($L235:$P235,I231+1),0)</f>
        <v>#NAME?</v>
      </c>
      <c r="J235" s="32"/>
      <c r="K235" s="32"/>
      <c r="L235" s="13">
        <v>0</v>
      </c>
      <c r="M235" s="13"/>
      <c r="N235" s="13"/>
      <c r="O235" s="13"/>
      <c r="P235" s="13"/>
    </row>
    <row r="236" spans="1:16">
      <c r="A236" s="10"/>
      <c r="B236" s="32"/>
      <c r="C236" s="78"/>
      <c r="D236" s="82" t="str">
        <f>IFERROR(IF(OR(ISTEXT(C236),C236=""),"",VLOOKUP(C236,param!A$4:B$15,2,FALSE)),"Param Not Recognised")</f>
        <v/>
      </c>
      <c r="E236" s="83" t="e">
        <f>IF(E230,INDEX($L236:$P236,E231+1),0)</f>
        <v>#NAME?</v>
      </c>
      <c r="F236" s="83" t="e">
        <f>IF(F230,INDEX($L236:$P236,F231+1),0)</f>
        <v>#NAME?</v>
      </c>
      <c r="G236" s="83" t="e">
        <f>IF(G230,INDEX($L236:$P236,G231+1),0)</f>
        <v>#NAME?</v>
      </c>
      <c r="H236" s="83" t="e">
        <f>IF(H230,INDEX($L236:$P236,H231+1),0)</f>
        <v>#NAME?</v>
      </c>
      <c r="I236" s="83" t="e">
        <f>IF(I230,INDEX($L236:$P236,I231+1),0)</f>
        <v>#NAME?</v>
      </c>
      <c r="J236" s="32"/>
      <c r="K236" s="32"/>
      <c r="L236" s="13">
        <v>0</v>
      </c>
      <c r="M236" s="13"/>
      <c r="N236" s="13"/>
      <c r="O236" s="13"/>
      <c r="P236" s="13"/>
    </row>
    <row r="237" spans="1:16">
      <c r="A237" s="10"/>
      <c r="B237" s="32"/>
      <c r="C237" s="78"/>
      <c r="D237" s="82" t="str">
        <f>IFERROR(IF(OR(ISTEXT(C237),C237=""),"",VLOOKUP(C237,param!A$4:B$15,2,FALSE)),"Param Not Recognised")</f>
        <v/>
      </c>
      <c r="E237" s="83" t="e">
        <f>IF(E230,INDEX($L237:$P237,E231+1),0)</f>
        <v>#NAME?</v>
      </c>
      <c r="F237" s="83" t="e">
        <f>IF(F230,INDEX($L237:$P237,F231+1),0)</f>
        <v>#NAME?</v>
      </c>
      <c r="G237" s="83" t="e">
        <f>IF(G230,INDEX($L237:$P237,G231+1),0)</f>
        <v>#NAME?</v>
      </c>
      <c r="H237" s="83" t="e">
        <f>IF(H230,INDEX($L237:$P237,H231+1),0)</f>
        <v>#NAME?</v>
      </c>
      <c r="I237" s="83" t="e">
        <f>IF(I230,INDEX($L237:$P237,I231+1),0)</f>
        <v>#NAME?</v>
      </c>
      <c r="J237" s="32"/>
      <c r="K237" s="32"/>
      <c r="L237" s="13">
        <v>0</v>
      </c>
      <c r="M237" s="13"/>
      <c r="N237" s="13"/>
      <c r="O237" s="13"/>
      <c r="P237" s="13"/>
    </row>
    <row r="238" spans="1:16">
      <c r="A238" s="10"/>
      <c r="B238" s="32"/>
      <c r="C238" s="78"/>
      <c r="D238" s="82" t="str">
        <f>IFERROR(IF(OR(ISTEXT(C238),C238=""),"",VLOOKUP(C238,param!A$4:B$15,2,FALSE)),"Param Not Recognised")</f>
        <v/>
      </c>
      <c r="E238" s="83" t="e">
        <f>IF(E230,INDEX($L238:$P238,E231+1),0)</f>
        <v>#NAME?</v>
      </c>
      <c r="F238" s="83" t="e">
        <f>IF(F230,INDEX($L238:$P238,F231+1),0)</f>
        <v>#NAME?</v>
      </c>
      <c r="G238" s="83" t="e">
        <f>IF(G230,INDEX($L238:$P238,G231+1),0)</f>
        <v>#NAME?</v>
      </c>
      <c r="H238" s="83" t="e">
        <f>IF(H230,INDEX($L238:$P238,H231+1),0)</f>
        <v>#NAME?</v>
      </c>
      <c r="I238" s="83" t="e">
        <f>IF(I230,INDEX($L238:$P238,I231+1),0)</f>
        <v>#NAME?</v>
      </c>
      <c r="J238" s="32"/>
      <c r="K238" s="32"/>
      <c r="L238" s="13">
        <v>0</v>
      </c>
      <c r="M238" s="13"/>
      <c r="N238" s="13"/>
      <c r="O238" s="13"/>
      <c r="P238" s="13"/>
    </row>
    <row r="239" spans="1:16">
      <c r="A239" s="10"/>
      <c r="B239" s="32"/>
      <c r="C239" s="78"/>
      <c r="D239" s="82" t="str">
        <f>IFERROR(IF(OR(ISTEXT(C239),C239=""),"",VLOOKUP(C239,param!A$4:B$15,2,FALSE)),"Param Not Recognised")</f>
        <v/>
      </c>
      <c r="E239" s="83" t="e">
        <f>IF(E230,INDEX($L239:$P239,E231+1),0)</f>
        <v>#NAME?</v>
      </c>
      <c r="F239" s="83" t="e">
        <f>IF(F230,INDEX($L239:$P239,F231+1),0)</f>
        <v>#NAME?</v>
      </c>
      <c r="G239" s="83" t="e">
        <f>IF(G230,INDEX($L239:$P239,G231+1),0)</f>
        <v>#NAME?</v>
      </c>
      <c r="H239" s="83" t="e">
        <f>IF(H230,INDEX($L239:$P239,H231+1),0)</f>
        <v>#NAME?</v>
      </c>
      <c r="I239" s="83" t="e">
        <f>IF(I230,INDEX($L239:$P239,I231+1),0)</f>
        <v>#NAME?</v>
      </c>
      <c r="J239" s="32"/>
      <c r="K239" s="32"/>
      <c r="L239" s="13">
        <v>0</v>
      </c>
      <c r="M239" s="13"/>
      <c r="N239" s="13"/>
      <c r="O239" s="13"/>
      <c r="P239" s="13"/>
    </row>
    <row r="240" spans="1:16">
      <c r="A240" s="10"/>
      <c r="B240" s="32"/>
      <c r="C240" s="78"/>
      <c r="D240" s="82" t="str">
        <f>IFERROR(IF(OR(ISTEXT(C240),C240=""),"",VLOOKUP(C240,param!A$4:B$15,2,FALSE)),"Param Not Recognised")</f>
        <v/>
      </c>
      <c r="E240" s="83" t="e">
        <f>IF(E230,INDEX($L240:$P240,E231+1),0)</f>
        <v>#NAME?</v>
      </c>
      <c r="F240" s="83" t="e">
        <f>IF(F230,INDEX($L240:$P240,F231+1),0)</f>
        <v>#NAME?</v>
      </c>
      <c r="G240" s="83" t="e">
        <f>IF(G230,INDEX($L240:$P240,G231+1),0)</f>
        <v>#NAME?</v>
      </c>
      <c r="H240" s="83" t="e">
        <f>IF(H230,INDEX($L240:$P240,H231+1),0)</f>
        <v>#NAME?</v>
      </c>
      <c r="I240" s="83" t="e">
        <f>IF(I230,INDEX($L240:$P240,I231+1),0)</f>
        <v>#NAME?</v>
      </c>
      <c r="J240" s="32"/>
      <c r="K240" s="32"/>
      <c r="L240" s="13">
        <v>0</v>
      </c>
      <c r="M240" s="13"/>
      <c r="N240" s="13"/>
      <c r="O240" s="13"/>
      <c r="P240" s="13"/>
    </row>
    <row r="241" spans="1:16">
      <c r="A241" s="10"/>
      <c r="B241" s="32"/>
      <c r="C241" s="78"/>
      <c r="D241" s="82" t="str">
        <f>IFERROR(IF(OR(ISTEXT(C241),C241=""),"",VLOOKUP(C241,param!A$4:B$15,2,FALSE)),"Param Not Recognised")</f>
        <v/>
      </c>
      <c r="E241" s="83" t="e">
        <f>IF(E230,INDEX($L241:$P241,E231+1),0)</f>
        <v>#NAME?</v>
      </c>
      <c r="F241" s="83" t="e">
        <f>IF(F230,INDEX($L241:$P241,F231+1),0)</f>
        <v>#NAME?</v>
      </c>
      <c r="G241" s="83" t="e">
        <f>IF(G230,INDEX($L241:$P241,G231+1),0)</f>
        <v>#NAME?</v>
      </c>
      <c r="H241" s="83" t="e">
        <f>IF(H230,INDEX($L241:$P241,H231+1),0)</f>
        <v>#NAME?</v>
      </c>
      <c r="I241" s="83" t="e">
        <f>IF(I230,INDEX($L241:$P241,I231+1),0)</f>
        <v>#NAME?</v>
      </c>
      <c r="J241" s="32"/>
      <c r="K241" s="32"/>
      <c r="L241" s="13">
        <v>0</v>
      </c>
      <c r="M241" s="13"/>
      <c r="N241" s="13"/>
      <c r="O241" s="13"/>
      <c r="P241" s="13"/>
    </row>
    <row r="242" spans="1:16">
      <c r="A242" s="26"/>
    </row>
    <row r="243" spans="1:16">
      <c r="A243" s="86">
        <v>19</v>
      </c>
      <c r="B243" s="38">
        <f>INDEX(SI_Name,A243+1)</f>
        <v>0</v>
      </c>
      <c r="C243" s="31" t="s">
        <v>346</v>
      </c>
      <c r="D243" s="31"/>
      <c r="E243" s="33" t="e">
        <f>VLOOKUP($A243,calcTableSIsLaunched,adj_IndexTeam+1,FALSE)</f>
        <v>#NAME?</v>
      </c>
      <c r="F243" s="33" t="e">
        <f>VLOOKUP($A243,calcTableSIsLaunched,adj_IndexTeam+1,FALSE)</f>
        <v>#NAME?</v>
      </c>
      <c r="G243" s="33" t="e">
        <f>VLOOKUP($A243,calcTableSIsLaunched,adj_IndexTeam+1,FALSE)</f>
        <v>#NAME?</v>
      </c>
      <c r="H243" s="33" t="e">
        <f>VLOOKUP($A243,calcTableSIsLaunched,adj_IndexTeam+1,FALSE)</f>
        <v>#NAME?</v>
      </c>
      <c r="I243" s="33" t="e">
        <f>VLOOKUP($A243,calcTableSIsLaunched,adj_IndexTeam+1,FALSE)</f>
        <v>#NAME?</v>
      </c>
      <c r="J243" s="15">
        <f>SUMIF(C245:C254,adj_FTECode,M245:M254)</f>
        <v>0</v>
      </c>
      <c r="K243" s="15">
        <f>SUMIF(C245:C254,adj_CostCode,M245:M254)</f>
        <v>0</v>
      </c>
      <c r="L243" s="31"/>
      <c r="M243" s="31"/>
      <c r="N243" s="31"/>
      <c r="O243" s="31"/>
      <c r="P243" s="31"/>
    </row>
    <row r="244" spans="1:16">
      <c r="A244" s="10"/>
      <c r="B244" s="32"/>
      <c r="C244" s="32" t="s">
        <v>347</v>
      </c>
      <c r="D244" s="32"/>
      <c r="E244" s="33" t="e">
        <f>VLOOKUP($A243,calcTableSIsRoundsIntoLaunch,adj_IndexTeam+1,FALSE)</f>
        <v>#NAME?</v>
      </c>
      <c r="F244" s="33" t="e">
        <f>VLOOKUP($A243,calcTableSIsRoundsIntoLaunch,adj_IndexTeam+1,FALSE)</f>
        <v>#NAME?</v>
      </c>
      <c r="G244" s="33" t="e">
        <f>VLOOKUP($A243,calcTableSIsRoundsIntoLaunch,adj_IndexTeam+1,FALSE)</f>
        <v>#NAME?</v>
      </c>
      <c r="H244" s="33" t="e">
        <f>VLOOKUP($A243,calcTableSIsRoundsIntoLaunch,adj_IndexTeam+1,FALSE)</f>
        <v>#NAME?</v>
      </c>
      <c r="I244" s="33" t="e">
        <f>VLOOKUP($A243,calcTableSIsRoundsIntoLaunch,adj_IndexTeam+1,FALSE)</f>
        <v>#NAME?</v>
      </c>
      <c r="J244" s="32"/>
      <c r="K244" s="32"/>
      <c r="L244" s="32"/>
      <c r="M244" s="32"/>
      <c r="N244" s="32"/>
      <c r="O244" s="32"/>
      <c r="P244" s="32"/>
    </row>
    <row r="245" spans="1:16">
      <c r="A245" s="10"/>
      <c r="B245" s="32"/>
      <c r="C245" s="78">
        <v>1002</v>
      </c>
      <c r="D245" s="82" t="str">
        <f>IFERROR(IF(OR(ISTEXT(C245),C245=""),"",VLOOKUP(C245,param!A$4:B$15,2,FALSE)),"Param Not Recognised")</f>
        <v>FTEs</v>
      </c>
      <c r="E245" s="83" t="e">
        <f>IF(E243,INDEX($L245:$P245,E244+1),0)</f>
        <v>#NAME?</v>
      </c>
      <c r="F245" s="83" t="e">
        <f>IF(F243,INDEX($L245:$P245,F244+1),0)</f>
        <v>#NAME?</v>
      </c>
      <c r="G245" s="83" t="e">
        <f>IF(G243,INDEX($L245:$P245,G244+1),0)</f>
        <v>#NAME?</v>
      </c>
      <c r="H245" s="83" t="e">
        <f>IF(H243,INDEX($L245:$P245,H244+1),0)</f>
        <v>#NAME?</v>
      </c>
      <c r="I245" s="83" t="e">
        <f>IF(I243,INDEX($L245:$P245,I244+1),0)</f>
        <v>#NAME?</v>
      </c>
      <c r="J245" s="32"/>
      <c r="K245" s="32"/>
      <c r="L245" s="13">
        <v>0</v>
      </c>
      <c r="M245" s="13"/>
      <c r="N245" s="13"/>
      <c r="O245" s="13"/>
      <c r="P245" s="13"/>
    </row>
    <row r="246" spans="1:16">
      <c r="A246" s="10"/>
      <c r="B246" s="32"/>
      <c r="C246" s="78"/>
      <c r="D246" s="82" t="str">
        <f>IFERROR(IF(OR(ISTEXT(C246),C246=""),"",VLOOKUP(C246,param!A$4:B$15,2,FALSE)),"Param Not Recognised")</f>
        <v/>
      </c>
      <c r="E246" s="83" t="e">
        <f>IF(E243,INDEX($L246:$P246,E244+1),0)</f>
        <v>#NAME?</v>
      </c>
      <c r="F246" s="83" t="e">
        <f>IF(F243,INDEX($L246:$P246,F244+1),0)</f>
        <v>#NAME?</v>
      </c>
      <c r="G246" s="83" t="e">
        <f>IF(G243,INDEX($L246:$P246,G244+1),0)</f>
        <v>#NAME?</v>
      </c>
      <c r="H246" s="83" t="e">
        <f>IF(H243,INDEX($L246:$P246,H244+1),0)</f>
        <v>#NAME?</v>
      </c>
      <c r="I246" s="83" t="e">
        <f>IF(I243,INDEX($L246:$P246,I244+1),0)</f>
        <v>#NAME?</v>
      </c>
      <c r="J246" s="32"/>
      <c r="K246" s="32"/>
      <c r="L246" s="13">
        <v>0</v>
      </c>
      <c r="M246" s="13"/>
      <c r="N246" s="13"/>
      <c r="O246" s="13"/>
      <c r="P246" s="13"/>
    </row>
    <row r="247" spans="1:16">
      <c r="A247" s="10"/>
      <c r="B247" s="32"/>
      <c r="C247" s="78"/>
      <c r="D247" s="82" t="str">
        <f>IFERROR(IF(OR(ISTEXT(C247),C247=""),"",VLOOKUP(C247,param!A$4:B$15,2,FALSE)),"Param Not Recognised")</f>
        <v/>
      </c>
      <c r="E247" s="83" t="e">
        <f>IF(E243,INDEX($L247:$P247,E244+1),0)</f>
        <v>#NAME?</v>
      </c>
      <c r="F247" s="83" t="e">
        <f>IF(F243,INDEX($L247:$P247,F244+1),0)</f>
        <v>#NAME?</v>
      </c>
      <c r="G247" s="83" t="e">
        <f>IF(G243,INDEX($L247:$P247,G244+1),0)</f>
        <v>#NAME?</v>
      </c>
      <c r="H247" s="83" t="e">
        <f>IF(H243,INDEX($L247:$P247,H244+1),0)</f>
        <v>#NAME?</v>
      </c>
      <c r="I247" s="83" t="e">
        <f>IF(I243,INDEX($L247:$P247,I244+1),0)</f>
        <v>#NAME?</v>
      </c>
      <c r="J247" s="32"/>
      <c r="K247" s="32"/>
      <c r="L247" s="13">
        <v>0</v>
      </c>
      <c r="M247" s="13"/>
      <c r="N247" s="13"/>
      <c r="O247" s="13"/>
      <c r="P247" s="13"/>
    </row>
    <row r="248" spans="1:16">
      <c r="A248" s="10"/>
      <c r="B248" s="32"/>
      <c r="C248" s="78"/>
      <c r="D248" s="82" t="str">
        <f>IFERROR(IF(OR(ISTEXT(C248),C248=""),"",VLOOKUP(C248,param!A$4:B$15,2,FALSE)),"Param Not Recognised")</f>
        <v/>
      </c>
      <c r="E248" s="83" t="e">
        <f>IF(E243,INDEX($L248:$P248,E244+1),0)</f>
        <v>#NAME?</v>
      </c>
      <c r="F248" s="83" t="e">
        <f>IF(F243,INDEX($L248:$P248,F244+1),0)</f>
        <v>#NAME?</v>
      </c>
      <c r="G248" s="83" t="e">
        <f>IF(G243,INDEX($L248:$P248,G244+1),0)</f>
        <v>#NAME?</v>
      </c>
      <c r="H248" s="83" t="e">
        <f>IF(H243,INDEX($L248:$P248,H244+1),0)</f>
        <v>#NAME?</v>
      </c>
      <c r="I248" s="83" t="e">
        <f>IF(I243,INDEX($L248:$P248,I244+1),0)</f>
        <v>#NAME?</v>
      </c>
      <c r="J248" s="32"/>
      <c r="K248" s="32"/>
      <c r="L248" s="13">
        <v>0</v>
      </c>
      <c r="M248" s="13"/>
      <c r="N248" s="13"/>
      <c r="O248" s="13"/>
      <c r="P248" s="13"/>
    </row>
    <row r="249" spans="1:16">
      <c r="A249" s="10"/>
      <c r="B249" s="32"/>
      <c r="C249" s="78"/>
      <c r="D249" s="82" t="str">
        <f>IFERROR(IF(OR(ISTEXT(C249),C249=""),"",VLOOKUP(C249,param!A$4:B$15,2,FALSE)),"Param Not Recognised")</f>
        <v/>
      </c>
      <c r="E249" s="83" t="e">
        <f>IF(E243,INDEX($L249:$P249,E244+1),0)</f>
        <v>#NAME?</v>
      </c>
      <c r="F249" s="83" t="e">
        <f>IF(F243,INDEX($L249:$P249,F244+1),0)</f>
        <v>#NAME?</v>
      </c>
      <c r="G249" s="83" t="e">
        <f>IF(G243,INDEX($L249:$P249,G244+1),0)</f>
        <v>#NAME?</v>
      </c>
      <c r="H249" s="83" t="e">
        <f>IF(H243,INDEX($L249:$P249,H244+1),0)</f>
        <v>#NAME?</v>
      </c>
      <c r="I249" s="83" t="e">
        <f>IF(I243,INDEX($L249:$P249,I244+1),0)</f>
        <v>#NAME?</v>
      </c>
      <c r="J249" s="32"/>
      <c r="K249" s="32"/>
      <c r="L249" s="13">
        <v>0</v>
      </c>
      <c r="M249" s="13"/>
      <c r="N249" s="13"/>
      <c r="O249" s="13"/>
      <c r="P249" s="13"/>
    </row>
    <row r="250" spans="1:16">
      <c r="A250" s="10"/>
      <c r="B250" s="32"/>
      <c r="C250" s="78"/>
      <c r="D250" s="82" t="str">
        <f>IFERROR(IF(OR(ISTEXT(C250),C250=""),"",VLOOKUP(C250,param!A$4:B$15,2,FALSE)),"Param Not Recognised")</f>
        <v/>
      </c>
      <c r="E250" s="83" t="e">
        <f>IF(E243,INDEX($L250:$P250,E244+1),0)</f>
        <v>#NAME?</v>
      </c>
      <c r="F250" s="83" t="e">
        <f>IF(F243,INDEX($L250:$P250,F244+1),0)</f>
        <v>#NAME?</v>
      </c>
      <c r="G250" s="83" t="e">
        <f>IF(G243,INDEX($L250:$P250,G244+1),0)</f>
        <v>#NAME?</v>
      </c>
      <c r="H250" s="83" t="e">
        <f>IF(H243,INDEX($L250:$P250,H244+1),0)</f>
        <v>#NAME?</v>
      </c>
      <c r="I250" s="83" t="e">
        <f>IF(I243,INDEX($L250:$P250,I244+1),0)</f>
        <v>#NAME?</v>
      </c>
      <c r="J250" s="32"/>
      <c r="K250" s="32"/>
      <c r="L250" s="13">
        <v>0</v>
      </c>
      <c r="M250" s="13"/>
      <c r="N250" s="13"/>
      <c r="O250" s="13"/>
      <c r="P250" s="13"/>
    </row>
    <row r="251" spans="1:16">
      <c r="A251" s="10"/>
      <c r="B251" s="32"/>
      <c r="C251" s="78"/>
      <c r="D251" s="82" t="str">
        <f>IFERROR(IF(OR(ISTEXT(C251),C251=""),"",VLOOKUP(C251,param!A$4:B$15,2,FALSE)),"Param Not Recognised")</f>
        <v/>
      </c>
      <c r="E251" s="83" t="e">
        <f>IF(E243,INDEX($L251:$P251,E244+1),0)</f>
        <v>#NAME?</v>
      </c>
      <c r="F251" s="83" t="e">
        <f>IF(F243,INDEX($L251:$P251,F244+1),0)</f>
        <v>#NAME?</v>
      </c>
      <c r="G251" s="83" t="e">
        <f>IF(G243,INDEX($L251:$P251,G244+1),0)</f>
        <v>#NAME?</v>
      </c>
      <c r="H251" s="83" t="e">
        <f>IF(H243,INDEX($L251:$P251,H244+1),0)</f>
        <v>#NAME?</v>
      </c>
      <c r="I251" s="83" t="e">
        <f>IF(I243,INDEX($L251:$P251,I244+1),0)</f>
        <v>#NAME?</v>
      </c>
      <c r="J251" s="32"/>
      <c r="K251" s="32"/>
      <c r="L251" s="13">
        <v>0</v>
      </c>
      <c r="M251" s="13"/>
      <c r="N251" s="13"/>
      <c r="O251" s="13"/>
      <c r="P251" s="13"/>
    </row>
    <row r="252" spans="1:16">
      <c r="A252" s="10"/>
      <c r="B252" s="32"/>
      <c r="C252" s="78"/>
      <c r="D252" s="82" t="str">
        <f>IFERROR(IF(OR(ISTEXT(C252),C252=""),"",VLOOKUP(C252,param!A$4:B$15,2,FALSE)),"Param Not Recognised")</f>
        <v/>
      </c>
      <c r="E252" s="83" t="e">
        <f>IF(E243,INDEX($L252:$P252,E244+1),0)</f>
        <v>#NAME?</v>
      </c>
      <c r="F252" s="83" t="e">
        <f>IF(F243,INDEX($L252:$P252,F244+1),0)</f>
        <v>#NAME?</v>
      </c>
      <c r="G252" s="83" t="e">
        <f>IF(G243,INDEX($L252:$P252,G244+1),0)</f>
        <v>#NAME?</v>
      </c>
      <c r="H252" s="83" t="e">
        <f>IF(H243,INDEX($L252:$P252,H244+1),0)</f>
        <v>#NAME?</v>
      </c>
      <c r="I252" s="83" t="e">
        <f>IF(I243,INDEX($L252:$P252,I244+1),0)</f>
        <v>#NAME?</v>
      </c>
      <c r="J252" s="32"/>
      <c r="K252" s="32"/>
      <c r="L252" s="13">
        <v>0</v>
      </c>
      <c r="M252" s="13"/>
      <c r="N252" s="13"/>
      <c r="O252" s="13"/>
      <c r="P252" s="13"/>
    </row>
    <row r="253" spans="1:16">
      <c r="A253" s="10"/>
      <c r="B253" s="32"/>
      <c r="C253" s="78"/>
      <c r="D253" s="82" t="str">
        <f>IFERROR(IF(OR(ISTEXT(C253),C253=""),"",VLOOKUP(C253,param!A$4:B$15,2,FALSE)),"Param Not Recognised")</f>
        <v/>
      </c>
      <c r="E253" s="83" t="e">
        <f>IF(E243,INDEX($L253:$P253,E244+1),0)</f>
        <v>#NAME?</v>
      </c>
      <c r="F253" s="83" t="e">
        <f>IF(F243,INDEX($L253:$P253,F244+1),0)</f>
        <v>#NAME?</v>
      </c>
      <c r="G253" s="83" t="e">
        <f>IF(G243,INDEX($L253:$P253,G244+1),0)</f>
        <v>#NAME?</v>
      </c>
      <c r="H253" s="83" t="e">
        <f>IF(H243,INDEX($L253:$P253,H244+1),0)</f>
        <v>#NAME?</v>
      </c>
      <c r="I253" s="83" t="e">
        <f>IF(I243,INDEX($L253:$P253,I244+1),0)</f>
        <v>#NAME?</v>
      </c>
      <c r="J253" s="32"/>
      <c r="K253" s="32"/>
      <c r="L253" s="13">
        <v>0</v>
      </c>
      <c r="M253" s="13"/>
      <c r="N253" s="13"/>
      <c r="O253" s="13"/>
      <c r="P253" s="13"/>
    </row>
    <row r="254" spans="1:16">
      <c r="A254" s="10"/>
      <c r="B254" s="32"/>
      <c r="C254" s="78"/>
      <c r="D254" s="82" t="str">
        <f>IFERROR(IF(OR(ISTEXT(C254),C254=""),"",VLOOKUP(C254,param!A$4:B$15,2,FALSE)),"Param Not Recognised")</f>
        <v/>
      </c>
      <c r="E254" s="83" t="e">
        <f>IF(E243,INDEX($L254:$P254,E244+1),0)</f>
        <v>#NAME?</v>
      </c>
      <c r="F254" s="83" t="e">
        <f>IF(F243,INDEX($L254:$P254,F244+1),0)</f>
        <v>#NAME?</v>
      </c>
      <c r="G254" s="83" t="e">
        <f>IF(G243,INDEX($L254:$P254,G244+1),0)</f>
        <v>#NAME?</v>
      </c>
      <c r="H254" s="83" t="e">
        <f>IF(H243,INDEX($L254:$P254,H244+1),0)</f>
        <v>#NAME?</v>
      </c>
      <c r="I254" s="83" t="e">
        <f>IF(I243,INDEX($L254:$P254,I244+1),0)</f>
        <v>#NAME?</v>
      </c>
      <c r="J254" s="32"/>
      <c r="K254" s="32"/>
      <c r="L254" s="13">
        <v>0</v>
      </c>
      <c r="M254" s="13"/>
      <c r="N254" s="13"/>
      <c r="O254" s="13"/>
      <c r="P254" s="13"/>
    </row>
    <row r="255" spans="1:16">
      <c r="A255" s="26"/>
    </row>
    <row r="256" spans="1:16">
      <c r="A256" s="86">
        <v>20</v>
      </c>
      <c r="B256" s="38">
        <f>INDEX(SI_Name,A256+1)</f>
        <v>0</v>
      </c>
      <c r="C256" s="31" t="s">
        <v>346</v>
      </c>
      <c r="D256" s="31"/>
      <c r="E256" s="33" t="e">
        <f>VLOOKUP($A256,calcTableSIsLaunched,adj_IndexTeam+1,FALSE)</f>
        <v>#NAME?</v>
      </c>
      <c r="F256" s="33" t="e">
        <f>VLOOKUP($A256,calcTableSIsLaunched,adj_IndexTeam+1,FALSE)</f>
        <v>#NAME?</v>
      </c>
      <c r="G256" s="33" t="e">
        <f>VLOOKUP($A256,calcTableSIsLaunched,adj_IndexTeam+1,FALSE)</f>
        <v>#NAME?</v>
      </c>
      <c r="H256" s="33" t="e">
        <f>VLOOKUP($A256,calcTableSIsLaunched,adj_IndexTeam+1,FALSE)</f>
        <v>#NAME?</v>
      </c>
      <c r="I256" s="33" t="e">
        <f>VLOOKUP($A256,calcTableSIsLaunched,adj_IndexTeam+1,FALSE)</f>
        <v>#NAME?</v>
      </c>
      <c r="J256" s="15">
        <f>SUMIF(C258:C267,adj_FTECode,M258:M267)</f>
        <v>0</v>
      </c>
      <c r="K256" s="15">
        <f>SUMIF(C258:C267,adj_CostCode,M258:M267)</f>
        <v>0</v>
      </c>
      <c r="L256" s="31"/>
      <c r="M256" s="31"/>
      <c r="N256" s="31"/>
      <c r="O256" s="31"/>
      <c r="P256" s="31"/>
    </row>
    <row r="257" spans="1:16">
      <c r="A257" s="10"/>
      <c r="B257" s="32"/>
      <c r="C257" s="32" t="s">
        <v>347</v>
      </c>
      <c r="D257" s="32"/>
      <c r="E257" s="33" t="e">
        <f>VLOOKUP($A256,calcTableSIsRoundsIntoLaunch,adj_IndexTeam+1,FALSE)</f>
        <v>#NAME?</v>
      </c>
      <c r="F257" s="33" t="e">
        <f>VLOOKUP($A256,calcTableSIsRoundsIntoLaunch,adj_IndexTeam+1,FALSE)</f>
        <v>#NAME?</v>
      </c>
      <c r="G257" s="33" t="e">
        <f>VLOOKUP($A256,calcTableSIsRoundsIntoLaunch,adj_IndexTeam+1,FALSE)</f>
        <v>#NAME?</v>
      </c>
      <c r="H257" s="33" t="e">
        <f>VLOOKUP($A256,calcTableSIsRoundsIntoLaunch,adj_IndexTeam+1,FALSE)</f>
        <v>#NAME?</v>
      </c>
      <c r="I257" s="33" t="e">
        <f>VLOOKUP($A256,calcTableSIsRoundsIntoLaunch,adj_IndexTeam+1,FALSE)</f>
        <v>#NAME?</v>
      </c>
      <c r="J257" s="32"/>
      <c r="K257" s="32"/>
      <c r="L257" s="32"/>
      <c r="M257" s="32"/>
      <c r="N257" s="32"/>
      <c r="O257" s="32"/>
      <c r="P257" s="32"/>
    </row>
    <row r="258" spans="1:16">
      <c r="A258" s="10"/>
      <c r="B258" s="32"/>
      <c r="C258" s="78">
        <v>1002</v>
      </c>
      <c r="D258" s="82" t="str">
        <f>IFERROR(IF(OR(ISTEXT(C258),C258=""),"",VLOOKUP(C258,param!A$4:B$15,2,FALSE)),"Param Not Recognised")</f>
        <v>FTEs</v>
      </c>
      <c r="E258" s="83" t="e">
        <f>IF(E256,INDEX($L258:$P258,E257+1),0)</f>
        <v>#NAME?</v>
      </c>
      <c r="F258" s="83" t="e">
        <f>IF(F256,INDEX($L258:$P258,F257+1),0)</f>
        <v>#NAME?</v>
      </c>
      <c r="G258" s="83" t="e">
        <f>IF(G256,INDEX($L258:$P258,G257+1),0)</f>
        <v>#NAME?</v>
      </c>
      <c r="H258" s="83" t="e">
        <f>IF(H256,INDEX($L258:$P258,H257+1),0)</f>
        <v>#NAME?</v>
      </c>
      <c r="I258" s="83" t="e">
        <f>IF(I256,INDEX($L258:$P258,I257+1),0)</f>
        <v>#NAME?</v>
      </c>
      <c r="J258" s="32"/>
      <c r="K258" s="32"/>
      <c r="L258" s="13">
        <v>0</v>
      </c>
      <c r="M258" s="13"/>
      <c r="N258" s="13"/>
      <c r="O258" s="13"/>
      <c r="P258" s="13"/>
    </row>
    <row r="259" spans="1:16">
      <c r="A259" s="10"/>
      <c r="B259" s="32"/>
      <c r="C259" s="78"/>
      <c r="D259" s="82" t="str">
        <f>IFERROR(IF(OR(ISTEXT(C259),C259=""),"",VLOOKUP(C259,param!A$4:B$15,2,FALSE)),"Param Not Recognised")</f>
        <v/>
      </c>
      <c r="E259" s="83" t="e">
        <f>IF(E256,INDEX($L259:$P259,E257+1),0)</f>
        <v>#NAME?</v>
      </c>
      <c r="F259" s="83" t="e">
        <f>IF(F256,INDEX($L259:$P259,F257+1),0)</f>
        <v>#NAME?</v>
      </c>
      <c r="G259" s="83" t="e">
        <f>IF(G256,INDEX($L259:$P259,G257+1),0)</f>
        <v>#NAME?</v>
      </c>
      <c r="H259" s="83" t="e">
        <f>IF(H256,INDEX($L259:$P259,H257+1),0)</f>
        <v>#NAME?</v>
      </c>
      <c r="I259" s="83" t="e">
        <f>IF(I256,INDEX($L259:$P259,I257+1),0)</f>
        <v>#NAME?</v>
      </c>
      <c r="J259" s="32"/>
      <c r="K259" s="32"/>
      <c r="L259" s="13">
        <v>0</v>
      </c>
      <c r="M259" s="13"/>
      <c r="N259" s="13"/>
      <c r="O259" s="13"/>
      <c r="P259" s="13"/>
    </row>
    <row r="260" spans="1:16">
      <c r="A260" s="10"/>
      <c r="B260" s="32"/>
      <c r="C260" s="78"/>
      <c r="D260" s="82" t="str">
        <f>IFERROR(IF(OR(ISTEXT(C260),C260=""),"",VLOOKUP(C260,param!A$4:B$15,2,FALSE)),"Param Not Recognised")</f>
        <v/>
      </c>
      <c r="E260" s="83" t="e">
        <f>IF(E256,INDEX($L260:$P260,E257+1),0)</f>
        <v>#NAME?</v>
      </c>
      <c r="F260" s="83" t="e">
        <f>IF(F256,INDEX($L260:$P260,F257+1),0)</f>
        <v>#NAME?</v>
      </c>
      <c r="G260" s="83" t="e">
        <f>IF(G256,INDEX($L260:$P260,G257+1),0)</f>
        <v>#NAME?</v>
      </c>
      <c r="H260" s="83" t="e">
        <f>IF(H256,INDEX($L260:$P260,H257+1),0)</f>
        <v>#NAME?</v>
      </c>
      <c r="I260" s="83" t="e">
        <f>IF(I256,INDEX($L260:$P260,I257+1),0)</f>
        <v>#NAME?</v>
      </c>
      <c r="J260" s="32"/>
      <c r="K260" s="32"/>
      <c r="L260" s="13">
        <v>0</v>
      </c>
      <c r="M260" s="13"/>
      <c r="N260" s="13"/>
      <c r="O260" s="13"/>
      <c r="P260" s="13"/>
    </row>
    <row r="261" spans="1:16">
      <c r="A261" s="10"/>
      <c r="B261" s="32"/>
      <c r="C261" s="78"/>
      <c r="D261" s="82" t="str">
        <f>IFERROR(IF(OR(ISTEXT(C261),C261=""),"",VLOOKUP(C261,param!A$4:B$15,2,FALSE)),"Param Not Recognised")</f>
        <v/>
      </c>
      <c r="E261" s="83" t="e">
        <f>IF(E256,INDEX($L261:$P261,E257+1),0)</f>
        <v>#NAME?</v>
      </c>
      <c r="F261" s="83" t="e">
        <f>IF(F256,INDEX($L261:$P261,F257+1),0)</f>
        <v>#NAME?</v>
      </c>
      <c r="G261" s="83" t="e">
        <f>IF(G256,INDEX($L261:$P261,G257+1),0)</f>
        <v>#NAME?</v>
      </c>
      <c r="H261" s="83" t="e">
        <f>IF(H256,INDEX($L261:$P261,H257+1),0)</f>
        <v>#NAME?</v>
      </c>
      <c r="I261" s="83" t="e">
        <f>IF(I256,INDEX($L261:$P261,I257+1),0)</f>
        <v>#NAME?</v>
      </c>
      <c r="J261" s="32"/>
      <c r="K261" s="32"/>
      <c r="L261" s="13">
        <v>0</v>
      </c>
      <c r="M261" s="13"/>
      <c r="N261" s="13"/>
      <c r="O261" s="13"/>
      <c r="P261" s="13"/>
    </row>
    <row r="262" spans="1:16">
      <c r="A262" s="10"/>
      <c r="B262" s="32"/>
      <c r="C262" s="78"/>
      <c r="D262" s="82" t="str">
        <f>IFERROR(IF(OR(ISTEXT(C262),C262=""),"",VLOOKUP(C262,param!A$4:B$15,2,FALSE)),"Param Not Recognised")</f>
        <v/>
      </c>
      <c r="E262" s="83" t="e">
        <f>IF(E256,INDEX($L262:$P262,E257+1),0)</f>
        <v>#NAME?</v>
      </c>
      <c r="F262" s="83" t="e">
        <f>IF(F256,INDEX($L262:$P262,F257+1),0)</f>
        <v>#NAME?</v>
      </c>
      <c r="G262" s="83" t="e">
        <f>IF(G256,INDEX($L262:$P262,G257+1),0)</f>
        <v>#NAME?</v>
      </c>
      <c r="H262" s="83" t="e">
        <f>IF(H256,INDEX($L262:$P262,H257+1),0)</f>
        <v>#NAME?</v>
      </c>
      <c r="I262" s="83" t="e">
        <f>IF(I256,INDEX($L262:$P262,I257+1),0)</f>
        <v>#NAME?</v>
      </c>
      <c r="J262" s="32"/>
      <c r="K262" s="32"/>
      <c r="L262" s="13">
        <v>0</v>
      </c>
      <c r="M262" s="13"/>
      <c r="N262" s="13"/>
      <c r="O262" s="13"/>
      <c r="P262" s="13"/>
    </row>
    <row r="263" spans="1:16">
      <c r="A263" s="10"/>
      <c r="B263" s="32"/>
      <c r="C263" s="78"/>
      <c r="D263" s="82" t="str">
        <f>IFERROR(IF(OR(ISTEXT(C263),C263=""),"",VLOOKUP(C263,param!A$4:B$15,2,FALSE)),"Param Not Recognised")</f>
        <v/>
      </c>
      <c r="E263" s="83" t="e">
        <f>IF(E256,INDEX($L263:$P263,E257+1),0)</f>
        <v>#NAME?</v>
      </c>
      <c r="F263" s="83" t="e">
        <f>IF(F256,INDEX($L263:$P263,F257+1),0)</f>
        <v>#NAME?</v>
      </c>
      <c r="G263" s="83" t="e">
        <f>IF(G256,INDEX($L263:$P263,G257+1),0)</f>
        <v>#NAME?</v>
      </c>
      <c r="H263" s="83" t="e">
        <f>IF(H256,INDEX($L263:$P263,H257+1),0)</f>
        <v>#NAME?</v>
      </c>
      <c r="I263" s="83" t="e">
        <f>IF(I256,INDEX($L263:$P263,I257+1),0)</f>
        <v>#NAME?</v>
      </c>
      <c r="J263" s="32"/>
      <c r="K263" s="32"/>
      <c r="L263" s="13">
        <v>0</v>
      </c>
      <c r="M263" s="13"/>
      <c r="N263" s="13"/>
      <c r="O263" s="13"/>
      <c r="P263" s="13"/>
    </row>
    <row r="264" spans="1:16">
      <c r="A264" s="10"/>
      <c r="B264" s="32"/>
      <c r="C264" s="78"/>
      <c r="D264" s="82" t="str">
        <f>IFERROR(IF(OR(ISTEXT(C264),C264=""),"",VLOOKUP(C264,param!A$4:B$15,2,FALSE)),"Param Not Recognised")</f>
        <v/>
      </c>
      <c r="E264" s="83" t="e">
        <f>IF(E256,INDEX($L264:$P264,E257+1),0)</f>
        <v>#NAME?</v>
      </c>
      <c r="F264" s="83" t="e">
        <f>IF(F256,INDEX($L264:$P264,F257+1),0)</f>
        <v>#NAME?</v>
      </c>
      <c r="G264" s="83" t="e">
        <f>IF(G256,INDEX($L264:$P264,G257+1),0)</f>
        <v>#NAME?</v>
      </c>
      <c r="H264" s="83" t="e">
        <f>IF(H256,INDEX($L264:$P264,H257+1),0)</f>
        <v>#NAME?</v>
      </c>
      <c r="I264" s="83" t="e">
        <f>IF(I256,INDEX($L264:$P264,I257+1),0)</f>
        <v>#NAME?</v>
      </c>
      <c r="J264" s="32"/>
      <c r="K264" s="32"/>
      <c r="L264" s="13">
        <v>0</v>
      </c>
      <c r="M264" s="13"/>
      <c r="N264" s="13"/>
      <c r="O264" s="13"/>
      <c r="P264" s="13"/>
    </row>
    <row r="265" spans="1:16">
      <c r="A265" s="10"/>
      <c r="B265" s="32"/>
      <c r="C265" s="78"/>
      <c r="D265" s="82" t="str">
        <f>IFERROR(IF(OR(ISTEXT(C265),C265=""),"",VLOOKUP(C265,param!A$4:B$15,2,FALSE)),"Param Not Recognised")</f>
        <v/>
      </c>
      <c r="E265" s="83" t="e">
        <f>IF(E256,INDEX($L265:$P265,E257+1),0)</f>
        <v>#NAME?</v>
      </c>
      <c r="F265" s="83" t="e">
        <f>IF(F256,INDEX($L265:$P265,F257+1),0)</f>
        <v>#NAME?</v>
      </c>
      <c r="G265" s="83" t="e">
        <f>IF(G256,INDEX($L265:$P265,G257+1),0)</f>
        <v>#NAME?</v>
      </c>
      <c r="H265" s="83" t="e">
        <f>IF(H256,INDEX($L265:$P265,H257+1),0)</f>
        <v>#NAME?</v>
      </c>
      <c r="I265" s="83" t="e">
        <f>IF(I256,INDEX($L265:$P265,I257+1),0)</f>
        <v>#NAME?</v>
      </c>
      <c r="J265" s="32"/>
      <c r="K265" s="32"/>
      <c r="L265" s="13">
        <v>0</v>
      </c>
      <c r="M265" s="13"/>
      <c r="N265" s="13"/>
      <c r="O265" s="13"/>
      <c r="P265" s="13"/>
    </row>
    <row r="266" spans="1:16">
      <c r="A266" s="10"/>
      <c r="B266" s="32"/>
      <c r="C266" s="78"/>
      <c r="D266" s="82" t="str">
        <f>IFERROR(IF(OR(ISTEXT(C266),C266=""),"",VLOOKUP(C266,param!A$4:B$15,2,FALSE)),"Param Not Recognised")</f>
        <v/>
      </c>
      <c r="E266" s="83" t="e">
        <f>IF(E256,INDEX($L266:$P266,E257+1),0)</f>
        <v>#NAME?</v>
      </c>
      <c r="F266" s="83" t="e">
        <f>IF(F256,INDEX($L266:$P266,F257+1),0)</f>
        <v>#NAME?</v>
      </c>
      <c r="G266" s="83" t="e">
        <f>IF(G256,INDEX($L266:$P266,G257+1),0)</f>
        <v>#NAME?</v>
      </c>
      <c r="H266" s="83" t="e">
        <f>IF(H256,INDEX($L266:$P266,H257+1),0)</f>
        <v>#NAME?</v>
      </c>
      <c r="I266" s="83" t="e">
        <f>IF(I256,INDEX($L266:$P266,I257+1),0)</f>
        <v>#NAME?</v>
      </c>
      <c r="J266" s="32"/>
      <c r="K266" s="32"/>
      <c r="L266" s="13">
        <v>0</v>
      </c>
      <c r="M266" s="13"/>
      <c r="N266" s="13"/>
      <c r="O266" s="13"/>
      <c r="P266" s="13"/>
    </row>
    <row r="267" spans="1:16">
      <c r="A267" s="10"/>
      <c r="B267" s="32"/>
      <c r="C267" s="78"/>
      <c r="D267" s="82" t="str">
        <f>IFERROR(IF(OR(ISTEXT(C267),C267=""),"",VLOOKUP(C267,param!A$4:B$15,2,FALSE)),"Param Not Recognised")</f>
        <v/>
      </c>
      <c r="E267" s="83" t="e">
        <f>IF(E256,INDEX($L267:$P267,E257+1),0)</f>
        <v>#NAME?</v>
      </c>
      <c r="F267" s="83" t="e">
        <f>IF(F256,INDEX($L267:$P267,F257+1),0)</f>
        <v>#NAME?</v>
      </c>
      <c r="G267" s="83" t="e">
        <f>IF(G256,INDEX($L267:$P267,G257+1),0)</f>
        <v>#NAME?</v>
      </c>
      <c r="H267" s="83" t="e">
        <f>IF(H256,INDEX($L267:$P267,H257+1),0)</f>
        <v>#NAME?</v>
      </c>
      <c r="I267" s="83" t="e">
        <f>IF(I256,INDEX($L267:$P267,I257+1),0)</f>
        <v>#NAME?</v>
      </c>
      <c r="J267" s="32"/>
      <c r="K267" s="32"/>
      <c r="L267" s="13">
        <v>0</v>
      </c>
      <c r="M267" s="13"/>
      <c r="N267" s="13"/>
      <c r="O267" s="13"/>
      <c r="P267" s="13"/>
    </row>
    <row r="268" spans="1:16">
      <c r="A268" s="26"/>
    </row>
    <row r="269" spans="1:16">
      <c r="A269" s="86">
        <v>21</v>
      </c>
      <c r="B269" s="38">
        <f>INDEX(SI_Name,A269+1)</f>
        <v>0</v>
      </c>
      <c r="C269" s="31" t="s">
        <v>346</v>
      </c>
      <c r="D269" s="31"/>
      <c r="E269" s="33" t="e">
        <f>VLOOKUP($A269,calcTableSIsLaunched,adj_IndexTeam+1,FALSE)</f>
        <v>#NAME?</v>
      </c>
      <c r="F269" s="33" t="e">
        <f>VLOOKUP($A269,calcTableSIsLaunched,adj_IndexTeam+1,FALSE)</f>
        <v>#NAME?</v>
      </c>
      <c r="G269" s="33" t="e">
        <f>VLOOKUP($A269,calcTableSIsLaunched,adj_IndexTeam+1,FALSE)</f>
        <v>#NAME?</v>
      </c>
      <c r="H269" s="33" t="e">
        <f>VLOOKUP($A269,calcTableSIsLaunched,adj_IndexTeam+1,FALSE)</f>
        <v>#NAME?</v>
      </c>
      <c r="I269" s="33" t="e">
        <f>VLOOKUP($A269,calcTableSIsLaunched,adj_IndexTeam+1,FALSE)</f>
        <v>#NAME?</v>
      </c>
      <c r="J269" s="15">
        <f>SUMIF(C271:C280,adj_FTECode,M271:M280)</f>
        <v>0</v>
      </c>
      <c r="K269" s="15">
        <f>SUMIF(C271:C280,adj_CostCode,M271:M280)</f>
        <v>0</v>
      </c>
      <c r="L269" s="31"/>
      <c r="M269" s="31"/>
      <c r="N269" s="31"/>
      <c r="O269" s="31"/>
      <c r="P269" s="31"/>
    </row>
    <row r="270" spans="1:16">
      <c r="A270" s="10"/>
      <c r="B270" s="32"/>
      <c r="C270" s="32" t="s">
        <v>347</v>
      </c>
      <c r="D270" s="32"/>
      <c r="E270" s="33" t="e">
        <f>VLOOKUP($A269,calcTableSIsRoundsIntoLaunch,adj_IndexTeam+1,FALSE)</f>
        <v>#NAME?</v>
      </c>
      <c r="F270" s="33" t="e">
        <f>VLOOKUP($A269,calcTableSIsRoundsIntoLaunch,adj_IndexTeam+1,FALSE)</f>
        <v>#NAME?</v>
      </c>
      <c r="G270" s="33" t="e">
        <f>VLOOKUP($A269,calcTableSIsRoundsIntoLaunch,adj_IndexTeam+1,FALSE)</f>
        <v>#NAME?</v>
      </c>
      <c r="H270" s="33" t="e">
        <f>VLOOKUP($A269,calcTableSIsRoundsIntoLaunch,adj_IndexTeam+1,FALSE)</f>
        <v>#NAME?</v>
      </c>
      <c r="I270" s="33" t="e">
        <f>VLOOKUP($A269,calcTableSIsRoundsIntoLaunch,adj_IndexTeam+1,FALSE)</f>
        <v>#NAME?</v>
      </c>
      <c r="J270" s="32"/>
      <c r="K270" s="32"/>
      <c r="L270" s="32"/>
      <c r="M270" s="32"/>
      <c r="N270" s="32"/>
      <c r="O270" s="32"/>
      <c r="P270" s="32"/>
    </row>
    <row r="271" spans="1:16">
      <c r="A271" s="10"/>
      <c r="B271" s="32"/>
      <c r="C271" s="78">
        <v>1002</v>
      </c>
      <c r="D271" s="82" t="str">
        <f>IFERROR(IF(OR(ISTEXT(C271),C271=""),"",VLOOKUP(C271,param!A$4:B$15,2,FALSE)),"Param Not Recognised")</f>
        <v>FTEs</v>
      </c>
      <c r="E271" s="83" t="e">
        <f>IF(E269,INDEX($L271:$P271,E270+1),0)</f>
        <v>#NAME?</v>
      </c>
      <c r="F271" s="83" t="e">
        <f>IF(F269,INDEX($L271:$P271,F270+1),0)</f>
        <v>#NAME?</v>
      </c>
      <c r="G271" s="83" t="e">
        <f>IF(G269,INDEX($L271:$P271,G270+1),0)</f>
        <v>#NAME?</v>
      </c>
      <c r="H271" s="83" t="e">
        <f>IF(H269,INDEX($L271:$P271,H270+1),0)</f>
        <v>#NAME?</v>
      </c>
      <c r="I271" s="83" t="e">
        <f>IF(I269,INDEX($L271:$P271,I270+1),0)</f>
        <v>#NAME?</v>
      </c>
      <c r="J271" s="32"/>
      <c r="K271" s="32"/>
      <c r="L271" s="13">
        <v>0</v>
      </c>
      <c r="M271" s="13"/>
      <c r="N271" s="13"/>
      <c r="O271" s="13"/>
      <c r="P271" s="13"/>
    </row>
    <row r="272" spans="1:16">
      <c r="A272" s="10"/>
      <c r="B272" s="32"/>
      <c r="C272" s="78"/>
      <c r="D272" s="82" t="str">
        <f>IFERROR(IF(OR(ISTEXT(C272),C272=""),"",VLOOKUP(C272,param!A$4:B$15,2,FALSE)),"Param Not Recognised")</f>
        <v/>
      </c>
      <c r="E272" s="83" t="e">
        <f>IF(E269,INDEX($L272:$P272,E270+1),0)</f>
        <v>#NAME?</v>
      </c>
      <c r="F272" s="83" t="e">
        <f>IF(F269,INDEX($L272:$P272,F270+1),0)</f>
        <v>#NAME?</v>
      </c>
      <c r="G272" s="83" t="e">
        <f>IF(G269,INDEX($L272:$P272,G270+1),0)</f>
        <v>#NAME?</v>
      </c>
      <c r="H272" s="83" t="e">
        <f>IF(H269,INDEX($L272:$P272,H270+1),0)</f>
        <v>#NAME?</v>
      </c>
      <c r="I272" s="83" t="e">
        <f>IF(I269,INDEX($L272:$P272,I270+1),0)</f>
        <v>#NAME?</v>
      </c>
      <c r="J272" s="32"/>
      <c r="K272" s="32"/>
      <c r="L272" s="13">
        <v>0</v>
      </c>
      <c r="M272" s="13"/>
      <c r="N272" s="13"/>
      <c r="O272" s="13"/>
      <c r="P272" s="13"/>
    </row>
    <row r="273" spans="1:16">
      <c r="A273" s="10"/>
      <c r="B273" s="32"/>
      <c r="C273" s="78"/>
      <c r="D273" s="82" t="str">
        <f>IFERROR(IF(OR(ISTEXT(C273),C273=""),"",VLOOKUP(C273,param!A$4:B$15,2,FALSE)),"Param Not Recognised")</f>
        <v/>
      </c>
      <c r="E273" s="83" t="e">
        <f>IF(E269,INDEX($L273:$P273,E270+1),0)</f>
        <v>#NAME?</v>
      </c>
      <c r="F273" s="83" t="e">
        <f>IF(F269,INDEX($L273:$P273,F270+1),0)</f>
        <v>#NAME?</v>
      </c>
      <c r="G273" s="83" t="e">
        <f>IF(G269,INDEX($L273:$P273,G270+1),0)</f>
        <v>#NAME?</v>
      </c>
      <c r="H273" s="83" t="e">
        <f>IF(H269,INDEX($L273:$P273,H270+1),0)</f>
        <v>#NAME?</v>
      </c>
      <c r="I273" s="83" t="e">
        <f>IF(I269,INDEX($L273:$P273,I270+1),0)</f>
        <v>#NAME?</v>
      </c>
      <c r="J273" s="32"/>
      <c r="K273" s="32"/>
      <c r="L273" s="13">
        <v>0</v>
      </c>
      <c r="M273" s="13"/>
      <c r="N273" s="13"/>
      <c r="O273" s="13"/>
      <c r="P273" s="13"/>
    </row>
    <row r="274" spans="1:16">
      <c r="A274" s="10"/>
      <c r="B274" s="32"/>
      <c r="C274" s="78"/>
      <c r="D274" s="82" t="str">
        <f>IFERROR(IF(OR(ISTEXT(C274),C274=""),"",VLOOKUP(C274,param!A$4:B$15,2,FALSE)),"Param Not Recognised")</f>
        <v/>
      </c>
      <c r="E274" s="83" t="e">
        <f>IF(E269,INDEX($L274:$P274,E270+1),0)</f>
        <v>#NAME?</v>
      </c>
      <c r="F274" s="83" t="e">
        <f>IF(F269,INDEX($L274:$P274,F270+1),0)</f>
        <v>#NAME?</v>
      </c>
      <c r="G274" s="83" t="e">
        <f>IF(G269,INDEX($L274:$P274,G270+1),0)</f>
        <v>#NAME?</v>
      </c>
      <c r="H274" s="83" t="e">
        <f>IF(H269,INDEX($L274:$P274,H270+1),0)</f>
        <v>#NAME?</v>
      </c>
      <c r="I274" s="83" t="e">
        <f>IF(I269,INDEX($L274:$P274,I270+1),0)</f>
        <v>#NAME?</v>
      </c>
      <c r="J274" s="32"/>
      <c r="K274" s="32"/>
      <c r="L274" s="13">
        <v>0</v>
      </c>
      <c r="M274" s="13"/>
      <c r="N274" s="13"/>
      <c r="O274" s="13"/>
      <c r="P274" s="13"/>
    </row>
    <row r="275" spans="1:16">
      <c r="A275" s="10"/>
      <c r="B275" s="32"/>
      <c r="C275" s="78"/>
      <c r="D275" s="82" t="str">
        <f>IFERROR(IF(OR(ISTEXT(C275),C275=""),"",VLOOKUP(C275,param!A$4:B$15,2,FALSE)),"Param Not Recognised")</f>
        <v/>
      </c>
      <c r="E275" s="83" t="e">
        <f>IF(E269,INDEX($L275:$P275,E270+1),0)</f>
        <v>#NAME?</v>
      </c>
      <c r="F275" s="83" t="e">
        <f>IF(F269,INDEX($L275:$P275,F270+1),0)</f>
        <v>#NAME?</v>
      </c>
      <c r="G275" s="83" t="e">
        <f>IF(G269,INDEX($L275:$P275,G270+1),0)</f>
        <v>#NAME?</v>
      </c>
      <c r="H275" s="83" t="e">
        <f>IF(H269,INDEX($L275:$P275,H270+1),0)</f>
        <v>#NAME?</v>
      </c>
      <c r="I275" s="83" t="e">
        <f>IF(I269,INDEX($L275:$P275,I270+1),0)</f>
        <v>#NAME?</v>
      </c>
      <c r="J275" s="32"/>
      <c r="K275" s="32"/>
      <c r="L275" s="13">
        <v>0</v>
      </c>
      <c r="M275" s="13"/>
      <c r="N275" s="13"/>
      <c r="O275" s="13"/>
      <c r="P275" s="13"/>
    </row>
    <row r="276" spans="1:16">
      <c r="A276" s="10"/>
      <c r="B276" s="32"/>
      <c r="C276" s="78"/>
      <c r="D276" s="82" t="str">
        <f>IFERROR(IF(OR(ISTEXT(C276),C276=""),"",VLOOKUP(C276,param!A$4:B$15,2,FALSE)),"Param Not Recognised")</f>
        <v/>
      </c>
      <c r="E276" s="83" t="e">
        <f>IF(E269,INDEX($L276:$P276,E270+1),0)</f>
        <v>#NAME?</v>
      </c>
      <c r="F276" s="83" t="e">
        <f>IF(F269,INDEX($L276:$P276,F270+1),0)</f>
        <v>#NAME?</v>
      </c>
      <c r="G276" s="83" t="e">
        <f>IF(G269,INDEX($L276:$P276,G270+1),0)</f>
        <v>#NAME?</v>
      </c>
      <c r="H276" s="83" t="e">
        <f>IF(H269,INDEX($L276:$P276,H270+1),0)</f>
        <v>#NAME?</v>
      </c>
      <c r="I276" s="83" t="e">
        <f>IF(I269,INDEX($L276:$P276,I270+1),0)</f>
        <v>#NAME?</v>
      </c>
      <c r="J276" s="32"/>
      <c r="K276" s="32"/>
      <c r="L276" s="13">
        <v>0</v>
      </c>
      <c r="M276" s="13"/>
      <c r="N276" s="13"/>
      <c r="O276" s="13"/>
      <c r="P276" s="13"/>
    </row>
    <row r="277" spans="1:16">
      <c r="A277" s="10"/>
      <c r="B277" s="32"/>
      <c r="C277" s="78"/>
      <c r="D277" s="82" t="str">
        <f>IFERROR(IF(OR(ISTEXT(C277),C277=""),"",VLOOKUP(C277,param!A$4:B$15,2,FALSE)),"Param Not Recognised")</f>
        <v/>
      </c>
      <c r="E277" s="83" t="e">
        <f>IF(E269,INDEX($L277:$P277,E270+1),0)</f>
        <v>#NAME?</v>
      </c>
      <c r="F277" s="83" t="e">
        <f>IF(F269,INDEX($L277:$P277,F270+1),0)</f>
        <v>#NAME?</v>
      </c>
      <c r="G277" s="83" t="e">
        <f>IF(G269,INDEX($L277:$P277,G270+1),0)</f>
        <v>#NAME?</v>
      </c>
      <c r="H277" s="83" t="e">
        <f>IF(H269,INDEX($L277:$P277,H270+1),0)</f>
        <v>#NAME?</v>
      </c>
      <c r="I277" s="83" t="e">
        <f>IF(I269,INDEX($L277:$P277,I270+1),0)</f>
        <v>#NAME?</v>
      </c>
      <c r="J277" s="32"/>
      <c r="K277" s="32"/>
      <c r="L277" s="13">
        <v>0</v>
      </c>
      <c r="M277" s="13"/>
      <c r="N277" s="13"/>
      <c r="O277" s="13"/>
      <c r="P277" s="13"/>
    </row>
    <row r="278" spans="1:16">
      <c r="A278" s="10"/>
      <c r="B278" s="32"/>
      <c r="C278" s="78"/>
      <c r="D278" s="82" t="str">
        <f>IFERROR(IF(OR(ISTEXT(C278),C278=""),"",VLOOKUP(C278,param!A$4:B$15,2,FALSE)),"Param Not Recognised")</f>
        <v/>
      </c>
      <c r="E278" s="83" t="e">
        <f>IF(E269,INDEX($L278:$P278,E270+1),0)</f>
        <v>#NAME?</v>
      </c>
      <c r="F278" s="83" t="e">
        <f>IF(F269,INDEX($L278:$P278,F270+1),0)</f>
        <v>#NAME?</v>
      </c>
      <c r="G278" s="83" t="e">
        <f>IF(G269,INDEX($L278:$P278,G270+1),0)</f>
        <v>#NAME?</v>
      </c>
      <c r="H278" s="83" t="e">
        <f>IF(H269,INDEX($L278:$P278,H270+1),0)</f>
        <v>#NAME?</v>
      </c>
      <c r="I278" s="83" t="e">
        <f>IF(I269,INDEX($L278:$P278,I270+1),0)</f>
        <v>#NAME?</v>
      </c>
      <c r="J278" s="32"/>
      <c r="K278" s="32"/>
      <c r="L278" s="13">
        <v>0</v>
      </c>
      <c r="M278" s="13"/>
      <c r="N278" s="13"/>
      <c r="O278" s="13"/>
      <c r="P278" s="13"/>
    </row>
    <row r="279" spans="1:16">
      <c r="A279" s="10"/>
      <c r="B279" s="32"/>
      <c r="C279" s="78"/>
      <c r="D279" s="82" t="str">
        <f>IFERROR(IF(OR(ISTEXT(C279),C279=""),"",VLOOKUP(C279,param!A$4:B$15,2,FALSE)),"Param Not Recognised")</f>
        <v/>
      </c>
      <c r="E279" s="83" t="e">
        <f>IF(E269,INDEX($L279:$P279,E270+1),0)</f>
        <v>#NAME?</v>
      </c>
      <c r="F279" s="83" t="e">
        <f>IF(F269,INDEX($L279:$P279,F270+1),0)</f>
        <v>#NAME?</v>
      </c>
      <c r="G279" s="83" t="e">
        <f>IF(G269,INDEX($L279:$P279,G270+1),0)</f>
        <v>#NAME?</v>
      </c>
      <c r="H279" s="83" t="e">
        <f>IF(H269,INDEX($L279:$P279,H270+1),0)</f>
        <v>#NAME?</v>
      </c>
      <c r="I279" s="83" t="e">
        <f>IF(I269,INDEX($L279:$P279,I270+1),0)</f>
        <v>#NAME?</v>
      </c>
      <c r="J279" s="32"/>
      <c r="K279" s="32"/>
      <c r="L279" s="13">
        <v>0</v>
      </c>
      <c r="M279" s="13"/>
      <c r="N279" s="13"/>
      <c r="O279" s="13"/>
      <c r="P279" s="13"/>
    </row>
    <row r="280" spans="1:16">
      <c r="A280" s="10"/>
      <c r="B280" s="32"/>
      <c r="C280" s="78"/>
      <c r="D280" s="82" t="str">
        <f>IFERROR(IF(OR(ISTEXT(C280),C280=""),"",VLOOKUP(C280,param!A$4:B$15,2,FALSE)),"Param Not Recognised")</f>
        <v/>
      </c>
      <c r="E280" s="83" t="e">
        <f>IF(E269,INDEX($L280:$P280,E270+1),0)</f>
        <v>#NAME?</v>
      </c>
      <c r="F280" s="83" t="e">
        <f>IF(F269,INDEX($L280:$P280,F270+1),0)</f>
        <v>#NAME?</v>
      </c>
      <c r="G280" s="83" t="e">
        <f>IF(G269,INDEX($L280:$P280,G270+1),0)</f>
        <v>#NAME?</v>
      </c>
      <c r="H280" s="83" t="e">
        <f>IF(H269,INDEX($L280:$P280,H270+1),0)</f>
        <v>#NAME?</v>
      </c>
      <c r="I280" s="83" t="e">
        <f>IF(I269,INDEX($L280:$P280,I270+1),0)</f>
        <v>#NAME?</v>
      </c>
      <c r="J280" s="32"/>
      <c r="K280" s="32"/>
      <c r="L280" s="13">
        <v>0</v>
      </c>
      <c r="M280" s="13"/>
      <c r="N280" s="13"/>
      <c r="O280" s="13"/>
      <c r="P280" s="13"/>
    </row>
    <row r="281" spans="1:16">
      <c r="A281" s="26"/>
    </row>
    <row r="282" spans="1:16">
      <c r="A282" s="86">
        <v>22</v>
      </c>
      <c r="B282" s="38">
        <f>INDEX(SI_Name,A282+1)</f>
        <v>0</v>
      </c>
      <c r="C282" s="31" t="s">
        <v>346</v>
      </c>
      <c r="D282" s="31"/>
      <c r="E282" s="33" t="e">
        <f>VLOOKUP($A282,calcTableSIsLaunched,adj_IndexTeam+1,FALSE)</f>
        <v>#NAME?</v>
      </c>
      <c r="F282" s="33" t="e">
        <f>VLOOKUP($A282,calcTableSIsLaunched,adj_IndexTeam+1,FALSE)</f>
        <v>#NAME?</v>
      </c>
      <c r="G282" s="33" t="e">
        <f>VLOOKUP($A282,calcTableSIsLaunched,adj_IndexTeam+1,FALSE)</f>
        <v>#NAME?</v>
      </c>
      <c r="H282" s="33" t="e">
        <f>VLOOKUP($A282,calcTableSIsLaunched,adj_IndexTeam+1,FALSE)</f>
        <v>#NAME?</v>
      </c>
      <c r="I282" s="33" t="e">
        <f>VLOOKUP($A282,calcTableSIsLaunched,adj_IndexTeam+1,FALSE)</f>
        <v>#NAME?</v>
      </c>
      <c r="J282" s="15">
        <f>SUMIF(C284:C293,adj_FTECode,M284:M293)</f>
        <v>0</v>
      </c>
      <c r="K282" s="15">
        <f>SUMIF(C284:C293,adj_CostCode,M284:M293)</f>
        <v>0</v>
      </c>
      <c r="L282" s="31"/>
      <c r="M282" s="31"/>
      <c r="N282" s="31"/>
      <c r="O282" s="31"/>
      <c r="P282" s="31"/>
    </row>
    <row r="283" spans="1:16">
      <c r="A283" s="10"/>
      <c r="B283" s="32"/>
      <c r="C283" s="32" t="s">
        <v>347</v>
      </c>
      <c r="D283" s="32"/>
      <c r="E283" s="33" t="e">
        <f>VLOOKUP($A282,calcTableSIsRoundsIntoLaunch,adj_IndexTeam+1,FALSE)</f>
        <v>#NAME?</v>
      </c>
      <c r="F283" s="33" t="e">
        <f>VLOOKUP($A282,calcTableSIsRoundsIntoLaunch,adj_IndexTeam+1,FALSE)</f>
        <v>#NAME?</v>
      </c>
      <c r="G283" s="33" t="e">
        <f>VLOOKUP($A282,calcTableSIsRoundsIntoLaunch,adj_IndexTeam+1,FALSE)</f>
        <v>#NAME?</v>
      </c>
      <c r="H283" s="33" t="e">
        <f>VLOOKUP($A282,calcTableSIsRoundsIntoLaunch,adj_IndexTeam+1,FALSE)</f>
        <v>#NAME?</v>
      </c>
      <c r="I283" s="33" t="e">
        <f>VLOOKUP($A282,calcTableSIsRoundsIntoLaunch,adj_IndexTeam+1,FALSE)</f>
        <v>#NAME?</v>
      </c>
      <c r="J283" s="32"/>
      <c r="K283" s="32"/>
      <c r="L283" s="32"/>
      <c r="M283" s="32"/>
      <c r="N283" s="32"/>
      <c r="O283" s="32"/>
      <c r="P283" s="32"/>
    </row>
    <row r="284" spans="1:16">
      <c r="A284" s="10"/>
      <c r="B284" s="32"/>
      <c r="C284" s="78">
        <v>1002</v>
      </c>
      <c r="D284" s="82" t="str">
        <f>IFERROR(IF(OR(ISTEXT(C284),C284=""),"",VLOOKUP(C284,param!A$4:B$15,2,FALSE)),"Param Not Recognised")</f>
        <v>FTEs</v>
      </c>
      <c r="E284" s="83" t="e">
        <f>IF(E282,INDEX($L284:$P284,E283+1),0)</f>
        <v>#NAME?</v>
      </c>
      <c r="F284" s="83" t="e">
        <f>IF(F282,INDEX($L284:$P284,F283+1),0)</f>
        <v>#NAME?</v>
      </c>
      <c r="G284" s="83" t="e">
        <f>IF(G282,INDEX($L284:$P284,G283+1),0)</f>
        <v>#NAME?</v>
      </c>
      <c r="H284" s="83" t="e">
        <f>IF(H282,INDEX($L284:$P284,H283+1),0)</f>
        <v>#NAME?</v>
      </c>
      <c r="I284" s="83" t="e">
        <f>IF(I282,INDEX($L284:$P284,I283+1),0)</f>
        <v>#NAME?</v>
      </c>
      <c r="J284" s="32"/>
      <c r="K284" s="32"/>
      <c r="L284" s="13">
        <v>0</v>
      </c>
      <c r="M284" s="13"/>
      <c r="N284" s="13"/>
      <c r="O284" s="13"/>
      <c r="P284" s="13"/>
    </row>
    <row r="285" spans="1:16">
      <c r="A285" s="10"/>
      <c r="B285" s="32"/>
      <c r="C285" s="78"/>
      <c r="D285" s="82" t="str">
        <f>IFERROR(IF(OR(ISTEXT(C285),C285=""),"",VLOOKUP(C285,param!A$4:B$15,2,FALSE)),"Param Not Recognised")</f>
        <v/>
      </c>
      <c r="E285" s="83" t="e">
        <f>IF(E282,INDEX($L285:$P285,E283+1),0)</f>
        <v>#NAME?</v>
      </c>
      <c r="F285" s="83" t="e">
        <f>IF(F282,INDEX($L285:$P285,F283+1),0)</f>
        <v>#NAME?</v>
      </c>
      <c r="G285" s="83" t="e">
        <f>IF(G282,INDEX($L285:$P285,G283+1),0)</f>
        <v>#NAME?</v>
      </c>
      <c r="H285" s="83" t="e">
        <f>IF(H282,INDEX($L285:$P285,H283+1),0)</f>
        <v>#NAME?</v>
      </c>
      <c r="I285" s="83" t="e">
        <f>IF(I282,INDEX($L285:$P285,I283+1),0)</f>
        <v>#NAME?</v>
      </c>
      <c r="J285" s="32"/>
      <c r="K285" s="32"/>
      <c r="L285" s="13">
        <v>0</v>
      </c>
      <c r="M285" s="13"/>
      <c r="N285" s="13"/>
      <c r="O285" s="13"/>
      <c r="P285" s="13"/>
    </row>
    <row r="286" spans="1:16">
      <c r="A286" s="10"/>
      <c r="B286" s="32"/>
      <c r="C286" s="78"/>
      <c r="D286" s="82" t="str">
        <f>IFERROR(IF(OR(ISTEXT(C286),C286=""),"",VLOOKUP(C286,param!A$4:B$15,2,FALSE)),"Param Not Recognised")</f>
        <v/>
      </c>
      <c r="E286" s="83" t="e">
        <f>IF(E282,INDEX($L286:$P286,E283+1),0)</f>
        <v>#NAME?</v>
      </c>
      <c r="F286" s="83" t="e">
        <f>IF(F282,INDEX($L286:$P286,F283+1),0)</f>
        <v>#NAME?</v>
      </c>
      <c r="G286" s="83" t="e">
        <f>IF(G282,INDEX($L286:$P286,G283+1),0)</f>
        <v>#NAME?</v>
      </c>
      <c r="H286" s="83" t="e">
        <f>IF(H282,INDEX($L286:$P286,H283+1),0)</f>
        <v>#NAME?</v>
      </c>
      <c r="I286" s="83" t="e">
        <f>IF(I282,INDEX($L286:$P286,I283+1),0)</f>
        <v>#NAME?</v>
      </c>
      <c r="J286" s="32"/>
      <c r="K286" s="32"/>
      <c r="L286" s="13">
        <v>0</v>
      </c>
      <c r="M286" s="13"/>
      <c r="N286" s="13"/>
      <c r="O286" s="13"/>
      <c r="P286" s="13"/>
    </row>
    <row r="287" spans="1:16">
      <c r="A287" s="10"/>
      <c r="B287" s="32"/>
      <c r="C287" s="78"/>
      <c r="D287" s="82" t="str">
        <f>IFERROR(IF(OR(ISTEXT(C287),C287=""),"",VLOOKUP(C287,param!A$4:B$15,2,FALSE)),"Param Not Recognised")</f>
        <v/>
      </c>
      <c r="E287" s="83" t="e">
        <f>IF(E282,INDEX($L287:$P287,E283+1),0)</f>
        <v>#NAME?</v>
      </c>
      <c r="F287" s="83" t="e">
        <f>IF(F282,INDEX($L287:$P287,F283+1),0)</f>
        <v>#NAME?</v>
      </c>
      <c r="G287" s="83" t="e">
        <f>IF(G282,INDEX($L287:$P287,G283+1),0)</f>
        <v>#NAME?</v>
      </c>
      <c r="H287" s="83" t="e">
        <f>IF(H282,INDEX($L287:$P287,H283+1),0)</f>
        <v>#NAME?</v>
      </c>
      <c r="I287" s="83" t="e">
        <f>IF(I282,INDEX($L287:$P287,I283+1),0)</f>
        <v>#NAME?</v>
      </c>
      <c r="J287" s="32"/>
      <c r="K287" s="32"/>
      <c r="L287" s="13">
        <v>0</v>
      </c>
      <c r="M287" s="13"/>
      <c r="N287" s="13"/>
      <c r="O287" s="13"/>
      <c r="P287" s="13"/>
    </row>
    <row r="288" spans="1:16">
      <c r="A288" s="10"/>
      <c r="B288" s="32"/>
      <c r="C288" s="78"/>
      <c r="D288" s="82" t="str">
        <f>IFERROR(IF(OR(ISTEXT(C288),C288=""),"",VLOOKUP(C288,param!A$4:B$15,2,FALSE)),"Param Not Recognised")</f>
        <v/>
      </c>
      <c r="E288" s="83" t="e">
        <f>IF(E282,INDEX($L288:$P288,E283+1),0)</f>
        <v>#NAME?</v>
      </c>
      <c r="F288" s="83" t="e">
        <f>IF(F282,INDEX($L288:$P288,F283+1),0)</f>
        <v>#NAME?</v>
      </c>
      <c r="G288" s="83" t="e">
        <f>IF(G282,INDEX($L288:$P288,G283+1),0)</f>
        <v>#NAME?</v>
      </c>
      <c r="H288" s="83" t="e">
        <f>IF(H282,INDEX($L288:$P288,H283+1),0)</f>
        <v>#NAME?</v>
      </c>
      <c r="I288" s="83" t="e">
        <f>IF(I282,INDEX($L288:$P288,I283+1),0)</f>
        <v>#NAME?</v>
      </c>
      <c r="J288" s="32"/>
      <c r="K288" s="32"/>
      <c r="L288" s="13">
        <v>0</v>
      </c>
      <c r="M288" s="13"/>
      <c r="N288" s="13"/>
      <c r="O288" s="13"/>
      <c r="P288" s="13"/>
    </row>
    <row r="289" spans="1:16">
      <c r="A289" s="10"/>
      <c r="B289" s="32"/>
      <c r="C289" s="78"/>
      <c r="D289" s="82" t="str">
        <f>IFERROR(IF(OR(ISTEXT(C289),C289=""),"",VLOOKUP(C289,param!A$4:B$15,2,FALSE)),"Param Not Recognised")</f>
        <v/>
      </c>
      <c r="E289" s="83" t="e">
        <f>IF(E282,INDEX($L289:$P289,E283+1),0)</f>
        <v>#NAME?</v>
      </c>
      <c r="F289" s="83" t="e">
        <f>IF(F282,INDEX($L289:$P289,F283+1),0)</f>
        <v>#NAME?</v>
      </c>
      <c r="G289" s="83" t="e">
        <f>IF(G282,INDEX($L289:$P289,G283+1),0)</f>
        <v>#NAME?</v>
      </c>
      <c r="H289" s="83" t="e">
        <f>IF(H282,INDEX($L289:$P289,H283+1),0)</f>
        <v>#NAME?</v>
      </c>
      <c r="I289" s="83" t="e">
        <f>IF(I282,INDEX($L289:$P289,I283+1),0)</f>
        <v>#NAME?</v>
      </c>
      <c r="J289" s="32"/>
      <c r="K289" s="32"/>
      <c r="L289" s="13">
        <v>0</v>
      </c>
      <c r="M289" s="13"/>
      <c r="N289" s="13"/>
      <c r="O289" s="13"/>
      <c r="P289" s="13"/>
    </row>
    <row r="290" spans="1:16">
      <c r="A290" s="10"/>
      <c r="B290" s="32"/>
      <c r="C290" s="78"/>
      <c r="D290" s="82" t="str">
        <f>IFERROR(IF(OR(ISTEXT(C290),C290=""),"",VLOOKUP(C290,param!A$4:B$15,2,FALSE)),"Param Not Recognised")</f>
        <v/>
      </c>
      <c r="E290" s="83" t="e">
        <f>IF(E282,INDEX($L290:$P290,E283+1),0)</f>
        <v>#NAME?</v>
      </c>
      <c r="F290" s="83" t="e">
        <f>IF(F282,INDEX($L290:$P290,F283+1),0)</f>
        <v>#NAME?</v>
      </c>
      <c r="G290" s="83" t="e">
        <f>IF(G282,INDEX($L290:$P290,G283+1),0)</f>
        <v>#NAME?</v>
      </c>
      <c r="H290" s="83" t="e">
        <f>IF(H282,INDEX($L290:$P290,H283+1),0)</f>
        <v>#NAME?</v>
      </c>
      <c r="I290" s="83" t="e">
        <f>IF(I282,INDEX($L290:$P290,I283+1),0)</f>
        <v>#NAME?</v>
      </c>
      <c r="J290" s="32"/>
      <c r="K290" s="32"/>
      <c r="L290" s="13">
        <v>0</v>
      </c>
      <c r="M290" s="13"/>
      <c r="N290" s="13"/>
      <c r="O290" s="13"/>
      <c r="P290" s="13"/>
    </row>
    <row r="291" spans="1:16">
      <c r="A291" s="10"/>
      <c r="B291" s="32"/>
      <c r="C291" s="78"/>
      <c r="D291" s="82" t="str">
        <f>IFERROR(IF(OR(ISTEXT(C291),C291=""),"",VLOOKUP(C291,param!A$4:B$15,2,FALSE)),"Param Not Recognised")</f>
        <v/>
      </c>
      <c r="E291" s="83" t="e">
        <f>IF(E282,INDEX($L291:$P291,E283+1),0)</f>
        <v>#NAME?</v>
      </c>
      <c r="F291" s="83" t="e">
        <f>IF(F282,INDEX($L291:$P291,F283+1),0)</f>
        <v>#NAME?</v>
      </c>
      <c r="G291" s="83" t="e">
        <f>IF(G282,INDEX($L291:$P291,G283+1),0)</f>
        <v>#NAME?</v>
      </c>
      <c r="H291" s="83" t="e">
        <f>IF(H282,INDEX($L291:$P291,H283+1),0)</f>
        <v>#NAME?</v>
      </c>
      <c r="I291" s="83" t="e">
        <f>IF(I282,INDEX($L291:$P291,I283+1),0)</f>
        <v>#NAME?</v>
      </c>
      <c r="J291" s="32"/>
      <c r="K291" s="32"/>
      <c r="L291" s="13">
        <v>0</v>
      </c>
      <c r="M291" s="13"/>
      <c r="N291" s="13"/>
      <c r="O291" s="13"/>
      <c r="P291" s="13"/>
    </row>
    <row r="292" spans="1:16">
      <c r="A292" s="10"/>
      <c r="B292" s="32"/>
      <c r="C292" s="78"/>
      <c r="D292" s="82" t="str">
        <f>IFERROR(IF(OR(ISTEXT(C292),C292=""),"",VLOOKUP(C292,param!A$4:B$15,2,FALSE)),"Param Not Recognised")</f>
        <v/>
      </c>
      <c r="E292" s="83" t="e">
        <f>IF(E282,INDEX($L292:$P292,E283+1),0)</f>
        <v>#NAME?</v>
      </c>
      <c r="F292" s="83" t="e">
        <f>IF(F282,INDEX($L292:$P292,F283+1),0)</f>
        <v>#NAME?</v>
      </c>
      <c r="G292" s="83" t="e">
        <f>IF(G282,INDEX($L292:$P292,G283+1),0)</f>
        <v>#NAME?</v>
      </c>
      <c r="H292" s="83" t="e">
        <f>IF(H282,INDEX($L292:$P292,H283+1),0)</f>
        <v>#NAME?</v>
      </c>
      <c r="I292" s="83" t="e">
        <f>IF(I282,INDEX($L292:$P292,I283+1),0)</f>
        <v>#NAME?</v>
      </c>
      <c r="J292" s="32"/>
      <c r="K292" s="32"/>
      <c r="L292" s="13">
        <v>0</v>
      </c>
      <c r="M292" s="13"/>
      <c r="N292" s="13"/>
      <c r="O292" s="13"/>
      <c r="P292" s="13"/>
    </row>
    <row r="293" spans="1:16">
      <c r="A293" s="10"/>
      <c r="B293" s="32"/>
      <c r="C293" s="78"/>
      <c r="D293" s="82" t="str">
        <f>IFERROR(IF(OR(ISTEXT(C293),C293=""),"",VLOOKUP(C293,param!A$4:B$15,2,FALSE)),"Param Not Recognised")</f>
        <v/>
      </c>
      <c r="E293" s="83" t="e">
        <f>IF(E282,INDEX($L293:$P293,E283+1),0)</f>
        <v>#NAME?</v>
      </c>
      <c r="F293" s="83" t="e">
        <f>IF(F282,INDEX($L293:$P293,F283+1),0)</f>
        <v>#NAME?</v>
      </c>
      <c r="G293" s="83" t="e">
        <f>IF(G282,INDEX($L293:$P293,G283+1),0)</f>
        <v>#NAME?</v>
      </c>
      <c r="H293" s="83" t="e">
        <f>IF(H282,INDEX($L293:$P293,H283+1),0)</f>
        <v>#NAME?</v>
      </c>
      <c r="I293" s="83" t="e">
        <f>IF(I282,INDEX($L293:$P293,I283+1),0)</f>
        <v>#NAME?</v>
      </c>
      <c r="J293" s="32"/>
      <c r="K293" s="32"/>
      <c r="L293" s="13">
        <v>0</v>
      </c>
      <c r="M293" s="13"/>
      <c r="N293" s="13"/>
      <c r="O293" s="13"/>
      <c r="P293" s="13"/>
    </row>
    <row r="294" spans="1:16">
      <c r="A294" s="26"/>
    </row>
    <row r="295" spans="1:16">
      <c r="A295" s="86">
        <v>23</v>
      </c>
      <c r="B295" s="38">
        <f>INDEX(SI_Name,A295+1)</f>
        <v>0</v>
      </c>
      <c r="C295" s="31" t="s">
        <v>346</v>
      </c>
      <c r="D295" s="31"/>
      <c r="E295" s="33" t="e">
        <f>VLOOKUP($A295,calcTableSIsLaunched,adj_IndexTeam+1,FALSE)</f>
        <v>#NAME?</v>
      </c>
      <c r="F295" s="33" t="e">
        <f>VLOOKUP($A295,calcTableSIsLaunched,adj_IndexTeam+1,FALSE)</f>
        <v>#NAME?</v>
      </c>
      <c r="G295" s="33" t="e">
        <f>VLOOKUP($A295,calcTableSIsLaunched,adj_IndexTeam+1,FALSE)</f>
        <v>#NAME?</v>
      </c>
      <c r="H295" s="33" t="e">
        <f>VLOOKUP($A295,calcTableSIsLaunched,adj_IndexTeam+1,FALSE)</f>
        <v>#NAME?</v>
      </c>
      <c r="I295" s="33" t="e">
        <f>VLOOKUP($A295,calcTableSIsLaunched,adj_IndexTeam+1,FALSE)</f>
        <v>#NAME?</v>
      </c>
      <c r="J295" s="15">
        <f>SUMIF(C297:C306,adj_FTECode,M297:M306)</f>
        <v>0</v>
      </c>
      <c r="K295" s="15">
        <f>SUMIF(C297:C306,adj_CostCode,M297:M306)</f>
        <v>0</v>
      </c>
      <c r="L295" s="31"/>
      <c r="M295" s="31"/>
      <c r="N295" s="31"/>
      <c r="O295" s="31"/>
      <c r="P295" s="31"/>
    </row>
    <row r="296" spans="1:16">
      <c r="A296" s="10"/>
      <c r="B296" s="32"/>
      <c r="C296" s="32" t="s">
        <v>347</v>
      </c>
      <c r="D296" s="32"/>
      <c r="E296" s="33" t="e">
        <f>VLOOKUP($A295,calcTableSIsRoundsIntoLaunch,adj_IndexTeam+1,FALSE)</f>
        <v>#NAME?</v>
      </c>
      <c r="F296" s="33" t="e">
        <f>VLOOKUP($A295,calcTableSIsRoundsIntoLaunch,adj_IndexTeam+1,FALSE)</f>
        <v>#NAME?</v>
      </c>
      <c r="G296" s="33" t="e">
        <f>VLOOKUP($A295,calcTableSIsRoundsIntoLaunch,adj_IndexTeam+1,FALSE)</f>
        <v>#NAME?</v>
      </c>
      <c r="H296" s="33" t="e">
        <f>VLOOKUP($A295,calcTableSIsRoundsIntoLaunch,adj_IndexTeam+1,FALSE)</f>
        <v>#NAME?</v>
      </c>
      <c r="I296" s="33" t="e">
        <f>VLOOKUP($A295,calcTableSIsRoundsIntoLaunch,adj_IndexTeam+1,FALSE)</f>
        <v>#NAME?</v>
      </c>
      <c r="J296" s="32"/>
      <c r="K296" s="32"/>
      <c r="L296" s="32"/>
      <c r="M296" s="32"/>
      <c r="N296" s="32"/>
      <c r="O296" s="32"/>
      <c r="P296" s="32"/>
    </row>
    <row r="297" spans="1:16">
      <c r="A297" s="10"/>
      <c r="B297" s="32"/>
      <c r="C297" s="78">
        <v>1002</v>
      </c>
      <c r="D297" s="82" t="str">
        <f>IFERROR(IF(OR(ISTEXT(C297),C297=""),"",VLOOKUP(C297,param!A$4:B$15,2,FALSE)),"Param Not Recognised")</f>
        <v>FTEs</v>
      </c>
      <c r="E297" s="83" t="e">
        <f>IF(E295,INDEX($L297:$P297,E296+1),0)</f>
        <v>#NAME?</v>
      </c>
      <c r="F297" s="83" t="e">
        <f>IF(F295,INDEX($L297:$P297,F296+1),0)</f>
        <v>#NAME?</v>
      </c>
      <c r="G297" s="83" t="e">
        <f>IF(G295,INDEX($L297:$P297,G296+1),0)</f>
        <v>#NAME?</v>
      </c>
      <c r="H297" s="83" t="e">
        <f>IF(H295,INDEX($L297:$P297,H296+1),0)</f>
        <v>#NAME?</v>
      </c>
      <c r="I297" s="83" t="e">
        <f>IF(I295,INDEX($L297:$P297,I296+1),0)</f>
        <v>#NAME?</v>
      </c>
      <c r="J297" s="32"/>
      <c r="K297" s="32"/>
      <c r="L297" s="13">
        <v>0</v>
      </c>
      <c r="M297" s="13"/>
      <c r="N297" s="13"/>
      <c r="O297" s="13"/>
      <c r="P297" s="13"/>
    </row>
    <row r="298" spans="1:16">
      <c r="A298" s="10"/>
      <c r="B298" s="32"/>
      <c r="C298" s="78"/>
      <c r="D298" s="82" t="str">
        <f>IFERROR(IF(OR(ISTEXT(C298),C298=""),"",VLOOKUP(C298,param!A$4:B$15,2,FALSE)),"Param Not Recognised")</f>
        <v/>
      </c>
      <c r="E298" s="83" t="e">
        <f>IF(E295,INDEX($L298:$P298,E296+1),0)</f>
        <v>#NAME?</v>
      </c>
      <c r="F298" s="83" t="e">
        <f>IF(F295,INDEX($L298:$P298,F296+1),0)</f>
        <v>#NAME?</v>
      </c>
      <c r="G298" s="83" t="e">
        <f>IF(G295,INDEX($L298:$P298,G296+1),0)</f>
        <v>#NAME?</v>
      </c>
      <c r="H298" s="83" t="e">
        <f>IF(H295,INDEX($L298:$P298,H296+1),0)</f>
        <v>#NAME?</v>
      </c>
      <c r="I298" s="83" t="e">
        <f>IF(I295,INDEX($L298:$P298,I296+1),0)</f>
        <v>#NAME?</v>
      </c>
      <c r="J298" s="32"/>
      <c r="K298" s="32"/>
      <c r="L298" s="13">
        <v>0</v>
      </c>
      <c r="M298" s="13"/>
      <c r="N298" s="13"/>
      <c r="O298" s="13"/>
      <c r="P298" s="13"/>
    </row>
    <row r="299" spans="1:16">
      <c r="A299" s="10"/>
      <c r="B299" s="32"/>
      <c r="C299" s="78"/>
      <c r="D299" s="82" t="str">
        <f>IFERROR(IF(OR(ISTEXT(C299),C299=""),"",VLOOKUP(C299,param!A$4:B$15,2,FALSE)),"Param Not Recognised")</f>
        <v/>
      </c>
      <c r="E299" s="83" t="e">
        <f>IF(E295,INDEX($L299:$P299,E296+1),0)</f>
        <v>#NAME?</v>
      </c>
      <c r="F299" s="83" t="e">
        <f>IF(F295,INDEX($L299:$P299,F296+1),0)</f>
        <v>#NAME?</v>
      </c>
      <c r="G299" s="83" t="e">
        <f>IF(G295,INDEX($L299:$P299,G296+1),0)</f>
        <v>#NAME?</v>
      </c>
      <c r="H299" s="83" t="e">
        <f>IF(H295,INDEX($L299:$P299,H296+1),0)</f>
        <v>#NAME?</v>
      </c>
      <c r="I299" s="83" t="e">
        <f>IF(I295,INDEX($L299:$P299,I296+1),0)</f>
        <v>#NAME?</v>
      </c>
      <c r="J299" s="32"/>
      <c r="K299" s="32"/>
      <c r="L299" s="13">
        <v>0</v>
      </c>
      <c r="M299" s="13"/>
      <c r="N299" s="13"/>
      <c r="O299" s="13"/>
      <c r="P299" s="13"/>
    </row>
    <row r="300" spans="1:16">
      <c r="A300" s="10"/>
      <c r="B300" s="32"/>
      <c r="C300" s="78"/>
      <c r="D300" s="82" t="str">
        <f>IFERROR(IF(OR(ISTEXT(C300),C300=""),"",VLOOKUP(C300,param!A$4:B$15,2,FALSE)),"Param Not Recognised")</f>
        <v/>
      </c>
      <c r="E300" s="83" t="e">
        <f>IF(E295,INDEX($L300:$P300,E296+1),0)</f>
        <v>#NAME?</v>
      </c>
      <c r="F300" s="83" t="e">
        <f>IF(F295,INDEX($L300:$P300,F296+1),0)</f>
        <v>#NAME?</v>
      </c>
      <c r="G300" s="83" t="e">
        <f>IF(G295,INDEX($L300:$P300,G296+1),0)</f>
        <v>#NAME?</v>
      </c>
      <c r="H300" s="83" t="e">
        <f>IF(H295,INDEX($L300:$P300,H296+1),0)</f>
        <v>#NAME?</v>
      </c>
      <c r="I300" s="83" t="e">
        <f>IF(I295,INDEX($L300:$P300,I296+1),0)</f>
        <v>#NAME?</v>
      </c>
      <c r="J300" s="32"/>
      <c r="K300" s="32"/>
      <c r="L300" s="13">
        <v>0</v>
      </c>
      <c r="M300" s="13"/>
      <c r="N300" s="13"/>
      <c r="O300" s="13"/>
      <c r="P300" s="13"/>
    </row>
    <row r="301" spans="1:16">
      <c r="A301" s="10"/>
      <c r="B301" s="32"/>
      <c r="C301" s="78"/>
      <c r="D301" s="82" t="str">
        <f>IFERROR(IF(OR(ISTEXT(C301),C301=""),"",VLOOKUP(C301,param!A$4:B$15,2,FALSE)),"Param Not Recognised")</f>
        <v/>
      </c>
      <c r="E301" s="83" t="e">
        <f>IF(E295,INDEX($L301:$P301,E296+1),0)</f>
        <v>#NAME?</v>
      </c>
      <c r="F301" s="83" t="e">
        <f>IF(F295,INDEX($L301:$P301,F296+1),0)</f>
        <v>#NAME?</v>
      </c>
      <c r="G301" s="83" t="e">
        <f>IF(G295,INDEX($L301:$P301,G296+1),0)</f>
        <v>#NAME?</v>
      </c>
      <c r="H301" s="83" t="e">
        <f>IF(H295,INDEX($L301:$P301,H296+1),0)</f>
        <v>#NAME?</v>
      </c>
      <c r="I301" s="83" t="e">
        <f>IF(I295,INDEX($L301:$P301,I296+1),0)</f>
        <v>#NAME?</v>
      </c>
      <c r="J301" s="32"/>
      <c r="K301" s="32"/>
      <c r="L301" s="13">
        <v>0</v>
      </c>
      <c r="M301" s="13"/>
      <c r="N301" s="13"/>
      <c r="O301" s="13"/>
      <c r="P301" s="13"/>
    </row>
    <row r="302" spans="1:16">
      <c r="A302" s="10"/>
      <c r="B302" s="32"/>
      <c r="C302" s="78"/>
      <c r="D302" s="82" t="str">
        <f>IFERROR(IF(OR(ISTEXT(C302),C302=""),"",VLOOKUP(C302,param!A$4:B$15,2,FALSE)),"Param Not Recognised")</f>
        <v/>
      </c>
      <c r="E302" s="83" t="e">
        <f>IF(E295,INDEX($L302:$P302,E296+1),0)</f>
        <v>#NAME?</v>
      </c>
      <c r="F302" s="83" t="e">
        <f>IF(F295,INDEX($L302:$P302,F296+1),0)</f>
        <v>#NAME?</v>
      </c>
      <c r="G302" s="83" t="e">
        <f>IF(G295,INDEX($L302:$P302,G296+1),0)</f>
        <v>#NAME?</v>
      </c>
      <c r="H302" s="83" t="e">
        <f>IF(H295,INDEX($L302:$P302,H296+1),0)</f>
        <v>#NAME?</v>
      </c>
      <c r="I302" s="83" t="e">
        <f>IF(I295,INDEX($L302:$P302,I296+1),0)</f>
        <v>#NAME?</v>
      </c>
      <c r="J302" s="32"/>
      <c r="K302" s="32"/>
      <c r="L302" s="13">
        <v>0</v>
      </c>
      <c r="M302" s="13"/>
      <c r="N302" s="13"/>
      <c r="O302" s="13"/>
      <c r="P302" s="13"/>
    </row>
    <row r="303" spans="1:16">
      <c r="A303" s="10"/>
      <c r="B303" s="32"/>
      <c r="C303" s="78"/>
      <c r="D303" s="82" t="str">
        <f>IFERROR(IF(OR(ISTEXT(C303),C303=""),"",VLOOKUP(C303,param!A$4:B$15,2,FALSE)),"Param Not Recognised")</f>
        <v/>
      </c>
      <c r="E303" s="83" t="e">
        <f>IF(E295,INDEX($L303:$P303,E296+1),0)</f>
        <v>#NAME?</v>
      </c>
      <c r="F303" s="83" t="e">
        <f>IF(F295,INDEX($L303:$P303,F296+1),0)</f>
        <v>#NAME?</v>
      </c>
      <c r="G303" s="83" t="e">
        <f>IF(G295,INDEX($L303:$P303,G296+1),0)</f>
        <v>#NAME?</v>
      </c>
      <c r="H303" s="83" t="e">
        <f>IF(H295,INDEX($L303:$P303,H296+1),0)</f>
        <v>#NAME?</v>
      </c>
      <c r="I303" s="83" t="e">
        <f>IF(I295,INDEX($L303:$P303,I296+1),0)</f>
        <v>#NAME?</v>
      </c>
      <c r="J303" s="32"/>
      <c r="K303" s="32"/>
      <c r="L303" s="13">
        <v>0</v>
      </c>
      <c r="M303" s="13"/>
      <c r="N303" s="13"/>
      <c r="O303" s="13"/>
      <c r="P303" s="13"/>
    </row>
    <row r="304" spans="1:16">
      <c r="A304" s="10"/>
      <c r="B304" s="32"/>
      <c r="C304" s="78"/>
      <c r="D304" s="82" t="str">
        <f>IFERROR(IF(OR(ISTEXT(C304),C304=""),"",VLOOKUP(C304,param!A$4:B$15,2,FALSE)),"Param Not Recognised")</f>
        <v/>
      </c>
      <c r="E304" s="83" t="e">
        <f>IF(E295,INDEX($L304:$P304,E296+1),0)</f>
        <v>#NAME?</v>
      </c>
      <c r="F304" s="83" t="e">
        <f>IF(F295,INDEX($L304:$P304,F296+1),0)</f>
        <v>#NAME?</v>
      </c>
      <c r="G304" s="83" t="e">
        <f>IF(G295,INDEX($L304:$P304,G296+1),0)</f>
        <v>#NAME?</v>
      </c>
      <c r="H304" s="83" t="e">
        <f>IF(H295,INDEX($L304:$P304,H296+1),0)</f>
        <v>#NAME?</v>
      </c>
      <c r="I304" s="83" t="e">
        <f>IF(I295,INDEX($L304:$P304,I296+1),0)</f>
        <v>#NAME?</v>
      </c>
      <c r="J304" s="32"/>
      <c r="K304" s="32"/>
      <c r="L304" s="13">
        <v>0</v>
      </c>
      <c r="M304" s="13"/>
      <c r="N304" s="13"/>
      <c r="O304" s="13"/>
      <c r="P304" s="13"/>
    </row>
    <row r="305" spans="1:16">
      <c r="A305" s="10"/>
      <c r="B305" s="32"/>
      <c r="C305" s="78"/>
      <c r="D305" s="82" t="str">
        <f>IFERROR(IF(OR(ISTEXT(C305),C305=""),"",VLOOKUP(C305,param!A$4:B$15,2,FALSE)),"Param Not Recognised")</f>
        <v/>
      </c>
      <c r="E305" s="83" t="e">
        <f>IF(E295,INDEX($L305:$P305,E296+1),0)</f>
        <v>#NAME?</v>
      </c>
      <c r="F305" s="83" t="e">
        <f>IF(F295,INDEX($L305:$P305,F296+1),0)</f>
        <v>#NAME?</v>
      </c>
      <c r="G305" s="83" t="e">
        <f>IF(G295,INDEX($L305:$P305,G296+1),0)</f>
        <v>#NAME?</v>
      </c>
      <c r="H305" s="83" t="e">
        <f>IF(H295,INDEX($L305:$P305,H296+1),0)</f>
        <v>#NAME?</v>
      </c>
      <c r="I305" s="83" t="e">
        <f>IF(I295,INDEX($L305:$P305,I296+1),0)</f>
        <v>#NAME?</v>
      </c>
      <c r="J305" s="32"/>
      <c r="K305" s="32"/>
      <c r="L305" s="13">
        <v>0</v>
      </c>
      <c r="M305" s="13"/>
      <c r="N305" s="13"/>
      <c r="O305" s="13"/>
      <c r="P305" s="13"/>
    </row>
    <row r="306" spans="1:16">
      <c r="A306" s="10"/>
      <c r="B306" s="32"/>
      <c r="C306" s="78"/>
      <c r="D306" s="82" t="str">
        <f>IFERROR(IF(OR(ISTEXT(C306),C306=""),"",VLOOKUP(C306,param!A$4:B$15,2,FALSE)),"Param Not Recognised")</f>
        <v/>
      </c>
      <c r="E306" s="83" t="e">
        <f>IF(E295,INDEX($L306:$P306,E296+1),0)</f>
        <v>#NAME?</v>
      </c>
      <c r="F306" s="83" t="e">
        <f>IF(F295,INDEX($L306:$P306,F296+1),0)</f>
        <v>#NAME?</v>
      </c>
      <c r="G306" s="83" t="e">
        <f>IF(G295,INDEX($L306:$P306,G296+1),0)</f>
        <v>#NAME?</v>
      </c>
      <c r="H306" s="83" t="e">
        <f>IF(H295,INDEX($L306:$P306,H296+1),0)</f>
        <v>#NAME?</v>
      </c>
      <c r="I306" s="83" t="e">
        <f>IF(I295,INDEX($L306:$P306,I296+1),0)</f>
        <v>#NAME?</v>
      </c>
      <c r="J306" s="32"/>
      <c r="K306" s="32"/>
      <c r="L306" s="13">
        <v>0</v>
      </c>
      <c r="M306" s="13"/>
      <c r="N306" s="13"/>
      <c r="O306" s="13"/>
      <c r="P306" s="13"/>
    </row>
    <row r="307" spans="1:16">
      <c r="A307" s="26"/>
    </row>
    <row r="308" spans="1:16">
      <c r="A308" s="86">
        <v>24</v>
      </c>
      <c r="B308" s="38">
        <f>INDEX(SI_Name,A308+1)</f>
        <v>0</v>
      </c>
      <c r="C308" s="31" t="s">
        <v>346</v>
      </c>
      <c r="D308" s="31"/>
      <c r="E308" s="33" t="e">
        <f>VLOOKUP($A308,calcTableSIsLaunched,adj_IndexTeam+1,FALSE)</f>
        <v>#NAME?</v>
      </c>
      <c r="F308" s="33" t="e">
        <f>VLOOKUP($A308,calcTableSIsLaunched,adj_IndexTeam+1,FALSE)</f>
        <v>#NAME?</v>
      </c>
      <c r="G308" s="33" t="e">
        <f>VLOOKUP($A308,calcTableSIsLaunched,adj_IndexTeam+1,FALSE)</f>
        <v>#NAME?</v>
      </c>
      <c r="H308" s="33" t="e">
        <f>VLOOKUP($A308,calcTableSIsLaunched,adj_IndexTeam+1,FALSE)</f>
        <v>#NAME?</v>
      </c>
      <c r="I308" s="33" t="e">
        <f>VLOOKUP($A308,calcTableSIsLaunched,adj_IndexTeam+1,FALSE)</f>
        <v>#NAME?</v>
      </c>
      <c r="J308" s="15">
        <f>SUMIF(C310:C319,adj_FTECode,M310:M319)</f>
        <v>0</v>
      </c>
      <c r="K308" s="15">
        <f>SUMIF(C310:C319,adj_CostCode,M310:M319)</f>
        <v>0</v>
      </c>
      <c r="L308" s="31"/>
      <c r="M308" s="31"/>
      <c r="N308" s="31"/>
      <c r="O308" s="31"/>
      <c r="P308" s="31"/>
    </row>
    <row r="309" spans="1:16">
      <c r="A309" s="10"/>
      <c r="B309" s="32"/>
      <c r="C309" s="32" t="s">
        <v>347</v>
      </c>
      <c r="D309" s="32"/>
      <c r="E309" s="33" t="e">
        <f>VLOOKUP($A308,calcTableSIsRoundsIntoLaunch,adj_IndexTeam+1,FALSE)</f>
        <v>#NAME?</v>
      </c>
      <c r="F309" s="33" t="e">
        <f>VLOOKUP($A308,calcTableSIsRoundsIntoLaunch,adj_IndexTeam+1,FALSE)</f>
        <v>#NAME?</v>
      </c>
      <c r="G309" s="33" t="e">
        <f>VLOOKUP($A308,calcTableSIsRoundsIntoLaunch,adj_IndexTeam+1,FALSE)</f>
        <v>#NAME?</v>
      </c>
      <c r="H309" s="33" t="e">
        <f>VLOOKUP($A308,calcTableSIsRoundsIntoLaunch,adj_IndexTeam+1,FALSE)</f>
        <v>#NAME?</v>
      </c>
      <c r="I309" s="33" t="e">
        <f>VLOOKUP($A308,calcTableSIsRoundsIntoLaunch,adj_IndexTeam+1,FALSE)</f>
        <v>#NAME?</v>
      </c>
      <c r="J309" s="32"/>
      <c r="K309" s="32"/>
      <c r="L309" s="32"/>
      <c r="M309" s="32"/>
      <c r="N309" s="32"/>
      <c r="O309" s="32"/>
      <c r="P309" s="32"/>
    </row>
    <row r="310" spans="1:16">
      <c r="A310" s="10"/>
      <c r="B310" s="32"/>
      <c r="C310" s="78">
        <v>1002</v>
      </c>
      <c r="D310" s="82" t="str">
        <f>IFERROR(IF(OR(ISTEXT(C310),C310=""),"",VLOOKUP(C310,param!A$4:B$15,2,FALSE)),"Param Not Recognised")</f>
        <v>FTEs</v>
      </c>
      <c r="E310" s="83" t="e">
        <f>IF(E308,INDEX($L310:$P310,E309+1),0)</f>
        <v>#NAME?</v>
      </c>
      <c r="F310" s="83" t="e">
        <f>IF(F308,INDEX($L310:$P310,F309+1),0)</f>
        <v>#NAME?</v>
      </c>
      <c r="G310" s="83" t="e">
        <f>IF(G308,INDEX($L310:$P310,G309+1),0)</f>
        <v>#NAME?</v>
      </c>
      <c r="H310" s="83" t="e">
        <f>IF(H308,INDEX($L310:$P310,H309+1),0)</f>
        <v>#NAME?</v>
      </c>
      <c r="I310" s="83" t="e">
        <f>IF(I308,INDEX($L310:$P310,I309+1),0)</f>
        <v>#NAME?</v>
      </c>
      <c r="J310" s="32"/>
      <c r="K310" s="32"/>
      <c r="L310" s="13">
        <v>0</v>
      </c>
      <c r="M310" s="13"/>
      <c r="N310" s="13"/>
      <c r="O310" s="13"/>
      <c r="P310" s="13"/>
    </row>
    <row r="311" spans="1:16">
      <c r="A311" s="10"/>
      <c r="B311" s="32"/>
      <c r="C311" s="78"/>
      <c r="D311" s="82" t="str">
        <f>IFERROR(IF(OR(ISTEXT(C311),C311=""),"",VLOOKUP(C311,param!A$4:B$15,2,FALSE)),"Param Not Recognised")</f>
        <v/>
      </c>
      <c r="E311" s="83" t="e">
        <f>IF(E308,INDEX($L311:$P311,E309+1),0)</f>
        <v>#NAME?</v>
      </c>
      <c r="F311" s="83" t="e">
        <f>IF(F308,INDEX($L311:$P311,F309+1),0)</f>
        <v>#NAME?</v>
      </c>
      <c r="G311" s="83" t="e">
        <f>IF(G308,INDEX($L311:$P311,G309+1),0)</f>
        <v>#NAME?</v>
      </c>
      <c r="H311" s="83" t="e">
        <f>IF(H308,INDEX($L311:$P311,H309+1),0)</f>
        <v>#NAME?</v>
      </c>
      <c r="I311" s="83" t="e">
        <f>IF(I308,INDEX($L311:$P311,I309+1),0)</f>
        <v>#NAME?</v>
      </c>
      <c r="J311" s="32"/>
      <c r="K311" s="32"/>
      <c r="L311" s="13">
        <v>0</v>
      </c>
      <c r="M311" s="13"/>
      <c r="N311" s="13"/>
      <c r="O311" s="13"/>
      <c r="P311" s="13"/>
    </row>
    <row r="312" spans="1:16">
      <c r="A312" s="10"/>
      <c r="B312" s="32"/>
      <c r="C312" s="78"/>
      <c r="D312" s="82" t="str">
        <f>IFERROR(IF(OR(ISTEXT(C312),C312=""),"",VLOOKUP(C312,param!A$4:B$15,2,FALSE)),"Param Not Recognised")</f>
        <v/>
      </c>
      <c r="E312" s="83" t="e">
        <f>IF(E308,INDEX($L312:$P312,E309+1),0)</f>
        <v>#NAME?</v>
      </c>
      <c r="F312" s="83" t="e">
        <f>IF(F308,INDEX($L312:$P312,F309+1),0)</f>
        <v>#NAME?</v>
      </c>
      <c r="G312" s="83" t="e">
        <f>IF(G308,INDEX($L312:$P312,G309+1),0)</f>
        <v>#NAME?</v>
      </c>
      <c r="H312" s="83" t="e">
        <f>IF(H308,INDEX($L312:$P312,H309+1),0)</f>
        <v>#NAME?</v>
      </c>
      <c r="I312" s="83" t="e">
        <f>IF(I308,INDEX($L312:$P312,I309+1),0)</f>
        <v>#NAME?</v>
      </c>
      <c r="J312" s="32"/>
      <c r="K312" s="32"/>
      <c r="L312" s="13">
        <v>0</v>
      </c>
      <c r="M312" s="13"/>
      <c r="N312" s="13"/>
      <c r="O312" s="13"/>
      <c r="P312" s="13"/>
    </row>
    <row r="313" spans="1:16">
      <c r="A313" s="10"/>
      <c r="B313" s="32"/>
      <c r="C313" s="78"/>
      <c r="D313" s="82" t="str">
        <f>IFERROR(IF(OR(ISTEXT(C313),C313=""),"",VLOOKUP(C313,param!A$4:B$15,2,FALSE)),"Param Not Recognised")</f>
        <v/>
      </c>
      <c r="E313" s="83" t="e">
        <f>IF(E308,INDEX($L313:$P313,E309+1),0)</f>
        <v>#NAME?</v>
      </c>
      <c r="F313" s="83" t="e">
        <f>IF(F308,INDEX($L313:$P313,F309+1),0)</f>
        <v>#NAME?</v>
      </c>
      <c r="G313" s="83" t="e">
        <f>IF(G308,INDEX($L313:$P313,G309+1),0)</f>
        <v>#NAME?</v>
      </c>
      <c r="H313" s="83" t="e">
        <f>IF(H308,INDEX($L313:$P313,H309+1),0)</f>
        <v>#NAME?</v>
      </c>
      <c r="I313" s="83" t="e">
        <f>IF(I308,INDEX($L313:$P313,I309+1),0)</f>
        <v>#NAME?</v>
      </c>
      <c r="J313" s="32"/>
      <c r="K313" s="32"/>
      <c r="L313" s="13">
        <v>0</v>
      </c>
      <c r="M313" s="13"/>
      <c r="N313" s="13"/>
      <c r="O313" s="13"/>
      <c r="P313" s="13"/>
    </row>
    <row r="314" spans="1:16">
      <c r="A314" s="10"/>
      <c r="B314" s="32"/>
      <c r="C314" s="78"/>
      <c r="D314" s="82" t="str">
        <f>IFERROR(IF(OR(ISTEXT(C314),C314=""),"",VLOOKUP(C314,param!A$4:B$15,2,FALSE)),"Param Not Recognised")</f>
        <v/>
      </c>
      <c r="E314" s="83" t="e">
        <f>IF(E308,INDEX($L314:$P314,E309+1),0)</f>
        <v>#NAME?</v>
      </c>
      <c r="F314" s="83" t="e">
        <f>IF(F308,INDEX($L314:$P314,F309+1),0)</f>
        <v>#NAME?</v>
      </c>
      <c r="G314" s="83" t="e">
        <f>IF(G308,INDEX($L314:$P314,G309+1),0)</f>
        <v>#NAME?</v>
      </c>
      <c r="H314" s="83" t="e">
        <f>IF(H308,INDEX($L314:$P314,H309+1),0)</f>
        <v>#NAME?</v>
      </c>
      <c r="I314" s="83" t="e">
        <f>IF(I308,INDEX($L314:$P314,I309+1),0)</f>
        <v>#NAME?</v>
      </c>
      <c r="J314" s="32"/>
      <c r="K314" s="32"/>
      <c r="L314" s="13">
        <v>0</v>
      </c>
      <c r="M314" s="13"/>
      <c r="N314" s="13"/>
      <c r="O314" s="13"/>
      <c r="P314" s="13"/>
    </row>
    <row r="315" spans="1:16">
      <c r="A315" s="10"/>
      <c r="B315" s="32"/>
      <c r="C315" s="78"/>
      <c r="D315" s="82" t="str">
        <f>IFERROR(IF(OR(ISTEXT(C315),C315=""),"",VLOOKUP(C315,param!A$4:B$15,2,FALSE)),"Param Not Recognised")</f>
        <v/>
      </c>
      <c r="E315" s="83" t="e">
        <f>IF(E308,INDEX($L315:$P315,E309+1),0)</f>
        <v>#NAME?</v>
      </c>
      <c r="F315" s="83" t="e">
        <f>IF(F308,INDEX($L315:$P315,F309+1),0)</f>
        <v>#NAME?</v>
      </c>
      <c r="G315" s="83" t="e">
        <f>IF(G308,INDEX($L315:$P315,G309+1),0)</f>
        <v>#NAME?</v>
      </c>
      <c r="H315" s="83" t="e">
        <f>IF(H308,INDEX($L315:$P315,H309+1),0)</f>
        <v>#NAME?</v>
      </c>
      <c r="I315" s="83" t="e">
        <f>IF(I308,INDEX($L315:$P315,I309+1),0)</f>
        <v>#NAME?</v>
      </c>
      <c r="J315" s="32"/>
      <c r="K315" s="32"/>
      <c r="L315" s="13">
        <v>0</v>
      </c>
      <c r="M315" s="13"/>
      <c r="N315" s="13"/>
      <c r="O315" s="13"/>
      <c r="P315" s="13"/>
    </row>
    <row r="316" spans="1:16">
      <c r="A316" s="10"/>
      <c r="B316" s="32"/>
      <c r="C316" s="78"/>
      <c r="D316" s="82" t="str">
        <f>IFERROR(IF(OR(ISTEXT(C316),C316=""),"",VLOOKUP(C316,param!A$4:B$15,2,FALSE)),"Param Not Recognised")</f>
        <v/>
      </c>
      <c r="E316" s="83" t="e">
        <f>IF(E308,INDEX($L316:$P316,E309+1),0)</f>
        <v>#NAME?</v>
      </c>
      <c r="F316" s="83" t="e">
        <f>IF(F308,INDEX($L316:$P316,F309+1),0)</f>
        <v>#NAME?</v>
      </c>
      <c r="G316" s="83" t="e">
        <f>IF(G308,INDEX($L316:$P316,G309+1),0)</f>
        <v>#NAME?</v>
      </c>
      <c r="H316" s="83" t="e">
        <f>IF(H308,INDEX($L316:$P316,H309+1),0)</f>
        <v>#NAME?</v>
      </c>
      <c r="I316" s="83" t="e">
        <f>IF(I308,INDEX($L316:$P316,I309+1),0)</f>
        <v>#NAME?</v>
      </c>
      <c r="J316" s="32"/>
      <c r="K316" s="32"/>
      <c r="L316" s="13">
        <v>0</v>
      </c>
      <c r="M316" s="13"/>
      <c r="N316" s="13"/>
      <c r="O316" s="13"/>
      <c r="P316" s="13"/>
    </row>
    <row r="317" spans="1:16">
      <c r="A317" s="10"/>
      <c r="B317" s="32"/>
      <c r="C317" s="78"/>
      <c r="D317" s="82" t="str">
        <f>IFERROR(IF(OR(ISTEXT(C317),C317=""),"",VLOOKUP(C317,param!A$4:B$15,2,FALSE)),"Param Not Recognised")</f>
        <v/>
      </c>
      <c r="E317" s="83" t="e">
        <f>IF(E308,INDEX($L317:$P317,E309+1),0)</f>
        <v>#NAME?</v>
      </c>
      <c r="F317" s="83" t="e">
        <f>IF(F308,INDEX($L317:$P317,F309+1),0)</f>
        <v>#NAME?</v>
      </c>
      <c r="G317" s="83" t="e">
        <f>IF(G308,INDEX($L317:$P317,G309+1),0)</f>
        <v>#NAME?</v>
      </c>
      <c r="H317" s="83" t="e">
        <f>IF(H308,INDEX($L317:$P317,H309+1),0)</f>
        <v>#NAME?</v>
      </c>
      <c r="I317" s="83" t="e">
        <f>IF(I308,INDEX($L317:$P317,I309+1),0)</f>
        <v>#NAME?</v>
      </c>
      <c r="J317" s="32"/>
      <c r="K317" s="32"/>
      <c r="L317" s="13">
        <v>0</v>
      </c>
      <c r="M317" s="13"/>
      <c r="N317" s="13"/>
      <c r="O317" s="13"/>
      <c r="P317" s="13"/>
    </row>
    <row r="318" spans="1:16">
      <c r="A318" s="10"/>
      <c r="B318" s="32"/>
      <c r="C318" s="78"/>
      <c r="D318" s="82" t="str">
        <f>IFERROR(IF(OR(ISTEXT(C318),C318=""),"",VLOOKUP(C318,param!A$4:B$15,2,FALSE)),"Param Not Recognised")</f>
        <v/>
      </c>
      <c r="E318" s="83" t="e">
        <f>IF(E308,INDEX($L318:$P318,E309+1),0)</f>
        <v>#NAME?</v>
      </c>
      <c r="F318" s="83" t="e">
        <f>IF(F308,INDEX($L318:$P318,F309+1),0)</f>
        <v>#NAME?</v>
      </c>
      <c r="G318" s="83" t="e">
        <f>IF(G308,INDEX($L318:$P318,G309+1),0)</f>
        <v>#NAME?</v>
      </c>
      <c r="H318" s="83" t="e">
        <f>IF(H308,INDEX($L318:$P318,H309+1),0)</f>
        <v>#NAME?</v>
      </c>
      <c r="I318" s="83" t="e">
        <f>IF(I308,INDEX($L318:$P318,I309+1),0)</f>
        <v>#NAME?</v>
      </c>
      <c r="J318" s="32"/>
      <c r="K318" s="32"/>
      <c r="L318" s="13">
        <v>0</v>
      </c>
      <c r="M318" s="13"/>
      <c r="N318" s="13"/>
      <c r="O318" s="13"/>
      <c r="P318" s="13"/>
    </row>
    <row r="319" spans="1:16">
      <c r="A319" s="10"/>
      <c r="B319" s="32"/>
      <c r="C319" s="78"/>
      <c r="D319" s="82" t="str">
        <f>IFERROR(IF(OR(ISTEXT(C319),C319=""),"",VLOOKUP(C319,param!A$4:B$15,2,FALSE)),"Param Not Recognised")</f>
        <v/>
      </c>
      <c r="E319" s="83" t="e">
        <f>IF(E308,INDEX($L319:$P319,E309+1),0)</f>
        <v>#NAME?</v>
      </c>
      <c r="F319" s="83" t="e">
        <f>IF(F308,INDEX($L319:$P319,F309+1),0)</f>
        <v>#NAME?</v>
      </c>
      <c r="G319" s="83" t="e">
        <f>IF(G308,INDEX($L319:$P319,G309+1),0)</f>
        <v>#NAME?</v>
      </c>
      <c r="H319" s="83" t="e">
        <f>IF(H308,INDEX($L319:$P319,H309+1),0)</f>
        <v>#NAME?</v>
      </c>
      <c r="I319" s="83" t="e">
        <f>IF(I308,INDEX($L319:$P319,I309+1),0)</f>
        <v>#NAME?</v>
      </c>
      <c r="J319" s="32"/>
      <c r="K319" s="32"/>
      <c r="L319" s="13">
        <v>0</v>
      </c>
      <c r="M319" s="13"/>
      <c r="N319" s="13"/>
      <c r="O319" s="13"/>
      <c r="P319" s="13"/>
    </row>
    <row r="320" spans="1:16">
      <c r="A320" s="26"/>
    </row>
    <row r="321" spans="1:16">
      <c r="A321" s="86">
        <v>25</v>
      </c>
      <c r="B321" s="38">
        <f>INDEX(SI_Name,A321+1)</f>
        <v>0</v>
      </c>
      <c r="C321" s="31" t="s">
        <v>346</v>
      </c>
      <c r="D321" s="31"/>
      <c r="E321" s="33" t="e">
        <f>VLOOKUP($A321,calcTableSIsLaunched,adj_IndexTeam+1,FALSE)</f>
        <v>#NAME?</v>
      </c>
      <c r="F321" s="33" t="e">
        <f>VLOOKUP($A321,calcTableSIsLaunched,adj_IndexTeam+1,FALSE)</f>
        <v>#NAME?</v>
      </c>
      <c r="G321" s="33" t="e">
        <f>VLOOKUP($A321,calcTableSIsLaunched,adj_IndexTeam+1,FALSE)</f>
        <v>#NAME?</v>
      </c>
      <c r="H321" s="33" t="e">
        <f>VLOOKUP($A321,calcTableSIsLaunched,adj_IndexTeam+1,FALSE)</f>
        <v>#NAME?</v>
      </c>
      <c r="I321" s="33" t="e">
        <f>VLOOKUP($A321,calcTableSIsLaunched,adj_IndexTeam+1,FALSE)</f>
        <v>#NAME?</v>
      </c>
      <c r="J321" s="15">
        <f>SUMIF(C323:C332,adj_FTECode,M323:M332)</f>
        <v>0</v>
      </c>
      <c r="K321" s="15">
        <f>SUMIF(C323:C332,adj_CostCode,M323:M332)</f>
        <v>0</v>
      </c>
      <c r="L321" s="31"/>
      <c r="M321" s="31"/>
      <c r="N321" s="31"/>
      <c r="O321" s="31"/>
      <c r="P321" s="31"/>
    </row>
    <row r="322" spans="1:16">
      <c r="A322" s="10"/>
      <c r="B322" s="32"/>
      <c r="C322" s="32" t="s">
        <v>347</v>
      </c>
      <c r="D322" s="32"/>
      <c r="E322" s="33" t="e">
        <f>VLOOKUP($A321,calcTableSIsRoundsIntoLaunch,adj_IndexTeam+1,FALSE)</f>
        <v>#NAME?</v>
      </c>
      <c r="F322" s="33" t="e">
        <f>VLOOKUP($A321,calcTableSIsRoundsIntoLaunch,adj_IndexTeam+1,FALSE)</f>
        <v>#NAME?</v>
      </c>
      <c r="G322" s="33" t="e">
        <f>VLOOKUP($A321,calcTableSIsRoundsIntoLaunch,adj_IndexTeam+1,FALSE)</f>
        <v>#NAME?</v>
      </c>
      <c r="H322" s="33" t="e">
        <f>VLOOKUP($A321,calcTableSIsRoundsIntoLaunch,adj_IndexTeam+1,FALSE)</f>
        <v>#NAME?</v>
      </c>
      <c r="I322" s="33" t="e">
        <f>VLOOKUP($A321,calcTableSIsRoundsIntoLaunch,adj_IndexTeam+1,FALSE)</f>
        <v>#NAME?</v>
      </c>
      <c r="J322" s="32"/>
      <c r="K322" s="32"/>
      <c r="L322" s="32"/>
      <c r="M322" s="32"/>
      <c r="N322" s="32"/>
      <c r="O322" s="32"/>
      <c r="P322" s="32"/>
    </row>
    <row r="323" spans="1:16">
      <c r="A323" s="10"/>
      <c r="B323" s="32"/>
      <c r="C323" s="78">
        <v>1002</v>
      </c>
      <c r="D323" s="82" t="str">
        <f>IFERROR(IF(OR(ISTEXT(C323),C323=""),"",VLOOKUP(C323,param!A$4:B$15,2,FALSE)),"Param Not Recognised")</f>
        <v>FTEs</v>
      </c>
      <c r="E323" s="83" t="e">
        <f>IF(E321,INDEX($L323:$P323,E322+1),0)</f>
        <v>#NAME?</v>
      </c>
      <c r="F323" s="83" t="e">
        <f>IF(F321,INDEX($L323:$P323,F322+1),0)</f>
        <v>#NAME?</v>
      </c>
      <c r="G323" s="83" t="e">
        <f>IF(G321,INDEX($L323:$P323,G322+1),0)</f>
        <v>#NAME?</v>
      </c>
      <c r="H323" s="83" t="e">
        <f>IF(H321,INDEX($L323:$P323,H322+1),0)</f>
        <v>#NAME?</v>
      </c>
      <c r="I323" s="83" t="e">
        <f>IF(I321,INDEX($L323:$P323,I322+1),0)</f>
        <v>#NAME?</v>
      </c>
      <c r="J323" s="32"/>
      <c r="K323" s="32"/>
      <c r="L323" s="13">
        <v>0</v>
      </c>
      <c r="M323" s="13"/>
      <c r="N323" s="13"/>
      <c r="O323" s="13"/>
      <c r="P323" s="13"/>
    </row>
    <row r="324" spans="1:16">
      <c r="A324" s="10"/>
      <c r="B324" s="32"/>
      <c r="C324" s="78"/>
      <c r="D324" s="82" t="str">
        <f>IFERROR(IF(OR(ISTEXT(C324),C324=""),"",VLOOKUP(C324,param!A$4:B$15,2,FALSE)),"Param Not Recognised")</f>
        <v/>
      </c>
      <c r="E324" s="83" t="e">
        <f>IF(E321,INDEX($L324:$P324,E322+1),0)</f>
        <v>#NAME?</v>
      </c>
      <c r="F324" s="83" t="e">
        <f>IF(F321,INDEX($L324:$P324,F322+1),0)</f>
        <v>#NAME?</v>
      </c>
      <c r="G324" s="83" t="e">
        <f>IF(G321,INDEX($L324:$P324,G322+1),0)</f>
        <v>#NAME?</v>
      </c>
      <c r="H324" s="83" t="e">
        <f>IF(H321,INDEX($L324:$P324,H322+1),0)</f>
        <v>#NAME?</v>
      </c>
      <c r="I324" s="83" t="e">
        <f>IF(I321,INDEX($L324:$P324,I322+1),0)</f>
        <v>#NAME?</v>
      </c>
      <c r="J324" s="32"/>
      <c r="K324" s="32"/>
      <c r="L324" s="13">
        <v>0</v>
      </c>
      <c r="M324" s="13"/>
      <c r="N324" s="13"/>
      <c r="O324" s="13"/>
      <c r="P324" s="13"/>
    </row>
    <row r="325" spans="1:16">
      <c r="A325" s="10"/>
      <c r="B325" s="32"/>
      <c r="C325" s="78"/>
      <c r="D325" s="82" t="str">
        <f>IFERROR(IF(OR(ISTEXT(C325),C325=""),"",VLOOKUP(C325,param!A$4:B$15,2,FALSE)),"Param Not Recognised")</f>
        <v/>
      </c>
      <c r="E325" s="83" t="e">
        <f>IF(E321,INDEX($L325:$P325,E322+1),0)</f>
        <v>#NAME?</v>
      </c>
      <c r="F325" s="83" t="e">
        <f>IF(F321,INDEX($L325:$P325,F322+1),0)</f>
        <v>#NAME?</v>
      </c>
      <c r="G325" s="83" t="e">
        <f>IF(G321,INDEX($L325:$P325,G322+1),0)</f>
        <v>#NAME?</v>
      </c>
      <c r="H325" s="83" t="e">
        <f>IF(H321,INDEX($L325:$P325,H322+1),0)</f>
        <v>#NAME?</v>
      </c>
      <c r="I325" s="83" t="e">
        <f>IF(I321,INDEX($L325:$P325,I322+1),0)</f>
        <v>#NAME?</v>
      </c>
      <c r="J325" s="32"/>
      <c r="K325" s="32"/>
      <c r="L325" s="13">
        <v>0</v>
      </c>
      <c r="M325" s="13"/>
      <c r="N325" s="13"/>
      <c r="O325" s="13"/>
      <c r="P325" s="13"/>
    </row>
    <row r="326" spans="1:16">
      <c r="A326" s="10"/>
      <c r="B326" s="32"/>
      <c r="C326" s="78"/>
      <c r="D326" s="82" t="str">
        <f>IFERROR(IF(OR(ISTEXT(C326),C326=""),"",VLOOKUP(C326,param!A$4:B$15,2,FALSE)),"Param Not Recognised")</f>
        <v/>
      </c>
      <c r="E326" s="83" t="e">
        <f>IF(E321,INDEX($L326:$P326,E322+1),0)</f>
        <v>#NAME?</v>
      </c>
      <c r="F326" s="83" t="e">
        <f>IF(F321,INDEX($L326:$P326,F322+1),0)</f>
        <v>#NAME?</v>
      </c>
      <c r="G326" s="83" t="e">
        <f>IF(G321,INDEX($L326:$P326,G322+1),0)</f>
        <v>#NAME?</v>
      </c>
      <c r="H326" s="83" t="e">
        <f>IF(H321,INDEX($L326:$P326,H322+1),0)</f>
        <v>#NAME?</v>
      </c>
      <c r="I326" s="83" t="e">
        <f>IF(I321,INDEX($L326:$P326,I322+1),0)</f>
        <v>#NAME?</v>
      </c>
      <c r="J326" s="32"/>
      <c r="K326" s="32"/>
      <c r="L326" s="13">
        <v>0</v>
      </c>
      <c r="M326" s="13"/>
      <c r="N326" s="13"/>
      <c r="O326" s="13"/>
      <c r="P326" s="13"/>
    </row>
    <row r="327" spans="1:16">
      <c r="A327" s="10"/>
      <c r="B327" s="32"/>
      <c r="C327" s="78"/>
      <c r="D327" s="82" t="str">
        <f>IFERROR(IF(OR(ISTEXT(C327),C327=""),"",VLOOKUP(C327,param!A$4:B$15,2,FALSE)),"Param Not Recognised")</f>
        <v/>
      </c>
      <c r="E327" s="83" t="e">
        <f>IF(E321,INDEX($L327:$P327,E322+1),0)</f>
        <v>#NAME?</v>
      </c>
      <c r="F327" s="83" t="e">
        <f>IF(F321,INDEX($L327:$P327,F322+1),0)</f>
        <v>#NAME?</v>
      </c>
      <c r="G327" s="83" t="e">
        <f>IF(G321,INDEX($L327:$P327,G322+1),0)</f>
        <v>#NAME?</v>
      </c>
      <c r="H327" s="83" t="e">
        <f>IF(H321,INDEX($L327:$P327,H322+1),0)</f>
        <v>#NAME?</v>
      </c>
      <c r="I327" s="83" t="e">
        <f>IF(I321,INDEX($L327:$P327,I322+1),0)</f>
        <v>#NAME?</v>
      </c>
      <c r="J327" s="32"/>
      <c r="K327" s="32"/>
      <c r="L327" s="13">
        <v>0</v>
      </c>
      <c r="M327" s="13"/>
      <c r="N327" s="13"/>
      <c r="O327" s="13"/>
      <c r="P327" s="13"/>
    </row>
    <row r="328" spans="1:16">
      <c r="A328" s="10"/>
      <c r="B328" s="32"/>
      <c r="C328" s="78"/>
      <c r="D328" s="82" t="str">
        <f>IFERROR(IF(OR(ISTEXT(C328),C328=""),"",VLOOKUP(C328,param!A$4:B$15,2,FALSE)),"Param Not Recognised")</f>
        <v/>
      </c>
      <c r="E328" s="83" t="e">
        <f>IF(E321,INDEX($L328:$P328,E322+1),0)</f>
        <v>#NAME?</v>
      </c>
      <c r="F328" s="83" t="e">
        <f>IF(F321,INDEX($L328:$P328,F322+1),0)</f>
        <v>#NAME?</v>
      </c>
      <c r="G328" s="83" t="e">
        <f>IF(G321,INDEX($L328:$P328,G322+1),0)</f>
        <v>#NAME?</v>
      </c>
      <c r="H328" s="83" t="e">
        <f>IF(H321,INDEX($L328:$P328,H322+1),0)</f>
        <v>#NAME?</v>
      </c>
      <c r="I328" s="83" t="e">
        <f>IF(I321,INDEX($L328:$P328,I322+1),0)</f>
        <v>#NAME?</v>
      </c>
      <c r="J328" s="32"/>
      <c r="K328" s="32"/>
      <c r="L328" s="13">
        <v>0</v>
      </c>
      <c r="M328" s="13"/>
      <c r="N328" s="13"/>
      <c r="O328" s="13"/>
      <c r="P328" s="13"/>
    </row>
    <row r="329" spans="1:16">
      <c r="A329" s="10"/>
      <c r="B329" s="32"/>
      <c r="C329" s="78"/>
      <c r="D329" s="82" t="str">
        <f>IFERROR(IF(OR(ISTEXT(C329),C329=""),"",VLOOKUP(C329,param!A$4:B$15,2,FALSE)),"Param Not Recognised")</f>
        <v/>
      </c>
      <c r="E329" s="83" t="e">
        <f>IF(E321,INDEX($L329:$P329,E322+1),0)</f>
        <v>#NAME?</v>
      </c>
      <c r="F329" s="83" t="e">
        <f>IF(F321,INDEX($L329:$P329,F322+1),0)</f>
        <v>#NAME?</v>
      </c>
      <c r="G329" s="83" t="e">
        <f>IF(G321,INDEX($L329:$P329,G322+1),0)</f>
        <v>#NAME?</v>
      </c>
      <c r="H329" s="83" t="e">
        <f>IF(H321,INDEX($L329:$P329,H322+1),0)</f>
        <v>#NAME?</v>
      </c>
      <c r="I329" s="83" t="e">
        <f>IF(I321,INDEX($L329:$P329,I322+1),0)</f>
        <v>#NAME?</v>
      </c>
      <c r="J329" s="32"/>
      <c r="K329" s="32"/>
      <c r="L329" s="13">
        <v>0</v>
      </c>
      <c r="M329" s="13"/>
      <c r="N329" s="13"/>
      <c r="O329" s="13"/>
      <c r="P329" s="13"/>
    </row>
    <row r="330" spans="1:16">
      <c r="A330" s="10"/>
      <c r="B330" s="32"/>
      <c r="C330" s="78"/>
      <c r="D330" s="82" t="str">
        <f>IFERROR(IF(OR(ISTEXT(C330),C330=""),"",VLOOKUP(C330,param!A$4:B$15,2,FALSE)),"Param Not Recognised")</f>
        <v/>
      </c>
      <c r="E330" s="83" t="e">
        <f>IF(E321,INDEX($L330:$P330,E322+1),0)</f>
        <v>#NAME?</v>
      </c>
      <c r="F330" s="83" t="e">
        <f>IF(F321,INDEX($L330:$P330,F322+1),0)</f>
        <v>#NAME?</v>
      </c>
      <c r="G330" s="83" t="e">
        <f>IF(G321,INDEX($L330:$P330,G322+1),0)</f>
        <v>#NAME?</v>
      </c>
      <c r="H330" s="83" t="e">
        <f>IF(H321,INDEX($L330:$P330,H322+1),0)</f>
        <v>#NAME?</v>
      </c>
      <c r="I330" s="83" t="e">
        <f>IF(I321,INDEX($L330:$P330,I322+1),0)</f>
        <v>#NAME?</v>
      </c>
      <c r="J330" s="32"/>
      <c r="K330" s="32"/>
      <c r="L330" s="13">
        <v>0</v>
      </c>
      <c r="M330" s="13"/>
      <c r="N330" s="13"/>
      <c r="O330" s="13"/>
      <c r="P330" s="13"/>
    </row>
    <row r="331" spans="1:16">
      <c r="A331" s="10"/>
      <c r="B331" s="32"/>
      <c r="C331" s="78"/>
      <c r="D331" s="82" t="str">
        <f>IFERROR(IF(OR(ISTEXT(C331),C331=""),"",VLOOKUP(C331,param!A$4:B$15,2,FALSE)),"Param Not Recognised")</f>
        <v/>
      </c>
      <c r="E331" s="83" t="e">
        <f>IF(E321,INDEX($L331:$P331,E322+1),0)</f>
        <v>#NAME?</v>
      </c>
      <c r="F331" s="83" t="e">
        <f>IF(F321,INDEX($L331:$P331,F322+1),0)</f>
        <v>#NAME?</v>
      </c>
      <c r="G331" s="83" t="e">
        <f>IF(G321,INDEX($L331:$P331,G322+1),0)</f>
        <v>#NAME?</v>
      </c>
      <c r="H331" s="83" t="e">
        <f>IF(H321,INDEX($L331:$P331,H322+1),0)</f>
        <v>#NAME?</v>
      </c>
      <c r="I331" s="83" t="e">
        <f>IF(I321,INDEX($L331:$P331,I322+1),0)</f>
        <v>#NAME?</v>
      </c>
      <c r="J331" s="32"/>
      <c r="K331" s="32"/>
      <c r="L331" s="13">
        <v>0</v>
      </c>
      <c r="M331" s="13"/>
      <c r="N331" s="13"/>
      <c r="O331" s="13"/>
      <c r="P331" s="13"/>
    </row>
    <row r="332" spans="1:16">
      <c r="A332" s="10"/>
      <c r="B332" s="32"/>
      <c r="C332" s="78"/>
      <c r="D332" s="82" t="str">
        <f>IFERROR(IF(OR(ISTEXT(C332),C332=""),"",VLOOKUP(C332,param!A$4:B$15,2,FALSE)),"Param Not Recognised")</f>
        <v/>
      </c>
      <c r="E332" s="83" t="e">
        <f>IF(E321,INDEX($L332:$P332,E322+1),0)</f>
        <v>#NAME?</v>
      </c>
      <c r="F332" s="83" t="e">
        <f>IF(F321,INDEX($L332:$P332,F322+1),0)</f>
        <v>#NAME?</v>
      </c>
      <c r="G332" s="83" t="e">
        <f>IF(G321,INDEX($L332:$P332,G322+1),0)</f>
        <v>#NAME?</v>
      </c>
      <c r="H332" s="83" t="e">
        <f>IF(H321,INDEX($L332:$P332,H322+1),0)</f>
        <v>#NAME?</v>
      </c>
      <c r="I332" s="83" t="e">
        <f>IF(I321,INDEX($L332:$P332,I322+1),0)</f>
        <v>#NAME?</v>
      </c>
      <c r="J332" s="32"/>
      <c r="K332" s="32"/>
      <c r="L332" s="13">
        <v>0</v>
      </c>
      <c r="M332" s="13"/>
      <c r="N332" s="13"/>
      <c r="O332" s="13"/>
      <c r="P332" s="13"/>
    </row>
    <row r="333" spans="1:16">
      <c r="A333" s="26"/>
    </row>
    <row r="334" spans="1:16">
      <c r="A334" s="86">
        <v>26</v>
      </c>
      <c r="B334" s="38">
        <f>INDEX(SI_Name,A334+1)</f>
        <v>0</v>
      </c>
      <c r="C334" s="31" t="s">
        <v>346</v>
      </c>
      <c r="D334" s="31"/>
      <c r="E334" s="33" t="e">
        <f>VLOOKUP($A334,calcTableSIsLaunched,adj_IndexTeam+1,FALSE)</f>
        <v>#NAME?</v>
      </c>
      <c r="F334" s="33" t="e">
        <f>VLOOKUP($A334,calcTableSIsLaunched,adj_IndexTeam+1,FALSE)</f>
        <v>#NAME?</v>
      </c>
      <c r="G334" s="33" t="e">
        <f>VLOOKUP($A334,calcTableSIsLaunched,adj_IndexTeam+1,FALSE)</f>
        <v>#NAME?</v>
      </c>
      <c r="H334" s="33" t="e">
        <f>VLOOKUP($A334,calcTableSIsLaunched,adj_IndexTeam+1,FALSE)</f>
        <v>#NAME?</v>
      </c>
      <c r="I334" s="33" t="e">
        <f>VLOOKUP($A334,calcTableSIsLaunched,adj_IndexTeam+1,FALSE)</f>
        <v>#NAME?</v>
      </c>
      <c r="J334" s="15">
        <f>SUMIF(C336:C345,adj_FTECode,M336:M345)</f>
        <v>0</v>
      </c>
      <c r="K334" s="15">
        <f>SUMIF(C336:C345,adj_CostCode,M336:M345)</f>
        <v>0</v>
      </c>
      <c r="L334" s="31"/>
      <c r="M334" s="31"/>
      <c r="N334" s="31"/>
      <c r="O334" s="31"/>
      <c r="P334" s="31"/>
    </row>
    <row r="335" spans="1:16">
      <c r="A335" s="10"/>
      <c r="B335" s="32"/>
      <c r="C335" s="32" t="s">
        <v>347</v>
      </c>
      <c r="D335" s="32"/>
      <c r="E335" s="33" t="e">
        <f>VLOOKUP($A334,calcTableSIsRoundsIntoLaunch,adj_IndexTeam+1,FALSE)</f>
        <v>#NAME?</v>
      </c>
      <c r="F335" s="33" t="e">
        <f>VLOOKUP($A334,calcTableSIsRoundsIntoLaunch,adj_IndexTeam+1,FALSE)</f>
        <v>#NAME?</v>
      </c>
      <c r="G335" s="33" t="e">
        <f>VLOOKUP($A334,calcTableSIsRoundsIntoLaunch,adj_IndexTeam+1,FALSE)</f>
        <v>#NAME?</v>
      </c>
      <c r="H335" s="33" t="e">
        <f>VLOOKUP($A334,calcTableSIsRoundsIntoLaunch,adj_IndexTeam+1,FALSE)</f>
        <v>#NAME?</v>
      </c>
      <c r="I335" s="33" t="e">
        <f>VLOOKUP($A334,calcTableSIsRoundsIntoLaunch,adj_IndexTeam+1,FALSE)</f>
        <v>#NAME?</v>
      </c>
      <c r="J335" s="32"/>
      <c r="K335" s="32"/>
      <c r="L335" s="32"/>
      <c r="M335" s="32"/>
      <c r="N335" s="32"/>
      <c r="O335" s="32"/>
      <c r="P335" s="32"/>
    </row>
    <row r="336" spans="1:16">
      <c r="A336" s="10"/>
      <c r="B336" s="32"/>
      <c r="C336" s="78">
        <v>1002</v>
      </c>
      <c r="D336" s="82" t="str">
        <f>IFERROR(IF(OR(ISTEXT(C336),C336=""),"",VLOOKUP(C336,param!A$4:B$15,2,FALSE)),"Param Not Recognised")</f>
        <v>FTEs</v>
      </c>
      <c r="E336" s="83" t="e">
        <f>IF(E334,INDEX($L336:$P336,E335+1),0)</f>
        <v>#NAME?</v>
      </c>
      <c r="F336" s="83" t="e">
        <f>IF(F334,INDEX($L336:$P336,F335+1),0)</f>
        <v>#NAME?</v>
      </c>
      <c r="G336" s="83" t="e">
        <f>IF(G334,INDEX($L336:$P336,G335+1),0)</f>
        <v>#NAME?</v>
      </c>
      <c r="H336" s="83" t="e">
        <f>IF(H334,INDEX($L336:$P336,H335+1),0)</f>
        <v>#NAME?</v>
      </c>
      <c r="I336" s="83" t="e">
        <f>IF(I334,INDEX($L336:$P336,I335+1),0)</f>
        <v>#NAME?</v>
      </c>
      <c r="J336" s="32"/>
      <c r="K336" s="32"/>
      <c r="L336" s="13">
        <v>0</v>
      </c>
      <c r="M336" s="13"/>
      <c r="N336" s="13"/>
      <c r="O336" s="13"/>
      <c r="P336" s="13"/>
    </row>
    <row r="337" spans="1:16">
      <c r="A337" s="10"/>
      <c r="B337" s="32"/>
      <c r="C337" s="78"/>
      <c r="D337" s="82" t="str">
        <f>IFERROR(IF(OR(ISTEXT(C337),C337=""),"",VLOOKUP(C337,param!A$4:B$15,2,FALSE)),"Param Not Recognised")</f>
        <v/>
      </c>
      <c r="E337" s="83" t="e">
        <f>IF(E334,INDEX($L337:$P337,E335+1),0)</f>
        <v>#NAME?</v>
      </c>
      <c r="F337" s="83" t="e">
        <f>IF(F334,INDEX($L337:$P337,F335+1),0)</f>
        <v>#NAME?</v>
      </c>
      <c r="G337" s="83" t="e">
        <f>IF(G334,INDEX($L337:$P337,G335+1),0)</f>
        <v>#NAME?</v>
      </c>
      <c r="H337" s="83" t="e">
        <f>IF(H334,INDEX($L337:$P337,H335+1),0)</f>
        <v>#NAME?</v>
      </c>
      <c r="I337" s="83" t="e">
        <f>IF(I334,INDEX($L337:$P337,I335+1),0)</f>
        <v>#NAME?</v>
      </c>
      <c r="J337" s="32"/>
      <c r="K337" s="32"/>
      <c r="L337" s="13">
        <v>0</v>
      </c>
      <c r="M337" s="13"/>
      <c r="N337" s="13"/>
      <c r="O337" s="13"/>
      <c r="P337" s="13"/>
    </row>
    <row r="338" spans="1:16">
      <c r="A338" s="10"/>
      <c r="B338" s="32"/>
      <c r="C338" s="78"/>
      <c r="D338" s="82" t="str">
        <f>IFERROR(IF(OR(ISTEXT(C338),C338=""),"",VLOOKUP(C338,param!A$4:B$15,2,FALSE)),"Param Not Recognised")</f>
        <v/>
      </c>
      <c r="E338" s="83" t="e">
        <f>IF(E334,INDEX($L338:$P338,E335+1),0)</f>
        <v>#NAME?</v>
      </c>
      <c r="F338" s="83" t="e">
        <f>IF(F334,INDEX($L338:$P338,F335+1),0)</f>
        <v>#NAME?</v>
      </c>
      <c r="G338" s="83" t="e">
        <f>IF(G334,INDEX($L338:$P338,G335+1),0)</f>
        <v>#NAME?</v>
      </c>
      <c r="H338" s="83" t="e">
        <f>IF(H334,INDEX($L338:$P338,H335+1),0)</f>
        <v>#NAME?</v>
      </c>
      <c r="I338" s="83" t="e">
        <f>IF(I334,INDEX($L338:$P338,I335+1),0)</f>
        <v>#NAME?</v>
      </c>
      <c r="J338" s="32"/>
      <c r="K338" s="32"/>
      <c r="L338" s="13">
        <v>0</v>
      </c>
      <c r="M338" s="13"/>
      <c r="N338" s="13"/>
      <c r="O338" s="13"/>
      <c r="P338" s="13"/>
    </row>
    <row r="339" spans="1:16">
      <c r="A339" s="10"/>
      <c r="B339" s="32"/>
      <c r="C339" s="78"/>
      <c r="D339" s="82" t="str">
        <f>IFERROR(IF(OR(ISTEXT(C339),C339=""),"",VLOOKUP(C339,param!A$4:B$15,2,FALSE)),"Param Not Recognised")</f>
        <v/>
      </c>
      <c r="E339" s="83" t="e">
        <f>IF(E334,INDEX($L339:$P339,E335+1),0)</f>
        <v>#NAME?</v>
      </c>
      <c r="F339" s="83" t="e">
        <f>IF(F334,INDEX($L339:$P339,F335+1),0)</f>
        <v>#NAME?</v>
      </c>
      <c r="G339" s="83" t="e">
        <f>IF(G334,INDEX($L339:$P339,G335+1),0)</f>
        <v>#NAME?</v>
      </c>
      <c r="H339" s="83" t="e">
        <f>IF(H334,INDEX($L339:$P339,H335+1),0)</f>
        <v>#NAME?</v>
      </c>
      <c r="I339" s="83" t="e">
        <f>IF(I334,INDEX($L339:$P339,I335+1),0)</f>
        <v>#NAME?</v>
      </c>
      <c r="J339" s="32"/>
      <c r="K339" s="32"/>
      <c r="L339" s="13">
        <v>0</v>
      </c>
      <c r="M339" s="13"/>
      <c r="N339" s="13"/>
      <c r="O339" s="13"/>
      <c r="P339" s="13"/>
    </row>
    <row r="340" spans="1:16">
      <c r="A340" s="10"/>
      <c r="B340" s="32"/>
      <c r="C340" s="78"/>
      <c r="D340" s="82" t="str">
        <f>IFERROR(IF(OR(ISTEXT(C340),C340=""),"",VLOOKUP(C340,param!A$4:B$15,2,FALSE)),"Param Not Recognised")</f>
        <v/>
      </c>
      <c r="E340" s="83" t="e">
        <f>IF(E334,INDEX($L340:$P340,E335+1),0)</f>
        <v>#NAME?</v>
      </c>
      <c r="F340" s="83" t="e">
        <f>IF(F334,INDEX($L340:$P340,F335+1),0)</f>
        <v>#NAME?</v>
      </c>
      <c r="G340" s="83" t="e">
        <f>IF(G334,INDEX($L340:$P340,G335+1),0)</f>
        <v>#NAME?</v>
      </c>
      <c r="H340" s="83" t="e">
        <f>IF(H334,INDEX($L340:$P340,H335+1),0)</f>
        <v>#NAME?</v>
      </c>
      <c r="I340" s="83" t="e">
        <f>IF(I334,INDEX($L340:$P340,I335+1),0)</f>
        <v>#NAME?</v>
      </c>
      <c r="J340" s="32"/>
      <c r="K340" s="32"/>
      <c r="L340" s="13">
        <v>0</v>
      </c>
      <c r="M340" s="13"/>
      <c r="N340" s="13"/>
      <c r="O340" s="13"/>
      <c r="P340" s="13"/>
    </row>
    <row r="341" spans="1:16">
      <c r="A341" s="10"/>
      <c r="B341" s="32"/>
      <c r="C341" s="78"/>
      <c r="D341" s="82" t="str">
        <f>IFERROR(IF(OR(ISTEXT(C341),C341=""),"",VLOOKUP(C341,param!A$4:B$15,2,FALSE)),"Param Not Recognised")</f>
        <v/>
      </c>
      <c r="E341" s="83" t="e">
        <f>IF(E334,INDEX($L341:$P341,E335+1),0)</f>
        <v>#NAME?</v>
      </c>
      <c r="F341" s="83" t="e">
        <f>IF(F334,INDEX($L341:$P341,F335+1),0)</f>
        <v>#NAME?</v>
      </c>
      <c r="G341" s="83" t="e">
        <f>IF(G334,INDEX($L341:$P341,G335+1),0)</f>
        <v>#NAME?</v>
      </c>
      <c r="H341" s="83" t="e">
        <f>IF(H334,INDEX($L341:$P341,H335+1),0)</f>
        <v>#NAME?</v>
      </c>
      <c r="I341" s="83" t="e">
        <f>IF(I334,INDEX($L341:$P341,I335+1),0)</f>
        <v>#NAME?</v>
      </c>
      <c r="J341" s="32"/>
      <c r="K341" s="32"/>
      <c r="L341" s="13">
        <v>0</v>
      </c>
      <c r="M341" s="13"/>
      <c r="N341" s="13"/>
      <c r="O341" s="13"/>
      <c r="P341" s="13"/>
    </row>
    <row r="342" spans="1:16">
      <c r="A342" s="10"/>
      <c r="B342" s="32"/>
      <c r="C342" s="78"/>
      <c r="D342" s="82" t="str">
        <f>IFERROR(IF(OR(ISTEXT(C342),C342=""),"",VLOOKUP(C342,param!A$4:B$15,2,FALSE)),"Param Not Recognised")</f>
        <v/>
      </c>
      <c r="E342" s="83" t="e">
        <f>IF(E334,INDEX($L342:$P342,E335+1),0)</f>
        <v>#NAME?</v>
      </c>
      <c r="F342" s="83" t="e">
        <f>IF(F334,INDEX($L342:$P342,F335+1),0)</f>
        <v>#NAME?</v>
      </c>
      <c r="G342" s="83" t="e">
        <f>IF(G334,INDEX($L342:$P342,G335+1),0)</f>
        <v>#NAME?</v>
      </c>
      <c r="H342" s="83" t="e">
        <f>IF(H334,INDEX($L342:$P342,H335+1),0)</f>
        <v>#NAME?</v>
      </c>
      <c r="I342" s="83" t="e">
        <f>IF(I334,INDEX($L342:$P342,I335+1),0)</f>
        <v>#NAME?</v>
      </c>
      <c r="J342" s="32"/>
      <c r="K342" s="32"/>
      <c r="L342" s="13">
        <v>0</v>
      </c>
      <c r="M342" s="13"/>
      <c r="N342" s="13"/>
      <c r="O342" s="13"/>
      <c r="P342" s="13"/>
    </row>
    <row r="343" spans="1:16">
      <c r="A343" s="10"/>
      <c r="B343" s="32"/>
      <c r="C343" s="78"/>
      <c r="D343" s="82" t="str">
        <f>IFERROR(IF(OR(ISTEXT(C343),C343=""),"",VLOOKUP(C343,param!A$4:B$15,2,FALSE)),"Param Not Recognised")</f>
        <v/>
      </c>
      <c r="E343" s="83" t="e">
        <f>IF(E334,INDEX($L343:$P343,E335+1),0)</f>
        <v>#NAME?</v>
      </c>
      <c r="F343" s="83" t="e">
        <f>IF(F334,INDEX($L343:$P343,F335+1),0)</f>
        <v>#NAME?</v>
      </c>
      <c r="G343" s="83" t="e">
        <f>IF(G334,INDEX($L343:$P343,G335+1),0)</f>
        <v>#NAME?</v>
      </c>
      <c r="H343" s="83" t="e">
        <f>IF(H334,INDEX($L343:$P343,H335+1),0)</f>
        <v>#NAME?</v>
      </c>
      <c r="I343" s="83" t="e">
        <f>IF(I334,INDEX($L343:$P343,I335+1),0)</f>
        <v>#NAME?</v>
      </c>
      <c r="J343" s="32"/>
      <c r="K343" s="32"/>
      <c r="L343" s="13">
        <v>0</v>
      </c>
      <c r="M343" s="13"/>
      <c r="N343" s="13"/>
      <c r="O343" s="13"/>
      <c r="P343" s="13"/>
    </row>
    <row r="344" spans="1:16">
      <c r="A344" s="10"/>
      <c r="B344" s="32"/>
      <c r="C344" s="78"/>
      <c r="D344" s="82" t="str">
        <f>IFERROR(IF(OR(ISTEXT(C344),C344=""),"",VLOOKUP(C344,param!A$4:B$15,2,FALSE)),"Param Not Recognised")</f>
        <v/>
      </c>
      <c r="E344" s="83" t="e">
        <f>IF(E334,INDEX($L344:$P344,E335+1),0)</f>
        <v>#NAME?</v>
      </c>
      <c r="F344" s="83" t="e">
        <f>IF(F334,INDEX($L344:$P344,F335+1),0)</f>
        <v>#NAME?</v>
      </c>
      <c r="G344" s="83" t="e">
        <f>IF(G334,INDEX($L344:$P344,G335+1),0)</f>
        <v>#NAME?</v>
      </c>
      <c r="H344" s="83" t="e">
        <f>IF(H334,INDEX($L344:$P344,H335+1),0)</f>
        <v>#NAME?</v>
      </c>
      <c r="I344" s="83" t="e">
        <f>IF(I334,INDEX($L344:$P344,I335+1),0)</f>
        <v>#NAME?</v>
      </c>
      <c r="J344" s="32"/>
      <c r="K344" s="32"/>
      <c r="L344" s="13">
        <v>0</v>
      </c>
      <c r="M344" s="13"/>
      <c r="N344" s="13"/>
      <c r="O344" s="13"/>
      <c r="P344" s="13"/>
    </row>
    <row r="345" spans="1:16">
      <c r="A345" s="10"/>
      <c r="B345" s="32"/>
      <c r="C345" s="78"/>
      <c r="D345" s="82" t="str">
        <f>IFERROR(IF(OR(ISTEXT(C345),C345=""),"",VLOOKUP(C345,param!A$4:B$15,2,FALSE)),"Param Not Recognised")</f>
        <v/>
      </c>
      <c r="E345" s="83" t="e">
        <f>IF(E334,INDEX($L345:$P345,E335+1),0)</f>
        <v>#NAME?</v>
      </c>
      <c r="F345" s="83" t="e">
        <f>IF(F334,INDEX($L345:$P345,F335+1),0)</f>
        <v>#NAME?</v>
      </c>
      <c r="G345" s="83" t="e">
        <f>IF(G334,INDEX($L345:$P345,G335+1),0)</f>
        <v>#NAME?</v>
      </c>
      <c r="H345" s="83" t="e">
        <f>IF(H334,INDEX($L345:$P345,H335+1),0)</f>
        <v>#NAME?</v>
      </c>
      <c r="I345" s="83" t="e">
        <f>IF(I334,INDEX($L345:$P345,I335+1),0)</f>
        <v>#NAME?</v>
      </c>
      <c r="J345" s="32"/>
      <c r="K345" s="32"/>
      <c r="L345" s="13">
        <v>0</v>
      </c>
      <c r="M345" s="13"/>
      <c r="N345" s="13"/>
      <c r="O345" s="13"/>
      <c r="P345" s="13"/>
    </row>
    <row r="346" spans="1:16">
      <c r="A346" s="26"/>
    </row>
    <row r="347" spans="1:16">
      <c r="A347" s="86">
        <v>27</v>
      </c>
      <c r="B347" s="38">
        <f>INDEX(SI_Name,A347+1)</f>
        <v>0</v>
      </c>
      <c r="C347" s="31" t="s">
        <v>346</v>
      </c>
      <c r="D347" s="31"/>
      <c r="E347" s="33" t="e">
        <f>VLOOKUP($A347,calcTableSIsLaunched,adj_IndexTeam+1,FALSE)</f>
        <v>#NAME?</v>
      </c>
      <c r="F347" s="33" t="e">
        <f>VLOOKUP($A347,calcTableSIsLaunched,adj_IndexTeam+1,FALSE)</f>
        <v>#NAME?</v>
      </c>
      <c r="G347" s="33" t="e">
        <f>VLOOKUP($A347,calcTableSIsLaunched,adj_IndexTeam+1,FALSE)</f>
        <v>#NAME?</v>
      </c>
      <c r="H347" s="33" t="e">
        <f>VLOOKUP($A347,calcTableSIsLaunched,adj_IndexTeam+1,FALSE)</f>
        <v>#NAME?</v>
      </c>
      <c r="I347" s="33" t="e">
        <f>VLOOKUP($A347,calcTableSIsLaunched,adj_IndexTeam+1,FALSE)</f>
        <v>#NAME?</v>
      </c>
      <c r="J347" s="15">
        <f>SUMIF(C349:C358,adj_FTECode,M349:M358)</f>
        <v>0</v>
      </c>
      <c r="K347" s="15">
        <f>SUMIF(C349:C358,adj_CostCode,M349:M358)</f>
        <v>0</v>
      </c>
      <c r="L347" s="31"/>
      <c r="M347" s="31"/>
      <c r="N347" s="31"/>
      <c r="O347" s="31"/>
      <c r="P347" s="31"/>
    </row>
    <row r="348" spans="1:16">
      <c r="A348" s="10"/>
      <c r="B348" s="32"/>
      <c r="C348" s="32" t="s">
        <v>347</v>
      </c>
      <c r="D348" s="32"/>
      <c r="E348" s="33" t="e">
        <f>VLOOKUP($A347,calcTableSIsRoundsIntoLaunch,adj_IndexTeam+1,FALSE)</f>
        <v>#NAME?</v>
      </c>
      <c r="F348" s="33" t="e">
        <f>VLOOKUP($A347,calcTableSIsRoundsIntoLaunch,adj_IndexTeam+1,FALSE)</f>
        <v>#NAME?</v>
      </c>
      <c r="G348" s="33" t="e">
        <f>VLOOKUP($A347,calcTableSIsRoundsIntoLaunch,adj_IndexTeam+1,FALSE)</f>
        <v>#NAME?</v>
      </c>
      <c r="H348" s="33" t="e">
        <f>VLOOKUP($A347,calcTableSIsRoundsIntoLaunch,adj_IndexTeam+1,FALSE)</f>
        <v>#NAME?</v>
      </c>
      <c r="I348" s="33" t="e">
        <f>VLOOKUP($A347,calcTableSIsRoundsIntoLaunch,adj_IndexTeam+1,FALSE)</f>
        <v>#NAME?</v>
      </c>
      <c r="J348" s="32"/>
      <c r="K348" s="32"/>
      <c r="L348" s="32"/>
      <c r="M348" s="32"/>
      <c r="N348" s="32"/>
      <c r="O348" s="32"/>
      <c r="P348" s="32"/>
    </row>
    <row r="349" spans="1:16">
      <c r="A349" s="10"/>
      <c r="B349" s="32"/>
      <c r="C349" s="78">
        <v>1002</v>
      </c>
      <c r="D349" s="82" t="str">
        <f>IFERROR(IF(OR(ISTEXT(C349),C349=""),"",VLOOKUP(C349,param!A$4:B$15,2,FALSE)),"Param Not Recognised")</f>
        <v>FTEs</v>
      </c>
      <c r="E349" s="83" t="e">
        <f>IF(E347,INDEX($L349:$P349,E348+1),0)</f>
        <v>#NAME?</v>
      </c>
      <c r="F349" s="83" t="e">
        <f>IF(F347,INDEX($L349:$P349,F348+1),0)</f>
        <v>#NAME?</v>
      </c>
      <c r="G349" s="83" t="e">
        <f>IF(G347,INDEX($L349:$P349,G348+1),0)</f>
        <v>#NAME?</v>
      </c>
      <c r="H349" s="83" t="e">
        <f>IF(H347,INDEX($L349:$P349,H348+1),0)</f>
        <v>#NAME?</v>
      </c>
      <c r="I349" s="83" t="e">
        <f>IF(I347,INDEX($L349:$P349,I348+1),0)</f>
        <v>#NAME?</v>
      </c>
      <c r="J349" s="32"/>
      <c r="K349" s="32"/>
      <c r="L349" s="13">
        <v>0</v>
      </c>
      <c r="M349" s="13"/>
      <c r="N349" s="13"/>
      <c r="O349" s="13"/>
      <c r="P349" s="13"/>
    </row>
    <row r="350" spans="1:16">
      <c r="A350" s="10"/>
      <c r="B350" s="32"/>
      <c r="C350" s="78"/>
      <c r="D350" s="82" t="str">
        <f>IFERROR(IF(OR(ISTEXT(C350),C350=""),"",VLOOKUP(C350,param!A$4:B$15,2,FALSE)),"Param Not Recognised")</f>
        <v/>
      </c>
      <c r="E350" s="83" t="e">
        <f>IF(E347,INDEX($L350:$P350,E348+1),0)</f>
        <v>#NAME?</v>
      </c>
      <c r="F350" s="83" t="e">
        <f>IF(F347,INDEX($L350:$P350,F348+1),0)</f>
        <v>#NAME?</v>
      </c>
      <c r="G350" s="83" t="e">
        <f>IF(G347,INDEX($L350:$P350,G348+1),0)</f>
        <v>#NAME?</v>
      </c>
      <c r="H350" s="83" t="e">
        <f>IF(H347,INDEX($L350:$P350,H348+1),0)</f>
        <v>#NAME?</v>
      </c>
      <c r="I350" s="83" t="e">
        <f>IF(I347,INDEX($L350:$P350,I348+1),0)</f>
        <v>#NAME?</v>
      </c>
      <c r="J350" s="32"/>
      <c r="K350" s="32"/>
      <c r="L350" s="13">
        <v>0</v>
      </c>
      <c r="M350" s="13"/>
      <c r="N350" s="13"/>
      <c r="O350" s="13"/>
      <c r="P350" s="13"/>
    </row>
    <row r="351" spans="1:16">
      <c r="A351" s="10"/>
      <c r="B351" s="32"/>
      <c r="C351" s="78"/>
      <c r="D351" s="82" t="str">
        <f>IFERROR(IF(OR(ISTEXT(C351),C351=""),"",VLOOKUP(C351,param!A$4:B$15,2,FALSE)),"Param Not Recognised")</f>
        <v/>
      </c>
      <c r="E351" s="83" t="e">
        <f>IF(E347,INDEX($L351:$P351,E348+1),0)</f>
        <v>#NAME?</v>
      </c>
      <c r="F351" s="83" t="e">
        <f>IF(F347,INDEX($L351:$P351,F348+1),0)</f>
        <v>#NAME?</v>
      </c>
      <c r="G351" s="83" t="e">
        <f>IF(G347,INDEX($L351:$P351,G348+1),0)</f>
        <v>#NAME?</v>
      </c>
      <c r="H351" s="83" t="e">
        <f>IF(H347,INDEX($L351:$P351,H348+1),0)</f>
        <v>#NAME?</v>
      </c>
      <c r="I351" s="83" t="e">
        <f>IF(I347,INDEX($L351:$P351,I348+1),0)</f>
        <v>#NAME?</v>
      </c>
      <c r="J351" s="32"/>
      <c r="K351" s="32"/>
      <c r="L351" s="13">
        <v>0</v>
      </c>
      <c r="M351" s="13"/>
      <c r="N351" s="13"/>
      <c r="O351" s="13"/>
      <c r="P351" s="13"/>
    </row>
    <row r="352" spans="1:16">
      <c r="A352" s="10"/>
      <c r="B352" s="32"/>
      <c r="C352" s="78"/>
      <c r="D352" s="82" t="str">
        <f>IFERROR(IF(OR(ISTEXT(C352),C352=""),"",VLOOKUP(C352,param!A$4:B$15,2,FALSE)),"Param Not Recognised")</f>
        <v/>
      </c>
      <c r="E352" s="83" t="e">
        <f>IF(E347,INDEX($L352:$P352,E348+1),0)</f>
        <v>#NAME?</v>
      </c>
      <c r="F352" s="83" t="e">
        <f>IF(F347,INDEX($L352:$P352,F348+1),0)</f>
        <v>#NAME?</v>
      </c>
      <c r="G352" s="83" t="e">
        <f>IF(G347,INDEX($L352:$P352,G348+1),0)</f>
        <v>#NAME?</v>
      </c>
      <c r="H352" s="83" t="e">
        <f>IF(H347,INDEX($L352:$P352,H348+1),0)</f>
        <v>#NAME?</v>
      </c>
      <c r="I352" s="83" t="e">
        <f>IF(I347,INDEX($L352:$P352,I348+1),0)</f>
        <v>#NAME?</v>
      </c>
      <c r="J352" s="32"/>
      <c r="K352" s="32"/>
      <c r="L352" s="13">
        <v>0</v>
      </c>
      <c r="M352" s="13"/>
      <c r="N352" s="13"/>
      <c r="O352" s="13"/>
      <c r="P352" s="13"/>
    </row>
    <row r="353" spans="1:16">
      <c r="A353" s="10"/>
      <c r="B353" s="32"/>
      <c r="C353" s="78"/>
      <c r="D353" s="82" t="str">
        <f>IFERROR(IF(OR(ISTEXT(C353),C353=""),"",VLOOKUP(C353,param!A$4:B$15,2,FALSE)),"Param Not Recognised")</f>
        <v/>
      </c>
      <c r="E353" s="83" t="e">
        <f>IF(E347,INDEX($L353:$P353,E348+1),0)</f>
        <v>#NAME?</v>
      </c>
      <c r="F353" s="83" t="e">
        <f>IF(F347,INDEX($L353:$P353,F348+1),0)</f>
        <v>#NAME?</v>
      </c>
      <c r="G353" s="83" t="e">
        <f>IF(G347,INDEX($L353:$P353,G348+1),0)</f>
        <v>#NAME?</v>
      </c>
      <c r="H353" s="83" t="e">
        <f>IF(H347,INDEX($L353:$P353,H348+1),0)</f>
        <v>#NAME?</v>
      </c>
      <c r="I353" s="83" t="e">
        <f>IF(I347,INDEX($L353:$P353,I348+1),0)</f>
        <v>#NAME?</v>
      </c>
      <c r="J353" s="32"/>
      <c r="K353" s="32"/>
      <c r="L353" s="13">
        <v>0</v>
      </c>
      <c r="M353" s="13"/>
      <c r="N353" s="13"/>
      <c r="O353" s="13"/>
      <c r="P353" s="13"/>
    </row>
    <row r="354" spans="1:16">
      <c r="A354" s="10"/>
      <c r="B354" s="32"/>
      <c r="C354" s="78"/>
      <c r="D354" s="82" t="str">
        <f>IFERROR(IF(OR(ISTEXT(C354),C354=""),"",VLOOKUP(C354,param!A$4:B$15,2,FALSE)),"Param Not Recognised")</f>
        <v/>
      </c>
      <c r="E354" s="83" t="e">
        <f>IF(E347,INDEX($L354:$P354,E348+1),0)</f>
        <v>#NAME?</v>
      </c>
      <c r="F354" s="83" t="e">
        <f>IF(F347,INDEX($L354:$P354,F348+1),0)</f>
        <v>#NAME?</v>
      </c>
      <c r="G354" s="83" t="e">
        <f>IF(G347,INDEX($L354:$P354,G348+1),0)</f>
        <v>#NAME?</v>
      </c>
      <c r="H354" s="83" t="e">
        <f>IF(H347,INDEX($L354:$P354,H348+1),0)</f>
        <v>#NAME?</v>
      </c>
      <c r="I354" s="83" t="e">
        <f>IF(I347,INDEX($L354:$P354,I348+1),0)</f>
        <v>#NAME?</v>
      </c>
      <c r="J354" s="32"/>
      <c r="K354" s="32"/>
      <c r="L354" s="13">
        <v>0</v>
      </c>
      <c r="M354" s="13"/>
      <c r="N354" s="13"/>
      <c r="O354" s="13"/>
      <c r="P354" s="13"/>
    </row>
    <row r="355" spans="1:16">
      <c r="A355" s="10"/>
      <c r="B355" s="32"/>
      <c r="C355" s="78"/>
      <c r="D355" s="82" t="str">
        <f>IFERROR(IF(OR(ISTEXT(C355),C355=""),"",VLOOKUP(C355,param!A$4:B$15,2,FALSE)),"Param Not Recognised")</f>
        <v/>
      </c>
      <c r="E355" s="83" t="e">
        <f>IF(E347,INDEX($L355:$P355,E348+1),0)</f>
        <v>#NAME?</v>
      </c>
      <c r="F355" s="83" t="e">
        <f>IF(F347,INDEX($L355:$P355,F348+1),0)</f>
        <v>#NAME?</v>
      </c>
      <c r="G355" s="83" t="e">
        <f>IF(G347,INDEX($L355:$P355,G348+1),0)</f>
        <v>#NAME?</v>
      </c>
      <c r="H355" s="83" t="e">
        <f>IF(H347,INDEX($L355:$P355,H348+1),0)</f>
        <v>#NAME?</v>
      </c>
      <c r="I355" s="83" t="e">
        <f>IF(I347,INDEX($L355:$P355,I348+1),0)</f>
        <v>#NAME?</v>
      </c>
      <c r="J355" s="32"/>
      <c r="K355" s="32"/>
      <c r="L355" s="13">
        <v>0</v>
      </c>
      <c r="M355" s="13"/>
      <c r="N355" s="13"/>
      <c r="O355" s="13"/>
      <c r="P355" s="13"/>
    </row>
    <row r="356" spans="1:16">
      <c r="A356" s="10"/>
      <c r="B356" s="32"/>
      <c r="C356" s="78"/>
      <c r="D356" s="82" t="str">
        <f>IFERROR(IF(OR(ISTEXT(C356),C356=""),"",VLOOKUP(C356,param!A$4:B$15,2,FALSE)),"Param Not Recognised")</f>
        <v/>
      </c>
      <c r="E356" s="83" t="e">
        <f>IF(E347,INDEX($L356:$P356,E348+1),0)</f>
        <v>#NAME?</v>
      </c>
      <c r="F356" s="83" t="e">
        <f>IF(F347,INDEX($L356:$P356,F348+1),0)</f>
        <v>#NAME?</v>
      </c>
      <c r="G356" s="83" t="e">
        <f>IF(G347,INDEX($L356:$P356,G348+1),0)</f>
        <v>#NAME?</v>
      </c>
      <c r="H356" s="83" t="e">
        <f>IF(H347,INDEX($L356:$P356,H348+1),0)</f>
        <v>#NAME?</v>
      </c>
      <c r="I356" s="83" t="e">
        <f>IF(I347,INDEX($L356:$P356,I348+1),0)</f>
        <v>#NAME?</v>
      </c>
      <c r="J356" s="32"/>
      <c r="K356" s="32"/>
      <c r="L356" s="13">
        <v>0</v>
      </c>
      <c r="M356" s="13"/>
      <c r="N356" s="13"/>
      <c r="O356" s="13"/>
      <c r="P356" s="13"/>
    </row>
    <row r="357" spans="1:16">
      <c r="A357" s="10"/>
      <c r="B357" s="32"/>
      <c r="C357" s="78"/>
      <c r="D357" s="82" t="str">
        <f>IFERROR(IF(OR(ISTEXT(C357),C357=""),"",VLOOKUP(C357,param!A$4:B$15,2,FALSE)),"Param Not Recognised")</f>
        <v/>
      </c>
      <c r="E357" s="83" t="e">
        <f>IF(E347,INDEX($L357:$P357,E348+1),0)</f>
        <v>#NAME?</v>
      </c>
      <c r="F357" s="83" t="e">
        <f>IF(F347,INDEX($L357:$P357,F348+1),0)</f>
        <v>#NAME?</v>
      </c>
      <c r="G357" s="83" t="e">
        <f>IF(G347,INDEX($L357:$P357,G348+1),0)</f>
        <v>#NAME?</v>
      </c>
      <c r="H357" s="83" t="e">
        <f>IF(H347,INDEX($L357:$P357,H348+1),0)</f>
        <v>#NAME?</v>
      </c>
      <c r="I357" s="83" t="e">
        <f>IF(I347,INDEX($L357:$P357,I348+1),0)</f>
        <v>#NAME?</v>
      </c>
      <c r="J357" s="32"/>
      <c r="K357" s="32"/>
      <c r="L357" s="13">
        <v>0</v>
      </c>
      <c r="M357" s="13"/>
      <c r="N357" s="13"/>
      <c r="O357" s="13"/>
      <c r="P357" s="13"/>
    </row>
    <row r="358" spans="1:16">
      <c r="A358" s="10"/>
      <c r="B358" s="32"/>
      <c r="C358" s="78"/>
      <c r="D358" s="82" t="str">
        <f>IFERROR(IF(OR(ISTEXT(C358),C358=""),"",VLOOKUP(C358,param!A$4:B$15,2,FALSE)),"Param Not Recognised")</f>
        <v/>
      </c>
      <c r="E358" s="83" t="e">
        <f>IF(E347,INDEX($L358:$P358,E348+1),0)</f>
        <v>#NAME?</v>
      </c>
      <c r="F358" s="83" t="e">
        <f>IF(F347,INDEX($L358:$P358,F348+1),0)</f>
        <v>#NAME?</v>
      </c>
      <c r="G358" s="83" t="e">
        <f>IF(G347,INDEX($L358:$P358,G348+1),0)</f>
        <v>#NAME?</v>
      </c>
      <c r="H358" s="83" t="e">
        <f>IF(H347,INDEX($L358:$P358,H348+1),0)</f>
        <v>#NAME?</v>
      </c>
      <c r="I358" s="83" t="e">
        <f>IF(I347,INDEX($L358:$P358,I348+1),0)</f>
        <v>#NAME?</v>
      </c>
      <c r="J358" s="32"/>
      <c r="K358" s="32"/>
      <c r="L358" s="13">
        <v>0</v>
      </c>
      <c r="M358" s="13"/>
      <c r="N358" s="13"/>
      <c r="O358" s="13"/>
      <c r="P358" s="13"/>
    </row>
    <row r="359" spans="1:16">
      <c r="A359" s="26"/>
    </row>
    <row r="360" spans="1:16">
      <c r="A360" s="86">
        <v>28</v>
      </c>
      <c r="B360" s="38">
        <f>INDEX(SI_Name,A360+1)</f>
        <v>0</v>
      </c>
      <c r="C360" s="31" t="s">
        <v>346</v>
      </c>
      <c r="D360" s="31"/>
      <c r="E360" s="33" t="e">
        <f>VLOOKUP($A360,calcTableSIsLaunched,adj_IndexTeam+1,FALSE)</f>
        <v>#NAME?</v>
      </c>
      <c r="F360" s="33" t="e">
        <f>VLOOKUP($A360,calcTableSIsLaunched,adj_IndexTeam+1,FALSE)</f>
        <v>#NAME?</v>
      </c>
      <c r="G360" s="33" t="e">
        <f>VLOOKUP($A360,calcTableSIsLaunched,adj_IndexTeam+1,FALSE)</f>
        <v>#NAME?</v>
      </c>
      <c r="H360" s="33" t="e">
        <f>VLOOKUP($A360,calcTableSIsLaunched,adj_IndexTeam+1,FALSE)</f>
        <v>#NAME?</v>
      </c>
      <c r="I360" s="33" t="e">
        <f>VLOOKUP($A360,calcTableSIsLaunched,adj_IndexTeam+1,FALSE)</f>
        <v>#NAME?</v>
      </c>
      <c r="J360" s="15">
        <f>SUMIF(C362:C371,adj_FTECode,M362:M371)</f>
        <v>0</v>
      </c>
      <c r="K360" s="15">
        <f>SUMIF(C362:C371,adj_CostCode,M362:M371)</f>
        <v>0</v>
      </c>
      <c r="L360" s="31"/>
      <c r="M360" s="31"/>
      <c r="N360" s="31"/>
      <c r="O360" s="31"/>
      <c r="P360" s="31"/>
    </row>
    <row r="361" spans="1:16">
      <c r="A361" s="10"/>
      <c r="B361" s="32"/>
      <c r="C361" s="32" t="s">
        <v>347</v>
      </c>
      <c r="D361" s="32"/>
      <c r="E361" s="33" t="e">
        <f>VLOOKUP($A360,calcTableSIsRoundsIntoLaunch,adj_IndexTeam+1,FALSE)</f>
        <v>#NAME?</v>
      </c>
      <c r="F361" s="33" t="e">
        <f>VLOOKUP($A360,calcTableSIsRoundsIntoLaunch,adj_IndexTeam+1,FALSE)</f>
        <v>#NAME?</v>
      </c>
      <c r="G361" s="33" t="e">
        <f>VLOOKUP($A360,calcTableSIsRoundsIntoLaunch,adj_IndexTeam+1,FALSE)</f>
        <v>#NAME?</v>
      </c>
      <c r="H361" s="33" t="e">
        <f>VLOOKUP($A360,calcTableSIsRoundsIntoLaunch,adj_IndexTeam+1,FALSE)</f>
        <v>#NAME?</v>
      </c>
      <c r="I361" s="33" t="e">
        <f>VLOOKUP($A360,calcTableSIsRoundsIntoLaunch,adj_IndexTeam+1,FALSE)</f>
        <v>#NAME?</v>
      </c>
      <c r="J361" s="32"/>
      <c r="K361" s="32"/>
      <c r="L361" s="32"/>
      <c r="M361" s="32"/>
      <c r="N361" s="32"/>
      <c r="O361" s="32"/>
      <c r="P361" s="32"/>
    </row>
    <row r="362" spans="1:16">
      <c r="A362" s="10"/>
      <c r="B362" s="32"/>
      <c r="C362" s="78">
        <v>1002</v>
      </c>
      <c r="D362" s="82" t="str">
        <f>IFERROR(IF(OR(ISTEXT(C362),C362=""),"",VLOOKUP(C362,param!A$4:B$15,2,FALSE)),"Param Not Recognised")</f>
        <v>FTEs</v>
      </c>
      <c r="E362" s="83" t="e">
        <f>IF(E360,INDEX($L362:$P362,E361+1),0)</f>
        <v>#NAME?</v>
      </c>
      <c r="F362" s="83" t="e">
        <f>IF(F360,INDEX($L362:$P362,F361+1),0)</f>
        <v>#NAME?</v>
      </c>
      <c r="G362" s="83" t="e">
        <f>IF(G360,INDEX($L362:$P362,G361+1),0)</f>
        <v>#NAME?</v>
      </c>
      <c r="H362" s="83" t="e">
        <f>IF(H360,INDEX($L362:$P362,H361+1),0)</f>
        <v>#NAME?</v>
      </c>
      <c r="I362" s="83" t="e">
        <f>IF(I360,INDEX($L362:$P362,I361+1),0)</f>
        <v>#NAME?</v>
      </c>
      <c r="J362" s="32"/>
      <c r="K362" s="32"/>
      <c r="L362" s="13">
        <v>0</v>
      </c>
      <c r="M362" s="13"/>
      <c r="N362" s="13"/>
      <c r="O362" s="13"/>
      <c r="P362" s="13"/>
    </row>
    <row r="363" spans="1:16">
      <c r="A363" s="10"/>
      <c r="B363" s="32"/>
      <c r="C363" s="78"/>
      <c r="D363" s="82" t="str">
        <f>IFERROR(IF(OR(ISTEXT(C363),C363=""),"",VLOOKUP(C363,param!A$4:B$15,2,FALSE)),"Param Not Recognised")</f>
        <v/>
      </c>
      <c r="E363" s="83" t="e">
        <f>IF(E360,INDEX($L363:$P363,E361+1),0)</f>
        <v>#NAME?</v>
      </c>
      <c r="F363" s="83" t="e">
        <f>IF(F360,INDEX($L363:$P363,F361+1),0)</f>
        <v>#NAME?</v>
      </c>
      <c r="G363" s="83" t="e">
        <f>IF(G360,INDEX($L363:$P363,G361+1),0)</f>
        <v>#NAME?</v>
      </c>
      <c r="H363" s="83" t="e">
        <f>IF(H360,INDEX($L363:$P363,H361+1),0)</f>
        <v>#NAME?</v>
      </c>
      <c r="I363" s="83" t="e">
        <f>IF(I360,INDEX($L363:$P363,I361+1),0)</f>
        <v>#NAME?</v>
      </c>
      <c r="J363" s="32"/>
      <c r="K363" s="32"/>
      <c r="L363" s="13">
        <v>0</v>
      </c>
      <c r="M363" s="13"/>
      <c r="N363" s="13"/>
      <c r="O363" s="13"/>
      <c r="P363" s="13"/>
    </row>
    <row r="364" spans="1:16">
      <c r="A364" s="10"/>
      <c r="B364" s="32"/>
      <c r="C364" s="78"/>
      <c r="D364" s="82" t="str">
        <f>IFERROR(IF(OR(ISTEXT(C364),C364=""),"",VLOOKUP(C364,param!A$4:B$15,2,FALSE)),"Param Not Recognised")</f>
        <v/>
      </c>
      <c r="E364" s="83" t="e">
        <f>IF(E360,INDEX($L364:$P364,E361+1),0)</f>
        <v>#NAME?</v>
      </c>
      <c r="F364" s="83" t="e">
        <f>IF(F360,INDEX($L364:$P364,F361+1),0)</f>
        <v>#NAME?</v>
      </c>
      <c r="G364" s="83" t="e">
        <f>IF(G360,INDEX($L364:$P364,G361+1),0)</f>
        <v>#NAME?</v>
      </c>
      <c r="H364" s="83" t="e">
        <f>IF(H360,INDEX($L364:$P364,H361+1),0)</f>
        <v>#NAME?</v>
      </c>
      <c r="I364" s="83" t="e">
        <f>IF(I360,INDEX($L364:$P364,I361+1),0)</f>
        <v>#NAME?</v>
      </c>
      <c r="J364" s="32"/>
      <c r="K364" s="32"/>
      <c r="L364" s="13">
        <v>0</v>
      </c>
      <c r="M364" s="13"/>
      <c r="N364" s="13"/>
      <c r="O364" s="13"/>
      <c r="P364" s="13"/>
    </row>
    <row r="365" spans="1:16">
      <c r="A365" s="10"/>
      <c r="B365" s="32"/>
      <c r="C365" s="78"/>
      <c r="D365" s="82" t="str">
        <f>IFERROR(IF(OR(ISTEXT(C365),C365=""),"",VLOOKUP(C365,param!A$4:B$15,2,FALSE)),"Param Not Recognised")</f>
        <v/>
      </c>
      <c r="E365" s="83" t="e">
        <f>IF(E360,INDEX($L365:$P365,E361+1),0)</f>
        <v>#NAME?</v>
      </c>
      <c r="F365" s="83" t="e">
        <f>IF(F360,INDEX($L365:$P365,F361+1),0)</f>
        <v>#NAME?</v>
      </c>
      <c r="G365" s="83" t="e">
        <f>IF(G360,INDEX($L365:$P365,G361+1),0)</f>
        <v>#NAME?</v>
      </c>
      <c r="H365" s="83" t="e">
        <f>IF(H360,INDEX($L365:$P365,H361+1),0)</f>
        <v>#NAME?</v>
      </c>
      <c r="I365" s="83" t="e">
        <f>IF(I360,INDEX($L365:$P365,I361+1),0)</f>
        <v>#NAME?</v>
      </c>
      <c r="J365" s="32"/>
      <c r="K365" s="32"/>
      <c r="L365" s="13">
        <v>0</v>
      </c>
      <c r="M365" s="13"/>
      <c r="N365" s="13"/>
      <c r="O365" s="13"/>
      <c r="P365" s="13"/>
    </row>
    <row r="366" spans="1:16">
      <c r="A366" s="10"/>
      <c r="B366" s="32"/>
      <c r="C366" s="78"/>
      <c r="D366" s="82" t="str">
        <f>IFERROR(IF(OR(ISTEXT(C366),C366=""),"",VLOOKUP(C366,param!A$4:B$15,2,FALSE)),"Param Not Recognised")</f>
        <v/>
      </c>
      <c r="E366" s="83" t="e">
        <f>IF(E360,INDEX($L366:$P366,E361+1),0)</f>
        <v>#NAME?</v>
      </c>
      <c r="F366" s="83" t="e">
        <f>IF(F360,INDEX($L366:$P366,F361+1),0)</f>
        <v>#NAME?</v>
      </c>
      <c r="G366" s="83" t="e">
        <f>IF(G360,INDEX($L366:$P366,G361+1),0)</f>
        <v>#NAME?</v>
      </c>
      <c r="H366" s="83" t="e">
        <f>IF(H360,INDEX($L366:$P366,H361+1),0)</f>
        <v>#NAME?</v>
      </c>
      <c r="I366" s="83" t="e">
        <f>IF(I360,INDEX($L366:$P366,I361+1),0)</f>
        <v>#NAME?</v>
      </c>
      <c r="J366" s="32"/>
      <c r="K366" s="32"/>
      <c r="L366" s="13">
        <v>0</v>
      </c>
      <c r="M366" s="13"/>
      <c r="N366" s="13"/>
      <c r="O366" s="13"/>
      <c r="P366" s="13"/>
    </row>
    <row r="367" spans="1:16">
      <c r="A367" s="10"/>
      <c r="B367" s="32"/>
      <c r="C367" s="78"/>
      <c r="D367" s="82" t="str">
        <f>IFERROR(IF(OR(ISTEXT(C367),C367=""),"",VLOOKUP(C367,param!A$4:B$15,2,FALSE)),"Param Not Recognised")</f>
        <v/>
      </c>
      <c r="E367" s="83" t="e">
        <f>IF(E360,INDEX($L367:$P367,E361+1),0)</f>
        <v>#NAME?</v>
      </c>
      <c r="F367" s="83" t="e">
        <f>IF(F360,INDEX($L367:$P367,F361+1),0)</f>
        <v>#NAME?</v>
      </c>
      <c r="G367" s="83" t="e">
        <f>IF(G360,INDEX($L367:$P367,G361+1),0)</f>
        <v>#NAME?</v>
      </c>
      <c r="H367" s="83" t="e">
        <f>IF(H360,INDEX($L367:$P367,H361+1),0)</f>
        <v>#NAME?</v>
      </c>
      <c r="I367" s="83" t="e">
        <f>IF(I360,INDEX($L367:$P367,I361+1),0)</f>
        <v>#NAME?</v>
      </c>
      <c r="J367" s="32"/>
      <c r="K367" s="32"/>
      <c r="L367" s="13">
        <v>0</v>
      </c>
      <c r="M367" s="13"/>
      <c r="N367" s="13"/>
      <c r="O367" s="13"/>
      <c r="P367" s="13"/>
    </row>
    <row r="368" spans="1:16">
      <c r="A368" s="10"/>
      <c r="B368" s="32"/>
      <c r="C368" s="78"/>
      <c r="D368" s="82" t="str">
        <f>IFERROR(IF(OR(ISTEXT(C368),C368=""),"",VLOOKUP(C368,param!A$4:B$15,2,FALSE)),"Param Not Recognised")</f>
        <v/>
      </c>
      <c r="E368" s="83" t="e">
        <f>IF(E360,INDEX($L368:$P368,E361+1),0)</f>
        <v>#NAME?</v>
      </c>
      <c r="F368" s="83" t="e">
        <f>IF(F360,INDEX($L368:$P368,F361+1),0)</f>
        <v>#NAME?</v>
      </c>
      <c r="G368" s="83" t="e">
        <f>IF(G360,INDEX($L368:$P368,G361+1),0)</f>
        <v>#NAME?</v>
      </c>
      <c r="H368" s="83" t="e">
        <f>IF(H360,INDEX($L368:$P368,H361+1),0)</f>
        <v>#NAME?</v>
      </c>
      <c r="I368" s="83" t="e">
        <f>IF(I360,INDEX($L368:$P368,I361+1),0)</f>
        <v>#NAME?</v>
      </c>
      <c r="J368" s="32"/>
      <c r="K368" s="32"/>
      <c r="L368" s="13">
        <v>0</v>
      </c>
      <c r="M368" s="13"/>
      <c r="N368" s="13"/>
      <c r="O368" s="13"/>
      <c r="P368" s="13"/>
    </row>
    <row r="369" spans="1:16">
      <c r="A369" s="10"/>
      <c r="B369" s="32"/>
      <c r="C369" s="78"/>
      <c r="D369" s="82" t="str">
        <f>IFERROR(IF(OR(ISTEXT(C369),C369=""),"",VLOOKUP(C369,param!A$4:B$15,2,FALSE)),"Param Not Recognised")</f>
        <v/>
      </c>
      <c r="E369" s="83" t="e">
        <f>IF(E360,INDEX($L369:$P369,E361+1),0)</f>
        <v>#NAME?</v>
      </c>
      <c r="F369" s="83" t="e">
        <f>IF(F360,INDEX($L369:$P369,F361+1),0)</f>
        <v>#NAME?</v>
      </c>
      <c r="G369" s="83" t="e">
        <f>IF(G360,INDEX($L369:$P369,G361+1),0)</f>
        <v>#NAME?</v>
      </c>
      <c r="H369" s="83" t="e">
        <f>IF(H360,INDEX($L369:$P369,H361+1),0)</f>
        <v>#NAME?</v>
      </c>
      <c r="I369" s="83" t="e">
        <f>IF(I360,INDEX($L369:$P369,I361+1),0)</f>
        <v>#NAME?</v>
      </c>
      <c r="J369" s="32"/>
      <c r="K369" s="32"/>
      <c r="L369" s="13">
        <v>0</v>
      </c>
      <c r="M369" s="13"/>
      <c r="N369" s="13"/>
      <c r="O369" s="13"/>
      <c r="P369" s="13"/>
    </row>
    <row r="370" spans="1:16">
      <c r="A370" s="10"/>
      <c r="B370" s="32"/>
      <c r="C370" s="78"/>
      <c r="D370" s="82" t="str">
        <f>IFERROR(IF(OR(ISTEXT(C370),C370=""),"",VLOOKUP(C370,param!A$4:B$15,2,FALSE)),"Param Not Recognised")</f>
        <v/>
      </c>
      <c r="E370" s="83" t="e">
        <f>IF(E360,INDEX($L370:$P370,E361+1),0)</f>
        <v>#NAME?</v>
      </c>
      <c r="F370" s="83" t="e">
        <f>IF(F360,INDEX($L370:$P370,F361+1),0)</f>
        <v>#NAME?</v>
      </c>
      <c r="G370" s="83" t="e">
        <f>IF(G360,INDEX($L370:$P370,G361+1),0)</f>
        <v>#NAME?</v>
      </c>
      <c r="H370" s="83" t="e">
        <f>IF(H360,INDEX($L370:$P370,H361+1),0)</f>
        <v>#NAME?</v>
      </c>
      <c r="I370" s="83" t="e">
        <f>IF(I360,INDEX($L370:$P370,I361+1),0)</f>
        <v>#NAME?</v>
      </c>
      <c r="J370" s="32"/>
      <c r="K370" s="32"/>
      <c r="L370" s="13">
        <v>0</v>
      </c>
      <c r="M370" s="13"/>
      <c r="N370" s="13"/>
      <c r="O370" s="13"/>
      <c r="P370" s="13"/>
    </row>
    <row r="371" spans="1:16">
      <c r="A371" s="10"/>
      <c r="B371" s="32"/>
      <c r="C371" s="78"/>
      <c r="D371" s="82" t="str">
        <f>IFERROR(IF(OR(ISTEXT(C371),C371=""),"",VLOOKUP(C371,param!A$4:B$15,2,FALSE)),"Param Not Recognised")</f>
        <v/>
      </c>
      <c r="E371" s="83" t="e">
        <f>IF(E360,INDEX($L371:$P371,E361+1),0)</f>
        <v>#NAME?</v>
      </c>
      <c r="F371" s="83" t="e">
        <f>IF(F360,INDEX($L371:$P371,F361+1),0)</f>
        <v>#NAME?</v>
      </c>
      <c r="G371" s="83" t="e">
        <f>IF(G360,INDEX($L371:$P371,G361+1),0)</f>
        <v>#NAME?</v>
      </c>
      <c r="H371" s="83" t="e">
        <f>IF(H360,INDEX($L371:$P371,H361+1),0)</f>
        <v>#NAME?</v>
      </c>
      <c r="I371" s="83" t="e">
        <f>IF(I360,INDEX($L371:$P371,I361+1),0)</f>
        <v>#NAME?</v>
      </c>
      <c r="J371" s="32"/>
      <c r="K371" s="32"/>
      <c r="L371" s="13">
        <v>0</v>
      </c>
      <c r="M371" s="13"/>
      <c r="N371" s="13"/>
      <c r="O371" s="13"/>
      <c r="P371" s="13"/>
    </row>
    <row r="372" spans="1:16">
      <c r="A372" s="26"/>
    </row>
    <row r="373" spans="1:16">
      <c r="A373" s="86">
        <v>29</v>
      </c>
      <c r="B373" s="38">
        <f>INDEX(SI_Name,A373+1)</f>
        <v>0</v>
      </c>
      <c r="C373" s="31" t="s">
        <v>346</v>
      </c>
      <c r="D373" s="31"/>
      <c r="E373" s="33" t="e">
        <f>VLOOKUP($A373,calcTableSIsLaunched,adj_IndexTeam+1,FALSE)</f>
        <v>#NAME?</v>
      </c>
      <c r="F373" s="33" t="e">
        <f>VLOOKUP($A373,calcTableSIsLaunched,adj_IndexTeam+1,FALSE)</f>
        <v>#NAME?</v>
      </c>
      <c r="G373" s="33" t="e">
        <f>VLOOKUP($A373,calcTableSIsLaunched,adj_IndexTeam+1,FALSE)</f>
        <v>#NAME?</v>
      </c>
      <c r="H373" s="33" t="e">
        <f>VLOOKUP($A373,calcTableSIsLaunched,adj_IndexTeam+1,FALSE)</f>
        <v>#NAME?</v>
      </c>
      <c r="I373" s="33" t="e">
        <f>VLOOKUP($A373,calcTableSIsLaunched,adj_IndexTeam+1,FALSE)</f>
        <v>#NAME?</v>
      </c>
      <c r="J373" s="15">
        <f>SUMIF(C375:C384,adj_FTECode,M375:M384)</f>
        <v>0</v>
      </c>
      <c r="K373" s="15">
        <f>SUMIF(C375:C384,adj_CostCode,M375:M384)</f>
        <v>0</v>
      </c>
      <c r="L373" s="31"/>
      <c r="M373" s="31"/>
      <c r="N373" s="31"/>
      <c r="O373" s="31"/>
      <c r="P373" s="31"/>
    </row>
    <row r="374" spans="1:16">
      <c r="A374" s="10"/>
      <c r="B374" s="32"/>
      <c r="C374" s="32" t="s">
        <v>347</v>
      </c>
      <c r="D374" s="32"/>
      <c r="E374" s="33" t="e">
        <f>VLOOKUP($A373,calcTableSIsRoundsIntoLaunch,adj_IndexTeam+1,FALSE)</f>
        <v>#NAME?</v>
      </c>
      <c r="F374" s="33" t="e">
        <f>VLOOKUP($A373,calcTableSIsRoundsIntoLaunch,adj_IndexTeam+1,FALSE)</f>
        <v>#NAME?</v>
      </c>
      <c r="G374" s="33" t="e">
        <f>VLOOKUP($A373,calcTableSIsRoundsIntoLaunch,adj_IndexTeam+1,FALSE)</f>
        <v>#NAME?</v>
      </c>
      <c r="H374" s="33" t="e">
        <f>VLOOKUP($A373,calcTableSIsRoundsIntoLaunch,adj_IndexTeam+1,FALSE)</f>
        <v>#NAME?</v>
      </c>
      <c r="I374" s="33" t="e">
        <f>VLOOKUP($A373,calcTableSIsRoundsIntoLaunch,adj_IndexTeam+1,FALSE)</f>
        <v>#NAME?</v>
      </c>
      <c r="J374" s="32"/>
      <c r="K374" s="32"/>
      <c r="L374" s="32"/>
      <c r="M374" s="32"/>
      <c r="N374" s="32"/>
      <c r="O374" s="32"/>
      <c r="P374" s="32"/>
    </row>
    <row r="375" spans="1:16">
      <c r="A375" s="10"/>
      <c r="B375" s="32"/>
      <c r="C375" s="78">
        <v>1002</v>
      </c>
      <c r="D375" s="82" t="str">
        <f>IFERROR(IF(OR(ISTEXT(C375),C375=""),"",VLOOKUP(C375,param!A$4:B$15,2,FALSE)),"Param Not Recognised")</f>
        <v>FTEs</v>
      </c>
      <c r="E375" s="83" t="e">
        <f>IF(E373,INDEX($L375:$P375,E374+1),0)</f>
        <v>#NAME?</v>
      </c>
      <c r="F375" s="83" t="e">
        <f>IF(F373,INDEX($L375:$P375,F374+1),0)</f>
        <v>#NAME?</v>
      </c>
      <c r="G375" s="83" t="e">
        <f>IF(G373,INDEX($L375:$P375,G374+1),0)</f>
        <v>#NAME?</v>
      </c>
      <c r="H375" s="83" t="e">
        <f>IF(H373,INDEX($L375:$P375,H374+1),0)</f>
        <v>#NAME?</v>
      </c>
      <c r="I375" s="83" t="e">
        <f>IF(I373,INDEX($L375:$P375,I374+1),0)</f>
        <v>#NAME?</v>
      </c>
      <c r="J375" s="32"/>
      <c r="K375" s="32"/>
      <c r="L375" s="13">
        <v>0</v>
      </c>
      <c r="M375" s="13"/>
      <c r="N375" s="13"/>
      <c r="O375" s="13"/>
      <c r="P375" s="13"/>
    </row>
    <row r="376" spans="1:16">
      <c r="A376" s="10"/>
      <c r="B376" s="32"/>
      <c r="C376" s="78"/>
      <c r="D376" s="82" t="str">
        <f>IFERROR(IF(OR(ISTEXT(C376),C376=""),"",VLOOKUP(C376,param!A$4:B$15,2,FALSE)),"Param Not Recognised")</f>
        <v/>
      </c>
      <c r="E376" s="83" t="e">
        <f>IF(E373,INDEX($L376:$P376,E374+1),0)</f>
        <v>#NAME?</v>
      </c>
      <c r="F376" s="83" t="e">
        <f>IF(F373,INDEX($L376:$P376,F374+1),0)</f>
        <v>#NAME?</v>
      </c>
      <c r="G376" s="83" t="e">
        <f>IF(G373,INDEX($L376:$P376,G374+1),0)</f>
        <v>#NAME?</v>
      </c>
      <c r="H376" s="83" t="e">
        <f>IF(H373,INDEX($L376:$P376,H374+1),0)</f>
        <v>#NAME?</v>
      </c>
      <c r="I376" s="83" t="e">
        <f>IF(I373,INDEX($L376:$P376,I374+1),0)</f>
        <v>#NAME?</v>
      </c>
      <c r="J376" s="32"/>
      <c r="K376" s="32"/>
      <c r="L376" s="13">
        <v>0</v>
      </c>
      <c r="M376" s="13"/>
      <c r="N376" s="13"/>
      <c r="O376" s="13"/>
      <c r="P376" s="13"/>
    </row>
    <row r="377" spans="1:16">
      <c r="A377" s="10"/>
      <c r="B377" s="32"/>
      <c r="C377" s="78"/>
      <c r="D377" s="82" t="str">
        <f>IFERROR(IF(OR(ISTEXT(C377),C377=""),"",VLOOKUP(C377,param!A$4:B$15,2,FALSE)),"Param Not Recognised")</f>
        <v/>
      </c>
      <c r="E377" s="83" t="e">
        <f>IF(E373,INDEX($L377:$P377,E374+1),0)</f>
        <v>#NAME?</v>
      </c>
      <c r="F377" s="83" t="e">
        <f>IF(F373,INDEX($L377:$P377,F374+1),0)</f>
        <v>#NAME?</v>
      </c>
      <c r="G377" s="83" t="e">
        <f>IF(G373,INDEX($L377:$P377,G374+1),0)</f>
        <v>#NAME?</v>
      </c>
      <c r="H377" s="83" t="e">
        <f>IF(H373,INDEX($L377:$P377,H374+1),0)</f>
        <v>#NAME?</v>
      </c>
      <c r="I377" s="83" t="e">
        <f>IF(I373,INDEX($L377:$P377,I374+1),0)</f>
        <v>#NAME?</v>
      </c>
      <c r="J377" s="32"/>
      <c r="K377" s="32"/>
      <c r="L377" s="13">
        <v>0</v>
      </c>
      <c r="M377" s="13"/>
      <c r="N377" s="13"/>
      <c r="O377" s="13"/>
      <c r="P377" s="13"/>
    </row>
    <row r="378" spans="1:16">
      <c r="A378" s="10"/>
      <c r="B378" s="32"/>
      <c r="C378" s="78"/>
      <c r="D378" s="82" t="str">
        <f>IFERROR(IF(OR(ISTEXT(C378),C378=""),"",VLOOKUP(C378,param!A$4:B$15,2,FALSE)),"Param Not Recognised")</f>
        <v/>
      </c>
      <c r="E378" s="83" t="e">
        <f>IF(E373,INDEX($L378:$P378,E374+1),0)</f>
        <v>#NAME?</v>
      </c>
      <c r="F378" s="83" t="e">
        <f>IF(F373,INDEX($L378:$P378,F374+1),0)</f>
        <v>#NAME?</v>
      </c>
      <c r="G378" s="83" t="e">
        <f>IF(G373,INDEX($L378:$P378,G374+1),0)</f>
        <v>#NAME?</v>
      </c>
      <c r="H378" s="83" t="e">
        <f>IF(H373,INDEX($L378:$P378,H374+1),0)</f>
        <v>#NAME?</v>
      </c>
      <c r="I378" s="83" t="e">
        <f>IF(I373,INDEX($L378:$P378,I374+1),0)</f>
        <v>#NAME?</v>
      </c>
      <c r="J378" s="32"/>
      <c r="K378" s="32"/>
      <c r="L378" s="13">
        <v>0</v>
      </c>
      <c r="M378" s="13"/>
      <c r="N378" s="13"/>
      <c r="O378" s="13"/>
      <c r="P378" s="13"/>
    </row>
    <row r="379" spans="1:16">
      <c r="A379" s="10"/>
      <c r="B379" s="32"/>
      <c r="C379" s="78"/>
      <c r="D379" s="82" t="str">
        <f>IFERROR(IF(OR(ISTEXT(C379),C379=""),"",VLOOKUP(C379,param!A$4:B$15,2,FALSE)),"Param Not Recognised")</f>
        <v/>
      </c>
      <c r="E379" s="83" t="e">
        <f>IF(E373,INDEX($L379:$P379,E374+1),0)</f>
        <v>#NAME?</v>
      </c>
      <c r="F379" s="83" t="e">
        <f>IF(F373,INDEX($L379:$P379,F374+1),0)</f>
        <v>#NAME?</v>
      </c>
      <c r="G379" s="83" t="e">
        <f>IF(G373,INDEX($L379:$P379,G374+1),0)</f>
        <v>#NAME?</v>
      </c>
      <c r="H379" s="83" t="e">
        <f>IF(H373,INDEX($L379:$P379,H374+1),0)</f>
        <v>#NAME?</v>
      </c>
      <c r="I379" s="83" t="e">
        <f>IF(I373,INDEX($L379:$P379,I374+1),0)</f>
        <v>#NAME?</v>
      </c>
      <c r="J379" s="32"/>
      <c r="K379" s="32"/>
      <c r="L379" s="13">
        <v>0</v>
      </c>
      <c r="M379" s="13"/>
      <c r="N379" s="13"/>
      <c r="O379" s="13"/>
      <c r="P379" s="13"/>
    </row>
    <row r="380" spans="1:16">
      <c r="A380" s="10"/>
      <c r="B380" s="32"/>
      <c r="C380" s="78"/>
      <c r="D380" s="82" t="str">
        <f>IFERROR(IF(OR(ISTEXT(C380),C380=""),"",VLOOKUP(C380,param!A$4:B$15,2,FALSE)),"Param Not Recognised")</f>
        <v/>
      </c>
      <c r="E380" s="83" t="e">
        <f>IF(E373,INDEX($L380:$P380,E374+1),0)</f>
        <v>#NAME?</v>
      </c>
      <c r="F380" s="83" t="e">
        <f>IF(F373,INDEX($L380:$P380,F374+1),0)</f>
        <v>#NAME?</v>
      </c>
      <c r="G380" s="83" t="e">
        <f>IF(G373,INDEX($L380:$P380,G374+1),0)</f>
        <v>#NAME?</v>
      </c>
      <c r="H380" s="83" t="e">
        <f>IF(H373,INDEX($L380:$P380,H374+1),0)</f>
        <v>#NAME?</v>
      </c>
      <c r="I380" s="83" t="e">
        <f>IF(I373,INDEX($L380:$P380,I374+1),0)</f>
        <v>#NAME?</v>
      </c>
      <c r="J380" s="32"/>
      <c r="K380" s="32"/>
      <c r="L380" s="13">
        <v>0</v>
      </c>
      <c r="M380" s="13"/>
      <c r="N380" s="13"/>
      <c r="O380" s="13"/>
      <c r="P380" s="13"/>
    </row>
    <row r="381" spans="1:16">
      <c r="A381" s="10"/>
      <c r="B381" s="32"/>
      <c r="C381" s="78"/>
      <c r="D381" s="82" t="str">
        <f>IFERROR(IF(OR(ISTEXT(C381),C381=""),"",VLOOKUP(C381,param!A$4:B$15,2,FALSE)),"Param Not Recognised")</f>
        <v/>
      </c>
      <c r="E381" s="83" t="e">
        <f>IF(E373,INDEX($L381:$P381,E374+1),0)</f>
        <v>#NAME?</v>
      </c>
      <c r="F381" s="83" t="e">
        <f>IF(F373,INDEX($L381:$P381,F374+1),0)</f>
        <v>#NAME?</v>
      </c>
      <c r="G381" s="83" t="e">
        <f>IF(G373,INDEX($L381:$P381,G374+1),0)</f>
        <v>#NAME?</v>
      </c>
      <c r="H381" s="83" t="e">
        <f>IF(H373,INDEX($L381:$P381,H374+1),0)</f>
        <v>#NAME?</v>
      </c>
      <c r="I381" s="83" t="e">
        <f>IF(I373,INDEX($L381:$P381,I374+1),0)</f>
        <v>#NAME?</v>
      </c>
      <c r="J381" s="32"/>
      <c r="K381" s="32"/>
      <c r="L381" s="13">
        <v>0</v>
      </c>
      <c r="M381" s="13"/>
      <c r="N381" s="13"/>
      <c r="O381" s="13"/>
      <c r="P381" s="13"/>
    </row>
    <row r="382" spans="1:16">
      <c r="A382" s="10"/>
      <c r="B382" s="32"/>
      <c r="C382" s="78"/>
      <c r="D382" s="82" t="str">
        <f>IFERROR(IF(OR(ISTEXT(C382),C382=""),"",VLOOKUP(C382,param!A$4:B$15,2,FALSE)),"Param Not Recognised")</f>
        <v/>
      </c>
      <c r="E382" s="83" t="e">
        <f>IF(E373,INDEX($L382:$P382,E374+1),0)</f>
        <v>#NAME?</v>
      </c>
      <c r="F382" s="83" t="e">
        <f>IF(F373,INDEX($L382:$P382,F374+1),0)</f>
        <v>#NAME?</v>
      </c>
      <c r="G382" s="83" t="e">
        <f>IF(G373,INDEX($L382:$P382,G374+1),0)</f>
        <v>#NAME?</v>
      </c>
      <c r="H382" s="83" t="e">
        <f>IF(H373,INDEX($L382:$P382,H374+1),0)</f>
        <v>#NAME?</v>
      </c>
      <c r="I382" s="83" t="e">
        <f>IF(I373,INDEX($L382:$P382,I374+1),0)</f>
        <v>#NAME?</v>
      </c>
      <c r="J382" s="32"/>
      <c r="K382" s="32"/>
      <c r="L382" s="13">
        <v>0</v>
      </c>
      <c r="M382" s="13"/>
      <c r="N382" s="13"/>
      <c r="O382" s="13"/>
      <c r="P382" s="13"/>
    </row>
    <row r="383" spans="1:16">
      <c r="A383" s="10"/>
      <c r="B383" s="32"/>
      <c r="C383" s="78"/>
      <c r="D383" s="82" t="str">
        <f>IFERROR(IF(OR(ISTEXT(C383),C383=""),"",VLOOKUP(C383,param!A$4:B$15,2,FALSE)),"Param Not Recognised")</f>
        <v/>
      </c>
      <c r="E383" s="83" t="e">
        <f>IF(E373,INDEX($L383:$P383,E374+1),0)</f>
        <v>#NAME?</v>
      </c>
      <c r="F383" s="83" t="e">
        <f>IF(F373,INDEX($L383:$P383,F374+1),0)</f>
        <v>#NAME?</v>
      </c>
      <c r="G383" s="83" t="e">
        <f>IF(G373,INDEX($L383:$P383,G374+1),0)</f>
        <v>#NAME?</v>
      </c>
      <c r="H383" s="83" t="e">
        <f>IF(H373,INDEX($L383:$P383,H374+1),0)</f>
        <v>#NAME?</v>
      </c>
      <c r="I383" s="83" t="e">
        <f>IF(I373,INDEX($L383:$P383,I374+1),0)</f>
        <v>#NAME?</v>
      </c>
      <c r="J383" s="32"/>
      <c r="K383" s="32"/>
      <c r="L383" s="13">
        <v>0</v>
      </c>
      <c r="M383" s="13"/>
      <c r="N383" s="13"/>
      <c r="O383" s="13"/>
      <c r="P383" s="13"/>
    </row>
    <row r="384" spans="1:16">
      <c r="A384" s="10"/>
      <c r="B384" s="32"/>
      <c r="C384" s="78"/>
      <c r="D384" s="82" t="str">
        <f>IFERROR(IF(OR(ISTEXT(C384),C384=""),"",VLOOKUP(C384,param!A$4:B$15,2,FALSE)),"Param Not Recognised")</f>
        <v/>
      </c>
      <c r="E384" s="83" t="e">
        <f>IF(E373,INDEX($L384:$P384,E374+1),0)</f>
        <v>#NAME?</v>
      </c>
      <c r="F384" s="83" t="e">
        <f>IF(F373,INDEX($L384:$P384,F374+1),0)</f>
        <v>#NAME?</v>
      </c>
      <c r="G384" s="83" t="e">
        <f>IF(G373,INDEX($L384:$P384,G374+1),0)</f>
        <v>#NAME?</v>
      </c>
      <c r="H384" s="83" t="e">
        <f>IF(H373,INDEX($L384:$P384,H374+1),0)</f>
        <v>#NAME?</v>
      </c>
      <c r="I384" s="83" t="e">
        <f>IF(I373,INDEX($L384:$P384,I374+1),0)</f>
        <v>#NAME?</v>
      </c>
      <c r="J384" s="32"/>
      <c r="K384" s="32"/>
      <c r="L384" s="13">
        <v>0</v>
      </c>
      <c r="M384" s="13"/>
      <c r="N384" s="13"/>
      <c r="O384" s="13"/>
      <c r="P384" s="13"/>
    </row>
    <row r="385" spans="1:16">
      <c r="A385" s="26"/>
    </row>
    <row r="386" spans="1:16">
      <c r="A386" s="86">
        <v>30</v>
      </c>
      <c r="B386" s="38">
        <f>INDEX(SI_Name,A386+1)</f>
        <v>0</v>
      </c>
      <c r="C386" s="31" t="s">
        <v>346</v>
      </c>
      <c r="D386" s="31"/>
      <c r="E386" s="33" t="e">
        <f>VLOOKUP($A386,calcTableSIsLaunched,adj_IndexTeam+1,FALSE)</f>
        <v>#NAME?</v>
      </c>
      <c r="F386" s="33" t="e">
        <f>VLOOKUP($A386,calcTableSIsLaunched,adj_IndexTeam+1,FALSE)</f>
        <v>#NAME?</v>
      </c>
      <c r="G386" s="33" t="e">
        <f>VLOOKUP($A386,calcTableSIsLaunched,adj_IndexTeam+1,FALSE)</f>
        <v>#NAME?</v>
      </c>
      <c r="H386" s="33" t="e">
        <f>VLOOKUP($A386,calcTableSIsLaunched,adj_IndexTeam+1,FALSE)</f>
        <v>#NAME?</v>
      </c>
      <c r="I386" s="33" t="e">
        <f>VLOOKUP($A386,calcTableSIsLaunched,adj_IndexTeam+1,FALSE)</f>
        <v>#NAME?</v>
      </c>
      <c r="J386" s="15">
        <f>SUMIF(C388:C397,adj_FTECode,M388:M397)</f>
        <v>0</v>
      </c>
      <c r="K386" s="15">
        <f>SUMIF(C388:C397,adj_CostCode,M388:M397)</f>
        <v>0</v>
      </c>
      <c r="L386" s="31"/>
      <c r="M386" s="31"/>
      <c r="N386" s="31"/>
      <c r="O386" s="31"/>
      <c r="P386" s="31"/>
    </row>
    <row r="387" spans="1:16">
      <c r="A387" s="10"/>
      <c r="B387" s="32"/>
      <c r="C387" s="32" t="s">
        <v>347</v>
      </c>
      <c r="D387" s="32"/>
      <c r="E387" s="33" t="e">
        <f>VLOOKUP($A386,calcTableSIsRoundsIntoLaunch,adj_IndexTeam+1,FALSE)</f>
        <v>#NAME?</v>
      </c>
      <c r="F387" s="33" t="e">
        <f>VLOOKUP($A386,calcTableSIsRoundsIntoLaunch,adj_IndexTeam+1,FALSE)</f>
        <v>#NAME?</v>
      </c>
      <c r="G387" s="33" t="e">
        <f>VLOOKUP($A386,calcTableSIsRoundsIntoLaunch,adj_IndexTeam+1,FALSE)</f>
        <v>#NAME?</v>
      </c>
      <c r="H387" s="33" t="e">
        <f>VLOOKUP($A386,calcTableSIsRoundsIntoLaunch,adj_IndexTeam+1,FALSE)</f>
        <v>#NAME?</v>
      </c>
      <c r="I387" s="33" t="e">
        <f>VLOOKUP($A386,calcTableSIsRoundsIntoLaunch,adj_IndexTeam+1,FALSE)</f>
        <v>#NAME?</v>
      </c>
      <c r="J387" s="32"/>
      <c r="K387" s="32"/>
      <c r="L387" s="32"/>
      <c r="M387" s="32"/>
      <c r="N387" s="32"/>
      <c r="O387" s="32"/>
      <c r="P387" s="32"/>
    </row>
    <row r="388" spans="1:16">
      <c r="A388" s="10"/>
      <c r="B388" s="32"/>
      <c r="C388" s="78">
        <v>1002</v>
      </c>
      <c r="D388" s="82" t="str">
        <f>IFERROR(IF(OR(ISTEXT(C388),C388=""),"",VLOOKUP(C388,param!A$4:B$15,2,FALSE)),"Param Not Recognised")</f>
        <v>FTEs</v>
      </c>
      <c r="E388" s="83" t="e">
        <f>IF(E386,INDEX($L388:$P388,E387+1),0)</f>
        <v>#NAME?</v>
      </c>
      <c r="F388" s="83" t="e">
        <f>IF(F386,INDEX($L388:$P388,F387+1),0)</f>
        <v>#NAME?</v>
      </c>
      <c r="G388" s="83" t="e">
        <f>IF(G386,INDEX($L388:$P388,G387+1),0)</f>
        <v>#NAME?</v>
      </c>
      <c r="H388" s="83" t="e">
        <f>IF(H386,INDEX($L388:$P388,H387+1),0)</f>
        <v>#NAME?</v>
      </c>
      <c r="I388" s="83" t="e">
        <f>IF(I386,INDEX($L388:$P388,I387+1),0)</f>
        <v>#NAME?</v>
      </c>
      <c r="J388" s="32"/>
      <c r="K388" s="32"/>
      <c r="L388" s="13">
        <v>0</v>
      </c>
      <c r="M388" s="13"/>
      <c r="N388" s="13"/>
      <c r="O388" s="13"/>
      <c r="P388" s="13"/>
    </row>
    <row r="389" spans="1:16">
      <c r="A389" s="10"/>
      <c r="B389" s="32"/>
      <c r="C389" s="78"/>
      <c r="D389" s="82" t="str">
        <f>IFERROR(IF(OR(ISTEXT(C389),C389=""),"",VLOOKUP(C389,param!A$4:B$15,2,FALSE)),"Param Not Recognised")</f>
        <v/>
      </c>
      <c r="E389" s="83" t="e">
        <f>IF(E386,INDEX($L389:$P389,E387+1),0)</f>
        <v>#NAME?</v>
      </c>
      <c r="F389" s="83" t="e">
        <f>IF(F386,INDEX($L389:$P389,F387+1),0)</f>
        <v>#NAME?</v>
      </c>
      <c r="G389" s="83" t="e">
        <f>IF(G386,INDEX($L389:$P389,G387+1),0)</f>
        <v>#NAME?</v>
      </c>
      <c r="H389" s="83" t="e">
        <f>IF(H386,INDEX($L389:$P389,H387+1),0)</f>
        <v>#NAME?</v>
      </c>
      <c r="I389" s="83" t="e">
        <f>IF(I386,INDEX($L389:$P389,I387+1),0)</f>
        <v>#NAME?</v>
      </c>
      <c r="J389" s="32"/>
      <c r="K389" s="32"/>
      <c r="L389" s="13">
        <v>0</v>
      </c>
      <c r="M389" s="13"/>
      <c r="N389" s="13"/>
      <c r="O389" s="13"/>
      <c r="P389" s="13"/>
    </row>
    <row r="390" spans="1:16">
      <c r="A390" s="10"/>
      <c r="B390" s="32"/>
      <c r="C390" s="78"/>
      <c r="D390" s="82" t="str">
        <f>IFERROR(IF(OR(ISTEXT(C390),C390=""),"",VLOOKUP(C390,param!A$4:B$15,2,FALSE)),"Param Not Recognised")</f>
        <v/>
      </c>
      <c r="E390" s="83" t="e">
        <f>IF(E386,INDEX($L390:$P390,E387+1),0)</f>
        <v>#NAME?</v>
      </c>
      <c r="F390" s="83" t="e">
        <f>IF(F386,INDEX($L390:$P390,F387+1),0)</f>
        <v>#NAME?</v>
      </c>
      <c r="G390" s="83" t="e">
        <f>IF(G386,INDEX($L390:$P390,G387+1),0)</f>
        <v>#NAME?</v>
      </c>
      <c r="H390" s="83" t="e">
        <f>IF(H386,INDEX($L390:$P390,H387+1),0)</f>
        <v>#NAME?</v>
      </c>
      <c r="I390" s="83" t="e">
        <f>IF(I386,INDEX($L390:$P390,I387+1),0)</f>
        <v>#NAME?</v>
      </c>
      <c r="J390" s="32"/>
      <c r="K390" s="32"/>
      <c r="L390" s="13">
        <v>0</v>
      </c>
      <c r="M390" s="13"/>
      <c r="N390" s="13"/>
      <c r="O390" s="13"/>
      <c r="P390" s="13"/>
    </row>
    <row r="391" spans="1:16">
      <c r="A391" s="10"/>
      <c r="B391" s="32"/>
      <c r="C391" s="78"/>
      <c r="D391" s="82" t="str">
        <f>IFERROR(IF(OR(ISTEXT(C391),C391=""),"",VLOOKUP(C391,param!A$4:B$15,2,FALSE)),"Param Not Recognised")</f>
        <v/>
      </c>
      <c r="E391" s="83" t="e">
        <f>IF(E386,INDEX($L391:$P391,E387+1),0)</f>
        <v>#NAME?</v>
      </c>
      <c r="F391" s="83" t="e">
        <f>IF(F386,INDEX($L391:$P391,F387+1),0)</f>
        <v>#NAME?</v>
      </c>
      <c r="G391" s="83" t="e">
        <f>IF(G386,INDEX($L391:$P391,G387+1),0)</f>
        <v>#NAME?</v>
      </c>
      <c r="H391" s="83" t="e">
        <f>IF(H386,INDEX($L391:$P391,H387+1),0)</f>
        <v>#NAME?</v>
      </c>
      <c r="I391" s="83" t="e">
        <f>IF(I386,INDEX($L391:$P391,I387+1),0)</f>
        <v>#NAME?</v>
      </c>
      <c r="J391" s="32"/>
      <c r="K391" s="32"/>
      <c r="L391" s="13">
        <v>0</v>
      </c>
      <c r="M391" s="13"/>
      <c r="N391" s="13"/>
      <c r="O391" s="13"/>
      <c r="P391" s="13"/>
    </row>
    <row r="392" spans="1:16">
      <c r="A392" s="10"/>
      <c r="B392" s="32"/>
      <c r="C392" s="78"/>
      <c r="D392" s="82" t="str">
        <f>IFERROR(IF(OR(ISTEXT(C392),C392=""),"",VLOOKUP(C392,param!A$4:B$15,2,FALSE)),"Param Not Recognised")</f>
        <v/>
      </c>
      <c r="E392" s="83" t="e">
        <f>IF(E386,INDEX($L392:$P392,E387+1),0)</f>
        <v>#NAME?</v>
      </c>
      <c r="F392" s="83" t="e">
        <f>IF(F386,INDEX($L392:$P392,F387+1),0)</f>
        <v>#NAME?</v>
      </c>
      <c r="G392" s="83" t="e">
        <f>IF(G386,INDEX($L392:$P392,G387+1),0)</f>
        <v>#NAME?</v>
      </c>
      <c r="H392" s="83" t="e">
        <f>IF(H386,INDEX($L392:$P392,H387+1),0)</f>
        <v>#NAME?</v>
      </c>
      <c r="I392" s="83" t="e">
        <f>IF(I386,INDEX($L392:$P392,I387+1),0)</f>
        <v>#NAME?</v>
      </c>
      <c r="J392" s="32"/>
      <c r="K392" s="32"/>
      <c r="L392" s="13">
        <v>0</v>
      </c>
      <c r="M392" s="13"/>
      <c r="N392" s="13"/>
      <c r="O392" s="13"/>
      <c r="P392" s="13"/>
    </row>
    <row r="393" spans="1:16">
      <c r="A393" s="10"/>
      <c r="B393" s="32"/>
      <c r="C393" s="78"/>
      <c r="D393" s="82" t="str">
        <f>IFERROR(IF(OR(ISTEXT(C393),C393=""),"",VLOOKUP(C393,param!A$4:B$15,2,FALSE)),"Param Not Recognised")</f>
        <v/>
      </c>
      <c r="E393" s="83" t="e">
        <f>IF(E386,INDEX($L393:$P393,E387+1),0)</f>
        <v>#NAME?</v>
      </c>
      <c r="F393" s="83" t="e">
        <f>IF(F386,INDEX($L393:$P393,F387+1),0)</f>
        <v>#NAME?</v>
      </c>
      <c r="G393" s="83" t="e">
        <f>IF(G386,INDEX($L393:$P393,G387+1),0)</f>
        <v>#NAME?</v>
      </c>
      <c r="H393" s="83" t="e">
        <f>IF(H386,INDEX($L393:$P393,H387+1),0)</f>
        <v>#NAME?</v>
      </c>
      <c r="I393" s="83" t="e">
        <f>IF(I386,INDEX($L393:$P393,I387+1),0)</f>
        <v>#NAME?</v>
      </c>
      <c r="J393" s="32"/>
      <c r="K393" s="32"/>
      <c r="L393" s="13">
        <v>0</v>
      </c>
      <c r="M393" s="13"/>
      <c r="N393" s="13"/>
      <c r="O393" s="13"/>
      <c r="P393" s="13"/>
    </row>
    <row r="394" spans="1:16">
      <c r="A394" s="10"/>
      <c r="B394" s="32"/>
      <c r="C394" s="78"/>
      <c r="D394" s="82" t="str">
        <f>IFERROR(IF(OR(ISTEXT(C394),C394=""),"",VLOOKUP(C394,param!A$4:B$15,2,FALSE)),"Param Not Recognised")</f>
        <v/>
      </c>
      <c r="E394" s="83" t="e">
        <f>IF(E386,INDEX($L394:$P394,E387+1),0)</f>
        <v>#NAME?</v>
      </c>
      <c r="F394" s="83" t="e">
        <f>IF(F386,INDEX($L394:$P394,F387+1),0)</f>
        <v>#NAME?</v>
      </c>
      <c r="G394" s="83" t="e">
        <f>IF(G386,INDEX($L394:$P394,G387+1),0)</f>
        <v>#NAME?</v>
      </c>
      <c r="H394" s="83" t="e">
        <f>IF(H386,INDEX($L394:$P394,H387+1),0)</f>
        <v>#NAME?</v>
      </c>
      <c r="I394" s="83" t="e">
        <f>IF(I386,INDEX($L394:$P394,I387+1),0)</f>
        <v>#NAME?</v>
      </c>
      <c r="J394" s="32"/>
      <c r="K394" s="32"/>
      <c r="L394" s="13">
        <v>0</v>
      </c>
      <c r="M394" s="13"/>
      <c r="N394" s="13"/>
      <c r="O394" s="13"/>
      <c r="P394" s="13"/>
    </row>
    <row r="395" spans="1:16">
      <c r="A395" s="10"/>
      <c r="B395" s="32"/>
      <c r="C395" s="78"/>
      <c r="D395" s="82" t="str">
        <f>IFERROR(IF(OR(ISTEXT(C395),C395=""),"",VLOOKUP(C395,param!A$4:B$15,2,FALSE)),"Param Not Recognised")</f>
        <v/>
      </c>
      <c r="E395" s="83" t="e">
        <f>IF(E386,INDEX($L395:$P395,E387+1),0)</f>
        <v>#NAME?</v>
      </c>
      <c r="F395" s="83" t="e">
        <f>IF(F386,INDEX($L395:$P395,F387+1),0)</f>
        <v>#NAME?</v>
      </c>
      <c r="G395" s="83" t="e">
        <f>IF(G386,INDEX($L395:$P395,G387+1),0)</f>
        <v>#NAME?</v>
      </c>
      <c r="H395" s="83" t="e">
        <f>IF(H386,INDEX($L395:$P395,H387+1),0)</f>
        <v>#NAME?</v>
      </c>
      <c r="I395" s="83" t="e">
        <f>IF(I386,INDEX($L395:$P395,I387+1),0)</f>
        <v>#NAME?</v>
      </c>
      <c r="J395" s="32"/>
      <c r="K395" s="32"/>
      <c r="L395" s="13">
        <v>0</v>
      </c>
      <c r="M395" s="13"/>
      <c r="N395" s="13"/>
      <c r="O395" s="13"/>
      <c r="P395" s="13"/>
    </row>
    <row r="396" spans="1:16">
      <c r="A396" s="10"/>
      <c r="B396" s="32"/>
      <c r="C396" s="78"/>
      <c r="D396" s="82" t="str">
        <f>IFERROR(IF(OR(ISTEXT(C396),C396=""),"",VLOOKUP(C396,param!A$4:B$15,2,FALSE)),"Param Not Recognised")</f>
        <v/>
      </c>
      <c r="E396" s="83" t="e">
        <f>IF(E386,INDEX($L396:$P396,E387+1),0)</f>
        <v>#NAME?</v>
      </c>
      <c r="F396" s="83" t="e">
        <f>IF(F386,INDEX($L396:$P396,F387+1),0)</f>
        <v>#NAME?</v>
      </c>
      <c r="G396" s="83" t="e">
        <f>IF(G386,INDEX($L396:$P396,G387+1),0)</f>
        <v>#NAME?</v>
      </c>
      <c r="H396" s="83" t="e">
        <f>IF(H386,INDEX($L396:$P396,H387+1),0)</f>
        <v>#NAME?</v>
      </c>
      <c r="I396" s="83" t="e">
        <f>IF(I386,INDEX($L396:$P396,I387+1),0)</f>
        <v>#NAME?</v>
      </c>
      <c r="J396" s="32"/>
      <c r="K396" s="32"/>
      <c r="L396" s="13">
        <v>0</v>
      </c>
      <c r="M396" s="13"/>
      <c r="N396" s="13"/>
      <c r="O396" s="13"/>
      <c r="P396" s="13"/>
    </row>
    <row r="397" spans="1:16">
      <c r="A397" s="10"/>
      <c r="B397" s="32"/>
      <c r="C397" s="78"/>
      <c r="D397" s="82" t="str">
        <f>IFERROR(IF(OR(ISTEXT(C397),C397=""),"",VLOOKUP(C397,param!A$4:B$15,2,FALSE)),"Param Not Recognised")</f>
        <v/>
      </c>
      <c r="E397" s="83" t="e">
        <f>IF(E386,INDEX($L397:$P397,E387+1),0)</f>
        <v>#NAME?</v>
      </c>
      <c r="F397" s="83" t="e">
        <f>IF(F386,INDEX($L397:$P397,F387+1),0)</f>
        <v>#NAME?</v>
      </c>
      <c r="G397" s="83" t="e">
        <f>IF(G386,INDEX($L397:$P397,G387+1),0)</f>
        <v>#NAME?</v>
      </c>
      <c r="H397" s="83" t="e">
        <f>IF(H386,INDEX($L397:$P397,H387+1),0)</f>
        <v>#NAME?</v>
      </c>
      <c r="I397" s="83" t="e">
        <f>IF(I386,INDEX($L397:$P397,I387+1),0)</f>
        <v>#NAME?</v>
      </c>
      <c r="J397" s="32"/>
      <c r="K397" s="32"/>
      <c r="L397" s="13">
        <v>0</v>
      </c>
      <c r="M397" s="13"/>
      <c r="N397" s="13"/>
      <c r="O397" s="13"/>
      <c r="P397" s="13"/>
    </row>
    <row r="398" spans="1:16">
      <c r="A398" s="26"/>
    </row>
    <row r="399" spans="1:16">
      <c r="A399" s="86">
        <v>31</v>
      </c>
      <c r="B399" s="38">
        <f>INDEX(SI_Name,A399+1)</f>
        <v>0</v>
      </c>
      <c r="C399" s="31" t="s">
        <v>346</v>
      </c>
      <c r="D399" s="31"/>
      <c r="E399" s="33" t="e">
        <f>VLOOKUP($A399,calcTableSIsLaunched,adj_IndexTeam+1,FALSE)</f>
        <v>#NAME?</v>
      </c>
      <c r="F399" s="33" t="e">
        <f>VLOOKUP($A399,calcTableSIsLaunched,adj_IndexTeam+1,FALSE)</f>
        <v>#NAME?</v>
      </c>
      <c r="G399" s="33" t="e">
        <f>VLOOKUP($A399,calcTableSIsLaunched,adj_IndexTeam+1,FALSE)</f>
        <v>#NAME?</v>
      </c>
      <c r="H399" s="33" t="e">
        <f>VLOOKUP($A399,calcTableSIsLaunched,adj_IndexTeam+1,FALSE)</f>
        <v>#NAME?</v>
      </c>
      <c r="I399" s="33" t="e">
        <f>VLOOKUP($A399,calcTableSIsLaunched,adj_IndexTeam+1,FALSE)</f>
        <v>#NAME?</v>
      </c>
      <c r="J399" s="15">
        <f>SUMIF(C401:C410,adj_FTECode,M401:M410)</f>
        <v>0</v>
      </c>
      <c r="K399" s="15">
        <f>SUMIF(C401:C410,adj_CostCode,M401:M410)</f>
        <v>0</v>
      </c>
      <c r="L399" s="31"/>
      <c r="M399" s="31"/>
      <c r="N399" s="31"/>
      <c r="O399" s="31"/>
      <c r="P399" s="31"/>
    </row>
    <row r="400" spans="1:16">
      <c r="A400" s="10"/>
      <c r="B400" s="32"/>
      <c r="C400" s="32" t="s">
        <v>347</v>
      </c>
      <c r="D400" s="32"/>
      <c r="E400" s="33" t="e">
        <f>VLOOKUP($A399,calcTableSIsRoundsIntoLaunch,adj_IndexTeam+1,FALSE)</f>
        <v>#NAME?</v>
      </c>
      <c r="F400" s="33" t="e">
        <f>VLOOKUP($A399,calcTableSIsRoundsIntoLaunch,adj_IndexTeam+1,FALSE)</f>
        <v>#NAME?</v>
      </c>
      <c r="G400" s="33" t="e">
        <f>VLOOKUP($A399,calcTableSIsRoundsIntoLaunch,adj_IndexTeam+1,FALSE)</f>
        <v>#NAME?</v>
      </c>
      <c r="H400" s="33" t="e">
        <f>VLOOKUP($A399,calcTableSIsRoundsIntoLaunch,adj_IndexTeam+1,FALSE)</f>
        <v>#NAME?</v>
      </c>
      <c r="I400" s="33" t="e">
        <f>VLOOKUP($A399,calcTableSIsRoundsIntoLaunch,adj_IndexTeam+1,FALSE)</f>
        <v>#NAME?</v>
      </c>
      <c r="J400" s="32"/>
      <c r="K400" s="32"/>
      <c r="L400" s="32"/>
      <c r="M400" s="32"/>
      <c r="N400" s="32"/>
      <c r="O400" s="32"/>
      <c r="P400" s="32"/>
    </row>
    <row r="401" spans="1:16">
      <c r="A401" s="10"/>
      <c r="B401" s="32"/>
      <c r="C401" s="78">
        <v>1002</v>
      </c>
      <c r="D401" s="82" t="str">
        <f>IFERROR(IF(OR(ISTEXT(C401),C401=""),"",VLOOKUP(C401,param!A$4:B$15,2,FALSE)),"Param Not Recognised")</f>
        <v>FTEs</v>
      </c>
      <c r="E401" s="83" t="e">
        <f>IF(E399,INDEX($L401:$P401,E400+1),0)</f>
        <v>#NAME?</v>
      </c>
      <c r="F401" s="83" t="e">
        <f>IF(F399,INDEX($L401:$P401,F400+1),0)</f>
        <v>#NAME?</v>
      </c>
      <c r="G401" s="83" t="e">
        <f>IF(G399,INDEX($L401:$P401,G400+1),0)</f>
        <v>#NAME?</v>
      </c>
      <c r="H401" s="83" t="e">
        <f>IF(H399,INDEX($L401:$P401,H400+1),0)</f>
        <v>#NAME?</v>
      </c>
      <c r="I401" s="83" t="e">
        <f>IF(I399,INDEX($L401:$P401,I400+1),0)</f>
        <v>#NAME?</v>
      </c>
      <c r="J401" s="32"/>
      <c r="K401" s="32"/>
      <c r="L401" s="13">
        <v>0</v>
      </c>
      <c r="M401" s="13"/>
      <c r="N401" s="13"/>
      <c r="O401" s="13"/>
      <c r="P401" s="13"/>
    </row>
    <row r="402" spans="1:16">
      <c r="A402" s="10"/>
      <c r="B402" s="32"/>
      <c r="C402" s="78"/>
      <c r="D402" s="82" t="str">
        <f>IFERROR(IF(OR(ISTEXT(C402),C402=""),"",VLOOKUP(C402,param!A$4:B$15,2,FALSE)),"Param Not Recognised")</f>
        <v/>
      </c>
      <c r="E402" s="83" t="e">
        <f>IF(E399,INDEX($L402:$P402,E400+1),0)</f>
        <v>#NAME?</v>
      </c>
      <c r="F402" s="83" t="e">
        <f>IF(F399,INDEX($L402:$P402,F400+1),0)</f>
        <v>#NAME?</v>
      </c>
      <c r="G402" s="83" t="e">
        <f>IF(G399,INDEX($L402:$P402,G400+1),0)</f>
        <v>#NAME?</v>
      </c>
      <c r="H402" s="83" t="e">
        <f>IF(H399,INDEX($L402:$P402,H400+1),0)</f>
        <v>#NAME?</v>
      </c>
      <c r="I402" s="83" t="e">
        <f>IF(I399,INDEX($L402:$P402,I400+1),0)</f>
        <v>#NAME?</v>
      </c>
      <c r="J402" s="32"/>
      <c r="K402" s="32"/>
      <c r="L402" s="13">
        <v>0</v>
      </c>
      <c r="M402" s="13"/>
      <c r="N402" s="13"/>
      <c r="O402" s="13"/>
      <c r="P402" s="13"/>
    </row>
    <row r="403" spans="1:16">
      <c r="A403" s="10"/>
      <c r="B403" s="32"/>
      <c r="C403" s="78"/>
      <c r="D403" s="82" t="str">
        <f>IFERROR(IF(OR(ISTEXT(C403),C403=""),"",VLOOKUP(C403,param!A$4:B$15,2,FALSE)),"Param Not Recognised")</f>
        <v/>
      </c>
      <c r="E403" s="83" t="e">
        <f>IF(E399,INDEX($L403:$P403,E400+1),0)</f>
        <v>#NAME?</v>
      </c>
      <c r="F403" s="83" t="e">
        <f>IF(F399,INDEX($L403:$P403,F400+1),0)</f>
        <v>#NAME?</v>
      </c>
      <c r="G403" s="83" t="e">
        <f>IF(G399,INDEX($L403:$P403,G400+1),0)</f>
        <v>#NAME?</v>
      </c>
      <c r="H403" s="83" t="e">
        <f>IF(H399,INDEX($L403:$P403,H400+1),0)</f>
        <v>#NAME?</v>
      </c>
      <c r="I403" s="83" t="e">
        <f>IF(I399,INDEX($L403:$P403,I400+1),0)</f>
        <v>#NAME?</v>
      </c>
      <c r="J403" s="32"/>
      <c r="K403" s="32"/>
      <c r="L403" s="13">
        <v>0</v>
      </c>
      <c r="M403" s="13"/>
      <c r="N403" s="13"/>
      <c r="O403" s="13"/>
      <c r="P403" s="13"/>
    </row>
    <row r="404" spans="1:16">
      <c r="A404" s="10"/>
      <c r="B404" s="32"/>
      <c r="C404" s="78"/>
      <c r="D404" s="82" t="str">
        <f>IFERROR(IF(OR(ISTEXT(C404),C404=""),"",VLOOKUP(C404,param!A$4:B$15,2,FALSE)),"Param Not Recognised")</f>
        <v/>
      </c>
      <c r="E404" s="83" t="e">
        <f>IF(E399,INDEX($L404:$P404,E400+1),0)</f>
        <v>#NAME?</v>
      </c>
      <c r="F404" s="83" t="e">
        <f>IF(F399,INDEX($L404:$P404,F400+1),0)</f>
        <v>#NAME?</v>
      </c>
      <c r="G404" s="83" t="e">
        <f>IF(G399,INDEX($L404:$P404,G400+1),0)</f>
        <v>#NAME?</v>
      </c>
      <c r="H404" s="83" t="e">
        <f>IF(H399,INDEX($L404:$P404,H400+1),0)</f>
        <v>#NAME?</v>
      </c>
      <c r="I404" s="83" t="e">
        <f>IF(I399,INDEX($L404:$P404,I400+1),0)</f>
        <v>#NAME?</v>
      </c>
      <c r="J404" s="32"/>
      <c r="K404" s="32"/>
      <c r="L404" s="13">
        <v>0</v>
      </c>
      <c r="M404" s="13"/>
      <c r="N404" s="13"/>
      <c r="O404" s="13"/>
      <c r="P404" s="13"/>
    </row>
    <row r="405" spans="1:16">
      <c r="A405" s="10"/>
      <c r="B405" s="32"/>
      <c r="C405" s="78"/>
      <c r="D405" s="82" t="str">
        <f>IFERROR(IF(OR(ISTEXT(C405),C405=""),"",VLOOKUP(C405,param!A$4:B$15,2,FALSE)),"Param Not Recognised")</f>
        <v/>
      </c>
      <c r="E405" s="83" t="e">
        <f>IF(E399,INDEX($L405:$P405,E400+1),0)</f>
        <v>#NAME?</v>
      </c>
      <c r="F405" s="83" t="e">
        <f>IF(F399,INDEX($L405:$P405,F400+1),0)</f>
        <v>#NAME?</v>
      </c>
      <c r="G405" s="83" t="e">
        <f>IF(G399,INDEX($L405:$P405,G400+1),0)</f>
        <v>#NAME?</v>
      </c>
      <c r="H405" s="83" t="e">
        <f>IF(H399,INDEX($L405:$P405,H400+1),0)</f>
        <v>#NAME?</v>
      </c>
      <c r="I405" s="83" t="e">
        <f>IF(I399,INDEX($L405:$P405,I400+1),0)</f>
        <v>#NAME?</v>
      </c>
      <c r="J405" s="32"/>
      <c r="K405" s="32"/>
      <c r="L405" s="13">
        <v>0</v>
      </c>
      <c r="M405" s="13"/>
      <c r="N405" s="13"/>
      <c r="O405" s="13"/>
      <c r="P405" s="13"/>
    </row>
    <row r="406" spans="1:16">
      <c r="A406" s="10"/>
      <c r="B406" s="32"/>
      <c r="C406" s="78"/>
      <c r="D406" s="82" t="str">
        <f>IFERROR(IF(OR(ISTEXT(C406),C406=""),"",VLOOKUP(C406,param!A$4:B$15,2,FALSE)),"Param Not Recognised")</f>
        <v/>
      </c>
      <c r="E406" s="83" t="e">
        <f>IF(E399,INDEX($L406:$P406,E400+1),0)</f>
        <v>#NAME?</v>
      </c>
      <c r="F406" s="83" t="e">
        <f>IF(F399,INDEX($L406:$P406,F400+1),0)</f>
        <v>#NAME?</v>
      </c>
      <c r="G406" s="83" t="e">
        <f>IF(G399,INDEX($L406:$P406,G400+1),0)</f>
        <v>#NAME?</v>
      </c>
      <c r="H406" s="83" t="e">
        <f>IF(H399,INDEX($L406:$P406,H400+1),0)</f>
        <v>#NAME?</v>
      </c>
      <c r="I406" s="83" t="e">
        <f>IF(I399,INDEX($L406:$P406,I400+1),0)</f>
        <v>#NAME?</v>
      </c>
      <c r="J406" s="32"/>
      <c r="K406" s="32"/>
      <c r="L406" s="13">
        <v>0</v>
      </c>
      <c r="M406" s="13"/>
      <c r="N406" s="13"/>
      <c r="O406" s="13"/>
      <c r="P406" s="13"/>
    </row>
    <row r="407" spans="1:16">
      <c r="A407" s="10"/>
      <c r="B407" s="32"/>
      <c r="C407" s="78"/>
      <c r="D407" s="82" t="str">
        <f>IFERROR(IF(OR(ISTEXT(C407),C407=""),"",VLOOKUP(C407,param!A$4:B$15,2,FALSE)),"Param Not Recognised")</f>
        <v/>
      </c>
      <c r="E407" s="83" t="e">
        <f>IF(E399,INDEX($L407:$P407,E400+1),0)</f>
        <v>#NAME?</v>
      </c>
      <c r="F407" s="83" t="e">
        <f>IF(F399,INDEX($L407:$P407,F400+1),0)</f>
        <v>#NAME?</v>
      </c>
      <c r="G407" s="83" t="e">
        <f>IF(G399,INDEX($L407:$P407,G400+1),0)</f>
        <v>#NAME?</v>
      </c>
      <c r="H407" s="83" t="e">
        <f>IF(H399,INDEX($L407:$P407,H400+1),0)</f>
        <v>#NAME?</v>
      </c>
      <c r="I407" s="83" t="e">
        <f>IF(I399,INDEX($L407:$P407,I400+1),0)</f>
        <v>#NAME?</v>
      </c>
      <c r="J407" s="32"/>
      <c r="K407" s="32"/>
      <c r="L407" s="13">
        <v>0</v>
      </c>
      <c r="M407" s="13"/>
      <c r="N407" s="13"/>
      <c r="O407" s="13"/>
      <c r="P407" s="13"/>
    </row>
    <row r="408" spans="1:16">
      <c r="A408" s="10"/>
      <c r="B408" s="32"/>
      <c r="C408" s="78"/>
      <c r="D408" s="82" t="str">
        <f>IFERROR(IF(OR(ISTEXT(C408),C408=""),"",VLOOKUP(C408,param!A$4:B$15,2,FALSE)),"Param Not Recognised")</f>
        <v/>
      </c>
      <c r="E408" s="83" t="e">
        <f>IF(E399,INDEX($L408:$P408,E400+1),0)</f>
        <v>#NAME?</v>
      </c>
      <c r="F408" s="83" t="e">
        <f>IF(F399,INDEX($L408:$P408,F400+1),0)</f>
        <v>#NAME?</v>
      </c>
      <c r="G408" s="83" t="e">
        <f>IF(G399,INDEX($L408:$P408,G400+1),0)</f>
        <v>#NAME?</v>
      </c>
      <c r="H408" s="83" t="e">
        <f>IF(H399,INDEX($L408:$P408,H400+1),0)</f>
        <v>#NAME?</v>
      </c>
      <c r="I408" s="83" t="e">
        <f>IF(I399,INDEX($L408:$P408,I400+1),0)</f>
        <v>#NAME?</v>
      </c>
      <c r="J408" s="32"/>
      <c r="K408" s="32"/>
      <c r="L408" s="13">
        <v>0</v>
      </c>
      <c r="M408" s="13"/>
      <c r="N408" s="13"/>
      <c r="O408" s="13"/>
      <c r="P408" s="13"/>
    </row>
    <row r="409" spans="1:16">
      <c r="A409" s="10"/>
      <c r="B409" s="32"/>
      <c r="C409" s="78"/>
      <c r="D409" s="82" t="str">
        <f>IFERROR(IF(OR(ISTEXT(C409),C409=""),"",VLOOKUP(C409,param!A$4:B$15,2,FALSE)),"Param Not Recognised")</f>
        <v/>
      </c>
      <c r="E409" s="83" t="e">
        <f>IF(E399,INDEX($L409:$P409,E400+1),0)</f>
        <v>#NAME?</v>
      </c>
      <c r="F409" s="83" t="e">
        <f>IF(F399,INDEX($L409:$P409,F400+1),0)</f>
        <v>#NAME?</v>
      </c>
      <c r="G409" s="83" t="e">
        <f>IF(G399,INDEX($L409:$P409,G400+1),0)</f>
        <v>#NAME?</v>
      </c>
      <c r="H409" s="83" t="e">
        <f>IF(H399,INDEX($L409:$P409,H400+1),0)</f>
        <v>#NAME?</v>
      </c>
      <c r="I409" s="83" t="e">
        <f>IF(I399,INDEX($L409:$P409,I400+1),0)</f>
        <v>#NAME?</v>
      </c>
      <c r="J409" s="32"/>
      <c r="K409" s="32"/>
      <c r="L409" s="13">
        <v>0</v>
      </c>
      <c r="M409" s="13"/>
      <c r="N409" s="13"/>
      <c r="O409" s="13"/>
      <c r="P409" s="13"/>
    </row>
    <row r="410" spans="1:16">
      <c r="A410" s="10"/>
      <c r="B410" s="32"/>
      <c r="C410" s="78"/>
      <c r="D410" s="82" t="str">
        <f>IFERROR(IF(OR(ISTEXT(C410),C410=""),"",VLOOKUP(C410,param!A$4:B$15,2,FALSE)),"Param Not Recognised")</f>
        <v/>
      </c>
      <c r="E410" s="83" t="e">
        <f>IF(E399,INDEX($L410:$P410,E400+1),0)</f>
        <v>#NAME?</v>
      </c>
      <c r="F410" s="83" t="e">
        <f>IF(F399,INDEX($L410:$P410,F400+1),0)</f>
        <v>#NAME?</v>
      </c>
      <c r="G410" s="83" t="e">
        <f>IF(G399,INDEX($L410:$P410,G400+1),0)</f>
        <v>#NAME?</v>
      </c>
      <c r="H410" s="83" t="e">
        <f>IF(H399,INDEX($L410:$P410,H400+1),0)</f>
        <v>#NAME?</v>
      </c>
      <c r="I410" s="83" t="e">
        <f>IF(I399,INDEX($L410:$P410,I400+1),0)</f>
        <v>#NAME?</v>
      </c>
      <c r="J410" s="32"/>
      <c r="K410" s="32"/>
      <c r="L410" s="13">
        <v>0</v>
      </c>
      <c r="M410" s="13"/>
      <c r="N410" s="13"/>
      <c r="O410" s="13"/>
      <c r="P410" s="13"/>
    </row>
    <row r="411" spans="1:16">
      <c r="A411" s="26"/>
    </row>
    <row r="412" spans="1:16">
      <c r="A412" s="86">
        <v>32</v>
      </c>
      <c r="B412" s="38">
        <f>INDEX(SI_Name,A412+1)</f>
        <v>0</v>
      </c>
      <c r="C412" s="31" t="s">
        <v>346</v>
      </c>
      <c r="D412" s="31"/>
      <c r="E412" s="33" t="e">
        <f>VLOOKUP($A412,calcTableSIsLaunched,adj_IndexTeam+1,FALSE)</f>
        <v>#NAME?</v>
      </c>
      <c r="F412" s="33" t="e">
        <f>VLOOKUP($A412,calcTableSIsLaunched,adj_IndexTeam+1,FALSE)</f>
        <v>#NAME?</v>
      </c>
      <c r="G412" s="33" t="e">
        <f>VLOOKUP($A412,calcTableSIsLaunched,adj_IndexTeam+1,FALSE)</f>
        <v>#NAME?</v>
      </c>
      <c r="H412" s="33" t="e">
        <f>VLOOKUP($A412,calcTableSIsLaunched,adj_IndexTeam+1,FALSE)</f>
        <v>#NAME?</v>
      </c>
      <c r="I412" s="33" t="e">
        <f>VLOOKUP($A412,calcTableSIsLaunched,adj_IndexTeam+1,FALSE)</f>
        <v>#NAME?</v>
      </c>
      <c r="J412" s="15">
        <f>SUMIF(C414:C423,adj_FTECode,M414:M423)</f>
        <v>0</v>
      </c>
      <c r="K412" s="15">
        <f>SUMIF(C414:C423,adj_CostCode,M414:M423)</f>
        <v>0</v>
      </c>
      <c r="L412" s="31"/>
      <c r="M412" s="31"/>
      <c r="N412" s="31"/>
      <c r="O412" s="31"/>
      <c r="P412" s="31"/>
    </row>
    <row r="413" spans="1:16">
      <c r="A413" s="10"/>
      <c r="B413" s="32"/>
      <c r="C413" s="32" t="s">
        <v>347</v>
      </c>
      <c r="D413" s="32"/>
      <c r="E413" s="33" t="e">
        <f>VLOOKUP($A412,calcTableSIsRoundsIntoLaunch,adj_IndexTeam+1,FALSE)</f>
        <v>#NAME?</v>
      </c>
      <c r="F413" s="33" t="e">
        <f>VLOOKUP($A412,calcTableSIsRoundsIntoLaunch,adj_IndexTeam+1,FALSE)</f>
        <v>#NAME?</v>
      </c>
      <c r="G413" s="33" t="e">
        <f>VLOOKUP($A412,calcTableSIsRoundsIntoLaunch,adj_IndexTeam+1,FALSE)</f>
        <v>#NAME?</v>
      </c>
      <c r="H413" s="33" t="e">
        <f>VLOOKUP($A412,calcTableSIsRoundsIntoLaunch,adj_IndexTeam+1,FALSE)</f>
        <v>#NAME?</v>
      </c>
      <c r="I413" s="33" t="e">
        <f>VLOOKUP($A412,calcTableSIsRoundsIntoLaunch,adj_IndexTeam+1,FALSE)</f>
        <v>#NAME?</v>
      </c>
      <c r="J413" s="32"/>
      <c r="K413" s="32"/>
      <c r="L413" s="32"/>
      <c r="M413" s="32"/>
      <c r="N413" s="32"/>
      <c r="O413" s="32"/>
      <c r="P413" s="32"/>
    </row>
    <row r="414" spans="1:16">
      <c r="A414" s="10"/>
      <c r="B414" s="32"/>
      <c r="C414" s="78">
        <v>1002</v>
      </c>
      <c r="D414" s="82" t="str">
        <f>IFERROR(IF(OR(ISTEXT(C414),C414=""),"",VLOOKUP(C414,param!A$4:B$15,2,FALSE)),"Param Not Recognised")</f>
        <v>FTEs</v>
      </c>
      <c r="E414" s="83" t="e">
        <f>IF(E412,INDEX($L414:$P414,E413+1),0)</f>
        <v>#NAME?</v>
      </c>
      <c r="F414" s="83" t="e">
        <f>IF(F412,INDEX($L414:$P414,F413+1),0)</f>
        <v>#NAME?</v>
      </c>
      <c r="G414" s="83" t="e">
        <f>IF(G412,INDEX($L414:$P414,G413+1),0)</f>
        <v>#NAME?</v>
      </c>
      <c r="H414" s="83" t="e">
        <f>IF(H412,INDEX($L414:$P414,H413+1),0)</f>
        <v>#NAME?</v>
      </c>
      <c r="I414" s="83" t="e">
        <f>IF(I412,INDEX($L414:$P414,I413+1),0)</f>
        <v>#NAME?</v>
      </c>
      <c r="J414" s="32"/>
      <c r="K414" s="32"/>
      <c r="L414" s="13">
        <v>0</v>
      </c>
      <c r="M414" s="13"/>
      <c r="N414" s="13"/>
      <c r="O414" s="13"/>
      <c r="P414" s="13"/>
    </row>
    <row r="415" spans="1:16">
      <c r="A415" s="10"/>
      <c r="B415" s="32"/>
      <c r="C415" s="78"/>
      <c r="D415" s="82" t="str">
        <f>IFERROR(IF(OR(ISTEXT(C415),C415=""),"",VLOOKUP(C415,param!A$4:B$15,2,FALSE)),"Param Not Recognised")</f>
        <v/>
      </c>
      <c r="E415" s="83" t="e">
        <f>IF(E412,INDEX($L415:$P415,E413+1),0)</f>
        <v>#NAME?</v>
      </c>
      <c r="F415" s="83" t="e">
        <f>IF(F412,INDEX($L415:$P415,F413+1),0)</f>
        <v>#NAME?</v>
      </c>
      <c r="G415" s="83" t="e">
        <f>IF(G412,INDEX($L415:$P415,G413+1),0)</f>
        <v>#NAME?</v>
      </c>
      <c r="H415" s="83" t="e">
        <f>IF(H412,INDEX($L415:$P415,H413+1),0)</f>
        <v>#NAME?</v>
      </c>
      <c r="I415" s="83" t="e">
        <f>IF(I412,INDEX($L415:$P415,I413+1),0)</f>
        <v>#NAME?</v>
      </c>
      <c r="J415" s="32"/>
      <c r="K415" s="32"/>
      <c r="L415" s="13">
        <v>0</v>
      </c>
      <c r="M415" s="13"/>
      <c r="N415" s="13"/>
      <c r="O415" s="13"/>
      <c r="P415" s="13"/>
    </row>
    <row r="416" spans="1:16">
      <c r="A416" s="10"/>
      <c r="B416" s="32"/>
      <c r="C416" s="78"/>
      <c r="D416" s="82" t="str">
        <f>IFERROR(IF(OR(ISTEXT(C416),C416=""),"",VLOOKUP(C416,param!A$4:B$15,2,FALSE)),"Param Not Recognised")</f>
        <v/>
      </c>
      <c r="E416" s="83" t="e">
        <f>IF(E412,INDEX($L416:$P416,E413+1),0)</f>
        <v>#NAME?</v>
      </c>
      <c r="F416" s="83" t="e">
        <f>IF(F412,INDEX($L416:$P416,F413+1),0)</f>
        <v>#NAME?</v>
      </c>
      <c r="G416" s="83" t="e">
        <f>IF(G412,INDEX($L416:$P416,G413+1),0)</f>
        <v>#NAME?</v>
      </c>
      <c r="H416" s="83" t="e">
        <f>IF(H412,INDEX($L416:$P416,H413+1),0)</f>
        <v>#NAME?</v>
      </c>
      <c r="I416" s="83" t="e">
        <f>IF(I412,INDEX($L416:$P416,I413+1),0)</f>
        <v>#NAME?</v>
      </c>
      <c r="J416" s="32"/>
      <c r="K416" s="32"/>
      <c r="L416" s="13">
        <v>0</v>
      </c>
      <c r="M416" s="13"/>
      <c r="N416" s="13"/>
      <c r="O416" s="13"/>
      <c r="P416" s="13"/>
    </row>
    <row r="417" spans="1:16">
      <c r="A417" s="10"/>
      <c r="B417" s="32"/>
      <c r="C417" s="78"/>
      <c r="D417" s="82" t="str">
        <f>IFERROR(IF(OR(ISTEXT(C417),C417=""),"",VLOOKUP(C417,param!A$4:B$15,2,FALSE)),"Param Not Recognised")</f>
        <v/>
      </c>
      <c r="E417" s="83" t="e">
        <f>IF(E412,INDEX($L417:$P417,E413+1),0)</f>
        <v>#NAME?</v>
      </c>
      <c r="F417" s="83" t="e">
        <f>IF(F412,INDEX($L417:$P417,F413+1),0)</f>
        <v>#NAME?</v>
      </c>
      <c r="G417" s="83" t="e">
        <f>IF(G412,INDEX($L417:$P417,G413+1),0)</f>
        <v>#NAME?</v>
      </c>
      <c r="H417" s="83" t="e">
        <f>IF(H412,INDEX($L417:$P417,H413+1),0)</f>
        <v>#NAME?</v>
      </c>
      <c r="I417" s="83" t="e">
        <f>IF(I412,INDEX($L417:$P417,I413+1),0)</f>
        <v>#NAME?</v>
      </c>
      <c r="J417" s="32"/>
      <c r="K417" s="32"/>
      <c r="L417" s="13">
        <v>0</v>
      </c>
      <c r="M417" s="13"/>
      <c r="N417" s="13"/>
      <c r="O417" s="13"/>
      <c r="P417" s="13"/>
    </row>
    <row r="418" spans="1:16">
      <c r="A418" s="10"/>
      <c r="B418" s="32"/>
      <c r="C418" s="78"/>
      <c r="D418" s="82" t="str">
        <f>IFERROR(IF(OR(ISTEXT(C418),C418=""),"",VLOOKUP(C418,param!A$4:B$15,2,FALSE)),"Param Not Recognised")</f>
        <v/>
      </c>
      <c r="E418" s="83" t="e">
        <f>IF(E412,INDEX($L418:$P418,E413+1),0)</f>
        <v>#NAME?</v>
      </c>
      <c r="F418" s="83" t="e">
        <f>IF(F412,INDEX($L418:$P418,F413+1),0)</f>
        <v>#NAME?</v>
      </c>
      <c r="G418" s="83" t="e">
        <f>IF(G412,INDEX($L418:$P418,G413+1),0)</f>
        <v>#NAME?</v>
      </c>
      <c r="H418" s="83" t="e">
        <f>IF(H412,INDEX($L418:$P418,H413+1),0)</f>
        <v>#NAME?</v>
      </c>
      <c r="I418" s="83" t="e">
        <f>IF(I412,INDEX($L418:$P418,I413+1),0)</f>
        <v>#NAME?</v>
      </c>
      <c r="J418" s="32"/>
      <c r="K418" s="32"/>
      <c r="L418" s="13">
        <v>0</v>
      </c>
      <c r="M418" s="13"/>
      <c r="N418" s="13"/>
      <c r="O418" s="13"/>
      <c r="P418" s="13"/>
    </row>
    <row r="419" spans="1:16">
      <c r="A419" s="10"/>
      <c r="B419" s="32"/>
      <c r="C419" s="78"/>
      <c r="D419" s="82" t="str">
        <f>IFERROR(IF(OR(ISTEXT(C419),C419=""),"",VLOOKUP(C419,param!A$4:B$15,2,FALSE)),"Param Not Recognised")</f>
        <v/>
      </c>
      <c r="E419" s="83" t="e">
        <f>IF(E412,INDEX($L419:$P419,E413+1),0)</f>
        <v>#NAME?</v>
      </c>
      <c r="F419" s="83" t="e">
        <f>IF(F412,INDEX($L419:$P419,F413+1),0)</f>
        <v>#NAME?</v>
      </c>
      <c r="G419" s="83" t="e">
        <f>IF(G412,INDEX($L419:$P419,G413+1),0)</f>
        <v>#NAME?</v>
      </c>
      <c r="H419" s="83" t="e">
        <f>IF(H412,INDEX($L419:$P419,H413+1),0)</f>
        <v>#NAME?</v>
      </c>
      <c r="I419" s="83" t="e">
        <f>IF(I412,INDEX($L419:$P419,I413+1),0)</f>
        <v>#NAME?</v>
      </c>
      <c r="J419" s="32"/>
      <c r="K419" s="32"/>
      <c r="L419" s="13">
        <v>0</v>
      </c>
      <c r="M419" s="13"/>
      <c r="N419" s="13"/>
      <c r="O419" s="13"/>
      <c r="P419" s="13"/>
    </row>
    <row r="420" spans="1:16">
      <c r="A420" s="10"/>
      <c r="B420" s="32"/>
      <c r="C420" s="78"/>
      <c r="D420" s="82" t="str">
        <f>IFERROR(IF(OR(ISTEXT(C420),C420=""),"",VLOOKUP(C420,param!A$4:B$15,2,FALSE)),"Param Not Recognised")</f>
        <v/>
      </c>
      <c r="E420" s="83" t="e">
        <f>IF(E412,INDEX($L420:$P420,E413+1),0)</f>
        <v>#NAME?</v>
      </c>
      <c r="F420" s="83" t="e">
        <f>IF(F412,INDEX($L420:$P420,F413+1),0)</f>
        <v>#NAME?</v>
      </c>
      <c r="G420" s="83" t="e">
        <f>IF(G412,INDEX($L420:$P420,G413+1),0)</f>
        <v>#NAME?</v>
      </c>
      <c r="H420" s="83" t="e">
        <f>IF(H412,INDEX($L420:$P420,H413+1),0)</f>
        <v>#NAME?</v>
      </c>
      <c r="I420" s="83" t="e">
        <f>IF(I412,INDEX($L420:$P420,I413+1),0)</f>
        <v>#NAME?</v>
      </c>
      <c r="J420" s="32"/>
      <c r="K420" s="32"/>
      <c r="L420" s="13">
        <v>0</v>
      </c>
      <c r="M420" s="13"/>
      <c r="N420" s="13"/>
      <c r="O420" s="13"/>
      <c r="P420" s="13"/>
    </row>
    <row r="421" spans="1:16">
      <c r="A421" s="10"/>
      <c r="B421" s="32"/>
      <c r="C421" s="78"/>
      <c r="D421" s="82" t="str">
        <f>IFERROR(IF(OR(ISTEXT(C421),C421=""),"",VLOOKUP(C421,param!A$4:B$15,2,FALSE)),"Param Not Recognised")</f>
        <v/>
      </c>
      <c r="E421" s="83" t="e">
        <f>IF(E412,INDEX($L421:$P421,E413+1),0)</f>
        <v>#NAME?</v>
      </c>
      <c r="F421" s="83" t="e">
        <f>IF(F412,INDEX($L421:$P421,F413+1),0)</f>
        <v>#NAME?</v>
      </c>
      <c r="G421" s="83" t="e">
        <f>IF(G412,INDEX($L421:$P421,G413+1),0)</f>
        <v>#NAME?</v>
      </c>
      <c r="H421" s="83" t="e">
        <f>IF(H412,INDEX($L421:$P421,H413+1),0)</f>
        <v>#NAME?</v>
      </c>
      <c r="I421" s="83" t="e">
        <f>IF(I412,INDEX($L421:$P421,I413+1),0)</f>
        <v>#NAME?</v>
      </c>
      <c r="J421" s="32"/>
      <c r="K421" s="32"/>
      <c r="L421" s="13">
        <v>0</v>
      </c>
      <c r="M421" s="13"/>
      <c r="N421" s="13"/>
      <c r="O421" s="13"/>
      <c r="P421" s="13"/>
    </row>
    <row r="422" spans="1:16">
      <c r="A422" s="10"/>
      <c r="B422" s="32"/>
      <c r="C422" s="78"/>
      <c r="D422" s="82" t="str">
        <f>IFERROR(IF(OR(ISTEXT(C422),C422=""),"",VLOOKUP(C422,param!A$4:B$15,2,FALSE)),"Param Not Recognised")</f>
        <v/>
      </c>
      <c r="E422" s="83" t="e">
        <f>IF(E412,INDEX($L422:$P422,E413+1),0)</f>
        <v>#NAME?</v>
      </c>
      <c r="F422" s="83" t="e">
        <f>IF(F412,INDEX($L422:$P422,F413+1),0)</f>
        <v>#NAME?</v>
      </c>
      <c r="G422" s="83" t="e">
        <f>IF(G412,INDEX($L422:$P422,G413+1),0)</f>
        <v>#NAME?</v>
      </c>
      <c r="H422" s="83" t="e">
        <f>IF(H412,INDEX($L422:$P422,H413+1),0)</f>
        <v>#NAME?</v>
      </c>
      <c r="I422" s="83" t="e">
        <f>IF(I412,INDEX($L422:$P422,I413+1),0)</f>
        <v>#NAME?</v>
      </c>
      <c r="J422" s="32"/>
      <c r="K422" s="32"/>
      <c r="L422" s="13">
        <v>0</v>
      </c>
      <c r="M422" s="13"/>
      <c r="N422" s="13"/>
      <c r="O422" s="13"/>
      <c r="P422" s="13"/>
    </row>
    <row r="423" spans="1:16">
      <c r="A423" s="10"/>
      <c r="B423" s="32"/>
      <c r="C423" s="78"/>
      <c r="D423" s="82" t="str">
        <f>IFERROR(IF(OR(ISTEXT(C423),C423=""),"",VLOOKUP(C423,param!A$4:B$15,2,FALSE)),"Param Not Recognised")</f>
        <v/>
      </c>
      <c r="E423" s="83" t="e">
        <f>IF(E412,INDEX($L423:$P423,E413+1),0)</f>
        <v>#NAME?</v>
      </c>
      <c r="F423" s="83" t="e">
        <f>IF(F412,INDEX($L423:$P423,F413+1),0)</f>
        <v>#NAME?</v>
      </c>
      <c r="G423" s="83" t="e">
        <f>IF(G412,INDEX($L423:$P423,G413+1),0)</f>
        <v>#NAME?</v>
      </c>
      <c r="H423" s="83" t="e">
        <f>IF(H412,INDEX($L423:$P423,H413+1),0)</f>
        <v>#NAME?</v>
      </c>
      <c r="I423" s="83" t="e">
        <f>IF(I412,INDEX($L423:$P423,I413+1),0)</f>
        <v>#NAME?</v>
      </c>
      <c r="J423" s="32"/>
      <c r="K423" s="32"/>
      <c r="L423" s="13">
        <v>0</v>
      </c>
      <c r="M423" s="13"/>
      <c r="N423" s="13"/>
      <c r="O423" s="13"/>
      <c r="P423" s="13"/>
    </row>
    <row r="424" spans="1:16">
      <c r="A424" s="26"/>
    </row>
    <row r="425" spans="1:16">
      <c r="A425" s="86">
        <v>33</v>
      </c>
      <c r="B425" s="38">
        <f>INDEX(SI_Name,A425+1)</f>
        <v>0</v>
      </c>
      <c r="C425" s="31" t="s">
        <v>346</v>
      </c>
      <c r="D425" s="31"/>
      <c r="E425" s="33" t="e">
        <f>VLOOKUP($A425,calcTableSIsLaunched,adj_IndexTeam+1,FALSE)</f>
        <v>#NAME?</v>
      </c>
      <c r="F425" s="33" t="e">
        <f>VLOOKUP($A425,calcTableSIsLaunched,adj_IndexTeam+1,FALSE)</f>
        <v>#NAME?</v>
      </c>
      <c r="G425" s="33" t="e">
        <f>VLOOKUP($A425,calcTableSIsLaunched,adj_IndexTeam+1,FALSE)</f>
        <v>#NAME?</v>
      </c>
      <c r="H425" s="33" t="e">
        <f>VLOOKUP($A425,calcTableSIsLaunched,adj_IndexTeam+1,FALSE)</f>
        <v>#NAME?</v>
      </c>
      <c r="I425" s="33" t="e">
        <f>VLOOKUP($A425,calcTableSIsLaunched,adj_IndexTeam+1,FALSE)</f>
        <v>#NAME?</v>
      </c>
      <c r="J425" s="15">
        <f>SUMIF(C427:C436,adj_FTECode,M427:M436)</f>
        <v>0</v>
      </c>
      <c r="K425" s="15">
        <f>SUMIF(C427:C436,adj_CostCode,M427:M436)</f>
        <v>0</v>
      </c>
      <c r="L425" s="31"/>
      <c r="M425" s="31"/>
      <c r="N425" s="31"/>
      <c r="O425" s="31"/>
      <c r="P425" s="31"/>
    </row>
    <row r="426" spans="1:16">
      <c r="A426" s="10"/>
      <c r="B426" s="32"/>
      <c r="C426" s="32" t="s">
        <v>347</v>
      </c>
      <c r="D426" s="32"/>
      <c r="E426" s="33" t="e">
        <f>VLOOKUP($A425,calcTableSIsRoundsIntoLaunch,adj_IndexTeam+1,FALSE)</f>
        <v>#NAME?</v>
      </c>
      <c r="F426" s="33" t="e">
        <f>VLOOKUP($A425,calcTableSIsRoundsIntoLaunch,adj_IndexTeam+1,FALSE)</f>
        <v>#NAME?</v>
      </c>
      <c r="G426" s="33" t="e">
        <f>VLOOKUP($A425,calcTableSIsRoundsIntoLaunch,adj_IndexTeam+1,FALSE)</f>
        <v>#NAME?</v>
      </c>
      <c r="H426" s="33" t="e">
        <f>VLOOKUP($A425,calcTableSIsRoundsIntoLaunch,adj_IndexTeam+1,FALSE)</f>
        <v>#NAME?</v>
      </c>
      <c r="I426" s="33" t="e">
        <f>VLOOKUP($A425,calcTableSIsRoundsIntoLaunch,adj_IndexTeam+1,FALSE)</f>
        <v>#NAME?</v>
      </c>
      <c r="J426" s="32"/>
      <c r="K426" s="32"/>
      <c r="L426" s="32"/>
      <c r="M426" s="32"/>
      <c r="N426" s="32"/>
      <c r="O426" s="32"/>
      <c r="P426" s="32"/>
    </row>
    <row r="427" spans="1:16">
      <c r="A427" s="10"/>
      <c r="B427" s="32"/>
      <c r="C427" s="78">
        <v>1002</v>
      </c>
      <c r="D427" s="82" t="str">
        <f>IFERROR(IF(OR(ISTEXT(C427),C427=""),"",VLOOKUP(C427,param!A$4:B$15,2,FALSE)),"Param Not Recognised")</f>
        <v>FTEs</v>
      </c>
      <c r="E427" s="83" t="e">
        <f>IF(E425,INDEX($L427:$P427,E426+1),0)</f>
        <v>#NAME?</v>
      </c>
      <c r="F427" s="83" t="e">
        <f>IF(F425,INDEX($L427:$P427,F426+1),0)</f>
        <v>#NAME?</v>
      </c>
      <c r="G427" s="83" t="e">
        <f>IF(G425,INDEX($L427:$P427,G426+1),0)</f>
        <v>#NAME?</v>
      </c>
      <c r="H427" s="83" t="e">
        <f>IF(H425,INDEX($L427:$P427,H426+1),0)</f>
        <v>#NAME?</v>
      </c>
      <c r="I427" s="83" t="e">
        <f>IF(I425,INDEX($L427:$P427,I426+1),0)</f>
        <v>#NAME?</v>
      </c>
      <c r="J427" s="32"/>
      <c r="K427" s="32"/>
      <c r="L427" s="13">
        <v>0</v>
      </c>
      <c r="M427" s="13"/>
      <c r="N427" s="13"/>
      <c r="O427" s="13"/>
      <c r="P427" s="13"/>
    </row>
    <row r="428" spans="1:16">
      <c r="A428" s="10"/>
      <c r="B428" s="32"/>
      <c r="C428" s="78"/>
      <c r="D428" s="82" t="str">
        <f>IFERROR(IF(OR(ISTEXT(C428),C428=""),"",VLOOKUP(C428,param!A$4:B$15,2,FALSE)),"Param Not Recognised")</f>
        <v/>
      </c>
      <c r="E428" s="83" t="e">
        <f>IF(E425,INDEX($L428:$P428,E426+1),0)</f>
        <v>#NAME?</v>
      </c>
      <c r="F428" s="83" t="e">
        <f>IF(F425,INDEX($L428:$P428,F426+1),0)</f>
        <v>#NAME?</v>
      </c>
      <c r="G428" s="83" t="e">
        <f>IF(G425,INDEX($L428:$P428,G426+1),0)</f>
        <v>#NAME?</v>
      </c>
      <c r="H428" s="83" t="e">
        <f>IF(H425,INDEX($L428:$P428,H426+1),0)</f>
        <v>#NAME?</v>
      </c>
      <c r="I428" s="83" t="e">
        <f>IF(I425,INDEX($L428:$P428,I426+1),0)</f>
        <v>#NAME?</v>
      </c>
      <c r="J428" s="32"/>
      <c r="K428" s="32"/>
      <c r="L428" s="13">
        <v>0</v>
      </c>
      <c r="M428" s="13"/>
      <c r="N428" s="13"/>
      <c r="O428" s="13"/>
      <c r="P428" s="13"/>
    </row>
    <row r="429" spans="1:16">
      <c r="A429" s="10"/>
      <c r="B429" s="32"/>
      <c r="C429" s="78"/>
      <c r="D429" s="82" t="str">
        <f>IFERROR(IF(OR(ISTEXT(C429),C429=""),"",VLOOKUP(C429,param!A$4:B$15,2,FALSE)),"Param Not Recognised")</f>
        <v/>
      </c>
      <c r="E429" s="83" t="e">
        <f>IF(E425,INDEX($L429:$P429,E426+1),0)</f>
        <v>#NAME?</v>
      </c>
      <c r="F429" s="83" t="e">
        <f>IF(F425,INDEX($L429:$P429,F426+1),0)</f>
        <v>#NAME?</v>
      </c>
      <c r="G429" s="83" t="e">
        <f>IF(G425,INDEX($L429:$P429,G426+1),0)</f>
        <v>#NAME?</v>
      </c>
      <c r="H429" s="83" t="e">
        <f>IF(H425,INDEX($L429:$P429,H426+1),0)</f>
        <v>#NAME?</v>
      </c>
      <c r="I429" s="83" t="e">
        <f>IF(I425,INDEX($L429:$P429,I426+1),0)</f>
        <v>#NAME?</v>
      </c>
      <c r="J429" s="32"/>
      <c r="K429" s="32"/>
      <c r="L429" s="13">
        <v>0</v>
      </c>
      <c r="M429" s="13"/>
      <c r="N429" s="13"/>
      <c r="O429" s="13"/>
      <c r="P429" s="13"/>
    </row>
    <row r="430" spans="1:16">
      <c r="A430" s="10"/>
      <c r="B430" s="32"/>
      <c r="C430" s="78"/>
      <c r="D430" s="82" t="str">
        <f>IFERROR(IF(OR(ISTEXT(C430),C430=""),"",VLOOKUP(C430,param!A$4:B$15,2,FALSE)),"Param Not Recognised")</f>
        <v/>
      </c>
      <c r="E430" s="83" t="e">
        <f>IF(E425,INDEX($L430:$P430,E426+1),0)</f>
        <v>#NAME?</v>
      </c>
      <c r="F430" s="83" t="e">
        <f>IF(F425,INDEX($L430:$P430,F426+1),0)</f>
        <v>#NAME?</v>
      </c>
      <c r="G430" s="83" t="e">
        <f>IF(G425,INDEX($L430:$P430,G426+1),0)</f>
        <v>#NAME?</v>
      </c>
      <c r="H430" s="83" t="e">
        <f>IF(H425,INDEX($L430:$P430,H426+1),0)</f>
        <v>#NAME?</v>
      </c>
      <c r="I430" s="83" t="e">
        <f>IF(I425,INDEX($L430:$P430,I426+1),0)</f>
        <v>#NAME?</v>
      </c>
      <c r="J430" s="32"/>
      <c r="K430" s="32"/>
      <c r="L430" s="13">
        <v>0</v>
      </c>
      <c r="M430" s="13"/>
      <c r="N430" s="13"/>
      <c r="O430" s="13"/>
      <c r="P430" s="13"/>
    </row>
    <row r="431" spans="1:16">
      <c r="A431" s="10"/>
      <c r="B431" s="32"/>
      <c r="C431" s="78"/>
      <c r="D431" s="82" t="str">
        <f>IFERROR(IF(OR(ISTEXT(C431),C431=""),"",VLOOKUP(C431,param!A$4:B$15,2,FALSE)),"Param Not Recognised")</f>
        <v/>
      </c>
      <c r="E431" s="83" t="e">
        <f>IF(E425,INDEX($L431:$P431,E426+1),0)</f>
        <v>#NAME?</v>
      </c>
      <c r="F431" s="83" t="e">
        <f>IF(F425,INDEX($L431:$P431,F426+1),0)</f>
        <v>#NAME?</v>
      </c>
      <c r="G431" s="83" t="e">
        <f>IF(G425,INDEX($L431:$P431,G426+1),0)</f>
        <v>#NAME?</v>
      </c>
      <c r="H431" s="83" t="e">
        <f>IF(H425,INDEX($L431:$P431,H426+1),0)</f>
        <v>#NAME?</v>
      </c>
      <c r="I431" s="83" t="e">
        <f>IF(I425,INDEX($L431:$P431,I426+1),0)</f>
        <v>#NAME?</v>
      </c>
      <c r="J431" s="32"/>
      <c r="K431" s="32"/>
      <c r="L431" s="13">
        <v>0</v>
      </c>
      <c r="M431" s="13"/>
      <c r="N431" s="13"/>
      <c r="O431" s="13"/>
      <c r="P431" s="13"/>
    </row>
    <row r="432" spans="1:16">
      <c r="A432" s="10"/>
      <c r="B432" s="32"/>
      <c r="C432" s="78"/>
      <c r="D432" s="82" t="str">
        <f>IFERROR(IF(OR(ISTEXT(C432),C432=""),"",VLOOKUP(C432,param!A$4:B$15,2,FALSE)),"Param Not Recognised")</f>
        <v/>
      </c>
      <c r="E432" s="83" t="e">
        <f>IF(E425,INDEX($L432:$P432,E426+1),0)</f>
        <v>#NAME?</v>
      </c>
      <c r="F432" s="83" t="e">
        <f>IF(F425,INDEX($L432:$P432,F426+1),0)</f>
        <v>#NAME?</v>
      </c>
      <c r="G432" s="83" t="e">
        <f>IF(G425,INDEX($L432:$P432,G426+1),0)</f>
        <v>#NAME?</v>
      </c>
      <c r="H432" s="83" t="e">
        <f>IF(H425,INDEX($L432:$P432,H426+1),0)</f>
        <v>#NAME?</v>
      </c>
      <c r="I432" s="83" t="e">
        <f>IF(I425,INDEX($L432:$P432,I426+1),0)</f>
        <v>#NAME?</v>
      </c>
      <c r="J432" s="32"/>
      <c r="K432" s="32"/>
      <c r="L432" s="13">
        <v>0</v>
      </c>
      <c r="M432" s="13"/>
      <c r="N432" s="13"/>
      <c r="O432" s="13"/>
      <c r="P432" s="13"/>
    </row>
    <row r="433" spans="1:16">
      <c r="A433" s="10"/>
      <c r="B433" s="32"/>
      <c r="C433" s="78"/>
      <c r="D433" s="82" t="str">
        <f>IFERROR(IF(OR(ISTEXT(C433),C433=""),"",VLOOKUP(C433,param!A$4:B$15,2,FALSE)),"Param Not Recognised")</f>
        <v/>
      </c>
      <c r="E433" s="83" t="e">
        <f>IF(E425,INDEX($L433:$P433,E426+1),0)</f>
        <v>#NAME?</v>
      </c>
      <c r="F433" s="83" t="e">
        <f>IF(F425,INDEX($L433:$P433,F426+1),0)</f>
        <v>#NAME?</v>
      </c>
      <c r="G433" s="83" t="e">
        <f>IF(G425,INDEX($L433:$P433,G426+1),0)</f>
        <v>#NAME?</v>
      </c>
      <c r="H433" s="83" t="e">
        <f>IF(H425,INDEX($L433:$P433,H426+1),0)</f>
        <v>#NAME?</v>
      </c>
      <c r="I433" s="83" t="e">
        <f>IF(I425,INDEX($L433:$P433,I426+1),0)</f>
        <v>#NAME?</v>
      </c>
      <c r="J433" s="32"/>
      <c r="K433" s="32"/>
      <c r="L433" s="13">
        <v>0</v>
      </c>
      <c r="M433" s="13"/>
      <c r="N433" s="13"/>
      <c r="O433" s="13"/>
      <c r="P433" s="13"/>
    </row>
    <row r="434" spans="1:16">
      <c r="A434" s="10"/>
      <c r="B434" s="32"/>
      <c r="C434" s="78"/>
      <c r="D434" s="82" t="str">
        <f>IFERROR(IF(OR(ISTEXT(C434),C434=""),"",VLOOKUP(C434,param!A$4:B$15,2,FALSE)),"Param Not Recognised")</f>
        <v/>
      </c>
      <c r="E434" s="83" t="e">
        <f>IF(E425,INDEX($L434:$P434,E426+1),0)</f>
        <v>#NAME?</v>
      </c>
      <c r="F434" s="83" t="e">
        <f>IF(F425,INDEX($L434:$P434,F426+1),0)</f>
        <v>#NAME?</v>
      </c>
      <c r="G434" s="83" t="e">
        <f>IF(G425,INDEX($L434:$P434,G426+1),0)</f>
        <v>#NAME?</v>
      </c>
      <c r="H434" s="83" t="e">
        <f>IF(H425,INDEX($L434:$P434,H426+1),0)</f>
        <v>#NAME?</v>
      </c>
      <c r="I434" s="83" t="e">
        <f>IF(I425,INDEX($L434:$P434,I426+1),0)</f>
        <v>#NAME?</v>
      </c>
      <c r="J434" s="32"/>
      <c r="K434" s="32"/>
      <c r="L434" s="13">
        <v>0</v>
      </c>
      <c r="M434" s="13"/>
      <c r="N434" s="13"/>
      <c r="O434" s="13"/>
      <c r="P434" s="13"/>
    </row>
    <row r="435" spans="1:16">
      <c r="A435" s="10"/>
      <c r="B435" s="32"/>
      <c r="C435" s="78"/>
      <c r="D435" s="82" t="str">
        <f>IFERROR(IF(OR(ISTEXT(C435),C435=""),"",VLOOKUP(C435,param!A$4:B$15,2,FALSE)),"Param Not Recognised")</f>
        <v/>
      </c>
      <c r="E435" s="83" t="e">
        <f>IF(E425,INDEX($L435:$P435,E426+1),0)</f>
        <v>#NAME?</v>
      </c>
      <c r="F435" s="83" t="e">
        <f>IF(F425,INDEX($L435:$P435,F426+1),0)</f>
        <v>#NAME?</v>
      </c>
      <c r="G435" s="83" t="e">
        <f>IF(G425,INDEX($L435:$P435,G426+1),0)</f>
        <v>#NAME?</v>
      </c>
      <c r="H435" s="83" t="e">
        <f>IF(H425,INDEX($L435:$P435,H426+1),0)</f>
        <v>#NAME?</v>
      </c>
      <c r="I435" s="83" t="e">
        <f>IF(I425,INDEX($L435:$P435,I426+1),0)</f>
        <v>#NAME?</v>
      </c>
      <c r="J435" s="32"/>
      <c r="K435" s="32"/>
      <c r="L435" s="13">
        <v>0</v>
      </c>
      <c r="M435" s="13"/>
      <c r="N435" s="13"/>
      <c r="O435" s="13"/>
      <c r="P435" s="13"/>
    </row>
    <row r="436" spans="1:16">
      <c r="A436" s="10"/>
      <c r="B436" s="32"/>
      <c r="C436" s="78"/>
      <c r="D436" s="82" t="str">
        <f>IFERROR(IF(OR(ISTEXT(C436),C436=""),"",VLOOKUP(C436,param!A$4:B$15,2,FALSE)),"Param Not Recognised")</f>
        <v/>
      </c>
      <c r="E436" s="83" t="e">
        <f>IF(E425,INDEX($L436:$P436,E426+1),0)</f>
        <v>#NAME?</v>
      </c>
      <c r="F436" s="83" t="e">
        <f>IF(F425,INDEX($L436:$P436,F426+1),0)</f>
        <v>#NAME?</v>
      </c>
      <c r="G436" s="83" t="e">
        <f>IF(G425,INDEX($L436:$P436,G426+1),0)</f>
        <v>#NAME?</v>
      </c>
      <c r="H436" s="83" t="e">
        <f>IF(H425,INDEX($L436:$P436,H426+1),0)</f>
        <v>#NAME?</v>
      </c>
      <c r="I436" s="83" t="e">
        <f>IF(I425,INDEX($L436:$P436,I426+1),0)</f>
        <v>#NAME?</v>
      </c>
      <c r="J436" s="32"/>
      <c r="K436" s="32"/>
      <c r="L436" s="13">
        <v>0</v>
      </c>
      <c r="M436" s="13"/>
      <c r="N436" s="13"/>
      <c r="O436" s="13"/>
      <c r="P436" s="13"/>
    </row>
    <row r="437" spans="1:16">
      <c r="A437" s="26"/>
    </row>
    <row r="438" spans="1:16">
      <c r="A438" s="86">
        <v>34</v>
      </c>
      <c r="B438" s="38">
        <f>INDEX(SI_Name,A438+1)</f>
        <v>0</v>
      </c>
      <c r="C438" s="31" t="s">
        <v>346</v>
      </c>
      <c r="D438" s="31"/>
      <c r="E438" s="33" t="e">
        <f>VLOOKUP($A438,calcTableSIsLaunched,adj_IndexTeam+1,FALSE)</f>
        <v>#NAME?</v>
      </c>
      <c r="F438" s="33" t="e">
        <f>VLOOKUP($A438,calcTableSIsLaunched,adj_IndexTeam+1,FALSE)</f>
        <v>#NAME?</v>
      </c>
      <c r="G438" s="33" t="e">
        <f>VLOOKUP($A438,calcTableSIsLaunched,adj_IndexTeam+1,FALSE)</f>
        <v>#NAME?</v>
      </c>
      <c r="H438" s="33" t="e">
        <f>VLOOKUP($A438,calcTableSIsLaunched,adj_IndexTeam+1,FALSE)</f>
        <v>#NAME?</v>
      </c>
      <c r="I438" s="33" t="e">
        <f>VLOOKUP($A438,calcTableSIsLaunched,adj_IndexTeam+1,FALSE)</f>
        <v>#NAME?</v>
      </c>
      <c r="J438" s="15">
        <f>SUMIF(C440:C449,adj_FTECode,M440:M449)</f>
        <v>0</v>
      </c>
      <c r="K438" s="15">
        <f>SUMIF(C440:C449,adj_CostCode,M440:M449)</f>
        <v>0</v>
      </c>
      <c r="L438" s="31"/>
      <c r="M438" s="31"/>
      <c r="N438" s="31"/>
      <c r="O438" s="31"/>
      <c r="P438" s="31"/>
    </row>
    <row r="439" spans="1:16">
      <c r="A439" s="10"/>
      <c r="B439" s="32"/>
      <c r="C439" s="32" t="s">
        <v>347</v>
      </c>
      <c r="D439" s="32"/>
      <c r="E439" s="33" t="e">
        <f>VLOOKUP($A438,calcTableSIsRoundsIntoLaunch,adj_IndexTeam+1,FALSE)</f>
        <v>#NAME?</v>
      </c>
      <c r="F439" s="33" t="e">
        <f>VLOOKUP($A438,calcTableSIsRoundsIntoLaunch,adj_IndexTeam+1,FALSE)</f>
        <v>#NAME?</v>
      </c>
      <c r="G439" s="33" t="e">
        <f>VLOOKUP($A438,calcTableSIsRoundsIntoLaunch,adj_IndexTeam+1,FALSE)</f>
        <v>#NAME?</v>
      </c>
      <c r="H439" s="33" t="e">
        <f>VLOOKUP($A438,calcTableSIsRoundsIntoLaunch,adj_IndexTeam+1,FALSE)</f>
        <v>#NAME?</v>
      </c>
      <c r="I439" s="33" t="e">
        <f>VLOOKUP($A438,calcTableSIsRoundsIntoLaunch,adj_IndexTeam+1,FALSE)</f>
        <v>#NAME?</v>
      </c>
      <c r="J439" s="32"/>
      <c r="K439" s="32"/>
      <c r="L439" s="32"/>
      <c r="M439" s="32"/>
      <c r="N439" s="32"/>
      <c r="O439" s="32"/>
      <c r="P439" s="32"/>
    </row>
    <row r="440" spans="1:16">
      <c r="A440" s="10"/>
      <c r="B440" s="32"/>
      <c r="C440" s="78">
        <v>1002</v>
      </c>
      <c r="D440" s="82" t="str">
        <f>IFERROR(IF(OR(ISTEXT(C440),C440=""),"",VLOOKUP(C440,param!A$4:B$15,2,FALSE)),"Param Not Recognised")</f>
        <v>FTEs</v>
      </c>
      <c r="E440" s="83" t="e">
        <f>IF(E438,INDEX($L440:$P440,E439+1),0)</f>
        <v>#NAME?</v>
      </c>
      <c r="F440" s="83" t="e">
        <f>IF(F438,INDEX($L440:$P440,F439+1),0)</f>
        <v>#NAME?</v>
      </c>
      <c r="G440" s="83" t="e">
        <f>IF(G438,INDEX($L440:$P440,G439+1),0)</f>
        <v>#NAME?</v>
      </c>
      <c r="H440" s="83" t="e">
        <f>IF(H438,INDEX($L440:$P440,H439+1),0)</f>
        <v>#NAME?</v>
      </c>
      <c r="I440" s="83" t="e">
        <f>IF(I438,INDEX($L440:$P440,I439+1),0)</f>
        <v>#NAME?</v>
      </c>
      <c r="J440" s="32"/>
      <c r="K440" s="32"/>
      <c r="L440" s="13">
        <v>0</v>
      </c>
      <c r="M440" s="13"/>
      <c r="N440" s="13"/>
      <c r="O440" s="13"/>
      <c r="P440" s="13"/>
    </row>
    <row r="441" spans="1:16">
      <c r="A441" s="10"/>
      <c r="B441" s="32"/>
      <c r="C441" s="78"/>
      <c r="D441" s="82" t="str">
        <f>IFERROR(IF(OR(ISTEXT(C441),C441=""),"",VLOOKUP(C441,param!A$4:B$15,2,FALSE)),"Param Not Recognised")</f>
        <v/>
      </c>
      <c r="E441" s="83" t="e">
        <f>IF(E438,INDEX($L441:$P441,E439+1),0)</f>
        <v>#NAME?</v>
      </c>
      <c r="F441" s="83" t="e">
        <f>IF(F438,INDEX($L441:$P441,F439+1),0)</f>
        <v>#NAME?</v>
      </c>
      <c r="G441" s="83" t="e">
        <f>IF(G438,INDEX($L441:$P441,G439+1),0)</f>
        <v>#NAME?</v>
      </c>
      <c r="H441" s="83" t="e">
        <f>IF(H438,INDEX($L441:$P441,H439+1),0)</f>
        <v>#NAME?</v>
      </c>
      <c r="I441" s="83" t="e">
        <f>IF(I438,INDEX($L441:$P441,I439+1),0)</f>
        <v>#NAME?</v>
      </c>
      <c r="J441" s="32"/>
      <c r="K441" s="32"/>
      <c r="L441" s="13">
        <v>0</v>
      </c>
      <c r="M441" s="13"/>
      <c r="N441" s="13"/>
      <c r="O441" s="13"/>
      <c r="P441" s="13"/>
    </row>
    <row r="442" spans="1:16">
      <c r="A442" s="10"/>
      <c r="B442" s="32"/>
      <c r="C442" s="78"/>
      <c r="D442" s="82" t="str">
        <f>IFERROR(IF(OR(ISTEXT(C442),C442=""),"",VLOOKUP(C442,param!A$4:B$15,2,FALSE)),"Param Not Recognised")</f>
        <v/>
      </c>
      <c r="E442" s="83" t="e">
        <f>IF(E438,INDEX($L442:$P442,E439+1),0)</f>
        <v>#NAME?</v>
      </c>
      <c r="F442" s="83" t="e">
        <f>IF(F438,INDEX($L442:$P442,F439+1),0)</f>
        <v>#NAME?</v>
      </c>
      <c r="G442" s="83" t="e">
        <f>IF(G438,INDEX($L442:$P442,G439+1),0)</f>
        <v>#NAME?</v>
      </c>
      <c r="H442" s="83" t="e">
        <f>IF(H438,INDEX($L442:$P442,H439+1),0)</f>
        <v>#NAME?</v>
      </c>
      <c r="I442" s="83" t="e">
        <f>IF(I438,INDEX($L442:$P442,I439+1),0)</f>
        <v>#NAME?</v>
      </c>
      <c r="J442" s="32"/>
      <c r="K442" s="32"/>
      <c r="L442" s="13">
        <v>0</v>
      </c>
      <c r="M442" s="13"/>
      <c r="N442" s="13"/>
      <c r="O442" s="13"/>
      <c r="P442" s="13"/>
    </row>
    <row r="443" spans="1:16">
      <c r="A443" s="10"/>
      <c r="B443" s="32"/>
      <c r="C443" s="78"/>
      <c r="D443" s="82" t="str">
        <f>IFERROR(IF(OR(ISTEXT(C443),C443=""),"",VLOOKUP(C443,param!A$4:B$15,2,FALSE)),"Param Not Recognised")</f>
        <v/>
      </c>
      <c r="E443" s="83" t="e">
        <f>IF(E438,INDEX($L443:$P443,E439+1),0)</f>
        <v>#NAME?</v>
      </c>
      <c r="F443" s="83" t="e">
        <f>IF(F438,INDEX($L443:$P443,F439+1),0)</f>
        <v>#NAME?</v>
      </c>
      <c r="G443" s="83" t="e">
        <f>IF(G438,INDEX($L443:$P443,G439+1),0)</f>
        <v>#NAME?</v>
      </c>
      <c r="H443" s="83" t="e">
        <f>IF(H438,INDEX($L443:$P443,H439+1),0)</f>
        <v>#NAME?</v>
      </c>
      <c r="I443" s="83" t="e">
        <f>IF(I438,INDEX($L443:$P443,I439+1),0)</f>
        <v>#NAME?</v>
      </c>
      <c r="J443" s="32"/>
      <c r="K443" s="32"/>
      <c r="L443" s="13">
        <v>0</v>
      </c>
      <c r="M443" s="13"/>
      <c r="N443" s="13"/>
      <c r="O443" s="13"/>
      <c r="P443" s="13"/>
    </row>
    <row r="444" spans="1:16">
      <c r="A444" s="10"/>
      <c r="B444" s="32"/>
      <c r="C444" s="78"/>
      <c r="D444" s="82" t="str">
        <f>IFERROR(IF(OR(ISTEXT(C444),C444=""),"",VLOOKUP(C444,param!A$4:B$15,2,FALSE)),"Param Not Recognised")</f>
        <v/>
      </c>
      <c r="E444" s="83" t="e">
        <f>IF(E438,INDEX($L444:$P444,E439+1),0)</f>
        <v>#NAME?</v>
      </c>
      <c r="F444" s="83" t="e">
        <f>IF(F438,INDEX($L444:$P444,F439+1),0)</f>
        <v>#NAME?</v>
      </c>
      <c r="G444" s="83" t="e">
        <f>IF(G438,INDEX($L444:$P444,G439+1),0)</f>
        <v>#NAME?</v>
      </c>
      <c r="H444" s="83" t="e">
        <f>IF(H438,INDEX($L444:$P444,H439+1),0)</f>
        <v>#NAME?</v>
      </c>
      <c r="I444" s="83" t="e">
        <f>IF(I438,INDEX($L444:$P444,I439+1),0)</f>
        <v>#NAME?</v>
      </c>
      <c r="J444" s="32"/>
      <c r="K444" s="32"/>
      <c r="L444" s="13">
        <v>0</v>
      </c>
      <c r="M444" s="13"/>
      <c r="N444" s="13"/>
      <c r="O444" s="13"/>
      <c r="P444" s="13"/>
    </row>
    <row r="445" spans="1:16">
      <c r="A445" s="10"/>
      <c r="B445" s="32"/>
      <c r="C445" s="78"/>
      <c r="D445" s="82" t="str">
        <f>IFERROR(IF(OR(ISTEXT(C445),C445=""),"",VLOOKUP(C445,param!A$4:B$15,2,FALSE)),"Param Not Recognised")</f>
        <v/>
      </c>
      <c r="E445" s="83" t="e">
        <f>IF(E438,INDEX($L445:$P445,E439+1),0)</f>
        <v>#NAME?</v>
      </c>
      <c r="F445" s="83" t="e">
        <f>IF(F438,INDEX($L445:$P445,F439+1),0)</f>
        <v>#NAME?</v>
      </c>
      <c r="G445" s="83" t="e">
        <f>IF(G438,INDEX($L445:$P445,G439+1),0)</f>
        <v>#NAME?</v>
      </c>
      <c r="H445" s="83" t="e">
        <f>IF(H438,INDEX($L445:$P445,H439+1),0)</f>
        <v>#NAME?</v>
      </c>
      <c r="I445" s="83" t="e">
        <f>IF(I438,INDEX($L445:$P445,I439+1),0)</f>
        <v>#NAME?</v>
      </c>
      <c r="J445" s="32"/>
      <c r="K445" s="32"/>
      <c r="L445" s="13">
        <v>0</v>
      </c>
      <c r="M445" s="13"/>
      <c r="N445" s="13"/>
      <c r="O445" s="13"/>
      <c r="P445" s="13"/>
    </row>
    <row r="446" spans="1:16">
      <c r="A446" s="10"/>
      <c r="B446" s="32"/>
      <c r="C446" s="78"/>
      <c r="D446" s="82" t="str">
        <f>IFERROR(IF(OR(ISTEXT(C446),C446=""),"",VLOOKUP(C446,param!A$4:B$15,2,FALSE)),"Param Not Recognised")</f>
        <v/>
      </c>
      <c r="E446" s="83" t="e">
        <f>IF(E438,INDEX($L446:$P446,E439+1),0)</f>
        <v>#NAME?</v>
      </c>
      <c r="F446" s="83" t="e">
        <f>IF(F438,INDEX($L446:$P446,F439+1),0)</f>
        <v>#NAME?</v>
      </c>
      <c r="G446" s="83" t="e">
        <f>IF(G438,INDEX($L446:$P446,G439+1),0)</f>
        <v>#NAME?</v>
      </c>
      <c r="H446" s="83" t="e">
        <f>IF(H438,INDEX($L446:$P446,H439+1),0)</f>
        <v>#NAME?</v>
      </c>
      <c r="I446" s="83" t="e">
        <f>IF(I438,INDEX($L446:$P446,I439+1),0)</f>
        <v>#NAME?</v>
      </c>
      <c r="J446" s="32"/>
      <c r="K446" s="32"/>
      <c r="L446" s="13">
        <v>0</v>
      </c>
      <c r="M446" s="13"/>
      <c r="N446" s="13"/>
      <c r="O446" s="13"/>
      <c r="P446" s="13"/>
    </row>
    <row r="447" spans="1:16">
      <c r="A447" s="10"/>
      <c r="B447" s="32"/>
      <c r="C447" s="78"/>
      <c r="D447" s="82" t="str">
        <f>IFERROR(IF(OR(ISTEXT(C447),C447=""),"",VLOOKUP(C447,param!A$4:B$15,2,FALSE)),"Param Not Recognised")</f>
        <v/>
      </c>
      <c r="E447" s="83" t="e">
        <f>IF(E438,INDEX($L447:$P447,E439+1),0)</f>
        <v>#NAME?</v>
      </c>
      <c r="F447" s="83" t="e">
        <f>IF(F438,INDEX($L447:$P447,F439+1),0)</f>
        <v>#NAME?</v>
      </c>
      <c r="G447" s="83" t="e">
        <f>IF(G438,INDEX($L447:$P447,G439+1),0)</f>
        <v>#NAME?</v>
      </c>
      <c r="H447" s="83" t="e">
        <f>IF(H438,INDEX($L447:$P447,H439+1),0)</f>
        <v>#NAME?</v>
      </c>
      <c r="I447" s="83" t="e">
        <f>IF(I438,INDEX($L447:$P447,I439+1),0)</f>
        <v>#NAME?</v>
      </c>
      <c r="J447" s="32"/>
      <c r="K447" s="32"/>
      <c r="L447" s="13">
        <v>0</v>
      </c>
      <c r="M447" s="13"/>
      <c r="N447" s="13"/>
      <c r="O447" s="13"/>
      <c r="P447" s="13"/>
    </row>
    <row r="448" spans="1:16">
      <c r="A448" s="10"/>
      <c r="B448" s="32"/>
      <c r="C448" s="78"/>
      <c r="D448" s="82" t="str">
        <f>IFERROR(IF(OR(ISTEXT(C448),C448=""),"",VLOOKUP(C448,param!A$4:B$15,2,FALSE)),"Param Not Recognised")</f>
        <v/>
      </c>
      <c r="E448" s="83" t="e">
        <f>IF(E438,INDEX($L448:$P448,E439+1),0)</f>
        <v>#NAME?</v>
      </c>
      <c r="F448" s="83" t="e">
        <f>IF(F438,INDEX($L448:$P448,F439+1),0)</f>
        <v>#NAME?</v>
      </c>
      <c r="G448" s="83" t="e">
        <f>IF(G438,INDEX($L448:$P448,G439+1),0)</f>
        <v>#NAME?</v>
      </c>
      <c r="H448" s="83" t="e">
        <f>IF(H438,INDEX($L448:$P448,H439+1),0)</f>
        <v>#NAME?</v>
      </c>
      <c r="I448" s="83" t="e">
        <f>IF(I438,INDEX($L448:$P448,I439+1),0)</f>
        <v>#NAME?</v>
      </c>
      <c r="J448" s="32"/>
      <c r="K448" s="32"/>
      <c r="L448" s="13">
        <v>0</v>
      </c>
      <c r="M448" s="13"/>
      <c r="N448" s="13"/>
      <c r="O448" s="13"/>
      <c r="P448" s="13"/>
    </row>
    <row r="449" spans="1:16">
      <c r="A449" s="10"/>
      <c r="B449" s="32"/>
      <c r="C449" s="78"/>
      <c r="D449" s="82" t="str">
        <f>IFERROR(IF(OR(ISTEXT(C449),C449=""),"",VLOOKUP(C449,param!A$4:B$15,2,FALSE)),"Param Not Recognised")</f>
        <v/>
      </c>
      <c r="E449" s="83" t="e">
        <f>IF(E438,INDEX($L449:$P449,E439+1),0)</f>
        <v>#NAME?</v>
      </c>
      <c r="F449" s="83" t="e">
        <f>IF(F438,INDEX($L449:$P449,F439+1),0)</f>
        <v>#NAME?</v>
      </c>
      <c r="G449" s="83" t="e">
        <f>IF(G438,INDEX($L449:$P449,G439+1),0)</f>
        <v>#NAME?</v>
      </c>
      <c r="H449" s="83" t="e">
        <f>IF(H438,INDEX($L449:$P449,H439+1),0)</f>
        <v>#NAME?</v>
      </c>
      <c r="I449" s="83" t="e">
        <f>IF(I438,INDEX($L449:$P449,I439+1),0)</f>
        <v>#NAME?</v>
      </c>
      <c r="J449" s="32"/>
      <c r="K449" s="32"/>
      <c r="L449" s="13">
        <v>0</v>
      </c>
      <c r="M449" s="13"/>
      <c r="N449" s="13"/>
      <c r="O449" s="13"/>
      <c r="P449" s="13"/>
    </row>
    <row r="450" spans="1:16">
      <c r="A450" s="26"/>
    </row>
    <row r="451" spans="1:16">
      <c r="A451" s="86">
        <v>35</v>
      </c>
      <c r="B451" s="38">
        <f>INDEX(SI_Name,A451+1)</f>
        <v>0</v>
      </c>
      <c r="C451" s="31" t="s">
        <v>346</v>
      </c>
      <c r="D451" s="31"/>
      <c r="E451" s="33" t="e">
        <f>VLOOKUP($A451,calcTableSIsLaunched,adj_IndexTeam+1,FALSE)</f>
        <v>#NAME?</v>
      </c>
      <c r="F451" s="33" t="e">
        <f>VLOOKUP($A451,calcTableSIsLaunched,adj_IndexTeam+1,FALSE)</f>
        <v>#NAME?</v>
      </c>
      <c r="G451" s="33" t="e">
        <f>VLOOKUP($A451,calcTableSIsLaunched,adj_IndexTeam+1,FALSE)</f>
        <v>#NAME?</v>
      </c>
      <c r="H451" s="33" t="e">
        <f>VLOOKUP($A451,calcTableSIsLaunched,adj_IndexTeam+1,FALSE)</f>
        <v>#NAME?</v>
      </c>
      <c r="I451" s="33" t="e">
        <f>VLOOKUP($A451,calcTableSIsLaunched,adj_IndexTeam+1,FALSE)</f>
        <v>#NAME?</v>
      </c>
      <c r="J451" s="15">
        <f>SUMIF(C453:C462,adj_FTECode,M453:M462)</f>
        <v>0</v>
      </c>
      <c r="K451" s="15">
        <f>SUMIF(C453:C462,adj_CostCode,M453:M462)</f>
        <v>0</v>
      </c>
      <c r="L451" s="31"/>
      <c r="M451" s="31"/>
      <c r="N451" s="31"/>
      <c r="O451" s="31"/>
      <c r="P451" s="31"/>
    </row>
    <row r="452" spans="1:16">
      <c r="A452" s="10"/>
      <c r="B452" s="32"/>
      <c r="C452" s="32" t="s">
        <v>347</v>
      </c>
      <c r="D452" s="32"/>
      <c r="E452" s="33" t="e">
        <f>VLOOKUP($A451,calcTableSIsRoundsIntoLaunch,adj_IndexTeam+1,FALSE)</f>
        <v>#NAME?</v>
      </c>
      <c r="F452" s="33" t="e">
        <f>VLOOKUP($A451,calcTableSIsRoundsIntoLaunch,adj_IndexTeam+1,FALSE)</f>
        <v>#NAME?</v>
      </c>
      <c r="G452" s="33" t="e">
        <f>VLOOKUP($A451,calcTableSIsRoundsIntoLaunch,adj_IndexTeam+1,FALSE)</f>
        <v>#NAME?</v>
      </c>
      <c r="H452" s="33" t="e">
        <f>VLOOKUP($A451,calcTableSIsRoundsIntoLaunch,adj_IndexTeam+1,FALSE)</f>
        <v>#NAME?</v>
      </c>
      <c r="I452" s="33" t="e">
        <f>VLOOKUP($A451,calcTableSIsRoundsIntoLaunch,adj_IndexTeam+1,FALSE)</f>
        <v>#NAME?</v>
      </c>
      <c r="J452" s="32"/>
      <c r="K452" s="32"/>
      <c r="L452" s="32"/>
      <c r="M452" s="32"/>
      <c r="N452" s="32"/>
      <c r="O452" s="32"/>
      <c r="P452" s="32"/>
    </row>
    <row r="453" spans="1:16">
      <c r="A453" s="10"/>
      <c r="B453" s="32"/>
      <c r="C453" s="78">
        <v>1002</v>
      </c>
      <c r="D453" s="82" t="str">
        <f>IFERROR(IF(OR(ISTEXT(C453),C453=""),"",VLOOKUP(C453,param!A$4:B$15,2,FALSE)),"Param Not Recognised")</f>
        <v>FTEs</v>
      </c>
      <c r="E453" s="83" t="e">
        <f>IF(E451,INDEX($L453:$P453,E452+1),0)</f>
        <v>#NAME?</v>
      </c>
      <c r="F453" s="83" t="e">
        <f>IF(F451,INDEX($L453:$P453,F452+1),0)</f>
        <v>#NAME?</v>
      </c>
      <c r="G453" s="83" t="e">
        <f>IF(G451,INDEX($L453:$P453,G452+1),0)</f>
        <v>#NAME?</v>
      </c>
      <c r="H453" s="83" t="e">
        <f>IF(H451,INDEX($L453:$P453,H452+1),0)</f>
        <v>#NAME?</v>
      </c>
      <c r="I453" s="83" t="e">
        <f>IF(I451,INDEX($L453:$P453,I452+1),0)</f>
        <v>#NAME?</v>
      </c>
      <c r="J453" s="32"/>
      <c r="K453" s="32"/>
      <c r="L453" s="13">
        <v>0</v>
      </c>
      <c r="M453" s="13"/>
      <c r="N453" s="13"/>
      <c r="O453" s="13"/>
      <c r="P453" s="13"/>
    </row>
    <row r="454" spans="1:16">
      <c r="A454" s="10"/>
      <c r="B454" s="32"/>
      <c r="C454" s="78"/>
      <c r="D454" s="82" t="str">
        <f>IFERROR(IF(OR(ISTEXT(C454),C454=""),"",VLOOKUP(C454,param!A$4:B$15,2,FALSE)),"Param Not Recognised")</f>
        <v/>
      </c>
      <c r="E454" s="83" t="e">
        <f>IF(E451,INDEX($L454:$P454,E452+1),0)</f>
        <v>#NAME?</v>
      </c>
      <c r="F454" s="83" t="e">
        <f>IF(F451,INDEX($L454:$P454,F452+1),0)</f>
        <v>#NAME?</v>
      </c>
      <c r="G454" s="83" t="e">
        <f>IF(G451,INDEX($L454:$P454,G452+1),0)</f>
        <v>#NAME?</v>
      </c>
      <c r="H454" s="83" t="e">
        <f>IF(H451,INDEX($L454:$P454,H452+1),0)</f>
        <v>#NAME?</v>
      </c>
      <c r="I454" s="83" t="e">
        <f>IF(I451,INDEX($L454:$P454,I452+1),0)</f>
        <v>#NAME?</v>
      </c>
      <c r="J454" s="32"/>
      <c r="K454" s="32"/>
      <c r="L454" s="13">
        <v>0</v>
      </c>
      <c r="M454" s="13"/>
      <c r="N454" s="13"/>
      <c r="O454" s="13"/>
      <c r="P454" s="13"/>
    </row>
    <row r="455" spans="1:16">
      <c r="A455" s="10"/>
      <c r="B455" s="32"/>
      <c r="C455" s="78"/>
      <c r="D455" s="82" t="str">
        <f>IFERROR(IF(OR(ISTEXT(C455),C455=""),"",VLOOKUP(C455,param!A$4:B$15,2,FALSE)),"Param Not Recognised")</f>
        <v/>
      </c>
      <c r="E455" s="83" t="e">
        <f>IF(E451,INDEX($L455:$P455,E452+1),0)</f>
        <v>#NAME?</v>
      </c>
      <c r="F455" s="83" t="e">
        <f>IF(F451,INDEX($L455:$P455,F452+1),0)</f>
        <v>#NAME?</v>
      </c>
      <c r="G455" s="83" t="e">
        <f>IF(G451,INDEX($L455:$P455,G452+1),0)</f>
        <v>#NAME?</v>
      </c>
      <c r="H455" s="83" t="e">
        <f>IF(H451,INDEX($L455:$P455,H452+1),0)</f>
        <v>#NAME?</v>
      </c>
      <c r="I455" s="83" t="e">
        <f>IF(I451,INDEX($L455:$P455,I452+1),0)</f>
        <v>#NAME?</v>
      </c>
      <c r="J455" s="32"/>
      <c r="K455" s="32"/>
      <c r="L455" s="13">
        <v>0</v>
      </c>
      <c r="M455" s="13"/>
      <c r="N455" s="13"/>
      <c r="O455" s="13"/>
      <c r="P455" s="13"/>
    </row>
    <row r="456" spans="1:16">
      <c r="A456" s="10"/>
      <c r="B456" s="32"/>
      <c r="C456" s="78"/>
      <c r="D456" s="82" t="str">
        <f>IFERROR(IF(OR(ISTEXT(C456),C456=""),"",VLOOKUP(C456,param!A$4:B$15,2,FALSE)),"Param Not Recognised")</f>
        <v/>
      </c>
      <c r="E456" s="83" t="e">
        <f>IF(E451,INDEX($L456:$P456,E452+1),0)</f>
        <v>#NAME?</v>
      </c>
      <c r="F456" s="83" t="e">
        <f>IF(F451,INDEX($L456:$P456,F452+1),0)</f>
        <v>#NAME?</v>
      </c>
      <c r="G456" s="83" t="e">
        <f>IF(G451,INDEX($L456:$P456,G452+1),0)</f>
        <v>#NAME?</v>
      </c>
      <c r="H456" s="83" t="e">
        <f>IF(H451,INDEX($L456:$P456,H452+1),0)</f>
        <v>#NAME?</v>
      </c>
      <c r="I456" s="83" t="e">
        <f>IF(I451,INDEX($L456:$P456,I452+1),0)</f>
        <v>#NAME?</v>
      </c>
      <c r="J456" s="32"/>
      <c r="K456" s="32"/>
      <c r="L456" s="13">
        <v>0</v>
      </c>
      <c r="M456" s="13"/>
      <c r="N456" s="13"/>
      <c r="O456" s="13"/>
      <c r="P456" s="13"/>
    </row>
    <row r="457" spans="1:16">
      <c r="A457" s="10"/>
      <c r="B457" s="32"/>
      <c r="C457" s="78"/>
      <c r="D457" s="82" t="str">
        <f>IFERROR(IF(OR(ISTEXT(C457),C457=""),"",VLOOKUP(C457,param!A$4:B$15,2,FALSE)),"Param Not Recognised")</f>
        <v/>
      </c>
      <c r="E457" s="83" t="e">
        <f>IF(E451,INDEX($L457:$P457,E452+1),0)</f>
        <v>#NAME?</v>
      </c>
      <c r="F457" s="83" t="e">
        <f>IF(F451,INDEX($L457:$P457,F452+1),0)</f>
        <v>#NAME?</v>
      </c>
      <c r="G457" s="83" t="e">
        <f>IF(G451,INDEX($L457:$P457,G452+1),0)</f>
        <v>#NAME?</v>
      </c>
      <c r="H457" s="83" t="e">
        <f>IF(H451,INDEX($L457:$P457,H452+1),0)</f>
        <v>#NAME?</v>
      </c>
      <c r="I457" s="83" t="e">
        <f>IF(I451,INDEX($L457:$P457,I452+1),0)</f>
        <v>#NAME?</v>
      </c>
      <c r="J457" s="32"/>
      <c r="K457" s="32"/>
      <c r="L457" s="13">
        <v>0</v>
      </c>
      <c r="M457" s="13"/>
      <c r="N457" s="13"/>
      <c r="O457" s="13"/>
      <c r="P457" s="13"/>
    </row>
    <row r="458" spans="1:16">
      <c r="A458" s="10"/>
      <c r="B458" s="32"/>
      <c r="C458" s="78"/>
      <c r="D458" s="82" t="str">
        <f>IFERROR(IF(OR(ISTEXT(C458),C458=""),"",VLOOKUP(C458,param!A$4:B$15,2,FALSE)),"Param Not Recognised")</f>
        <v/>
      </c>
      <c r="E458" s="83" t="e">
        <f>IF(E451,INDEX($L458:$P458,E452+1),0)</f>
        <v>#NAME?</v>
      </c>
      <c r="F458" s="83" t="e">
        <f>IF(F451,INDEX($L458:$P458,F452+1),0)</f>
        <v>#NAME?</v>
      </c>
      <c r="G458" s="83" t="e">
        <f>IF(G451,INDEX($L458:$P458,G452+1),0)</f>
        <v>#NAME?</v>
      </c>
      <c r="H458" s="83" t="e">
        <f>IF(H451,INDEX($L458:$P458,H452+1),0)</f>
        <v>#NAME?</v>
      </c>
      <c r="I458" s="83" t="e">
        <f>IF(I451,INDEX($L458:$P458,I452+1),0)</f>
        <v>#NAME?</v>
      </c>
      <c r="J458" s="32"/>
      <c r="K458" s="32"/>
      <c r="L458" s="13">
        <v>0</v>
      </c>
      <c r="M458" s="13"/>
      <c r="N458" s="13"/>
      <c r="O458" s="13"/>
      <c r="P458" s="13"/>
    </row>
    <row r="459" spans="1:16">
      <c r="A459" s="10"/>
      <c r="B459" s="32"/>
      <c r="C459" s="78"/>
      <c r="D459" s="82" t="str">
        <f>IFERROR(IF(OR(ISTEXT(C459),C459=""),"",VLOOKUP(C459,param!A$4:B$15,2,FALSE)),"Param Not Recognised")</f>
        <v/>
      </c>
      <c r="E459" s="83" t="e">
        <f>IF(E451,INDEX($L459:$P459,E452+1),0)</f>
        <v>#NAME?</v>
      </c>
      <c r="F459" s="83" t="e">
        <f>IF(F451,INDEX($L459:$P459,F452+1),0)</f>
        <v>#NAME?</v>
      </c>
      <c r="G459" s="83" t="e">
        <f>IF(G451,INDEX($L459:$P459,G452+1),0)</f>
        <v>#NAME?</v>
      </c>
      <c r="H459" s="83" t="e">
        <f>IF(H451,INDEX($L459:$P459,H452+1),0)</f>
        <v>#NAME?</v>
      </c>
      <c r="I459" s="83" t="e">
        <f>IF(I451,INDEX($L459:$P459,I452+1),0)</f>
        <v>#NAME?</v>
      </c>
      <c r="J459" s="32"/>
      <c r="K459" s="32"/>
      <c r="L459" s="13">
        <v>0</v>
      </c>
      <c r="M459" s="13"/>
      <c r="N459" s="13"/>
      <c r="O459" s="13"/>
      <c r="P459" s="13"/>
    </row>
    <row r="460" spans="1:16">
      <c r="A460" s="10"/>
      <c r="B460" s="32"/>
      <c r="C460" s="78"/>
      <c r="D460" s="82" t="str">
        <f>IFERROR(IF(OR(ISTEXT(C460),C460=""),"",VLOOKUP(C460,param!A$4:B$15,2,FALSE)),"Param Not Recognised")</f>
        <v/>
      </c>
      <c r="E460" s="83" t="e">
        <f>IF(E451,INDEX($L460:$P460,E452+1),0)</f>
        <v>#NAME?</v>
      </c>
      <c r="F460" s="83" t="e">
        <f>IF(F451,INDEX($L460:$P460,F452+1),0)</f>
        <v>#NAME?</v>
      </c>
      <c r="G460" s="83" t="e">
        <f>IF(G451,INDEX($L460:$P460,G452+1),0)</f>
        <v>#NAME?</v>
      </c>
      <c r="H460" s="83" t="e">
        <f>IF(H451,INDEX($L460:$P460,H452+1),0)</f>
        <v>#NAME?</v>
      </c>
      <c r="I460" s="83" t="e">
        <f>IF(I451,INDEX($L460:$P460,I452+1),0)</f>
        <v>#NAME?</v>
      </c>
      <c r="J460" s="32"/>
      <c r="K460" s="32"/>
      <c r="L460" s="13">
        <v>0</v>
      </c>
      <c r="M460" s="13"/>
      <c r="N460" s="13"/>
      <c r="O460" s="13"/>
      <c r="P460" s="13"/>
    </row>
    <row r="461" spans="1:16">
      <c r="A461" s="10"/>
      <c r="B461" s="32"/>
      <c r="C461" s="78"/>
      <c r="D461" s="82" t="str">
        <f>IFERROR(IF(OR(ISTEXT(C461),C461=""),"",VLOOKUP(C461,param!A$4:B$15,2,FALSE)),"Param Not Recognised")</f>
        <v/>
      </c>
      <c r="E461" s="83" t="e">
        <f>IF(E451,INDEX($L461:$P461,E452+1),0)</f>
        <v>#NAME?</v>
      </c>
      <c r="F461" s="83" t="e">
        <f>IF(F451,INDEX($L461:$P461,F452+1),0)</f>
        <v>#NAME?</v>
      </c>
      <c r="G461" s="83" t="e">
        <f>IF(G451,INDEX($L461:$P461,G452+1),0)</f>
        <v>#NAME?</v>
      </c>
      <c r="H461" s="83" t="e">
        <f>IF(H451,INDEX($L461:$P461,H452+1),0)</f>
        <v>#NAME?</v>
      </c>
      <c r="I461" s="83" t="e">
        <f>IF(I451,INDEX($L461:$P461,I452+1),0)</f>
        <v>#NAME?</v>
      </c>
      <c r="J461" s="32"/>
      <c r="K461" s="32"/>
      <c r="L461" s="13">
        <v>0</v>
      </c>
      <c r="M461" s="13"/>
      <c r="N461" s="13"/>
      <c r="O461" s="13"/>
      <c r="P461" s="13"/>
    </row>
    <row r="462" spans="1:16">
      <c r="A462" s="10"/>
      <c r="B462" s="32"/>
      <c r="C462" s="78"/>
      <c r="D462" s="82" t="str">
        <f>IFERROR(IF(OR(ISTEXT(C462),C462=""),"",VLOOKUP(C462,param!A$4:B$15,2,FALSE)),"Param Not Recognised")</f>
        <v/>
      </c>
      <c r="E462" s="83" t="e">
        <f>IF(E451,INDEX($L462:$P462,E452+1),0)</f>
        <v>#NAME?</v>
      </c>
      <c r="F462" s="83" t="e">
        <f>IF(F451,INDEX($L462:$P462,F452+1),0)</f>
        <v>#NAME?</v>
      </c>
      <c r="G462" s="83" t="e">
        <f>IF(G451,INDEX($L462:$P462,G452+1),0)</f>
        <v>#NAME?</v>
      </c>
      <c r="H462" s="83" t="e">
        <f>IF(H451,INDEX($L462:$P462,H452+1),0)</f>
        <v>#NAME?</v>
      </c>
      <c r="I462" s="83" t="e">
        <f>IF(I451,INDEX($L462:$P462,I452+1),0)</f>
        <v>#NAME?</v>
      </c>
      <c r="J462" s="32"/>
      <c r="K462" s="32"/>
      <c r="L462" s="13">
        <v>0</v>
      </c>
      <c r="M462" s="13"/>
      <c r="N462" s="13"/>
      <c r="O462" s="13"/>
      <c r="P462" s="13"/>
    </row>
    <row r="463" spans="1:16">
      <c r="A463" s="26"/>
    </row>
    <row r="464" spans="1:16">
      <c r="A464" s="86">
        <v>36</v>
      </c>
      <c r="B464" s="38">
        <f>INDEX(SI_Name,A464+1)</f>
        <v>0</v>
      </c>
      <c r="C464" s="31" t="s">
        <v>346</v>
      </c>
      <c r="D464" s="31"/>
      <c r="E464" s="33" t="e">
        <f>VLOOKUP($A464,calcTableSIsLaunched,adj_IndexTeam+1,FALSE)</f>
        <v>#NAME?</v>
      </c>
      <c r="F464" s="33" t="e">
        <f>VLOOKUP($A464,calcTableSIsLaunched,adj_IndexTeam+1,FALSE)</f>
        <v>#NAME?</v>
      </c>
      <c r="G464" s="33" t="e">
        <f>VLOOKUP($A464,calcTableSIsLaunched,adj_IndexTeam+1,FALSE)</f>
        <v>#NAME?</v>
      </c>
      <c r="H464" s="33" t="e">
        <f>VLOOKUP($A464,calcTableSIsLaunched,adj_IndexTeam+1,FALSE)</f>
        <v>#NAME?</v>
      </c>
      <c r="I464" s="33" t="e">
        <f>VLOOKUP($A464,calcTableSIsLaunched,adj_IndexTeam+1,FALSE)</f>
        <v>#NAME?</v>
      </c>
      <c r="J464" s="15">
        <f>SUMIF(C466:C475,adj_FTECode,M466:M475)</f>
        <v>0</v>
      </c>
      <c r="K464" s="15">
        <f>SUMIF(C466:C475,adj_CostCode,M466:M475)</f>
        <v>0</v>
      </c>
      <c r="L464" s="31"/>
      <c r="M464" s="31"/>
      <c r="N464" s="31"/>
      <c r="O464" s="31"/>
      <c r="P464" s="31"/>
    </row>
    <row r="465" spans="1:16">
      <c r="A465" s="10"/>
      <c r="B465" s="32"/>
      <c r="C465" s="32" t="s">
        <v>347</v>
      </c>
      <c r="D465" s="32"/>
      <c r="E465" s="33" t="e">
        <f>VLOOKUP($A464,calcTableSIsRoundsIntoLaunch,adj_IndexTeam+1,FALSE)</f>
        <v>#NAME?</v>
      </c>
      <c r="F465" s="33" t="e">
        <f>VLOOKUP($A464,calcTableSIsRoundsIntoLaunch,adj_IndexTeam+1,FALSE)</f>
        <v>#NAME?</v>
      </c>
      <c r="G465" s="33" t="e">
        <f>VLOOKUP($A464,calcTableSIsRoundsIntoLaunch,adj_IndexTeam+1,FALSE)</f>
        <v>#NAME?</v>
      </c>
      <c r="H465" s="33" t="e">
        <f>VLOOKUP($A464,calcTableSIsRoundsIntoLaunch,adj_IndexTeam+1,FALSE)</f>
        <v>#NAME?</v>
      </c>
      <c r="I465" s="33" t="e">
        <f>VLOOKUP($A464,calcTableSIsRoundsIntoLaunch,adj_IndexTeam+1,FALSE)</f>
        <v>#NAME?</v>
      </c>
      <c r="J465" s="32"/>
      <c r="K465" s="32"/>
      <c r="L465" s="32"/>
      <c r="M465" s="32"/>
      <c r="N465" s="32"/>
      <c r="O465" s="32"/>
      <c r="P465" s="32"/>
    </row>
    <row r="466" spans="1:16">
      <c r="A466" s="10"/>
      <c r="B466" s="32"/>
      <c r="C466" s="78">
        <v>1002</v>
      </c>
      <c r="D466" s="82" t="str">
        <f>IFERROR(IF(OR(ISTEXT(C466),C466=""),"",VLOOKUP(C466,param!A$4:B$15,2,FALSE)),"Param Not Recognised")</f>
        <v>FTEs</v>
      </c>
      <c r="E466" s="83" t="e">
        <f>IF(E464,INDEX($L466:$P466,E465+1),0)</f>
        <v>#NAME?</v>
      </c>
      <c r="F466" s="83" t="e">
        <f>IF(F464,INDEX($L466:$P466,F465+1),0)</f>
        <v>#NAME?</v>
      </c>
      <c r="G466" s="83" t="e">
        <f>IF(G464,INDEX($L466:$P466,G465+1),0)</f>
        <v>#NAME?</v>
      </c>
      <c r="H466" s="83" t="e">
        <f>IF(H464,INDEX($L466:$P466,H465+1),0)</f>
        <v>#NAME?</v>
      </c>
      <c r="I466" s="83" t="e">
        <f>IF(I464,INDEX($L466:$P466,I465+1),0)</f>
        <v>#NAME?</v>
      </c>
      <c r="J466" s="32"/>
      <c r="K466" s="32"/>
      <c r="L466" s="13">
        <v>0</v>
      </c>
      <c r="M466" s="13"/>
      <c r="N466" s="13"/>
      <c r="O466" s="13"/>
      <c r="P466" s="13"/>
    </row>
    <row r="467" spans="1:16">
      <c r="A467" s="10"/>
      <c r="B467" s="32"/>
      <c r="C467" s="78"/>
      <c r="D467" s="82" t="str">
        <f>IFERROR(IF(OR(ISTEXT(C467),C467=""),"",VLOOKUP(C467,param!A$4:B$15,2,FALSE)),"Param Not Recognised")</f>
        <v/>
      </c>
      <c r="E467" s="83" t="e">
        <f>IF(E464,INDEX($L467:$P467,E465+1),0)</f>
        <v>#NAME?</v>
      </c>
      <c r="F467" s="83" t="e">
        <f>IF(F464,INDEX($L467:$P467,F465+1),0)</f>
        <v>#NAME?</v>
      </c>
      <c r="G467" s="83" t="e">
        <f>IF(G464,INDEX($L467:$P467,G465+1),0)</f>
        <v>#NAME?</v>
      </c>
      <c r="H467" s="83" t="e">
        <f>IF(H464,INDEX($L467:$P467,H465+1),0)</f>
        <v>#NAME?</v>
      </c>
      <c r="I467" s="83" t="e">
        <f>IF(I464,INDEX($L467:$P467,I465+1),0)</f>
        <v>#NAME?</v>
      </c>
      <c r="J467" s="32"/>
      <c r="K467" s="32"/>
      <c r="L467" s="13">
        <v>0</v>
      </c>
      <c r="M467" s="13"/>
      <c r="N467" s="13"/>
      <c r="O467" s="13"/>
      <c r="P467" s="13"/>
    </row>
    <row r="468" spans="1:16">
      <c r="A468" s="10"/>
      <c r="B468" s="32"/>
      <c r="C468" s="78"/>
      <c r="D468" s="82" t="str">
        <f>IFERROR(IF(OR(ISTEXT(C468),C468=""),"",VLOOKUP(C468,param!A$4:B$15,2,FALSE)),"Param Not Recognised")</f>
        <v/>
      </c>
      <c r="E468" s="83" t="e">
        <f>IF(E464,INDEX($L468:$P468,E465+1),0)</f>
        <v>#NAME?</v>
      </c>
      <c r="F468" s="83" t="e">
        <f>IF(F464,INDEX($L468:$P468,F465+1),0)</f>
        <v>#NAME?</v>
      </c>
      <c r="G468" s="83" t="e">
        <f>IF(G464,INDEX($L468:$P468,G465+1),0)</f>
        <v>#NAME?</v>
      </c>
      <c r="H468" s="83" t="e">
        <f>IF(H464,INDEX($L468:$P468,H465+1),0)</f>
        <v>#NAME?</v>
      </c>
      <c r="I468" s="83" t="e">
        <f>IF(I464,INDEX($L468:$P468,I465+1),0)</f>
        <v>#NAME?</v>
      </c>
      <c r="J468" s="32"/>
      <c r="K468" s="32"/>
      <c r="L468" s="13">
        <v>0</v>
      </c>
      <c r="M468" s="13"/>
      <c r="N468" s="13"/>
      <c r="O468" s="13"/>
      <c r="P468" s="13"/>
    </row>
    <row r="469" spans="1:16">
      <c r="A469" s="10"/>
      <c r="B469" s="32"/>
      <c r="C469" s="78"/>
      <c r="D469" s="82" t="str">
        <f>IFERROR(IF(OR(ISTEXT(C469),C469=""),"",VLOOKUP(C469,param!A$4:B$15,2,FALSE)),"Param Not Recognised")</f>
        <v/>
      </c>
      <c r="E469" s="83" t="e">
        <f>IF(E464,INDEX($L469:$P469,E465+1),0)</f>
        <v>#NAME?</v>
      </c>
      <c r="F469" s="83" t="e">
        <f>IF(F464,INDEX($L469:$P469,F465+1),0)</f>
        <v>#NAME?</v>
      </c>
      <c r="G469" s="83" t="e">
        <f>IF(G464,INDEX($L469:$P469,G465+1),0)</f>
        <v>#NAME?</v>
      </c>
      <c r="H469" s="83" t="e">
        <f>IF(H464,INDEX($L469:$P469,H465+1),0)</f>
        <v>#NAME?</v>
      </c>
      <c r="I469" s="83" t="e">
        <f>IF(I464,INDEX($L469:$P469,I465+1),0)</f>
        <v>#NAME?</v>
      </c>
      <c r="J469" s="32"/>
      <c r="K469" s="32"/>
      <c r="L469" s="13">
        <v>0</v>
      </c>
      <c r="M469" s="13"/>
      <c r="N469" s="13"/>
      <c r="O469" s="13"/>
      <c r="P469" s="13"/>
    </row>
    <row r="470" spans="1:16">
      <c r="A470" s="10"/>
      <c r="B470" s="32"/>
      <c r="C470" s="78"/>
      <c r="D470" s="82" t="str">
        <f>IFERROR(IF(OR(ISTEXT(C470),C470=""),"",VLOOKUP(C470,param!A$4:B$15,2,FALSE)),"Param Not Recognised")</f>
        <v/>
      </c>
      <c r="E470" s="83" t="e">
        <f>IF(E464,INDEX($L470:$P470,E465+1),0)</f>
        <v>#NAME?</v>
      </c>
      <c r="F470" s="83" t="e">
        <f>IF(F464,INDEX($L470:$P470,F465+1),0)</f>
        <v>#NAME?</v>
      </c>
      <c r="G470" s="83" t="e">
        <f>IF(G464,INDEX($L470:$P470,G465+1),0)</f>
        <v>#NAME?</v>
      </c>
      <c r="H470" s="83" t="e">
        <f>IF(H464,INDEX($L470:$P470,H465+1),0)</f>
        <v>#NAME?</v>
      </c>
      <c r="I470" s="83" t="e">
        <f>IF(I464,INDEX($L470:$P470,I465+1),0)</f>
        <v>#NAME?</v>
      </c>
      <c r="J470" s="32"/>
      <c r="K470" s="32"/>
      <c r="L470" s="13">
        <v>0</v>
      </c>
      <c r="M470" s="13"/>
      <c r="N470" s="13"/>
      <c r="O470" s="13"/>
      <c r="P470" s="13"/>
    </row>
    <row r="471" spans="1:16">
      <c r="A471" s="10"/>
      <c r="B471" s="32"/>
      <c r="C471" s="78"/>
      <c r="D471" s="82" t="str">
        <f>IFERROR(IF(OR(ISTEXT(C471),C471=""),"",VLOOKUP(C471,param!A$4:B$15,2,FALSE)),"Param Not Recognised")</f>
        <v/>
      </c>
      <c r="E471" s="83" t="e">
        <f>IF(E464,INDEX($L471:$P471,E465+1),0)</f>
        <v>#NAME?</v>
      </c>
      <c r="F471" s="83" t="e">
        <f>IF(F464,INDEX($L471:$P471,F465+1),0)</f>
        <v>#NAME?</v>
      </c>
      <c r="G471" s="83" t="e">
        <f>IF(G464,INDEX($L471:$P471,G465+1),0)</f>
        <v>#NAME?</v>
      </c>
      <c r="H471" s="83" t="e">
        <f>IF(H464,INDEX($L471:$P471,H465+1),0)</f>
        <v>#NAME?</v>
      </c>
      <c r="I471" s="83" t="e">
        <f>IF(I464,INDEX($L471:$P471,I465+1),0)</f>
        <v>#NAME?</v>
      </c>
      <c r="J471" s="32"/>
      <c r="K471" s="32"/>
      <c r="L471" s="13">
        <v>0</v>
      </c>
      <c r="M471" s="13"/>
      <c r="N471" s="13"/>
      <c r="O471" s="13"/>
      <c r="P471" s="13"/>
    </row>
    <row r="472" spans="1:16">
      <c r="A472" s="10"/>
      <c r="B472" s="32"/>
      <c r="C472" s="78"/>
      <c r="D472" s="82" t="str">
        <f>IFERROR(IF(OR(ISTEXT(C472),C472=""),"",VLOOKUP(C472,param!A$4:B$15,2,FALSE)),"Param Not Recognised")</f>
        <v/>
      </c>
      <c r="E472" s="83" t="e">
        <f>IF(E464,INDEX($L472:$P472,E465+1),0)</f>
        <v>#NAME?</v>
      </c>
      <c r="F472" s="83" t="e">
        <f>IF(F464,INDEX($L472:$P472,F465+1),0)</f>
        <v>#NAME?</v>
      </c>
      <c r="G472" s="83" t="e">
        <f>IF(G464,INDEX($L472:$P472,G465+1),0)</f>
        <v>#NAME?</v>
      </c>
      <c r="H472" s="83" t="e">
        <f>IF(H464,INDEX($L472:$P472,H465+1),0)</f>
        <v>#NAME?</v>
      </c>
      <c r="I472" s="83" t="e">
        <f>IF(I464,INDEX($L472:$P472,I465+1),0)</f>
        <v>#NAME?</v>
      </c>
      <c r="J472" s="32"/>
      <c r="K472" s="32"/>
      <c r="L472" s="13">
        <v>0</v>
      </c>
      <c r="M472" s="13"/>
      <c r="N472" s="13"/>
      <c r="O472" s="13"/>
      <c r="P472" s="13"/>
    </row>
    <row r="473" spans="1:16">
      <c r="A473" s="10"/>
      <c r="B473" s="32"/>
      <c r="C473" s="78"/>
      <c r="D473" s="82" t="str">
        <f>IFERROR(IF(OR(ISTEXT(C473),C473=""),"",VLOOKUP(C473,param!A$4:B$15,2,FALSE)),"Param Not Recognised")</f>
        <v/>
      </c>
      <c r="E473" s="83" t="e">
        <f>IF(E464,INDEX($L473:$P473,E465+1),0)</f>
        <v>#NAME?</v>
      </c>
      <c r="F473" s="83" t="e">
        <f>IF(F464,INDEX($L473:$P473,F465+1),0)</f>
        <v>#NAME?</v>
      </c>
      <c r="G473" s="83" t="e">
        <f>IF(G464,INDEX($L473:$P473,G465+1),0)</f>
        <v>#NAME?</v>
      </c>
      <c r="H473" s="83" t="e">
        <f>IF(H464,INDEX($L473:$P473,H465+1),0)</f>
        <v>#NAME?</v>
      </c>
      <c r="I473" s="83" t="e">
        <f>IF(I464,INDEX($L473:$P473,I465+1),0)</f>
        <v>#NAME?</v>
      </c>
      <c r="J473" s="32"/>
      <c r="K473" s="32"/>
      <c r="L473" s="13">
        <v>0</v>
      </c>
      <c r="M473" s="13"/>
      <c r="N473" s="13"/>
      <c r="O473" s="13"/>
      <c r="P473" s="13"/>
    </row>
    <row r="474" spans="1:16">
      <c r="A474" s="10"/>
      <c r="B474" s="32"/>
      <c r="C474" s="78"/>
      <c r="D474" s="82" t="str">
        <f>IFERROR(IF(OR(ISTEXT(C474),C474=""),"",VLOOKUP(C474,param!A$4:B$15,2,FALSE)),"Param Not Recognised")</f>
        <v/>
      </c>
      <c r="E474" s="83" t="e">
        <f>IF(E464,INDEX($L474:$P474,E465+1),0)</f>
        <v>#NAME?</v>
      </c>
      <c r="F474" s="83" t="e">
        <f>IF(F464,INDEX($L474:$P474,F465+1),0)</f>
        <v>#NAME?</v>
      </c>
      <c r="G474" s="83" t="e">
        <f>IF(G464,INDEX($L474:$P474,G465+1),0)</f>
        <v>#NAME?</v>
      </c>
      <c r="H474" s="83" t="e">
        <f>IF(H464,INDEX($L474:$P474,H465+1),0)</f>
        <v>#NAME?</v>
      </c>
      <c r="I474" s="83" t="e">
        <f>IF(I464,INDEX($L474:$P474,I465+1),0)</f>
        <v>#NAME?</v>
      </c>
      <c r="J474" s="32"/>
      <c r="K474" s="32"/>
      <c r="L474" s="13">
        <v>0</v>
      </c>
      <c r="M474" s="13"/>
      <c r="N474" s="13"/>
      <c r="O474" s="13"/>
      <c r="P474" s="13"/>
    </row>
    <row r="475" spans="1:16">
      <c r="A475" s="10"/>
      <c r="B475" s="32"/>
      <c r="C475" s="78"/>
      <c r="D475" s="82" t="str">
        <f>IFERROR(IF(OR(ISTEXT(C475),C475=""),"",VLOOKUP(C475,param!A$4:B$15,2,FALSE)),"Param Not Recognised")</f>
        <v/>
      </c>
      <c r="E475" s="83" t="e">
        <f>IF(E464,INDEX($L475:$P475,E465+1),0)</f>
        <v>#NAME?</v>
      </c>
      <c r="F475" s="83" t="e">
        <f>IF(F464,INDEX($L475:$P475,F465+1),0)</f>
        <v>#NAME?</v>
      </c>
      <c r="G475" s="83" t="e">
        <f>IF(G464,INDEX($L475:$P475,G465+1),0)</f>
        <v>#NAME?</v>
      </c>
      <c r="H475" s="83" t="e">
        <f>IF(H464,INDEX($L475:$P475,H465+1),0)</f>
        <v>#NAME?</v>
      </c>
      <c r="I475" s="83" t="e">
        <f>IF(I464,INDEX($L475:$P475,I465+1),0)</f>
        <v>#NAME?</v>
      </c>
      <c r="J475" s="32"/>
      <c r="K475" s="32"/>
      <c r="L475" s="13">
        <v>0</v>
      </c>
      <c r="M475" s="13"/>
      <c r="N475" s="13"/>
      <c r="O475" s="13"/>
      <c r="P475" s="13"/>
    </row>
    <row r="476" spans="1:16">
      <c r="A476" s="26"/>
    </row>
    <row r="477" spans="1:16">
      <c r="A477" s="86">
        <v>37</v>
      </c>
      <c r="B477" s="38">
        <f>INDEX(SI_Name,A477+1)</f>
        <v>0</v>
      </c>
      <c r="C477" s="31" t="s">
        <v>346</v>
      </c>
      <c r="D477" s="31"/>
      <c r="E477" s="33" t="e">
        <f>VLOOKUP($A477,calcTableSIsLaunched,adj_IndexTeam+1,FALSE)</f>
        <v>#NAME?</v>
      </c>
      <c r="F477" s="33" t="e">
        <f>VLOOKUP($A477,calcTableSIsLaunched,adj_IndexTeam+1,FALSE)</f>
        <v>#NAME?</v>
      </c>
      <c r="G477" s="33" t="e">
        <f>VLOOKUP($A477,calcTableSIsLaunched,adj_IndexTeam+1,FALSE)</f>
        <v>#NAME?</v>
      </c>
      <c r="H477" s="33" t="e">
        <f>VLOOKUP($A477,calcTableSIsLaunched,adj_IndexTeam+1,FALSE)</f>
        <v>#NAME?</v>
      </c>
      <c r="I477" s="33" t="e">
        <f>VLOOKUP($A477,calcTableSIsLaunched,adj_IndexTeam+1,FALSE)</f>
        <v>#NAME?</v>
      </c>
      <c r="J477" s="15">
        <f>SUMIF(C479:C488,adj_FTECode,M479:M488)</f>
        <v>0</v>
      </c>
      <c r="K477" s="15">
        <f>SUMIF(C479:C488,adj_CostCode,M479:M488)</f>
        <v>0</v>
      </c>
      <c r="L477" s="31"/>
      <c r="M477" s="31"/>
      <c r="N477" s="31"/>
      <c r="O477" s="31"/>
      <c r="P477" s="31"/>
    </row>
    <row r="478" spans="1:16">
      <c r="A478" s="10"/>
      <c r="B478" s="32"/>
      <c r="C478" s="32" t="s">
        <v>347</v>
      </c>
      <c r="D478" s="32"/>
      <c r="E478" s="33" t="e">
        <f>VLOOKUP($A477,calcTableSIsRoundsIntoLaunch,adj_IndexTeam+1,FALSE)</f>
        <v>#NAME?</v>
      </c>
      <c r="F478" s="33" t="e">
        <f>VLOOKUP($A477,calcTableSIsRoundsIntoLaunch,adj_IndexTeam+1,FALSE)</f>
        <v>#NAME?</v>
      </c>
      <c r="G478" s="33" t="e">
        <f>VLOOKUP($A477,calcTableSIsRoundsIntoLaunch,adj_IndexTeam+1,FALSE)</f>
        <v>#NAME?</v>
      </c>
      <c r="H478" s="33" t="e">
        <f>VLOOKUP($A477,calcTableSIsRoundsIntoLaunch,adj_IndexTeam+1,FALSE)</f>
        <v>#NAME?</v>
      </c>
      <c r="I478" s="33" t="e">
        <f>VLOOKUP($A477,calcTableSIsRoundsIntoLaunch,adj_IndexTeam+1,FALSE)</f>
        <v>#NAME?</v>
      </c>
      <c r="J478" s="32"/>
      <c r="K478" s="32"/>
      <c r="L478" s="32"/>
      <c r="M478" s="32"/>
      <c r="N478" s="32"/>
      <c r="O478" s="32"/>
      <c r="P478" s="32"/>
    </row>
    <row r="479" spans="1:16">
      <c r="A479" s="10"/>
      <c r="B479" s="32"/>
      <c r="C479" s="78">
        <v>1002</v>
      </c>
      <c r="D479" s="82" t="str">
        <f>IFERROR(IF(OR(ISTEXT(C479),C479=""),"",VLOOKUP(C479,param!A$4:B$15,2,FALSE)),"Param Not Recognised")</f>
        <v>FTEs</v>
      </c>
      <c r="E479" s="83" t="e">
        <f>IF(E477,INDEX($L479:$P479,E478+1),0)</f>
        <v>#NAME?</v>
      </c>
      <c r="F479" s="83" t="e">
        <f>IF(F477,INDEX($L479:$P479,F478+1),0)</f>
        <v>#NAME?</v>
      </c>
      <c r="G479" s="83" t="e">
        <f>IF(G477,INDEX($L479:$P479,G478+1),0)</f>
        <v>#NAME?</v>
      </c>
      <c r="H479" s="83" t="e">
        <f>IF(H477,INDEX($L479:$P479,H478+1),0)</f>
        <v>#NAME?</v>
      </c>
      <c r="I479" s="83" t="e">
        <f>IF(I477,INDEX($L479:$P479,I478+1),0)</f>
        <v>#NAME?</v>
      </c>
      <c r="J479" s="32"/>
      <c r="K479" s="32"/>
      <c r="L479" s="13">
        <v>0</v>
      </c>
      <c r="M479" s="13"/>
      <c r="N479" s="13"/>
      <c r="O479" s="13"/>
      <c r="P479" s="13"/>
    </row>
    <row r="480" spans="1:16">
      <c r="A480" s="10"/>
      <c r="B480" s="32"/>
      <c r="C480" s="78"/>
      <c r="D480" s="82" t="str">
        <f>IFERROR(IF(OR(ISTEXT(C480),C480=""),"",VLOOKUP(C480,param!A$4:B$15,2,FALSE)),"Param Not Recognised")</f>
        <v/>
      </c>
      <c r="E480" s="83" t="e">
        <f>IF(E477,INDEX($L480:$P480,E478+1),0)</f>
        <v>#NAME?</v>
      </c>
      <c r="F480" s="83" t="e">
        <f>IF(F477,INDEX($L480:$P480,F478+1),0)</f>
        <v>#NAME?</v>
      </c>
      <c r="G480" s="83" t="e">
        <f>IF(G477,INDEX($L480:$P480,G478+1),0)</f>
        <v>#NAME?</v>
      </c>
      <c r="H480" s="83" t="e">
        <f>IF(H477,INDEX($L480:$P480,H478+1),0)</f>
        <v>#NAME?</v>
      </c>
      <c r="I480" s="83" t="e">
        <f>IF(I477,INDEX($L480:$P480,I478+1),0)</f>
        <v>#NAME?</v>
      </c>
      <c r="J480" s="32"/>
      <c r="K480" s="32"/>
      <c r="L480" s="13">
        <v>0</v>
      </c>
      <c r="M480" s="13"/>
      <c r="N480" s="13"/>
      <c r="O480" s="13"/>
      <c r="P480" s="13"/>
    </row>
    <row r="481" spans="1:16">
      <c r="A481" s="10"/>
      <c r="B481" s="32"/>
      <c r="C481" s="78"/>
      <c r="D481" s="82" t="str">
        <f>IFERROR(IF(OR(ISTEXT(C481),C481=""),"",VLOOKUP(C481,param!A$4:B$15,2,FALSE)),"Param Not Recognised")</f>
        <v/>
      </c>
      <c r="E481" s="83" t="e">
        <f>IF(E477,INDEX($L481:$P481,E478+1),0)</f>
        <v>#NAME?</v>
      </c>
      <c r="F481" s="83" t="e">
        <f>IF(F477,INDEX($L481:$P481,F478+1),0)</f>
        <v>#NAME?</v>
      </c>
      <c r="G481" s="83" t="e">
        <f>IF(G477,INDEX($L481:$P481,G478+1),0)</f>
        <v>#NAME?</v>
      </c>
      <c r="H481" s="83" t="e">
        <f>IF(H477,INDEX($L481:$P481,H478+1),0)</f>
        <v>#NAME?</v>
      </c>
      <c r="I481" s="83" t="e">
        <f>IF(I477,INDEX($L481:$P481,I478+1),0)</f>
        <v>#NAME?</v>
      </c>
      <c r="J481" s="32"/>
      <c r="K481" s="32"/>
      <c r="L481" s="13">
        <v>0</v>
      </c>
      <c r="M481" s="13"/>
      <c r="N481" s="13"/>
      <c r="O481" s="13"/>
      <c r="P481" s="13"/>
    </row>
    <row r="482" spans="1:16">
      <c r="A482" s="10"/>
      <c r="B482" s="32"/>
      <c r="C482" s="78"/>
      <c r="D482" s="82" t="str">
        <f>IFERROR(IF(OR(ISTEXT(C482),C482=""),"",VLOOKUP(C482,param!A$4:B$15,2,FALSE)),"Param Not Recognised")</f>
        <v/>
      </c>
      <c r="E482" s="83" t="e">
        <f>IF(E477,INDEX($L482:$P482,E478+1),0)</f>
        <v>#NAME?</v>
      </c>
      <c r="F482" s="83" t="e">
        <f>IF(F477,INDEX($L482:$P482,F478+1),0)</f>
        <v>#NAME?</v>
      </c>
      <c r="G482" s="83" t="e">
        <f>IF(G477,INDEX($L482:$P482,G478+1),0)</f>
        <v>#NAME?</v>
      </c>
      <c r="H482" s="83" t="e">
        <f>IF(H477,INDEX($L482:$P482,H478+1),0)</f>
        <v>#NAME?</v>
      </c>
      <c r="I482" s="83" t="e">
        <f>IF(I477,INDEX($L482:$P482,I478+1),0)</f>
        <v>#NAME?</v>
      </c>
      <c r="J482" s="32"/>
      <c r="K482" s="32"/>
      <c r="L482" s="13">
        <v>0</v>
      </c>
      <c r="M482" s="13"/>
      <c r="N482" s="13"/>
      <c r="O482" s="13"/>
      <c r="P482" s="13"/>
    </row>
    <row r="483" spans="1:16">
      <c r="A483" s="10"/>
      <c r="B483" s="32"/>
      <c r="C483" s="78"/>
      <c r="D483" s="82" t="str">
        <f>IFERROR(IF(OR(ISTEXT(C483),C483=""),"",VLOOKUP(C483,param!A$4:B$15,2,FALSE)),"Param Not Recognised")</f>
        <v/>
      </c>
      <c r="E483" s="83" t="e">
        <f>IF(E477,INDEX($L483:$P483,E478+1),0)</f>
        <v>#NAME?</v>
      </c>
      <c r="F483" s="83" t="e">
        <f>IF(F477,INDEX($L483:$P483,F478+1),0)</f>
        <v>#NAME?</v>
      </c>
      <c r="G483" s="83" t="e">
        <f>IF(G477,INDEX($L483:$P483,G478+1),0)</f>
        <v>#NAME?</v>
      </c>
      <c r="H483" s="83" t="e">
        <f>IF(H477,INDEX($L483:$P483,H478+1),0)</f>
        <v>#NAME?</v>
      </c>
      <c r="I483" s="83" t="e">
        <f>IF(I477,INDEX($L483:$P483,I478+1),0)</f>
        <v>#NAME?</v>
      </c>
      <c r="J483" s="32"/>
      <c r="K483" s="32"/>
      <c r="L483" s="13">
        <v>0</v>
      </c>
      <c r="M483" s="13"/>
      <c r="N483" s="13"/>
      <c r="O483" s="13"/>
      <c r="P483" s="13"/>
    </row>
    <row r="484" spans="1:16">
      <c r="A484" s="10"/>
      <c r="B484" s="32"/>
      <c r="C484" s="78"/>
      <c r="D484" s="82" t="str">
        <f>IFERROR(IF(OR(ISTEXT(C484),C484=""),"",VLOOKUP(C484,param!A$4:B$15,2,FALSE)),"Param Not Recognised")</f>
        <v/>
      </c>
      <c r="E484" s="83" t="e">
        <f>IF(E477,INDEX($L484:$P484,E478+1),0)</f>
        <v>#NAME?</v>
      </c>
      <c r="F484" s="83" t="e">
        <f>IF(F477,INDEX($L484:$P484,F478+1),0)</f>
        <v>#NAME?</v>
      </c>
      <c r="G484" s="83" t="e">
        <f>IF(G477,INDEX($L484:$P484,G478+1),0)</f>
        <v>#NAME?</v>
      </c>
      <c r="H484" s="83" t="e">
        <f>IF(H477,INDEX($L484:$P484,H478+1),0)</f>
        <v>#NAME?</v>
      </c>
      <c r="I484" s="83" t="e">
        <f>IF(I477,INDEX($L484:$P484,I478+1),0)</f>
        <v>#NAME?</v>
      </c>
      <c r="J484" s="32"/>
      <c r="K484" s="32"/>
      <c r="L484" s="13">
        <v>0</v>
      </c>
      <c r="M484" s="13"/>
      <c r="N484" s="13"/>
      <c r="O484" s="13"/>
      <c r="P484" s="13"/>
    </row>
    <row r="485" spans="1:16">
      <c r="A485" s="10"/>
      <c r="B485" s="32"/>
      <c r="C485" s="78"/>
      <c r="D485" s="82" t="str">
        <f>IFERROR(IF(OR(ISTEXT(C485),C485=""),"",VLOOKUP(C485,param!A$4:B$15,2,FALSE)),"Param Not Recognised")</f>
        <v/>
      </c>
      <c r="E485" s="83" t="e">
        <f>IF(E477,INDEX($L485:$P485,E478+1),0)</f>
        <v>#NAME?</v>
      </c>
      <c r="F485" s="83" t="e">
        <f>IF(F477,INDEX($L485:$P485,F478+1),0)</f>
        <v>#NAME?</v>
      </c>
      <c r="G485" s="83" t="e">
        <f>IF(G477,INDEX($L485:$P485,G478+1),0)</f>
        <v>#NAME?</v>
      </c>
      <c r="H485" s="83" t="e">
        <f>IF(H477,INDEX($L485:$P485,H478+1),0)</f>
        <v>#NAME?</v>
      </c>
      <c r="I485" s="83" t="e">
        <f>IF(I477,INDEX($L485:$P485,I478+1),0)</f>
        <v>#NAME?</v>
      </c>
      <c r="J485" s="32"/>
      <c r="K485" s="32"/>
      <c r="L485" s="13">
        <v>0</v>
      </c>
      <c r="M485" s="13"/>
      <c r="N485" s="13"/>
      <c r="O485" s="13"/>
      <c r="P485" s="13"/>
    </row>
    <row r="486" spans="1:16">
      <c r="A486" s="10"/>
      <c r="B486" s="32"/>
      <c r="C486" s="78"/>
      <c r="D486" s="82" t="str">
        <f>IFERROR(IF(OR(ISTEXT(C486),C486=""),"",VLOOKUP(C486,param!A$4:B$15,2,FALSE)),"Param Not Recognised")</f>
        <v/>
      </c>
      <c r="E486" s="83" t="e">
        <f>IF(E477,INDEX($L486:$P486,E478+1),0)</f>
        <v>#NAME?</v>
      </c>
      <c r="F486" s="83" t="e">
        <f>IF(F477,INDEX($L486:$P486,F478+1),0)</f>
        <v>#NAME?</v>
      </c>
      <c r="G486" s="83" t="e">
        <f>IF(G477,INDEX($L486:$P486,G478+1),0)</f>
        <v>#NAME?</v>
      </c>
      <c r="H486" s="83" t="e">
        <f>IF(H477,INDEX($L486:$P486,H478+1),0)</f>
        <v>#NAME?</v>
      </c>
      <c r="I486" s="83" t="e">
        <f>IF(I477,INDEX($L486:$P486,I478+1),0)</f>
        <v>#NAME?</v>
      </c>
      <c r="J486" s="32"/>
      <c r="K486" s="32"/>
      <c r="L486" s="13">
        <v>0</v>
      </c>
      <c r="M486" s="13"/>
      <c r="N486" s="13"/>
      <c r="O486" s="13"/>
      <c r="P486" s="13"/>
    </row>
    <row r="487" spans="1:16">
      <c r="A487" s="10"/>
      <c r="B487" s="32"/>
      <c r="C487" s="78"/>
      <c r="D487" s="82" t="str">
        <f>IFERROR(IF(OR(ISTEXT(C487),C487=""),"",VLOOKUP(C487,param!A$4:B$15,2,FALSE)),"Param Not Recognised")</f>
        <v/>
      </c>
      <c r="E487" s="83" t="e">
        <f>IF(E477,INDEX($L487:$P487,E478+1),0)</f>
        <v>#NAME?</v>
      </c>
      <c r="F487" s="83" t="e">
        <f>IF(F477,INDEX($L487:$P487,F478+1),0)</f>
        <v>#NAME?</v>
      </c>
      <c r="G487" s="83" t="e">
        <f>IF(G477,INDEX($L487:$P487,G478+1),0)</f>
        <v>#NAME?</v>
      </c>
      <c r="H487" s="83" t="e">
        <f>IF(H477,INDEX($L487:$P487,H478+1),0)</f>
        <v>#NAME?</v>
      </c>
      <c r="I487" s="83" t="e">
        <f>IF(I477,INDEX($L487:$P487,I478+1),0)</f>
        <v>#NAME?</v>
      </c>
      <c r="J487" s="32"/>
      <c r="K487" s="32"/>
      <c r="L487" s="13">
        <v>0</v>
      </c>
      <c r="M487" s="13"/>
      <c r="N487" s="13"/>
      <c r="O487" s="13"/>
      <c r="P487" s="13"/>
    </row>
    <row r="488" spans="1:16">
      <c r="A488" s="10"/>
      <c r="B488" s="32"/>
      <c r="C488" s="78"/>
      <c r="D488" s="82" t="str">
        <f>IFERROR(IF(OR(ISTEXT(C488),C488=""),"",VLOOKUP(C488,param!A$4:B$15,2,FALSE)),"Param Not Recognised")</f>
        <v/>
      </c>
      <c r="E488" s="83" t="e">
        <f>IF(E477,INDEX($L488:$P488,E478+1),0)</f>
        <v>#NAME?</v>
      </c>
      <c r="F488" s="83" t="e">
        <f>IF(F477,INDEX($L488:$P488,F478+1),0)</f>
        <v>#NAME?</v>
      </c>
      <c r="G488" s="83" t="e">
        <f>IF(G477,INDEX($L488:$P488,G478+1),0)</f>
        <v>#NAME?</v>
      </c>
      <c r="H488" s="83" t="e">
        <f>IF(H477,INDEX($L488:$P488,H478+1),0)</f>
        <v>#NAME?</v>
      </c>
      <c r="I488" s="83" t="e">
        <f>IF(I477,INDEX($L488:$P488,I478+1),0)</f>
        <v>#NAME?</v>
      </c>
      <c r="J488" s="32"/>
      <c r="K488" s="32"/>
      <c r="L488" s="13">
        <v>0</v>
      </c>
      <c r="M488" s="13"/>
      <c r="N488" s="13"/>
      <c r="O488" s="13"/>
      <c r="P488" s="13"/>
    </row>
    <row r="489" spans="1:16">
      <c r="A489" s="26"/>
    </row>
    <row r="490" spans="1:16">
      <c r="A490" s="86">
        <v>38</v>
      </c>
      <c r="B490" s="38">
        <f>INDEX(SI_Name,A490+1)</f>
        <v>0</v>
      </c>
      <c r="C490" s="31" t="s">
        <v>346</v>
      </c>
      <c r="D490" s="31"/>
      <c r="E490" s="33" t="e">
        <f>VLOOKUP($A490,calcTableSIsLaunched,adj_IndexTeam+1,FALSE)</f>
        <v>#NAME?</v>
      </c>
      <c r="F490" s="33" t="e">
        <f>VLOOKUP($A490,calcTableSIsLaunched,adj_IndexTeam+1,FALSE)</f>
        <v>#NAME?</v>
      </c>
      <c r="G490" s="33" t="e">
        <f>VLOOKUP($A490,calcTableSIsLaunched,adj_IndexTeam+1,FALSE)</f>
        <v>#NAME?</v>
      </c>
      <c r="H490" s="33" t="e">
        <f>VLOOKUP($A490,calcTableSIsLaunched,adj_IndexTeam+1,FALSE)</f>
        <v>#NAME?</v>
      </c>
      <c r="I490" s="33" t="e">
        <f>VLOOKUP($A490,calcTableSIsLaunched,adj_IndexTeam+1,FALSE)</f>
        <v>#NAME?</v>
      </c>
      <c r="J490" s="15">
        <f>SUMIF(C492:C501,adj_FTECode,M492:M501)</f>
        <v>0</v>
      </c>
      <c r="K490" s="15">
        <f>SUMIF(C492:C501,adj_CostCode,M492:M501)</f>
        <v>0</v>
      </c>
      <c r="L490" s="31"/>
      <c r="M490" s="31"/>
      <c r="N490" s="31"/>
      <c r="O490" s="31"/>
      <c r="P490" s="31"/>
    </row>
    <row r="491" spans="1:16">
      <c r="A491" s="10"/>
      <c r="B491" s="32"/>
      <c r="C491" s="32" t="s">
        <v>347</v>
      </c>
      <c r="D491" s="32"/>
      <c r="E491" s="33" t="e">
        <f>VLOOKUP($A490,calcTableSIsRoundsIntoLaunch,adj_IndexTeam+1,FALSE)</f>
        <v>#NAME?</v>
      </c>
      <c r="F491" s="33" t="e">
        <f>VLOOKUP($A490,calcTableSIsRoundsIntoLaunch,adj_IndexTeam+1,FALSE)</f>
        <v>#NAME?</v>
      </c>
      <c r="G491" s="33" t="e">
        <f>VLOOKUP($A490,calcTableSIsRoundsIntoLaunch,adj_IndexTeam+1,FALSE)</f>
        <v>#NAME?</v>
      </c>
      <c r="H491" s="33" t="e">
        <f>VLOOKUP($A490,calcTableSIsRoundsIntoLaunch,adj_IndexTeam+1,FALSE)</f>
        <v>#NAME?</v>
      </c>
      <c r="I491" s="33" t="e">
        <f>VLOOKUP($A490,calcTableSIsRoundsIntoLaunch,adj_IndexTeam+1,FALSE)</f>
        <v>#NAME?</v>
      </c>
      <c r="J491" s="32"/>
      <c r="K491" s="32"/>
      <c r="L491" s="32"/>
      <c r="M491" s="32"/>
      <c r="N491" s="32"/>
      <c r="O491" s="32"/>
      <c r="P491" s="32"/>
    </row>
    <row r="492" spans="1:16">
      <c r="A492" s="10"/>
      <c r="B492" s="32"/>
      <c r="C492" s="78">
        <v>1002</v>
      </c>
      <c r="D492" s="82" t="str">
        <f>IFERROR(IF(OR(ISTEXT(C492),C492=""),"",VLOOKUP(C492,param!A$4:B$15,2,FALSE)),"Param Not Recognised")</f>
        <v>FTEs</v>
      </c>
      <c r="E492" s="83" t="e">
        <f>IF(E490,INDEX($L492:$P492,E491+1),0)</f>
        <v>#NAME?</v>
      </c>
      <c r="F492" s="83" t="e">
        <f>IF(F490,INDEX($L492:$P492,F491+1),0)</f>
        <v>#NAME?</v>
      </c>
      <c r="G492" s="83" t="e">
        <f>IF(G490,INDEX($L492:$P492,G491+1),0)</f>
        <v>#NAME?</v>
      </c>
      <c r="H492" s="83" t="e">
        <f>IF(H490,INDEX($L492:$P492,H491+1),0)</f>
        <v>#NAME?</v>
      </c>
      <c r="I492" s="83" t="e">
        <f>IF(I490,INDEX($L492:$P492,I491+1),0)</f>
        <v>#NAME?</v>
      </c>
      <c r="J492" s="32"/>
      <c r="K492" s="32"/>
      <c r="L492" s="13">
        <v>0</v>
      </c>
      <c r="M492" s="13"/>
      <c r="N492" s="13"/>
      <c r="O492" s="13"/>
      <c r="P492" s="13"/>
    </row>
    <row r="493" spans="1:16">
      <c r="A493" s="10"/>
      <c r="B493" s="32"/>
      <c r="C493" s="78"/>
      <c r="D493" s="82" t="str">
        <f>IFERROR(IF(OR(ISTEXT(C493),C493=""),"",VLOOKUP(C493,param!A$4:B$15,2,FALSE)),"Param Not Recognised")</f>
        <v/>
      </c>
      <c r="E493" s="83" t="e">
        <f>IF(E490,INDEX($L493:$P493,E491+1),0)</f>
        <v>#NAME?</v>
      </c>
      <c r="F493" s="83" t="e">
        <f>IF(F490,INDEX($L493:$P493,F491+1),0)</f>
        <v>#NAME?</v>
      </c>
      <c r="G493" s="83" t="e">
        <f>IF(G490,INDEX($L493:$P493,G491+1),0)</f>
        <v>#NAME?</v>
      </c>
      <c r="H493" s="83" t="e">
        <f>IF(H490,INDEX($L493:$P493,H491+1),0)</f>
        <v>#NAME?</v>
      </c>
      <c r="I493" s="83" t="e">
        <f>IF(I490,INDEX($L493:$P493,I491+1),0)</f>
        <v>#NAME?</v>
      </c>
      <c r="J493" s="32"/>
      <c r="K493" s="32"/>
      <c r="L493" s="13">
        <v>0</v>
      </c>
      <c r="M493" s="13"/>
      <c r="N493" s="13"/>
      <c r="O493" s="13"/>
      <c r="P493" s="13"/>
    </row>
    <row r="494" spans="1:16">
      <c r="A494" s="10"/>
      <c r="B494" s="32"/>
      <c r="C494" s="78"/>
      <c r="D494" s="82" t="str">
        <f>IFERROR(IF(OR(ISTEXT(C494),C494=""),"",VLOOKUP(C494,param!A$4:B$15,2,FALSE)),"Param Not Recognised")</f>
        <v/>
      </c>
      <c r="E494" s="83" t="e">
        <f>IF(E490,INDEX($L494:$P494,E491+1),0)</f>
        <v>#NAME?</v>
      </c>
      <c r="F494" s="83" t="e">
        <f>IF(F490,INDEX($L494:$P494,F491+1),0)</f>
        <v>#NAME?</v>
      </c>
      <c r="G494" s="83" t="e">
        <f>IF(G490,INDEX($L494:$P494,G491+1),0)</f>
        <v>#NAME?</v>
      </c>
      <c r="H494" s="83" t="e">
        <f>IF(H490,INDEX($L494:$P494,H491+1),0)</f>
        <v>#NAME?</v>
      </c>
      <c r="I494" s="83" t="e">
        <f>IF(I490,INDEX($L494:$P494,I491+1),0)</f>
        <v>#NAME?</v>
      </c>
      <c r="J494" s="32"/>
      <c r="K494" s="32"/>
      <c r="L494" s="13">
        <v>0</v>
      </c>
      <c r="M494" s="13"/>
      <c r="N494" s="13"/>
      <c r="O494" s="13"/>
      <c r="P494" s="13"/>
    </row>
    <row r="495" spans="1:16">
      <c r="A495" s="10"/>
      <c r="B495" s="32"/>
      <c r="C495" s="78"/>
      <c r="D495" s="82" t="str">
        <f>IFERROR(IF(OR(ISTEXT(C495),C495=""),"",VLOOKUP(C495,param!A$4:B$15,2,FALSE)),"Param Not Recognised")</f>
        <v/>
      </c>
      <c r="E495" s="83" t="e">
        <f>IF(E490,INDEX($L495:$P495,E491+1),0)</f>
        <v>#NAME?</v>
      </c>
      <c r="F495" s="83" t="e">
        <f>IF(F490,INDEX($L495:$P495,F491+1),0)</f>
        <v>#NAME?</v>
      </c>
      <c r="G495" s="83" t="e">
        <f>IF(G490,INDEX($L495:$P495,G491+1),0)</f>
        <v>#NAME?</v>
      </c>
      <c r="H495" s="83" t="e">
        <f>IF(H490,INDEX($L495:$P495,H491+1),0)</f>
        <v>#NAME?</v>
      </c>
      <c r="I495" s="83" t="e">
        <f>IF(I490,INDEX($L495:$P495,I491+1),0)</f>
        <v>#NAME?</v>
      </c>
      <c r="J495" s="32"/>
      <c r="K495" s="32"/>
      <c r="L495" s="13">
        <v>0</v>
      </c>
      <c r="M495" s="13"/>
      <c r="N495" s="13"/>
      <c r="O495" s="13"/>
      <c r="P495" s="13"/>
    </row>
    <row r="496" spans="1:16">
      <c r="A496" s="10"/>
      <c r="B496" s="32"/>
      <c r="C496" s="78"/>
      <c r="D496" s="82" t="str">
        <f>IFERROR(IF(OR(ISTEXT(C496),C496=""),"",VLOOKUP(C496,param!A$4:B$15,2,FALSE)),"Param Not Recognised")</f>
        <v/>
      </c>
      <c r="E496" s="83" t="e">
        <f>IF(E490,INDEX($L496:$P496,E491+1),0)</f>
        <v>#NAME?</v>
      </c>
      <c r="F496" s="83" t="e">
        <f>IF(F490,INDEX($L496:$P496,F491+1),0)</f>
        <v>#NAME?</v>
      </c>
      <c r="G496" s="83" t="e">
        <f>IF(G490,INDEX($L496:$P496,G491+1),0)</f>
        <v>#NAME?</v>
      </c>
      <c r="H496" s="83" t="e">
        <f>IF(H490,INDEX($L496:$P496,H491+1),0)</f>
        <v>#NAME?</v>
      </c>
      <c r="I496" s="83" t="e">
        <f>IF(I490,INDEX($L496:$P496,I491+1),0)</f>
        <v>#NAME?</v>
      </c>
      <c r="J496" s="32"/>
      <c r="K496" s="32"/>
      <c r="L496" s="13">
        <v>0</v>
      </c>
      <c r="M496" s="13"/>
      <c r="N496" s="13"/>
      <c r="O496" s="13"/>
      <c r="P496" s="13"/>
    </row>
    <row r="497" spans="1:16">
      <c r="A497" s="10"/>
      <c r="B497" s="32"/>
      <c r="C497" s="78"/>
      <c r="D497" s="82" t="str">
        <f>IFERROR(IF(OR(ISTEXT(C497),C497=""),"",VLOOKUP(C497,param!A$4:B$15,2,FALSE)),"Param Not Recognised")</f>
        <v/>
      </c>
      <c r="E497" s="83" t="e">
        <f>IF(E490,INDEX($L497:$P497,E491+1),0)</f>
        <v>#NAME?</v>
      </c>
      <c r="F497" s="83" t="e">
        <f>IF(F490,INDEX($L497:$P497,F491+1),0)</f>
        <v>#NAME?</v>
      </c>
      <c r="G497" s="83" t="e">
        <f>IF(G490,INDEX($L497:$P497,G491+1),0)</f>
        <v>#NAME?</v>
      </c>
      <c r="H497" s="83" t="e">
        <f>IF(H490,INDEX($L497:$P497,H491+1),0)</f>
        <v>#NAME?</v>
      </c>
      <c r="I497" s="83" t="e">
        <f>IF(I490,INDEX($L497:$P497,I491+1),0)</f>
        <v>#NAME?</v>
      </c>
      <c r="J497" s="32"/>
      <c r="K497" s="32"/>
      <c r="L497" s="13">
        <v>0</v>
      </c>
      <c r="M497" s="13"/>
      <c r="N497" s="13"/>
      <c r="O497" s="13"/>
      <c r="P497" s="13"/>
    </row>
    <row r="498" spans="1:16">
      <c r="A498" s="10"/>
      <c r="B498" s="32"/>
      <c r="C498" s="78"/>
      <c r="D498" s="82" t="str">
        <f>IFERROR(IF(OR(ISTEXT(C498),C498=""),"",VLOOKUP(C498,param!A$4:B$15,2,FALSE)),"Param Not Recognised")</f>
        <v/>
      </c>
      <c r="E498" s="83" t="e">
        <f>IF(E490,INDEX($L498:$P498,E491+1),0)</f>
        <v>#NAME?</v>
      </c>
      <c r="F498" s="83" t="e">
        <f>IF(F490,INDEX($L498:$P498,F491+1),0)</f>
        <v>#NAME?</v>
      </c>
      <c r="G498" s="83" t="e">
        <f>IF(G490,INDEX($L498:$P498,G491+1),0)</f>
        <v>#NAME?</v>
      </c>
      <c r="H498" s="83" t="e">
        <f>IF(H490,INDEX($L498:$P498,H491+1),0)</f>
        <v>#NAME?</v>
      </c>
      <c r="I498" s="83" t="e">
        <f>IF(I490,INDEX($L498:$P498,I491+1),0)</f>
        <v>#NAME?</v>
      </c>
      <c r="J498" s="32"/>
      <c r="K498" s="32"/>
      <c r="L498" s="13">
        <v>0</v>
      </c>
      <c r="M498" s="13"/>
      <c r="N498" s="13"/>
      <c r="O498" s="13"/>
      <c r="P498" s="13"/>
    </row>
    <row r="499" spans="1:16">
      <c r="A499" s="10"/>
      <c r="B499" s="32"/>
      <c r="C499" s="78"/>
      <c r="D499" s="82" t="str">
        <f>IFERROR(IF(OR(ISTEXT(C499),C499=""),"",VLOOKUP(C499,param!A$4:B$15,2,FALSE)),"Param Not Recognised")</f>
        <v/>
      </c>
      <c r="E499" s="83" t="e">
        <f>IF(E490,INDEX($L499:$P499,E491+1),0)</f>
        <v>#NAME?</v>
      </c>
      <c r="F499" s="83" t="e">
        <f>IF(F490,INDEX($L499:$P499,F491+1),0)</f>
        <v>#NAME?</v>
      </c>
      <c r="G499" s="83" t="e">
        <f>IF(G490,INDEX($L499:$P499,G491+1),0)</f>
        <v>#NAME?</v>
      </c>
      <c r="H499" s="83" t="e">
        <f>IF(H490,INDEX($L499:$P499,H491+1),0)</f>
        <v>#NAME?</v>
      </c>
      <c r="I499" s="83" t="e">
        <f>IF(I490,INDEX($L499:$P499,I491+1),0)</f>
        <v>#NAME?</v>
      </c>
      <c r="J499" s="32"/>
      <c r="K499" s="32"/>
      <c r="L499" s="13">
        <v>0</v>
      </c>
      <c r="M499" s="13"/>
      <c r="N499" s="13"/>
      <c r="O499" s="13"/>
      <c r="P499" s="13"/>
    </row>
    <row r="500" spans="1:16">
      <c r="A500" s="10"/>
      <c r="B500" s="32"/>
      <c r="C500" s="78"/>
      <c r="D500" s="82" t="str">
        <f>IFERROR(IF(OR(ISTEXT(C500),C500=""),"",VLOOKUP(C500,param!A$4:B$15,2,FALSE)),"Param Not Recognised")</f>
        <v/>
      </c>
      <c r="E500" s="83" t="e">
        <f>IF(E490,INDEX($L500:$P500,E491+1),0)</f>
        <v>#NAME?</v>
      </c>
      <c r="F500" s="83" t="e">
        <f>IF(F490,INDEX($L500:$P500,F491+1),0)</f>
        <v>#NAME?</v>
      </c>
      <c r="G500" s="83" t="e">
        <f>IF(G490,INDEX($L500:$P500,G491+1),0)</f>
        <v>#NAME?</v>
      </c>
      <c r="H500" s="83" t="e">
        <f>IF(H490,INDEX($L500:$P500,H491+1),0)</f>
        <v>#NAME?</v>
      </c>
      <c r="I500" s="83" t="e">
        <f>IF(I490,INDEX($L500:$P500,I491+1),0)</f>
        <v>#NAME?</v>
      </c>
      <c r="J500" s="32"/>
      <c r="K500" s="32"/>
      <c r="L500" s="13">
        <v>0</v>
      </c>
      <c r="M500" s="13"/>
      <c r="N500" s="13"/>
      <c r="O500" s="13"/>
      <c r="P500" s="13"/>
    </row>
    <row r="501" spans="1:16">
      <c r="A501" s="10"/>
      <c r="B501" s="32"/>
      <c r="C501" s="78"/>
      <c r="D501" s="82" t="str">
        <f>IFERROR(IF(OR(ISTEXT(C501),C501=""),"",VLOOKUP(C501,param!A$4:B$15,2,FALSE)),"Param Not Recognised")</f>
        <v/>
      </c>
      <c r="E501" s="83" t="e">
        <f>IF(E490,INDEX($L501:$P501,E491+1),0)</f>
        <v>#NAME?</v>
      </c>
      <c r="F501" s="83" t="e">
        <f>IF(F490,INDEX($L501:$P501,F491+1),0)</f>
        <v>#NAME?</v>
      </c>
      <c r="G501" s="83" t="e">
        <f>IF(G490,INDEX($L501:$P501,G491+1),0)</f>
        <v>#NAME?</v>
      </c>
      <c r="H501" s="83" t="e">
        <f>IF(H490,INDEX($L501:$P501,H491+1),0)</f>
        <v>#NAME?</v>
      </c>
      <c r="I501" s="83" t="e">
        <f>IF(I490,INDEX($L501:$P501,I491+1),0)</f>
        <v>#NAME?</v>
      </c>
      <c r="J501" s="32"/>
      <c r="K501" s="32"/>
      <c r="L501" s="13">
        <v>0</v>
      </c>
      <c r="M501" s="13"/>
      <c r="N501" s="13"/>
      <c r="O501" s="13"/>
      <c r="P501" s="13"/>
    </row>
    <row r="502" spans="1:16">
      <c r="A502" s="26"/>
    </row>
    <row r="503" spans="1:16">
      <c r="A503" s="86">
        <v>39</v>
      </c>
      <c r="B503" s="38">
        <f>INDEX(SI_Name,A503+1)</f>
        <v>0</v>
      </c>
      <c r="C503" s="31" t="s">
        <v>346</v>
      </c>
      <c r="D503" s="31"/>
      <c r="E503" s="33" t="e">
        <f>VLOOKUP($A503,calcTableSIsLaunched,adj_IndexTeam+1,FALSE)</f>
        <v>#NAME?</v>
      </c>
      <c r="F503" s="33" t="e">
        <f>VLOOKUP($A503,calcTableSIsLaunched,adj_IndexTeam+1,FALSE)</f>
        <v>#NAME?</v>
      </c>
      <c r="G503" s="33" t="e">
        <f>VLOOKUP($A503,calcTableSIsLaunched,adj_IndexTeam+1,FALSE)</f>
        <v>#NAME?</v>
      </c>
      <c r="H503" s="33" t="e">
        <f>VLOOKUP($A503,calcTableSIsLaunched,adj_IndexTeam+1,FALSE)</f>
        <v>#NAME?</v>
      </c>
      <c r="I503" s="33" t="e">
        <f>VLOOKUP($A503,calcTableSIsLaunched,adj_IndexTeam+1,FALSE)</f>
        <v>#NAME?</v>
      </c>
      <c r="J503" s="15">
        <f>SUMIF(C505:C514,adj_FTECode,M505:M514)</f>
        <v>0</v>
      </c>
      <c r="K503" s="15">
        <f>SUMIF(C505:C514,adj_CostCode,M505:M514)</f>
        <v>0</v>
      </c>
      <c r="L503" s="31"/>
      <c r="M503" s="31"/>
      <c r="N503" s="31"/>
      <c r="O503" s="31"/>
      <c r="P503" s="31"/>
    </row>
    <row r="504" spans="1:16">
      <c r="A504" s="10"/>
      <c r="B504" s="32"/>
      <c r="C504" s="32" t="s">
        <v>347</v>
      </c>
      <c r="D504" s="32"/>
      <c r="E504" s="33" t="e">
        <f>VLOOKUP($A503,calcTableSIsRoundsIntoLaunch,adj_IndexTeam+1,FALSE)</f>
        <v>#NAME?</v>
      </c>
      <c r="F504" s="33" t="e">
        <f>VLOOKUP($A503,calcTableSIsRoundsIntoLaunch,adj_IndexTeam+1,FALSE)</f>
        <v>#NAME?</v>
      </c>
      <c r="G504" s="33" t="e">
        <f>VLOOKUP($A503,calcTableSIsRoundsIntoLaunch,adj_IndexTeam+1,FALSE)</f>
        <v>#NAME?</v>
      </c>
      <c r="H504" s="33" t="e">
        <f>VLOOKUP($A503,calcTableSIsRoundsIntoLaunch,adj_IndexTeam+1,FALSE)</f>
        <v>#NAME?</v>
      </c>
      <c r="I504" s="33" t="e">
        <f>VLOOKUP($A503,calcTableSIsRoundsIntoLaunch,adj_IndexTeam+1,FALSE)</f>
        <v>#NAME?</v>
      </c>
      <c r="J504" s="32"/>
      <c r="K504" s="32"/>
      <c r="L504" s="32"/>
      <c r="M504" s="32"/>
      <c r="N504" s="32"/>
      <c r="O504" s="32"/>
      <c r="P504" s="32"/>
    </row>
    <row r="505" spans="1:16">
      <c r="A505" s="10"/>
      <c r="B505" s="32"/>
      <c r="C505" s="78">
        <v>1002</v>
      </c>
      <c r="D505" s="82" t="str">
        <f>IFERROR(IF(OR(ISTEXT(C505),C505=""),"",VLOOKUP(C505,param!A$4:B$15,2,FALSE)),"Param Not Recognised")</f>
        <v>FTEs</v>
      </c>
      <c r="E505" s="83" t="e">
        <f>IF(E503,INDEX($L505:$P505,E504+1),0)</f>
        <v>#NAME?</v>
      </c>
      <c r="F505" s="83" t="e">
        <f>IF(F503,INDEX($L505:$P505,F504+1),0)</f>
        <v>#NAME?</v>
      </c>
      <c r="G505" s="83" t="e">
        <f>IF(G503,INDEX($L505:$P505,G504+1),0)</f>
        <v>#NAME?</v>
      </c>
      <c r="H505" s="83" t="e">
        <f>IF(H503,INDEX($L505:$P505,H504+1),0)</f>
        <v>#NAME?</v>
      </c>
      <c r="I505" s="83" t="e">
        <f>IF(I503,INDEX($L505:$P505,I504+1),0)</f>
        <v>#NAME?</v>
      </c>
      <c r="J505" s="32"/>
      <c r="K505" s="32"/>
      <c r="L505" s="13">
        <v>0</v>
      </c>
      <c r="M505" s="13"/>
      <c r="N505" s="13"/>
      <c r="O505" s="13"/>
      <c r="P505" s="13"/>
    </row>
    <row r="506" spans="1:16">
      <c r="A506" s="10"/>
      <c r="B506" s="32"/>
      <c r="C506" s="78"/>
      <c r="D506" s="82" t="str">
        <f>IFERROR(IF(OR(ISTEXT(C506),C506=""),"",VLOOKUP(C506,param!A$4:B$15,2,FALSE)),"Param Not Recognised")</f>
        <v/>
      </c>
      <c r="E506" s="83" t="e">
        <f>IF(E503,INDEX($L506:$P506,E504+1),0)</f>
        <v>#NAME?</v>
      </c>
      <c r="F506" s="83" t="e">
        <f>IF(F503,INDEX($L506:$P506,F504+1),0)</f>
        <v>#NAME?</v>
      </c>
      <c r="G506" s="83" t="e">
        <f>IF(G503,INDEX($L506:$P506,G504+1),0)</f>
        <v>#NAME?</v>
      </c>
      <c r="H506" s="83" t="e">
        <f>IF(H503,INDEX($L506:$P506,H504+1),0)</f>
        <v>#NAME?</v>
      </c>
      <c r="I506" s="83" t="e">
        <f>IF(I503,INDEX($L506:$P506,I504+1),0)</f>
        <v>#NAME?</v>
      </c>
      <c r="J506" s="32"/>
      <c r="K506" s="32"/>
      <c r="L506" s="13">
        <v>0</v>
      </c>
      <c r="M506" s="13"/>
      <c r="N506" s="13"/>
      <c r="O506" s="13"/>
      <c r="P506" s="13"/>
    </row>
    <row r="507" spans="1:16">
      <c r="A507" s="10"/>
      <c r="B507" s="32"/>
      <c r="C507" s="78"/>
      <c r="D507" s="82" t="str">
        <f>IFERROR(IF(OR(ISTEXT(C507),C507=""),"",VLOOKUP(C507,param!A$4:B$15,2,FALSE)),"Param Not Recognised")</f>
        <v/>
      </c>
      <c r="E507" s="83" t="e">
        <f>IF(E503,INDEX($L507:$P507,E504+1),0)</f>
        <v>#NAME?</v>
      </c>
      <c r="F507" s="83" t="e">
        <f>IF(F503,INDEX($L507:$P507,F504+1),0)</f>
        <v>#NAME?</v>
      </c>
      <c r="G507" s="83" t="e">
        <f>IF(G503,INDEX($L507:$P507,G504+1),0)</f>
        <v>#NAME?</v>
      </c>
      <c r="H507" s="83" t="e">
        <f>IF(H503,INDEX($L507:$P507,H504+1),0)</f>
        <v>#NAME?</v>
      </c>
      <c r="I507" s="83" t="e">
        <f>IF(I503,INDEX($L507:$P507,I504+1),0)</f>
        <v>#NAME?</v>
      </c>
      <c r="J507" s="32"/>
      <c r="K507" s="32"/>
      <c r="L507" s="13">
        <v>0</v>
      </c>
      <c r="M507" s="13"/>
      <c r="N507" s="13"/>
      <c r="O507" s="13"/>
      <c r="P507" s="13"/>
    </row>
    <row r="508" spans="1:16">
      <c r="A508" s="10"/>
      <c r="B508" s="32"/>
      <c r="C508" s="78"/>
      <c r="D508" s="82" t="str">
        <f>IFERROR(IF(OR(ISTEXT(C508),C508=""),"",VLOOKUP(C508,param!A$4:B$15,2,FALSE)),"Param Not Recognised")</f>
        <v/>
      </c>
      <c r="E508" s="83" t="e">
        <f>IF(E503,INDEX($L508:$P508,E504+1),0)</f>
        <v>#NAME?</v>
      </c>
      <c r="F508" s="83" t="e">
        <f>IF(F503,INDEX($L508:$P508,F504+1),0)</f>
        <v>#NAME?</v>
      </c>
      <c r="G508" s="83" t="e">
        <f>IF(G503,INDEX($L508:$P508,G504+1),0)</f>
        <v>#NAME?</v>
      </c>
      <c r="H508" s="83" t="e">
        <f>IF(H503,INDEX($L508:$P508,H504+1),0)</f>
        <v>#NAME?</v>
      </c>
      <c r="I508" s="83" t="e">
        <f>IF(I503,INDEX($L508:$P508,I504+1),0)</f>
        <v>#NAME?</v>
      </c>
      <c r="J508" s="32"/>
      <c r="K508" s="32"/>
      <c r="L508" s="13">
        <v>0</v>
      </c>
      <c r="M508" s="13"/>
      <c r="N508" s="13"/>
      <c r="O508" s="13"/>
      <c r="P508" s="13"/>
    </row>
    <row r="509" spans="1:16">
      <c r="A509" s="10"/>
      <c r="B509" s="32"/>
      <c r="C509" s="78"/>
      <c r="D509" s="82" t="str">
        <f>IFERROR(IF(OR(ISTEXT(C509),C509=""),"",VLOOKUP(C509,param!A$4:B$15,2,FALSE)),"Param Not Recognised")</f>
        <v/>
      </c>
      <c r="E509" s="83" t="e">
        <f>IF(E503,INDEX($L509:$P509,E504+1),0)</f>
        <v>#NAME?</v>
      </c>
      <c r="F509" s="83" t="e">
        <f>IF(F503,INDEX($L509:$P509,F504+1),0)</f>
        <v>#NAME?</v>
      </c>
      <c r="G509" s="83" t="e">
        <f>IF(G503,INDEX($L509:$P509,G504+1),0)</f>
        <v>#NAME?</v>
      </c>
      <c r="H509" s="83" t="e">
        <f>IF(H503,INDEX($L509:$P509,H504+1),0)</f>
        <v>#NAME?</v>
      </c>
      <c r="I509" s="83" t="e">
        <f>IF(I503,INDEX($L509:$P509,I504+1),0)</f>
        <v>#NAME?</v>
      </c>
      <c r="J509" s="32"/>
      <c r="K509" s="32"/>
      <c r="L509" s="13">
        <v>0</v>
      </c>
      <c r="M509" s="13"/>
      <c r="N509" s="13"/>
      <c r="O509" s="13"/>
      <c r="P509" s="13"/>
    </row>
    <row r="510" spans="1:16">
      <c r="A510" s="10"/>
      <c r="B510" s="32"/>
      <c r="C510" s="78"/>
      <c r="D510" s="82" t="str">
        <f>IFERROR(IF(OR(ISTEXT(C510),C510=""),"",VLOOKUP(C510,param!A$4:B$15,2,FALSE)),"Param Not Recognised")</f>
        <v/>
      </c>
      <c r="E510" s="83" t="e">
        <f>IF(E503,INDEX($L510:$P510,E504+1),0)</f>
        <v>#NAME?</v>
      </c>
      <c r="F510" s="83" t="e">
        <f>IF(F503,INDEX($L510:$P510,F504+1),0)</f>
        <v>#NAME?</v>
      </c>
      <c r="G510" s="83" t="e">
        <f>IF(G503,INDEX($L510:$P510,G504+1),0)</f>
        <v>#NAME?</v>
      </c>
      <c r="H510" s="83" t="e">
        <f>IF(H503,INDEX($L510:$P510,H504+1),0)</f>
        <v>#NAME?</v>
      </c>
      <c r="I510" s="83" t="e">
        <f>IF(I503,INDEX($L510:$P510,I504+1),0)</f>
        <v>#NAME?</v>
      </c>
      <c r="J510" s="32"/>
      <c r="K510" s="32"/>
      <c r="L510" s="13">
        <v>0</v>
      </c>
      <c r="M510" s="13"/>
      <c r="N510" s="13"/>
      <c r="O510" s="13"/>
      <c r="P510" s="13"/>
    </row>
    <row r="511" spans="1:16">
      <c r="A511" s="10"/>
      <c r="B511" s="32"/>
      <c r="C511" s="78"/>
      <c r="D511" s="82" t="str">
        <f>IFERROR(IF(OR(ISTEXT(C511),C511=""),"",VLOOKUP(C511,param!A$4:B$15,2,FALSE)),"Param Not Recognised")</f>
        <v/>
      </c>
      <c r="E511" s="83" t="e">
        <f>IF(E503,INDEX($L511:$P511,E504+1),0)</f>
        <v>#NAME?</v>
      </c>
      <c r="F511" s="83" t="e">
        <f>IF(F503,INDEX($L511:$P511,F504+1),0)</f>
        <v>#NAME?</v>
      </c>
      <c r="G511" s="83" t="e">
        <f>IF(G503,INDEX($L511:$P511,G504+1),0)</f>
        <v>#NAME?</v>
      </c>
      <c r="H511" s="83" t="e">
        <f>IF(H503,INDEX($L511:$P511,H504+1),0)</f>
        <v>#NAME?</v>
      </c>
      <c r="I511" s="83" t="e">
        <f>IF(I503,INDEX($L511:$P511,I504+1),0)</f>
        <v>#NAME?</v>
      </c>
      <c r="J511" s="32"/>
      <c r="K511" s="32"/>
      <c r="L511" s="13">
        <v>0</v>
      </c>
      <c r="M511" s="13"/>
      <c r="N511" s="13"/>
      <c r="O511" s="13"/>
      <c r="P511" s="13"/>
    </row>
    <row r="512" spans="1:16">
      <c r="A512" s="10"/>
      <c r="B512" s="32"/>
      <c r="C512" s="78"/>
      <c r="D512" s="82" t="str">
        <f>IFERROR(IF(OR(ISTEXT(C512),C512=""),"",VLOOKUP(C512,param!A$4:B$15,2,FALSE)),"Param Not Recognised")</f>
        <v/>
      </c>
      <c r="E512" s="83" t="e">
        <f>IF(E503,INDEX($L512:$P512,E504+1),0)</f>
        <v>#NAME?</v>
      </c>
      <c r="F512" s="83" t="e">
        <f>IF(F503,INDEX($L512:$P512,F504+1),0)</f>
        <v>#NAME?</v>
      </c>
      <c r="G512" s="83" t="e">
        <f>IF(G503,INDEX($L512:$P512,G504+1),0)</f>
        <v>#NAME?</v>
      </c>
      <c r="H512" s="83" t="e">
        <f>IF(H503,INDEX($L512:$P512,H504+1),0)</f>
        <v>#NAME?</v>
      </c>
      <c r="I512" s="83" t="e">
        <f>IF(I503,INDEX($L512:$P512,I504+1),0)</f>
        <v>#NAME?</v>
      </c>
      <c r="J512" s="32"/>
      <c r="K512" s="32"/>
      <c r="L512" s="13">
        <v>0</v>
      </c>
      <c r="M512" s="13"/>
      <c r="N512" s="13"/>
      <c r="O512" s="13"/>
      <c r="P512" s="13"/>
    </row>
    <row r="513" spans="1:16">
      <c r="A513" s="10"/>
      <c r="B513" s="32"/>
      <c r="C513" s="78"/>
      <c r="D513" s="82" t="str">
        <f>IFERROR(IF(OR(ISTEXT(C513),C513=""),"",VLOOKUP(C513,param!A$4:B$15,2,FALSE)),"Param Not Recognised")</f>
        <v/>
      </c>
      <c r="E513" s="83" t="e">
        <f>IF(E503,INDEX($L513:$P513,E504+1),0)</f>
        <v>#NAME?</v>
      </c>
      <c r="F513" s="83" t="e">
        <f>IF(F503,INDEX($L513:$P513,F504+1),0)</f>
        <v>#NAME?</v>
      </c>
      <c r="G513" s="83" t="e">
        <f>IF(G503,INDEX($L513:$P513,G504+1),0)</f>
        <v>#NAME?</v>
      </c>
      <c r="H513" s="83" t="e">
        <f>IF(H503,INDEX($L513:$P513,H504+1),0)</f>
        <v>#NAME?</v>
      </c>
      <c r="I513" s="83" t="e">
        <f>IF(I503,INDEX($L513:$P513,I504+1),0)</f>
        <v>#NAME?</v>
      </c>
      <c r="J513" s="32"/>
      <c r="K513" s="32"/>
      <c r="L513" s="13">
        <v>0</v>
      </c>
      <c r="M513" s="13"/>
      <c r="N513" s="13"/>
      <c r="O513" s="13"/>
      <c r="P513" s="13"/>
    </row>
    <row r="514" spans="1:16">
      <c r="A514" s="10"/>
      <c r="B514" s="32"/>
      <c r="C514" s="78"/>
      <c r="D514" s="82" t="str">
        <f>IFERROR(IF(OR(ISTEXT(C514),C514=""),"",VLOOKUP(C514,param!A$4:B$15,2,FALSE)),"Param Not Recognised")</f>
        <v/>
      </c>
      <c r="E514" s="83" t="e">
        <f>IF(E503,INDEX($L514:$P514,E504+1),0)</f>
        <v>#NAME?</v>
      </c>
      <c r="F514" s="83" t="e">
        <f>IF(F503,INDEX($L514:$P514,F504+1),0)</f>
        <v>#NAME?</v>
      </c>
      <c r="G514" s="83" t="e">
        <f>IF(G503,INDEX($L514:$P514,G504+1),0)</f>
        <v>#NAME?</v>
      </c>
      <c r="H514" s="83" t="e">
        <f>IF(H503,INDEX($L514:$P514,H504+1),0)</f>
        <v>#NAME?</v>
      </c>
      <c r="I514" s="83" t="e">
        <f>IF(I503,INDEX($L514:$P514,I504+1),0)</f>
        <v>#NAME?</v>
      </c>
      <c r="J514" s="32"/>
      <c r="K514" s="32"/>
      <c r="L514" s="13">
        <v>0</v>
      </c>
      <c r="M514" s="13"/>
      <c r="N514" s="13"/>
      <c r="O514" s="13"/>
      <c r="P514" s="13"/>
    </row>
    <row r="515" spans="1:16">
      <c r="A515" s="26"/>
    </row>
    <row r="516" spans="1:16">
      <c r="A516" s="86">
        <v>40</v>
      </c>
      <c r="B516" s="38">
        <f>INDEX(SI_Name,A516+1)</f>
        <v>0</v>
      </c>
      <c r="C516" s="31" t="s">
        <v>346</v>
      </c>
      <c r="D516" s="31"/>
      <c r="E516" s="33" t="e">
        <f>VLOOKUP($A516,calcTableSIsLaunched,adj_IndexTeam+1,FALSE)</f>
        <v>#NAME?</v>
      </c>
      <c r="F516" s="33" t="e">
        <f>VLOOKUP($A516,calcTableSIsLaunched,adj_IndexTeam+1,FALSE)</f>
        <v>#NAME?</v>
      </c>
      <c r="G516" s="33" t="e">
        <f>VLOOKUP($A516,calcTableSIsLaunched,adj_IndexTeam+1,FALSE)</f>
        <v>#NAME?</v>
      </c>
      <c r="H516" s="33" t="e">
        <f>VLOOKUP($A516,calcTableSIsLaunched,adj_IndexTeam+1,FALSE)</f>
        <v>#NAME?</v>
      </c>
      <c r="I516" s="33" t="e">
        <f>VLOOKUP($A516,calcTableSIsLaunched,adj_IndexTeam+1,FALSE)</f>
        <v>#NAME?</v>
      </c>
      <c r="J516" s="15">
        <f>SUMIF(C518:C527,adj_FTECode,M518:M527)</f>
        <v>0</v>
      </c>
      <c r="K516" s="15">
        <f>SUMIF(C518:C527,adj_CostCode,M518:M527)</f>
        <v>0</v>
      </c>
      <c r="L516" s="31"/>
      <c r="M516" s="31"/>
      <c r="N516" s="31"/>
      <c r="O516" s="31"/>
      <c r="P516" s="31"/>
    </row>
    <row r="517" spans="1:16">
      <c r="A517" s="10"/>
      <c r="B517" s="32"/>
      <c r="C517" s="32" t="s">
        <v>347</v>
      </c>
      <c r="D517" s="32"/>
      <c r="E517" s="33" t="e">
        <f>VLOOKUP($A516,calcTableSIsRoundsIntoLaunch,adj_IndexTeam+1,FALSE)</f>
        <v>#NAME?</v>
      </c>
      <c r="F517" s="33" t="e">
        <f>VLOOKUP($A516,calcTableSIsRoundsIntoLaunch,adj_IndexTeam+1,FALSE)</f>
        <v>#NAME?</v>
      </c>
      <c r="G517" s="33" t="e">
        <f>VLOOKUP($A516,calcTableSIsRoundsIntoLaunch,adj_IndexTeam+1,FALSE)</f>
        <v>#NAME?</v>
      </c>
      <c r="H517" s="33" t="e">
        <f>VLOOKUP($A516,calcTableSIsRoundsIntoLaunch,adj_IndexTeam+1,FALSE)</f>
        <v>#NAME?</v>
      </c>
      <c r="I517" s="33" t="e">
        <f>VLOOKUP($A516,calcTableSIsRoundsIntoLaunch,adj_IndexTeam+1,FALSE)</f>
        <v>#NAME?</v>
      </c>
      <c r="J517" s="32"/>
      <c r="K517" s="32"/>
      <c r="L517" s="32"/>
      <c r="M517" s="32"/>
      <c r="N517" s="32"/>
      <c r="O517" s="32"/>
      <c r="P517" s="32"/>
    </row>
    <row r="518" spans="1:16">
      <c r="A518" s="10"/>
      <c r="B518" s="32"/>
      <c r="C518" s="78">
        <v>1002</v>
      </c>
      <c r="D518" s="82" t="str">
        <f>IFERROR(IF(OR(ISTEXT(C518),C518=""),"",VLOOKUP(C518,param!A$4:B$15,2,FALSE)),"Param Not Recognised")</f>
        <v>FTEs</v>
      </c>
      <c r="E518" s="83" t="e">
        <f>IF(E516,INDEX($L518:$P518,E517+1),0)</f>
        <v>#NAME?</v>
      </c>
      <c r="F518" s="83" t="e">
        <f>IF(F516,INDEX($L518:$P518,F517+1),0)</f>
        <v>#NAME?</v>
      </c>
      <c r="G518" s="83" t="e">
        <f>IF(G516,INDEX($L518:$P518,G517+1),0)</f>
        <v>#NAME?</v>
      </c>
      <c r="H518" s="83" t="e">
        <f>IF(H516,INDEX($L518:$P518,H517+1),0)</f>
        <v>#NAME?</v>
      </c>
      <c r="I518" s="83" t="e">
        <f>IF(I516,INDEX($L518:$P518,I517+1),0)</f>
        <v>#NAME?</v>
      </c>
      <c r="J518" s="32"/>
      <c r="K518" s="32"/>
      <c r="L518" s="13">
        <v>0</v>
      </c>
      <c r="M518" s="13"/>
      <c r="N518" s="13"/>
      <c r="O518" s="13"/>
      <c r="P518" s="13"/>
    </row>
    <row r="519" spans="1:16">
      <c r="A519" s="10"/>
      <c r="B519" s="32"/>
      <c r="C519" s="78"/>
      <c r="D519" s="82" t="str">
        <f>IFERROR(IF(OR(ISTEXT(C519),C519=""),"",VLOOKUP(C519,param!A$4:B$15,2,FALSE)),"Param Not Recognised")</f>
        <v/>
      </c>
      <c r="E519" s="83" t="e">
        <f>IF(E516,INDEX($L519:$P519,E517+1),0)</f>
        <v>#NAME?</v>
      </c>
      <c r="F519" s="83" t="e">
        <f>IF(F516,INDEX($L519:$P519,F517+1),0)</f>
        <v>#NAME?</v>
      </c>
      <c r="G519" s="83" t="e">
        <f>IF(G516,INDEX($L519:$P519,G517+1),0)</f>
        <v>#NAME?</v>
      </c>
      <c r="H519" s="83" t="e">
        <f>IF(H516,INDEX($L519:$P519,H517+1),0)</f>
        <v>#NAME?</v>
      </c>
      <c r="I519" s="83" t="e">
        <f>IF(I516,INDEX($L519:$P519,I517+1),0)</f>
        <v>#NAME?</v>
      </c>
      <c r="J519" s="32"/>
      <c r="K519" s="32"/>
      <c r="L519" s="13">
        <v>0</v>
      </c>
      <c r="M519" s="13"/>
      <c r="N519" s="13"/>
      <c r="O519" s="13"/>
      <c r="P519" s="13"/>
    </row>
    <row r="520" spans="1:16">
      <c r="A520" s="10"/>
      <c r="B520" s="32"/>
      <c r="C520" s="78"/>
      <c r="D520" s="82" t="str">
        <f>IFERROR(IF(OR(ISTEXT(C520),C520=""),"",VLOOKUP(C520,param!A$4:B$15,2,FALSE)),"Param Not Recognised")</f>
        <v/>
      </c>
      <c r="E520" s="83" t="e">
        <f>IF(E516,INDEX($L520:$P520,E517+1),0)</f>
        <v>#NAME?</v>
      </c>
      <c r="F520" s="83" t="e">
        <f>IF(F516,INDEX($L520:$P520,F517+1),0)</f>
        <v>#NAME?</v>
      </c>
      <c r="G520" s="83" t="e">
        <f>IF(G516,INDEX($L520:$P520,G517+1),0)</f>
        <v>#NAME?</v>
      </c>
      <c r="H520" s="83" t="e">
        <f>IF(H516,INDEX($L520:$P520,H517+1),0)</f>
        <v>#NAME?</v>
      </c>
      <c r="I520" s="83" t="e">
        <f>IF(I516,INDEX($L520:$P520,I517+1),0)</f>
        <v>#NAME?</v>
      </c>
      <c r="J520" s="32"/>
      <c r="K520" s="32"/>
      <c r="L520" s="13">
        <v>0</v>
      </c>
      <c r="M520" s="13"/>
      <c r="N520" s="13"/>
      <c r="O520" s="13"/>
      <c r="P520" s="13"/>
    </row>
    <row r="521" spans="1:16">
      <c r="A521" s="10"/>
      <c r="B521" s="32"/>
      <c r="C521" s="78"/>
      <c r="D521" s="82" t="str">
        <f>IFERROR(IF(OR(ISTEXT(C521),C521=""),"",VLOOKUP(C521,param!A$4:B$15,2,FALSE)),"Param Not Recognised")</f>
        <v/>
      </c>
      <c r="E521" s="83" t="e">
        <f>IF(E516,INDEX($L521:$P521,E517+1),0)</f>
        <v>#NAME?</v>
      </c>
      <c r="F521" s="83" t="e">
        <f>IF(F516,INDEX($L521:$P521,F517+1),0)</f>
        <v>#NAME?</v>
      </c>
      <c r="G521" s="83" t="e">
        <f>IF(G516,INDEX($L521:$P521,G517+1),0)</f>
        <v>#NAME?</v>
      </c>
      <c r="H521" s="83" t="e">
        <f>IF(H516,INDEX($L521:$P521,H517+1),0)</f>
        <v>#NAME?</v>
      </c>
      <c r="I521" s="83" t="e">
        <f>IF(I516,INDEX($L521:$P521,I517+1),0)</f>
        <v>#NAME?</v>
      </c>
      <c r="J521" s="32"/>
      <c r="K521" s="32"/>
      <c r="L521" s="13">
        <v>0</v>
      </c>
      <c r="M521" s="13"/>
      <c r="N521" s="13"/>
      <c r="O521" s="13"/>
      <c r="P521" s="13"/>
    </row>
    <row r="522" spans="1:16">
      <c r="A522" s="10"/>
      <c r="B522" s="32"/>
      <c r="C522" s="78"/>
      <c r="D522" s="82" t="str">
        <f>IFERROR(IF(OR(ISTEXT(C522),C522=""),"",VLOOKUP(C522,param!A$4:B$15,2,FALSE)),"Param Not Recognised")</f>
        <v/>
      </c>
      <c r="E522" s="83" t="e">
        <f>IF(E516,INDEX($L522:$P522,E517+1),0)</f>
        <v>#NAME?</v>
      </c>
      <c r="F522" s="83" t="e">
        <f>IF(F516,INDEX($L522:$P522,F517+1),0)</f>
        <v>#NAME?</v>
      </c>
      <c r="G522" s="83" t="e">
        <f>IF(G516,INDEX($L522:$P522,G517+1),0)</f>
        <v>#NAME?</v>
      </c>
      <c r="H522" s="83" t="e">
        <f>IF(H516,INDEX($L522:$P522,H517+1),0)</f>
        <v>#NAME?</v>
      </c>
      <c r="I522" s="83" t="e">
        <f>IF(I516,INDEX($L522:$P522,I517+1),0)</f>
        <v>#NAME?</v>
      </c>
      <c r="J522" s="32"/>
      <c r="K522" s="32"/>
      <c r="L522" s="13">
        <v>0</v>
      </c>
      <c r="M522" s="13"/>
      <c r="N522" s="13"/>
      <c r="O522" s="13"/>
      <c r="P522" s="13"/>
    </row>
    <row r="523" spans="1:16">
      <c r="A523" s="10"/>
      <c r="B523" s="32"/>
      <c r="C523" s="78"/>
      <c r="D523" s="82" t="str">
        <f>IFERROR(IF(OR(ISTEXT(C523),C523=""),"",VLOOKUP(C523,param!A$4:B$15,2,FALSE)),"Param Not Recognised")</f>
        <v/>
      </c>
      <c r="E523" s="83" t="e">
        <f>IF(E516,INDEX($L523:$P523,E517+1),0)</f>
        <v>#NAME?</v>
      </c>
      <c r="F523" s="83" t="e">
        <f>IF(F516,INDEX($L523:$P523,F517+1),0)</f>
        <v>#NAME?</v>
      </c>
      <c r="G523" s="83" t="e">
        <f>IF(G516,INDEX($L523:$P523,G517+1),0)</f>
        <v>#NAME?</v>
      </c>
      <c r="H523" s="83" t="e">
        <f>IF(H516,INDEX($L523:$P523,H517+1),0)</f>
        <v>#NAME?</v>
      </c>
      <c r="I523" s="83" t="e">
        <f>IF(I516,INDEX($L523:$P523,I517+1),0)</f>
        <v>#NAME?</v>
      </c>
      <c r="J523" s="32"/>
      <c r="K523" s="32"/>
      <c r="L523" s="13">
        <v>0</v>
      </c>
      <c r="M523" s="13"/>
      <c r="N523" s="13"/>
      <c r="O523" s="13"/>
      <c r="P523" s="13"/>
    </row>
    <row r="524" spans="1:16">
      <c r="A524" s="10"/>
      <c r="B524" s="32"/>
      <c r="C524" s="78"/>
      <c r="D524" s="82" t="str">
        <f>IFERROR(IF(OR(ISTEXT(C524),C524=""),"",VLOOKUP(C524,param!A$4:B$15,2,FALSE)),"Param Not Recognised")</f>
        <v/>
      </c>
      <c r="E524" s="83" t="e">
        <f>IF(E516,INDEX($L524:$P524,E517+1),0)</f>
        <v>#NAME?</v>
      </c>
      <c r="F524" s="83" t="e">
        <f>IF(F516,INDEX($L524:$P524,F517+1),0)</f>
        <v>#NAME?</v>
      </c>
      <c r="G524" s="83" t="e">
        <f>IF(G516,INDEX($L524:$P524,G517+1),0)</f>
        <v>#NAME?</v>
      </c>
      <c r="H524" s="83" t="e">
        <f>IF(H516,INDEX($L524:$P524,H517+1),0)</f>
        <v>#NAME?</v>
      </c>
      <c r="I524" s="83" t="e">
        <f>IF(I516,INDEX($L524:$P524,I517+1),0)</f>
        <v>#NAME?</v>
      </c>
      <c r="J524" s="32"/>
      <c r="K524" s="32"/>
      <c r="L524" s="13">
        <v>0</v>
      </c>
      <c r="M524" s="13"/>
      <c r="N524" s="13"/>
      <c r="O524" s="13"/>
      <c r="P524" s="13"/>
    </row>
    <row r="525" spans="1:16">
      <c r="A525" s="10"/>
      <c r="B525" s="32"/>
      <c r="C525" s="78"/>
      <c r="D525" s="82" t="str">
        <f>IFERROR(IF(OR(ISTEXT(C525),C525=""),"",VLOOKUP(C525,param!A$4:B$15,2,FALSE)),"Param Not Recognised")</f>
        <v/>
      </c>
      <c r="E525" s="83" t="e">
        <f>IF(E516,INDEX($L525:$P525,E517+1),0)</f>
        <v>#NAME?</v>
      </c>
      <c r="F525" s="83" t="e">
        <f>IF(F516,INDEX($L525:$P525,F517+1),0)</f>
        <v>#NAME?</v>
      </c>
      <c r="G525" s="83" t="e">
        <f>IF(G516,INDEX($L525:$P525,G517+1),0)</f>
        <v>#NAME?</v>
      </c>
      <c r="H525" s="83" t="e">
        <f>IF(H516,INDEX($L525:$P525,H517+1),0)</f>
        <v>#NAME?</v>
      </c>
      <c r="I525" s="83" t="e">
        <f>IF(I516,INDEX($L525:$P525,I517+1),0)</f>
        <v>#NAME?</v>
      </c>
      <c r="J525" s="32"/>
      <c r="K525" s="32"/>
      <c r="L525" s="13">
        <v>0</v>
      </c>
      <c r="M525" s="13"/>
      <c r="N525" s="13"/>
      <c r="O525" s="13"/>
      <c r="P525" s="13"/>
    </row>
    <row r="526" spans="1:16">
      <c r="A526" s="10"/>
      <c r="B526" s="32"/>
      <c r="C526" s="78"/>
      <c r="D526" s="82" t="str">
        <f>IFERROR(IF(OR(ISTEXT(C526),C526=""),"",VLOOKUP(C526,param!A$4:B$15,2,FALSE)),"Param Not Recognised")</f>
        <v/>
      </c>
      <c r="E526" s="83" t="e">
        <f>IF(E516,INDEX($L526:$P526,E517+1),0)</f>
        <v>#NAME?</v>
      </c>
      <c r="F526" s="83" t="e">
        <f>IF(F516,INDEX($L526:$P526,F517+1),0)</f>
        <v>#NAME?</v>
      </c>
      <c r="G526" s="83" t="e">
        <f>IF(G516,INDEX($L526:$P526,G517+1),0)</f>
        <v>#NAME?</v>
      </c>
      <c r="H526" s="83" t="e">
        <f>IF(H516,INDEX($L526:$P526,H517+1),0)</f>
        <v>#NAME?</v>
      </c>
      <c r="I526" s="83" t="e">
        <f>IF(I516,INDEX($L526:$P526,I517+1),0)</f>
        <v>#NAME?</v>
      </c>
      <c r="J526" s="32"/>
      <c r="K526" s="32"/>
      <c r="L526" s="13">
        <v>0</v>
      </c>
      <c r="M526" s="13"/>
      <c r="N526" s="13"/>
      <c r="O526" s="13"/>
      <c r="P526" s="13"/>
    </row>
    <row r="527" spans="1:16">
      <c r="A527" s="10"/>
      <c r="B527" s="32"/>
      <c r="C527" s="78"/>
      <c r="D527" s="82" t="str">
        <f>IFERROR(IF(OR(ISTEXT(C527),C527=""),"",VLOOKUP(C527,param!A$4:B$15,2,FALSE)),"Param Not Recognised")</f>
        <v/>
      </c>
      <c r="E527" s="83" t="e">
        <f>IF(E516,INDEX($L527:$P527,E517+1),0)</f>
        <v>#NAME?</v>
      </c>
      <c r="F527" s="83" t="e">
        <f>IF(F516,INDEX($L527:$P527,F517+1),0)</f>
        <v>#NAME?</v>
      </c>
      <c r="G527" s="83" t="e">
        <f>IF(G516,INDEX($L527:$P527,G517+1),0)</f>
        <v>#NAME?</v>
      </c>
      <c r="H527" s="83" t="e">
        <f>IF(H516,INDEX($L527:$P527,H517+1),0)</f>
        <v>#NAME?</v>
      </c>
      <c r="I527" s="83" t="e">
        <f>IF(I516,INDEX($L527:$P527,I517+1),0)</f>
        <v>#NAME?</v>
      </c>
      <c r="J527" s="32"/>
      <c r="K527" s="32"/>
      <c r="L527" s="13">
        <v>0</v>
      </c>
      <c r="M527" s="13"/>
      <c r="N527" s="13"/>
      <c r="O527" s="13"/>
      <c r="P527" s="13"/>
    </row>
    <row r="528" spans="1:16">
      <c r="A528" s="26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/>
  </sheetPr>
  <dimension ref="A1:G33"/>
  <sheetViews>
    <sheetView topLeftCell="A30" workbookViewId="0">
      <selection activeCell="D10" sqref="D10"/>
    </sheetView>
  </sheetViews>
  <sheetFormatPr defaultRowHeight="14.25"/>
  <cols>
    <col min="1" max="2" width="2.69921875" customWidth="1"/>
    <col min="3" max="3" width="24.69921875" customWidth="1"/>
    <col min="4" max="7" width="14.69921875" customWidth="1"/>
  </cols>
  <sheetData>
    <row r="1" spans="1:7" s="18" customFormat="1">
      <c r="A1" s="18" t="s">
        <v>168</v>
      </c>
    </row>
    <row r="4" spans="1:7">
      <c r="B4" s="27" t="s">
        <v>111</v>
      </c>
    </row>
    <row r="5" spans="1:7">
      <c r="D5" s="30">
        <v>1000000</v>
      </c>
      <c r="E5" s="29" t="s">
        <v>183</v>
      </c>
    </row>
    <row r="6" spans="1:7">
      <c r="E6" s="29"/>
    </row>
    <row r="7" spans="1:7">
      <c r="E7" s="29"/>
    </row>
    <row r="8" spans="1:7">
      <c r="E8" s="29"/>
    </row>
    <row r="9" spans="1:7">
      <c r="B9" s="27" t="s">
        <v>275</v>
      </c>
      <c r="E9" t="s">
        <v>169</v>
      </c>
      <c r="F9" t="s">
        <v>170</v>
      </c>
      <c r="G9" t="s">
        <v>171</v>
      </c>
    </row>
    <row r="10" spans="1:7">
      <c r="B10" s="27"/>
      <c r="C10" t="s">
        <v>292</v>
      </c>
      <c r="D10" s="20" t="s">
        <v>1166</v>
      </c>
      <c r="E10" s="1" t="s">
        <v>294</v>
      </c>
      <c r="F10" s="1"/>
      <c r="G10" s="1"/>
    </row>
    <row r="11" spans="1:7">
      <c r="B11" s="27"/>
      <c r="C11" t="s">
        <v>293</v>
      </c>
      <c r="D11" s="20" t="str">
        <f>INDEX(E11:G11,glossary_Language)</f>
        <v>Business Simulation</v>
      </c>
      <c r="E11" s="1" t="s">
        <v>296</v>
      </c>
      <c r="F11" s="1"/>
      <c r="G11" s="1"/>
    </row>
    <row r="12" spans="1:7">
      <c r="C12" t="s">
        <v>173</v>
      </c>
      <c r="D12" s="20" t="str">
        <f>INDEX(E12:G12,glossary_Language)</f>
        <v>Team Name</v>
      </c>
      <c r="E12" s="1" t="s">
        <v>41</v>
      </c>
      <c r="F12" s="1"/>
      <c r="G12" s="1"/>
    </row>
    <row r="13" spans="1:7">
      <c r="C13" t="s">
        <v>174</v>
      </c>
      <c r="D13" s="20" t="str">
        <f>INDEX(E13:G13,glossary_Language)</f>
        <v>Team Number</v>
      </c>
      <c r="E13" s="1" t="s">
        <v>92</v>
      </c>
      <c r="F13" s="1"/>
      <c r="G13" s="1"/>
    </row>
    <row r="14" spans="1:7">
      <c r="C14" t="s">
        <v>175</v>
      </c>
      <c r="D14" s="20" t="str">
        <f>INDEX(E14:G14,glossary_Language)</f>
        <v>Round</v>
      </c>
      <c r="E14" s="1" t="s">
        <v>44</v>
      </c>
      <c r="F14" s="1"/>
      <c r="G14" s="1"/>
    </row>
    <row r="16" spans="1:7">
      <c r="C16" t="s">
        <v>273</v>
      </c>
      <c r="D16" s="20" t="str">
        <f>INDEX(E16:G16,glossary_Language)</f>
        <v>Mn</v>
      </c>
      <c r="E16" s="1" t="s">
        <v>274</v>
      </c>
      <c r="F16" s="1"/>
      <c r="G16" s="1"/>
    </row>
    <row r="18" spans="3:7">
      <c r="C18" t="s">
        <v>250</v>
      </c>
      <c r="D18" s="20" t="str">
        <f>INDEX(E18:G18,glossary_Language)</f>
        <v>Product 1</v>
      </c>
      <c r="E18" s="1" t="s">
        <v>251</v>
      </c>
      <c r="F18" s="1"/>
      <c r="G18" s="1"/>
    </row>
    <row r="19" spans="3:7">
      <c r="C19" t="s">
        <v>256</v>
      </c>
      <c r="D19" s="20" t="str">
        <f>INDEX(E19:G19,glossary_Language)</f>
        <v>Seg A</v>
      </c>
      <c r="E19" s="1" t="s">
        <v>259</v>
      </c>
      <c r="F19" s="1"/>
      <c r="G19" s="1"/>
    </row>
    <row r="20" spans="3:7">
      <c r="C20" t="s">
        <v>257</v>
      </c>
      <c r="D20" s="20" t="str">
        <f>INDEX(E20:G20,glossary_Language)</f>
        <v>Seg B</v>
      </c>
      <c r="E20" s="1" t="s">
        <v>260</v>
      </c>
      <c r="F20" s="1"/>
      <c r="G20" s="1"/>
    </row>
    <row r="21" spans="3:7">
      <c r="C21" t="s">
        <v>258</v>
      </c>
      <c r="D21" s="20" t="str">
        <f>INDEX(E21:G21,glossary_Language)</f>
        <v>Seg C</v>
      </c>
      <c r="E21" s="1" t="s">
        <v>261</v>
      </c>
      <c r="F21" s="1"/>
      <c r="G21" s="1"/>
    </row>
    <row r="23" spans="3:7">
      <c r="C23" t="s">
        <v>254</v>
      </c>
      <c r="D23" s="20" t="str">
        <f>INDEX(E23:G23,glossary_Language)</f>
        <v>Forecast</v>
      </c>
      <c r="E23" s="1" t="s">
        <v>255</v>
      </c>
      <c r="F23" s="1"/>
      <c r="G23" s="1"/>
    </row>
    <row r="24" spans="3:7">
      <c r="C24" t="s">
        <v>252</v>
      </c>
      <c r="D24" s="20" t="str">
        <f>INDEX(E24:G24,glossary_Language)</f>
        <v>Price</v>
      </c>
      <c r="E24" s="1" t="s">
        <v>253</v>
      </c>
      <c r="F24" s="1"/>
      <c r="G24" s="1"/>
    </row>
    <row r="25" spans="3:7">
      <c r="C25" t="s">
        <v>262</v>
      </c>
      <c r="D25" s="20" t="str">
        <f>INDEX(E25:G25,glossary_Language)</f>
        <v>Marketing</v>
      </c>
      <c r="E25" s="1" t="s">
        <v>263</v>
      </c>
      <c r="F25" s="1"/>
      <c r="G25" s="1"/>
    </row>
    <row r="27" spans="3:7">
      <c r="C27" t="s">
        <v>176</v>
      </c>
      <c r="D27" s="20" t="str">
        <f>INDEX(E27:G27,glossary_Language)</f>
        <v>Strategic Initiatives</v>
      </c>
      <c r="E27" s="1" t="s">
        <v>163</v>
      </c>
      <c r="F27" s="1"/>
      <c r="G27" s="1"/>
    </row>
    <row r="30" spans="3:7">
      <c r="C30" t="s">
        <v>265</v>
      </c>
      <c r="D30" s="20" t="str">
        <f>INDEX(E30:G30,glossary_Language)</f>
        <v>Revenue</v>
      </c>
      <c r="E30" s="1" t="s">
        <v>125</v>
      </c>
      <c r="F30" s="1"/>
      <c r="G30" s="1"/>
    </row>
    <row r="31" spans="3:7">
      <c r="C31" t="s">
        <v>268</v>
      </c>
      <c r="D31" s="20" t="str">
        <f>INDEX(E31:G31,glossary_Language)</f>
        <v>COGS</v>
      </c>
      <c r="E31" s="1" t="s">
        <v>267</v>
      </c>
      <c r="F31" s="1"/>
      <c r="G31" s="1"/>
    </row>
    <row r="32" spans="3:7">
      <c r="C32" t="s">
        <v>269</v>
      </c>
      <c r="D32" s="20" t="str">
        <f>INDEX(E32:G32,glossary_Language)</f>
        <v>Gross Profit</v>
      </c>
      <c r="E32" s="1" t="s">
        <v>270</v>
      </c>
      <c r="F32" s="1"/>
      <c r="G32" s="1"/>
    </row>
    <row r="33" spans="3:7">
      <c r="C33" t="s">
        <v>271</v>
      </c>
      <c r="D33" s="20" t="str">
        <f>INDEX(E33:G33,glossary_Language)</f>
        <v>Gross Margin</v>
      </c>
      <c r="E33" s="1" t="s">
        <v>272</v>
      </c>
      <c r="F33" s="1"/>
      <c r="G33" s="1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/>
  </sheetPr>
  <dimension ref="A1:V387"/>
  <sheetViews>
    <sheetView workbookViewId="0">
      <selection activeCell="C14" sqref="C14"/>
    </sheetView>
  </sheetViews>
  <sheetFormatPr defaultColWidth="8.796875" defaultRowHeight="14.25"/>
  <cols>
    <col min="1" max="2" width="2.69921875" style="10" customWidth="1"/>
    <col min="3" max="3" width="22.19921875" style="11" customWidth="1"/>
    <col min="4" max="7" width="12.69921875" style="10" customWidth="1"/>
    <col min="8" max="8" width="8.796875" style="10"/>
    <col min="9" max="9" width="16.09765625" style="10" customWidth="1"/>
    <col min="10" max="12" width="13.3984375" style="10" customWidth="1"/>
    <col min="13" max="16384" width="8.796875" style="10"/>
  </cols>
  <sheetData>
    <row r="1" spans="1:22" s="15" customFormat="1">
      <c r="A1" s="14" t="s">
        <v>562</v>
      </c>
      <c r="C1" s="14"/>
      <c r="J1" s="14"/>
    </row>
    <row r="3" spans="1:22">
      <c r="C3" s="11" t="s">
        <v>453</v>
      </c>
      <c r="D3" s="11" t="s">
        <v>456</v>
      </c>
      <c r="E3" s="11" t="s">
        <v>525</v>
      </c>
      <c r="F3" s="11" t="s">
        <v>529</v>
      </c>
      <c r="G3" s="11" t="s">
        <v>532</v>
      </c>
      <c r="H3" s="11" t="s">
        <v>534</v>
      </c>
      <c r="I3" s="11" t="s">
        <v>535</v>
      </c>
      <c r="J3" s="11" t="s">
        <v>548</v>
      </c>
      <c r="K3" s="11" t="s">
        <v>575</v>
      </c>
      <c r="L3" s="11" t="s">
        <v>576</v>
      </c>
      <c r="M3" s="11" t="s">
        <v>577</v>
      </c>
      <c r="N3" s="11" t="s">
        <v>578</v>
      </c>
      <c r="O3" s="11" t="s">
        <v>579</v>
      </c>
      <c r="P3" s="11" t="s">
        <v>580</v>
      </c>
      <c r="Q3" s="11" t="s">
        <v>581</v>
      </c>
      <c r="R3" s="10" t="s">
        <v>586</v>
      </c>
      <c r="S3" s="10" t="s">
        <v>588</v>
      </c>
      <c r="T3" s="10" t="s">
        <v>614</v>
      </c>
      <c r="U3" s="10" t="s">
        <v>663</v>
      </c>
      <c r="V3" s="11" t="s">
        <v>555</v>
      </c>
    </row>
    <row r="4" spans="1:22">
      <c r="C4" s="11" t="s">
        <v>455</v>
      </c>
      <c r="D4" s="11" t="s">
        <v>457</v>
      </c>
      <c r="E4" s="11" t="s">
        <v>526</v>
      </c>
      <c r="F4" s="11" t="s">
        <v>530</v>
      </c>
      <c r="G4" s="11">
        <v>1</v>
      </c>
      <c r="H4" s="11" t="s">
        <v>533</v>
      </c>
      <c r="I4" s="11" t="s">
        <v>536</v>
      </c>
      <c r="J4" s="11" t="s">
        <v>540</v>
      </c>
      <c r="K4" s="32" t="s">
        <v>1176</v>
      </c>
      <c r="L4" s="10">
        <v>10</v>
      </c>
      <c r="M4" s="10">
        <v>125</v>
      </c>
      <c r="N4" s="10">
        <v>750</v>
      </c>
      <c r="O4" s="206" t="s">
        <v>1186</v>
      </c>
      <c r="P4" s="206" t="s">
        <v>1186</v>
      </c>
      <c r="Q4" s="206" t="s">
        <v>1186</v>
      </c>
      <c r="R4" s="433">
        <v>0</v>
      </c>
      <c r="S4" s="10" t="s">
        <v>589</v>
      </c>
      <c r="T4" s="10" t="s">
        <v>1497</v>
      </c>
      <c r="U4" s="10" t="b">
        <v>1</v>
      </c>
      <c r="V4" s="11" t="s">
        <v>556</v>
      </c>
    </row>
    <row r="5" spans="1:22">
      <c r="C5" s="11" t="s">
        <v>454</v>
      </c>
      <c r="D5" s="11" t="s">
        <v>458</v>
      </c>
      <c r="E5" s="11" t="s">
        <v>527</v>
      </c>
      <c r="F5" s="11" t="s">
        <v>531</v>
      </c>
      <c r="G5" s="11">
        <v>2</v>
      </c>
      <c r="H5" s="11" t="s">
        <v>1511</v>
      </c>
      <c r="I5" s="11" t="s">
        <v>537</v>
      </c>
      <c r="J5" s="11" t="s">
        <v>549</v>
      </c>
      <c r="K5" s="32" t="s">
        <v>1177</v>
      </c>
      <c r="L5" s="10">
        <v>25</v>
      </c>
      <c r="M5" s="10">
        <v>200</v>
      </c>
      <c r="N5" s="10">
        <v>1200</v>
      </c>
      <c r="O5" s="206" t="s">
        <v>582</v>
      </c>
      <c r="P5" s="206" t="s">
        <v>582</v>
      </c>
      <c r="Q5" s="206" t="s">
        <v>582</v>
      </c>
      <c r="R5" s="433">
        <v>2</v>
      </c>
      <c r="S5" s="10" t="s">
        <v>590</v>
      </c>
      <c r="T5" s="10" t="s">
        <v>615</v>
      </c>
      <c r="U5" s="10" t="b">
        <v>0</v>
      </c>
      <c r="V5" s="11" t="s">
        <v>557</v>
      </c>
    </row>
    <row r="6" spans="1:22">
      <c r="C6" s="11" t="s">
        <v>452</v>
      </c>
      <c r="D6" s="11" t="s">
        <v>459</v>
      </c>
      <c r="E6" s="11" t="s">
        <v>528</v>
      </c>
      <c r="G6" s="11"/>
      <c r="H6" s="205" t="s">
        <v>1512</v>
      </c>
      <c r="J6" s="11" t="s">
        <v>550</v>
      </c>
      <c r="K6" s="32" t="s">
        <v>1178</v>
      </c>
      <c r="L6" s="10">
        <v>50</v>
      </c>
      <c r="M6" s="10">
        <v>250</v>
      </c>
      <c r="N6" s="10">
        <v>1500</v>
      </c>
      <c r="O6" s="10" t="s">
        <v>584</v>
      </c>
      <c r="P6" s="10" t="s">
        <v>584</v>
      </c>
      <c r="Q6" s="10" t="s">
        <v>584</v>
      </c>
      <c r="R6" s="433">
        <v>5</v>
      </c>
      <c r="S6" s="10" t="s">
        <v>591</v>
      </c>
      <c r="T6" s="10" t="s">
        <v>490</v>
      </c>
    </row>
    <row r="7" spans="1:22">
      <c r="J7" s="11" t="s">
        <v>551</v>
      </c>
      <c r="L7" s="10">
        <v>75</v>
      </c>
      <c r="M7" s="10">
        <v>300</v>
      </c>
      <c r="N7" s="10">
        <v>1750</v>
      </c>
      <c r="O7" s="206" t="s">
        <v>583</v>
      </c>
      <c r="P7" s="206" t="s">
        <v>583</v>
      </c>
      <c r="Q7" s="206" t="s">
        <v>583</v>
      </c>
      <c r="T7" s="10" t="s">
        <v>476</v>
      </c>
    </row>
    <row r="8" spans="1:22">
      <c r="L8" s="10">
        <v>100</v>
      </c>
      <c r="M8" s="10">
        <v>350</v>
      </c>
      <c r="N8" s="10">
        <v>2000</v>
      </c>
      <c r="O8" s="206" t="s">
        <v>1185</v>
      </c>
      <c r="P8" s="206" t="s">
        <v>1185</v>
      </c>
      <c r="Q8" s="206" t="s">
        <v>1185</v>
      </c>
      <c r="T8" s="10" t="s">
        <v>462</v>
      </c>
    </row>
    <row r="9" spans="1:22">
      <c r="T9" s="10" t="s">
        <v>491</v>
      </c>
    </row>
    <row r="10" spans="1:22">
      <c r="T10" s="10" t="s">
        <v>460</v>
      </c>
    </row>
    <row r="11" spans="1:22">
      <c r="T11" s="10" t="s">
        <v>616</v>
      </c>
    </row>
    <row r="20" spans="1:15" s="15" customFormat="1">
      <c r="A20" s="14" t="s">
        <v>538</v>
      </c>
      <c r="C20" s="14"/>
    </row>
    <row r="22" spans="1:15">
      <c r="C22" s="434" t="s">
        <v>1217</v>
      </c>
      <c r="D22" s="434" t="s">
        <v>540</v>
      </c>
      <c r="E22" s="435" t="s">
        <v>465</v>
      </c>
      <c r="F22" s="435" t="s">
        <v>466</v>
      </c>
      <c r="G22" s="435" t="s">
        <v>467</v>
      </c>
      <c r="I22" s="11"/>
      <c r="J22" s="11" t="s">
        <v>1246</v>
      </c>
    </row>
    <row r="23" spans="1:15">
      <c r="C23" s="434" t="s">
        <v>457</v>
      </c>
      <c r="D23" s="436">
        <v>800000</v>
      </c>
      <c r="E23" s="436">
        <v>3300000</v>
      </c>
      <c r="F23" s="436">
        <v>11000000</v>
      </c>
      <c r="G23" s="436">
        <v>88000000</v>
      </c>
      <c r="I23" s="11"/>
      <c r="J23" s="434" t="s">
        <v>540</v>
      </c>
      <c r="K23" s="435">
        <v>0</v>
      </c>
      <c r="M23" s="434" t="s">
        <v>587</v>
      </c>
      <c r="N23" s="435"/>
    </row>
    <row r="24" spans="1:15">
      <c r="C24" s="434" t="s">
        <v>458</v>
      </c>
      <c r="D24" s="436">
        <v>500000</v>
      </c>
      <c r="E24" s="436">
        <v>2200000</v>
      </c>
      <c r="F24" s="436">
        <v>4400000</v>
      </c>
      <c r="G24" s="436">
        <v>44000000</v>
      </c>
      <c r="I24" s="11"/>
      <c r="J24" s="434" t="s">
        <v>549</v>
      </c>
      <c r="K24" s="435">
        <v>1</v>
      </c>
      <c r="M24" s="435" t="s">
        <v>457</v>
      </c>
      <c r="N24" s="435" t="s">
        <v>591</v>
      </c>
    </row>
    <row r="25" spans="1:15">
      <c r="C25" s="434" t="s">
        <v>459</v>
      </c>
      <c r="D25" s="436">
        <v>350000</v>
      </c>
      <c r="E25" s="436">
        <v>1200000</v>
      </c>
      <c r="F25" s="436">
        <v>6600000</v>
      </c>
      <c r="G25" s="436">
        <v>84000000</v>
      </c>
      <c r="H25" s="11" t="s">
        <v>1215</v>
      </c>
      <c r="I25" s="11"/>
      <c r="J25" s="434" t="s">
        <v>550</v>
      </c>
      <c r="K25" s="435">
        <v>2</v>
      </c>
      <c r="M25" s="435" t="s">
        <v>458</v>
      </c>
      <c r="N25" s="434" t="s">
        <v>591</v>
      </c>
    </row>
    <row r="26" spans="1:15">
      <c r="J26" s="434" t="s">
        <v>551</v>
      </c>
      <c r="K26" s="435">
        <v>3</v>
      </c>
      <c r="M26" s="435" t="s">
        <v>459</v>
      </c>
      <c r="N26" s="434" t="s">
        <v>589</v>
      </c>
      <c r="O26" s="11" t="s">
        <v>1452</v>
      </c>
    </row>
    <row r="27" spans="1:15">
      <c r="C27" s="434" t="s">
        <v>587</v>
      </c>
      <c r="D27" s="434" t="s">
        <v>457</v>
      </c>
      <c r="E27" s="435" t="s">
        <v>458</v>
      </c>
      <c r="F27" s="435" t="s">
        <v>459</v>
      </c>
      <c r="M27" s="34"/>
      <c r="N27" s="34"/>
      <c r="O27" s="34"/>
    </row>
    <row r="28" spans="1:15">
      <c r="C28" s="434" t="s">
        <v>589</v>
      </c>
      <c r="D28" s="436">
        <v>900000</v>
      </c>
      <c r="E28" s="436">
        <v>900000</v>
      </c>
      <c r="F28" s="436"/>
      <c r="G28" s="432"/>
    </row>
    <row r="29" spans="1:15">
      <c r="C29" s="434" t="s">
        <v>590</v>
      </c>
      <c r="D29" s="436">
        <v>500000</v>
      </c>
      <c r="E29" s="436">
        <v>500000</v>
      </c>
      <c r="F29" s="436">
        <v>400000</v>
      </c>
      <c r="G29" s="432"/>
    </row>
    <row r="30" spans="1:15">
      <c r="C30" s="434" t="s">
        <v>591</v>
      </c>
      <c r="D30" s="436">
        <v>0</v>
      </c>
      <c r="E30" s="436">
        <v>0</v>
      </c>
      <c r="F30" s="436">
        <v>600000</v>
      </c>
      <c r="G30" s="11" t="s">
        <v>1294</v>
      </c>
    </row>
    <row r="32" spans="1:15">
      <c r="D32" s="437">
        <v>20000</v>
      </c>
      <c r="E32" s="437">
        <v>10000</v>
      </c>
      <c r="F32" s="437">
        <v>15000</v>
      </c>
      <c r="I32" s="11"/>
      <c r="J32" s="437">
        <v>200000</v>
      </c>
      <c r="K32" s="437">
        <v>100000</v>
      </c>
      <c r="L32" s="437">
        <v>150000</v>
      </c>
    </row>
    <row r="33" spans="3:13">
      <c r="C33" s="434" t="s">
        <v>1218</v>
      </c>
      <c r="D33" s="434" t="s">
        <v>457</v>
      </c>
      <c r="E33" s="435" t="s">
        <v>458</v>
      </c>
      <c r="F33" s="435" t="s">
        <v>459</v>
      </c>
      <c r="I33" s="434" t="s">
        <v>1224</v>
      </c>
      <c r="J33" s="434" t="s">
        <v>457</v>
      </c>
      <c r="K33" s="435" t="s">
        <v>458</v>
      </c>
      <c r="L33" s="435" t="s">
        <v>459</v>
      </c>
    </row>
    <row r="34" spans="3:13">
      <c r="C34" s="435">
        <v>10</v>
      </c>
      <c r="D34" s="435">
        <f>(-1)*D$32*$C34</f>
        <v>-200000</v>
      </c>
      <c r="E34" s="435">
        <f t="shared" ref="E34:F35" si="0">(-1)*E$32*$C34</f>
        <v>-100000</v>
      </c>
      <c r="F34" s="435">
        <f t="shared" si="0"/>
        <v>-150000</v>
      </c>
      <c r="H34" s="10">
        <v>12</v>
      </c>
      <c r="I34" s="435" t="s">
        <v>1186</v>
      </c>
      <c r="J34" s="436">
        <f>$H34*J$32</f>
        <v>2400000</v>
      </c>
      <c r="K34" s="436">
        <f t="shared" ref="K34:L35" si="1">$H34*K$32</f>
        <v>1200000</v>
      </c>
      <c r="L34" s="436">
        <f t="shared" si="1"/>
        <v>1800000</v>
      </c>
    </row>
    <row r="35" spans="3:13">
      <c r="C35" s="435">
        <v>25</v>
      </c>
      <c r="D35" s="435">
        <f t="shared" ref="D35" si="2">(-1)*D$32*$C35</f>
        <v>-500000</v>
      </c>
      <c r="E35" s="435">
        <f t="shared" si="0"/>
        <v>-250000</v>
      </c>
      <c r="F35" s="435">
        <f t="shared" si="0"/>
        <v>-375000</v>
      </c>
      <c r="H35" s="10">
        <v>6</v>
      </c>
      <c r="I35" s="435" t="s">
        <v>582</v>
      </c>
      <c r="J35" s="436">
        <f t="shared" ref="J35:L38" si="3">$H35*J$32</f>
        <v>1200000</v>
      </c>
      <c r="K35" s="436">
        <f t="shared" si="1"/>
        <v>600000</v>
      </c>
      <c r="L35" s="436">
        <f t="shared" si="1"/>
        <v>900000</v>
      </c>
    </row>
    <row r="36" spans="3:13">
      <c r="C36" s="435">
        <v>50</v>
      </c>
      <c r="D36" s="435">
        <v>0</v>
      </c>
      <c r="E36" s="435">
        <v>0</v>
      </c>
      <c r="F36" s="435">
        <v>0</v>
      </c>
      <c r="H36" s="10">
        <v>0</v>
      </c>
      <c r="I36" s="435" t="s">
        <v>584</v>
      </c>
      <c r="J36" s="436">
        <f t="shared" si="3"/>
        <v>0</v>
      </c>
      <c r="K36" s="436">
        <f t="shared" si="3"/>
        <v>0</v>
      </c>
      <c r="L36" s="436">
        <f t="shared" si="3"/>
        <v>0</v>
      </c>
    </row>
    <row r="37" spans="3:13">
      <c r="C37" s="435">
        <v>75</v>
      </c>
      <c r="D37" s="435">
        <f>D$32*$C37</f>
        <v>1500000</v>
      </c>
      <c r="E37" s="435">
        <f t="shared" ref="E37:F38" si="4">E$32*$C37</f>
        <v>750000</v>
      </c>
      <c r="F37" s="435">
        <f t="shared" si="4"/>
        <v>1125000</v>
      </c>
      <c r="H37" s="10">
        <v>-6</v>
      </c>
      <c r="I37" s="435" t="s">
        <v>583</v>
      </c>
      <c r="J37" s="436">
        <f t="shared" si="3"/>
        <v>-1200000</v>
      </c>
      <c r="K37" s="436">
        <f t="shared" si="3"/>
        <v>-600000</v>
      </c>
      <c r="L37" s="436">
        <f t="shared" si="3"/>
        <v>-900000</v>
      </c>
    </row>
    <row r="38" spans="3:13">
      <c r="C38" s="435">
        <v>100</v>
      </c>
      <c r="D38" s="435">
        <f t="shared" ref="D38" si="5">D$32*$C38</f>
        <v>2000000</v>
      </c>
      <c r="E38" s="435">
        <f t="shared" si="4"/>
        <v>1000000</v>
      </c>
      <c r="F38" s="436">
        <f t="shared" si="4"/>
        <v>1500000</v>
      </c>
      <c r="G38" s="11" t="s">
        <v>1221</v>
      </c>
      <c r="H38" s="10">
        <v>-12</v>
      </c>
      <c r="I38" s="435" t="s">
        <v>1185</v>
      </c>
      <c r="J38" s="436">
        <f t="shared" si="3"/>
        <v>-2400000</v>
      </c>
      <c r="K38" s="436">
        <f t="shared" si="3"/>
        <v>-1200000</v>
      </c>
      <c r="L38" s="436">
        <f t="shared" si="3"/>
        <v>-1800000</v>
      </c>
      <c r="M38" s="11" t="s">
        <v>1227</v>
      </c>
    </row>
    <row r="39" spans="3:13">
      <c r="I39" s="11"/>
    </row>
    <row r="40" spans="3:13">
      <c r="D40" s="437">
        <v>22000</v>
      </c>
      <c r="E40" s="437">
        <v>12000</v>
      </c>
      <c r="F40" s="437">
        <v>18000</v>
      </c>
      <c r="I40" s="11"/>
      <c r="J40" s="437">
        <v>700000</v>
      </c>
      <c r="K40" s="437">
        <v>200000</v>
      </c>
      <c r="L40" s="437">
        <v>350000</v>
      </c>
    </row>
    <row r="41" spans="3:13">
      <c r="C41" s="434" t="s">
        <v>1219</v>
      </c>
      <c r="D41" s="434" t="s">
        <v>457</v>
      </c>
      <c r="E41" s="435" t="s">
        <v>458</v>
      </c>
      <c r="F41" s="435" t="s">
        <v>459</v>
      </c>
      <c r="I41" s="434" t="s">
        <v>1226</v>
      </c>
      <c r="J41" s="434" t="s">
        <v>457</v>
      </c>
      <c r="K41" s="435" t="s">
        <v>458</v>
      </c>
      <c r="L41" s="435" t="s">
        <v>459</v>
      </c>
    </row>
    <row r="42" spans="3:13">
      <c r="C42" s="435">
        <v>125</v>
      </c>
      <c r="D42" s="435">
        <f>(-1)*D$40*$C42</f>
        <v>-2750000</v>
      </c>
      <c r="E42" s="435">
        <f t="shared" ref="E42:F43" si="6">(-1)*E$40*$C42</f>
        <v>-1500000</v>
      </c>
      <c r="F42" s="435">
        <f t="shared" si="6"/>
        <v>-2250000</v>
      </c>
      <c r="H42" s="10">
        <v>12</v>
      </c>
      <c r="I42" s="435" t="s">
        <v>1186</v>
      </c>
      <c r="J42" s="436">
        <f>$H42*J$40</f>
        <v>8400000</v>
      </c>
      <c r="K42" s="436">
        <f t="shared" ref="K42:L46" si="7">$H42*K$40</f>
        <v>2400000</v>
      </c>
      <c r="L42" s="436">
        <f t="shared" si="7"/>
        <v>4200000</v>
      </c>
    </row>
    <row r="43" spans="3:13">
      <c r="C43" s="435">
        <v>200</v>
      </c>
      <c r="D43" s="435">
        <f t="shared" ref="D43" si="8">(-1)*D$40*$C43</f>
        <v>-4400000</v>
      </c>
      <c r="E43" s="435">
        <f t="shared" si="6"/>
        <v>-2400000</v>
      </c>
      <c r="F43" s="435">
        <f t="shared" si="6"/>
        <v>-3600000</v>
      </c>
      <c r="H43" s="10">
        <v>6</v>
      </c>
      <c r="I43" s="435" t="s">
        <v>582</v>
      </c>
      <c r="J43" s="436">
        <f t="shared" ref="J43:J46" si="9">$H43*J$40</f>
        <v>4200000</v>
      </c>
      <c r="K43" s="436">
        <f t="shared" si="7"/>
        <v>1200000</v>
      </c>
      <c r="L43" s="436">
        <f t="shared" si="7"/>
        <v>2100000</v>
      </c>
    </row>
    <row r="44" spans="3:13">
      <c r="C44" s="435">
        <v>250</v>
      </c>
      <c r="D44" s="435">
        <v>0</v>
      </c>
      <c r="E44" s="435">
        <v>0</v>
      </c>
      <c r="F44" s="435">
        <v>0</v>
      </c>
      <c r="H44" s="10">
        <v>0</v>
      </c>
      <c r="I44" s="435" t="s">
        <v>584</v>
      </c>
      <c r="J44" s="436">
        <f t="shared" si="9"/>
        <v>0</v>
      </c>
      <c r="K44" s="436">
        <f t="shared" si="7"/>
        <v>0</v>
      </c>
      <c r="L44" s="436">
        <f t="shared" si="7"/>
        <v>0</v>
      </c>
    </row>
    <row r="45" spans="3:13">
      <c r="C45" s="435">
        <v>300</v>
      </c>
      <c r="D45" s="435">
        <f>D$40*$C45</f>
        <v>6600000</v>
      </c>
      <c r="E45" s="435">
        <f t="shared" ref="E45:F46" si="10">E$40*$C45</f>
        <v>3600000</v>
      </c>
      <c r="F45" s="435">
        <f t="shared" si="10"/>
        <v>5400000</v>
      </c>
      <c r="H45" s="10">
        <v>-6</v>
      </c>
      <c r="I45" s="435" t="s">
        <v>583</v>
      </c>
      <c r="J45" s="436">
        <f t="shared" si="9"/>
        <v>-4200000</v>
      </c>
      <c r="K45" s="436">
        <f t="shared" si="7"/>
        <v>-1200000</v>
      </c>
      <c r="L45" s="436">
        <f t="shared" si="7"/>
        <v>-2100000</v>
      </c>
    </row>
    <row r="46" spans="3:13">
      <c r="C46" s="435">
        <v>350</v>
      </c>
      <c r="D46" s="435">
        <f t="shared" ref="D46" si="11">D$40*$C46</f>
        <v>7700000</v>
      </c>
      <c r="E46" s="435">
        <f t="shared" si="10"/>
        <v>4200000</v>
      </c>
      <c r="F46" s="436">
        <f t="shared" si="10"/>
        <v>6300000</v>
      </c>
      <c r="G46" s="11" t="s">
        <v>1222</v>
      </c>
      <c r="H46" s="10">
        <v>-12</v>
      </c>
      <c r="I46" s="435" t="s">
        <v>1185</v>
      </c>
      <c r="J46" s="436">
        <f t="shared" si="9"/>
        <v>-8400000</v>
      </c>
      <c r="K46" s="436">
        <f t="shared" si="7"/>
        <v>-2400000</v>
      </c>
      <c r="L46" s="436">
        <f t="shared" si="7"/>
        <v>-4200000</v>
      </c>
      <c r="M46" s="11" t="s">
        <v>1228</v>
      </c>
    </row>
    <row r="47" spans="3:13">
      <c r="I47" s="11"/>
    </row>
    <row r="48" spans="3:13">
      <c r="D48" s="437">
        <v>15000</v>
      </c>
      <c r="E48" s="437">
        <v>9000</v>
      </c>
      <c r="F48" s="437">
        <v>12000</v>
      </c>
      <c r="I48" s="11"/>
      <c r="J48" s="437">
        <v>4500000</v>
      </c>
      <c r="K48" s="437">
        <v>2500000</v>
      </c>
      <c r="L48" s="437">
        <v>4000000</v>
      </c>
    </row>
    <row r="49" spans="3:13">
      <c r="C49" s="434" t="s">
        <v>1220</v>
      </c>
      <c r="D49" s="434" t="s">
        <v>457</v>
      </c>
      <c r="E49" s="435" t="s">
        <v>458</v>
      </c>
      <c r="F49" s="435" t="s">
        <v>459</v>
      </c>
      <c r="I49" s="434" t="s">
        <v>1225</v>
      </c>
      <c r="J49" s="434" t="s">
        <v>457</v>
      </c>
      <c r="K49" s="435" t="s">
        <v>458</v>
      </c>
      <c r="L49" s="435" t="s">
        <v>459</v>
      </c>
    </row>
    <row r="50" spans="3:13">
      <c r="C50" s="435">
        <v>750</v>
      </c>
      <c r="D50" s="436">
        <f>(-1)*D$48*$C50</f>
        <v>-11250000</v>
      </c>
      <c r="E50" s="436">
        <f t="shared" ref="E50:F51" si="12">(-1)*E$48*$C50</f>
        <v>-6750000</v>
      </c>
      <c r="F50" s="436">
        <f t="shared" si="12"/>
        <v>-9000000</v>
      </c>
      <c r="H50" s="10">
        <v>12</v>
      </c>
      <c r="I50" s="435" t="s">
        <v>1186</v>
      </c>
      <c r="J50" s="436">
        <f>$H50*J$48</f>
        <v>54000000</v>
      </c>
      <c r="K50" s="436">
        <f t="shared" ref="K50:L54" si="13">$H50*K$48</f>
        <v>30000000</v>
      </c>
      <c r="L50" s="436">
        <f t="shared" si="13"/>
        <v>48000000</v>
      </c>
    </row>
    <row r="51" spans="3:13">
      <c r="C51" s="435">
        <v>1200</v>
      </c>
      <c r="D51" s="436">
        <f t="shared" ref="D51" si="14">(-1)*D$48*$C51</f>
        <v>-18000000</v>
      </c>
      <c r="E51" s="436">
        <f t="shared" si="12"/>
        <v>-10800000</v>
      </c>
      <c r="F51" s="436">
        <f t="shared" si="12"/>
        <v>-14400000</v>
      </c>
      <c r="H51" s="10">
        <v>6</v>
      </c>
      <c r="I51" s="435" t="s">
        <v>582</v>
      </c>
      <c r="J51" s="436">
        <f t="shared" ref="J51:J54" si="15">$H51*J$48</f>
        <v>27000000</v>
      </c>
      <c r="K51" s="436">
        <f t="shared" si="13"/>
        <v>15000000</v>
      </c>
      <c r="L51" s="436">
        <f t="shared" si="13"/>
        <v>24000000</v>
      </c>
    </row>
    <row r="52" spans="3:13">
      <c r="C52" s="435">
        <v>1500</v>
      </c>
      <c r="D52" s="436">
        <v>0</v>
      </c>
      <c r="E52" s="436">
        <v>0</v>
      </c>
      <c r="F52" s="436">
        <v>0</v>
      </c>
      <c r="H52" s="10">
        <v>0</v>
      </c>
      <c r="I52" s="435" t="s">
        <v>584</v>
      </c>
      <c r="J52" s="436">
        <f t="shared" si="15"/>
        <v>0</v>
      </c>
      <c r="K52" s="436">
        <f t="shared" si="13"/>
        <v>0</v>
      </c>
      <c r="L52" s="436">
        <f t="shared" si="13"/>
        <v>0</v>
      </c>
    </row>
    <row r="53" spans="3:13">
      <c r="C53" s="435">
        <v>1750</v>
      </c>
      <c r="D53" s="436">
        <f>D$48*$C53</f>
        <v>26250000</v>
      </c>
      <c r="E53" s="436">
        <f t="shared" ref="E53:F54" si="16">E$48*$C53</f>
        <v>15750000</v>
      </c>
      <c r="F53" s="436">
        <f t="shared" si="16"/>
        <v>21000000</v>
      </c>
      <c r="H53" s="10">
        <v>-6</v>
      </c>
      <c r="I53" s="435" t="s">
        <v>583</v>
      </c>
      <c r="J53" s="436">
        <f t="shared" si="15"/>
        <v>-27000000</v>
      </c>
      <c r="K53" s="436">
        <f t="shared" si="13"/>
        <v>-15000000</v>
      </c>
      <c r="L53" s="436">
        <f t="shared" si="13"/>
        <v>-24000000</v>
      </c>
    </row>
    <row r="54" spans="3:13">
      <c r="C54" s="435">
        <v>2000</v>
      </c>
      <c r="D54" s="436">
        <f t="shared" ref="D54" si="17">D$48*$C54</f>
        <v>30000000</v>
      </c>
      <c r="E54" s="436">
        <f t="shared" si="16"/>
        <v>18000000</v>
      </c>
      <c r="F54" s="436">
        <f t="shared" si="16"/>
        <v>24000000</v>
      </c>
      <c r="G54" s="11" t="s">
        <v>1223</v>
      </c>
      <c r="H54" s="10">
        <v>-12</v>
      </c>
      <c r="I54" s="435" t="s">
        <v>1185</v>
      </c>
      <c r="J54" s="436">
        <f t="shared" si="15"/>
        <v>-54000000</v>
      </c>
      <c r="K54" s="436">
        <f t="shared" si="13"/>
        <v>-30000000</v>
      </c>
      <c r="L54" s="436">
        <f t="shared" si="13"/>
        <v>-48000000</v>
      </c>
      <c r="M54" s="11" t="s">
        <v>1229</v>
      </c>
    </row>
    <row r="57" spans="3:13">
      <c r="C57" s="434" t="s">
        <v>1230</v>
      </c>
      <c r="D57" s="434" t="s">
        <v>466</v>
      </c>
      <c r="E57" s="435" t="s">
        <v>467</v>
      </c>
      <c r="F57" s="575"/>
      <c r="I57" s="434" t="s">
        <v>1239</v>
      </c>
      <c r="J57" s="434" t="s">
        <v>457</v>
      </c>
      <c r="K57" s="434" t="s">
        <v>458</v>
      </c>
      <c r="L57" s="435" t="s">
        <v>459</v>
      </c>
    </row>
    <row r="58" spans="3:13">
      <c r="C58" s="434" t="s">
        <v>457</v>
      </c>
      <c r="D58" s="436">
        <v>4400000</v>
      </c>
      <c r="E58" s="436">
        <v>35200000</v>
      </c>
      <c r="I58" s="434">
        <v>1</v>
      </c>
      <c r="J58" s="436">
        <v>0</v>
      </c>
      <c r="K58" s="436">
        <v>0</v>
      </c>
      <c r="L58" s="436">
        <v>0</v>
      </c>
    </row>
    <row r="59" spans="3:13">
      <c r="C59" s="434" t="s">
        <v>458</v>
      </c>
      <c r="D59" s="436">
        <v>1760000</v>
      </c>
      <c r="E59" s="436">
        <v>17600000</v>
      </c>
      <c r="I59" s="434">
        <v>2</v>
      </c>
      <c r="J59" s="438">
        <v>4400000</v>
      </c>
      <c r="K59" s="438">
        <v>2200000</v>
      </c>
      <c r="L59" s="438">
        <v>4200000</v>
      </c>
      <c r="M59" s="11" t="s">
        <v>1240</v>
      </c>
    </row>
    <row r="60" spans="3:13">
      <c r="C60" s="434" t="s">
        <v>459</v>
      </c>
      <c r="D60" s="436">
        <v>2640000</v>
      </c>
      <c r="E60" s="436">
        <v>33600000</v>
      </c>
      <c r="F60" s="11" t="s">
        <v>1231</v>
      </c>
      <c r="I60" s="440"/>
      <c r="J60" s="441"/>
      <c r="K60" s="441"/>
      <c r="L60" s="441"/>
    </row>
    <row r="62" spans="3:13">
      <c r="I62" s="434" t="s">
        <v>1243</v>
      </c>
      <c r="J62" s="434" t="s">
        <v>457</v>
      </c>
      <c r="K62" s="434" t="s">
        <v>458</v>
      </c>
      <c r="L62" s="435" t="s">
        <v>459</v>
      </c>
    </row>
    <row r="63" spans="3:13">
      <c r="C63" s="434" t="s">
        <v>1232</v>
      </c>
      <c r="D63" s="434" t="s">
        <v>466</v>
      </c>
      <c r="E63" s="435" t="s">
        <v>467</v>
      </c>
      <c r="I63" s="434" t="s">
        <v>536</v>
      </c>
      <c r="J63" s="436"/>
      <c r="K63" s="436"/>
      <c r="L63" s="436"/>
    </row>
    <row r="64" spans="3:13">
      <c r="C64" s="434" t="s">
        <v>457</v>
      </c>
      <c r="D64" s="436">
        <v>-5500000</v>
      </c>
      <c r="E64" s="436">
        <v>-44000000</v>
      </c>
      <c r="I64" s="434" t="s">
        <v>537</v>
      </c>
      <c r="J64" s="436">
        <v>-11000000</v>
      </c>
      <c r="K64" s="436">
        <v>-5500000</v>
      </c>
      <c r="L64" s="436">
        <v>-10500000</v>
      </c>
    </row>
    <row r="65" spans="1:13">
      <c r="C65" s="434" t="s">
        <v>458</v>
      </c>
      <c r="D65" s="436">
        <v>-2200000</v>
      </c>
      <c r="E65" s="436">
        <v>-22000000</v>
      </c>
      <c r="M65" s="11" t="s">
        <v>1244</v>
      </c>
    </row>
    <row r="66" spans="1:13">
      <c r="C66" s="434" t="s">
        <v>459</v>
      </c>
      <c r="D66" s="436">
        <v>-3300000</v>
      </c>
      <c r="E66" s="436">
        <v>-42000000</v>
      </c>
      <c r="F66" s="11" t="s">
        <v>1233</v>
      </c>
    </row>
    <row r="67" spans="1:13">
      <c r="I67" s="434" t="s">
        <v>1242</v>
      </c>
      <c r="J67" s="434" t="s">
        <v>457</v>
      </c>
      <c r="K67" s="434" t="s">
        <v>458</v>
      </c>
      <c r="L67" s="435" t="s">
        <v>459</v>
      </c>
    </row>
    <row r="68" spans="1:13">
      <c r="I68" s="434" t="s">
        <v>1176</v>
      </c>
      <c r="J68" s="436">
        <v>100000</v>
      </c>
      <c r="K68" s="436">
        <v>50000</v>
      </c>
      <c r="L68" s="436">
        <v>100000</v>
      </c>
    </row>
    <row r="69" spans="1:13">
      <c r="C69" s="434" t="s">
        <v>1234</v>
      </c>
      <c r="D69" s="434" t="s">
        <v>457</v>
      </c>
      <c r="E69" s="434" t="s">
        <v>458</v>
      </c>
      <c r="F69" s="435" t="s">
        <v>459</v>
      </c>
      <c r="I69" s="434" t="s">
        <v>1177</v>
      </c>
      <c r="J69" s="438">
        <v>0</v>
      </c>
      <c r="K69" s="438">
        <v>0</v>
      </c>
      <c r="L69" s="438">
        <v>0</v>
      </c>
    </row>
    <row r="70" spans="1:13">
      <c r="C70" s="434" t="s">
        <v>526</v>
      </c>
      <c r="D70" s="436">
        <v>-550000</v>
      </c>
      <c r="E70" s="436">
        <v>-220000</v>
      </c>
      <c r="F70" s="436">
        <v>-330000</v>
      </c>
      <c r="I70" s="434" t="s">
        <v>1178</v>
      </c>
      <c r="J70" s="436">
        <v>-100000</v>
      </c>
      <c r="K70" s="436">
        <v>-50000</v>
      </c>
      <c r="L70" s="436">
        <v>-100000</v>
      </c>
    </row>
    <row r="71" spans="1:13">
      <c r="C71" s="434" t="s">
        <v>527</v>
      </c>
      <c r="D71" s="438">
        <v>0</v>
      </c>
      <c r="E71" s="438">
        <v>0</v>
      </c>
      <c r="F71" s="438">
        <v>0</v>
      </c>
      <c r="M71" s="11" t="s">
        <v>1241</v>
      </c>
    </row>
    <row r="72" spans="1:13">
      <c r="C72" s="434" t="s">
        <v>528</v>
      </c>
      <c r="D72" s="436">
        <v>550000</v>
      </c>
      <c r="E72" s="436">
        <v>220000</v>
      </c>
      <c r="F72" s="436">
        <v>330000</v>
      </c>
      <c r="G72" s="11" t="s">
        <v>1236</v>
      </c>
    </row>
    <row r="75" spans="1:13">
      <c r="C75" s="434" t="s">
        <v>1235</v>
      </c>
      <c r="D75" s="434" t="s">
        <v>457</v>
      </c>
      <c r="E75" s="434" t="s">
        <v>458</v>
      </c>
      <c r="F75" s="435" t="s">
        <v>459</v>
      </c>
    </row>
    <row r="76" spans="1:13">
      <c r="C76" s="434" t="s">
        <v>533</v>
      </c>
      <c r="D76" s="436">
        <v>0</v>
      </c>
      <c r="E76" s="436">
        <v>0</v>
      </c>
      <c r="F76" s="436">
        <v>0</v>
      </c>
    </row>
    <row r="77" spans="1:13">
      <c r="C77" s="434" t="s">
        <v>1511</v>
      </c>
      <c r="D77" s="436">
        <v>7699999.9999999991</v>
      </c>
      <c r="E77" s="436">
        <v>3080000</v>
      </c>
      <c r="F77" s="436">
        <v>4620000</v>
      </c>
    </row>
    <row r="78" spans="1:13">
      <c r="C78" s="439" t="s">
        <v>1512</v>
      </c>
      <c r="D78" s="436">
        <v>11000000</v>
      </c>
      <c r="E78" s="436">
        <v>4400000</v>
      </c>
      <c r="F78" s="436">
        <v>6600000</v>
      </c>
      <c r="G78" s="11" t="s">
        <v>1237</v>
      </c>
    </row>
    <row r="80" spans="1:13" s="15" customFormat="1">
      <c r="A80" s="14" t="s">
        <v>1248</v>
      </c>
      <c r="C80" s="14"/>
    </row>
    <row r="82" spans="3:12">
      <c r="C82" s="434" t="s">
        <v>1269</v>
      </c>
      <c r="D82" s="434" t="s">
        <v>540</v>
      </c>
      <c r="E82" s="435" t="s">
        <v>465</v>
      </c>
      <c r="F82" s="435" t="s">
        <v>466</v>
      </c>
      <c r="G82" s="435" t="s">
        <v>467</v>
      </c>
      <c r="I82" s="11"/>
      <c r="J82" s="440"/>
      <c r="K82" s="34"/>
    </row>
    <row r="83" spans="3:12">
      <c r="C83" s="434" t="s">
        <v>457</v>
      </c>
      <c r="D83" s="436">
        <v>40000</v>
      </c>
      <c r="E83" s="436">
        <v>165000</v>
      </c>
      <c r="F83" s="436">
        <v>550000</v>
      </c>
      <c r="G83" s="436">
        <v>4400000</v>
      </c>
      <c r="I83" s="11"/>
      <c r="J83" s="440"/>
      <c r="K83" s="34"/>
    </row>
    <row r="84" spans="3:12">
      <c r="C84" s="434" t="s">
        <v>458</v>
      </c>
      <c r="D84" s="436">
        <v>25000</v>
      </c>
      <c r="E84" s="436">
        <v>110000</v>
      </c>
      <c r="F84" s="436">
        <v>220000</v>
      </c>
      <c r="G84" s="436">
        <v>2200000</v>
      </c>
      <c r="I84" s="11"/>
      <c r="J84" s="440"/>
      <c r="K84" s="34"/>
    </row>
    <row r="85" spans="3:12">
      <c r="C85" s="434" t="s">
        <v>459</v>
      </c>
      <c r="D85" s="436">
        <v>17500</v>
      </c>
      <c r="E85" s="436">
        <v>60000</v>
      </c>
      <c r="F85" s="436">
        <v>330000</v>
      </c>
      <c r="G85" s="436">
        <v>4200000</v>
      </c>
      <c r="H85" s="11" t="s">
        <v>1249</v>
      </c>
      <c r="I85" s="11"/>
      <c r="J85" s="440"/>
      <c r="K85" s="34"/>
    </row>
    <row r="86" spans="3:12">
      <c r="J86" s="440"/>
      <c r="K86" s="34"/>
    </row>
    <row r="87" spans="3:12">
      <c r="C87" s="434" t="s">
        <v>587</v>
      </c>
      <c r="D87" s="434" t="s">
        <v>457</v>
      </c>
      <c r="E87" s="435" t="s">
        <v>458</v>
      </c>
      <c r="F87" s="435" t="s">
        <v>459</v>
      </c>
    </row>
    <row r="88" spans="3:12">
      <c r="C88" s="434" t="s">
        <v>589</v>
      </c>
      <c r="D88" s="436">
        <v>45000</v>
      </c>
      <c r="E88" s="436">
        <v>45000</v>
      </c>
      <c r="F88" s="436">
        <v>0</v>
      </c>
      <c r="G88" s="432"/>
    </row>
    <row r="89" spans="3:12">
      <c r="C89" s="434" t="s">
        <v>590</v>
      </c>
      <c r="D89" s="436">
        <v>25000</v>
      </c>
      <c r="E89" s="436">
        <v>25000</v>
      </c>
      <c r="F89" s="436">
        <v>20000</v>
      </c>
      <c r="G89" s="432"/>
    </row>
    <row r="90" spans="3:12">
      <c r="C90" s="434" t="s">
        <v>591</v>
      </c>
      <c r="D90" s="436">
        <v>0</v>
      </c>
      <c r="E90" s="436">
        <v>0</v>
      </c>
      <c r="F90" s="436">
        <v>30000</v>
      </c>
      <c r="G90" s="11" t="s">
        <v>1295</v>
      </c>
    </row>
    <row r="92" spans="3:12">
      <c r="D92" s="437">
        <v>1000</v>
      </c>
      <c r="E92" s="437">
        <v>1500</v>
      </c>
      <c r="F92" s="437">
        <v>2000</v>
      </c>
      <c r="I92" s="11"/>
      <c r="J92" s="437">
        <v>1000</v>
      </c>
      <c r="K92" s="437">
        <v>1500</v>
      </c>
      <c r="L92" s="437">
        <v>2000</v>
      </c>
    </row>
    <row r="93" spans="3:12">
      <c r="C93" s="434" t="s">
        <v>1218</v>
      </c>
      <c r="D93" s="434" t="s">
        <v>457</v>
      </c>
      <c r="E93" s="435" t="s">
        <v>458</v>
      </c>
      <c r="F93" s="435" t="s">
        <v>459</v>
      </c>
      <c r="I93" s="434" t="s">
        <v>1224</v>
      </c>
      <c r="J93" s="434" t="s">
        <v>457</v>
      </c>
      <c r="K93" s="435" t="s">
        <v>458</v>
      </c>
      <c r="L93" s="435" t="s">
        <v>459</v>
      </c>
    </row>
    <row r="94" spans="3:12">
      <c r="C94" s="435">
        <v>10</v>
      </c>
      <c r="D94" s="435">
        <v>-10000</v>
      </c>
      <c r="E94" s="435">
        <v>-5000</v>
      </c>
      <c r="F94" s="435">
        <v>-7500</v>
      </c>
      <c r="H94" s="10">
        <v>12</v>
      </c>
      <c r="I94" s="435" t="s">
        <v>1186</v>
      </c>
      <c r="J94" s="435">
        <v>120000</v>
      </c>
      <c r="K94" s="435">
        <v>60000</v>
      </c>
      <c r="L94" s="435">
        <v>90000</v>
      </c>
    </row>
    <row r="95" spans="3:12">
      <c r="C95" s="435">
        <v>25</v>
      </c>
      <c r="D95" s="435">
        <v>-25000</v>
      </c>
      <c r="E95" s="435">
        <v>-12500</v>
      </c>
      <c r="F95" s="435">
        <v>-18750</v>
      </c>
      <c r="H95" s="10">
        <v>6</v>
      </c>
      <c r="I95" s="435" t="s">
        <v>582</v>
      </c>
      <c r="J95" s="435">
        <v>60000</v>
      </c>
      <c r="K95" s="435">
        <v>30000</v>
      </c>
      <c r="L95" s="435">
        <v>45000</v>
      </c>
    </row>
    <row r="96" spans="3:12">
      <c r="C96" s="435">
        <v>50</v>
      </c>
      <c r="D96" s="435">
        <v>0</v>
      </c>
      <c r="E96" s="435">
        <v>0</v>
      </c>
      <c r="F96" s="435">
        <v>0</v>
      </c>
      <c r="H96" s="10">
        <v>0</v>
      </c>
      <c r="I96" s="435" t="s">
        <v>584</v>
      </c>
      <c r="J96" s="435">
        <v>0</v>
      </c>
      <c r="K96" s="435">
        <v>0</v>
      </c>
      <c r="L96" s="435">
        <v>0</v>
      </c>
    </row>
    <row r="97" spans="3:13">
      <c r="C97" s="435">
        <v>75</v>
      </c>
      <c r="D97" s="435">
        <v>75000</v>
      </c>
      <c r="E97" s="435">
        <v>37500</v>
      </c>
      <c r="F97" s="435">
        <v>56250</v>
      </c>
      <c r="H97" s="10">
        <v>-6</v>
      </c>
      <c r="I97" s="435" t="s">
        <v>583</v>
      </c>
      <c r="J97" s="435">
        <v>-60000</v>
      </c>
      <c r="K97" s="435">
        <v>-30000</v>
      </c>
      <c r="L97" s="435">
        <v>-45000</v>
      </c>
    </row>
    <row r="98" spans="3:13">
      <c r="C98" s="435">
        <v>100</v>
      </c>
      <c r="D98" s="435">
        <v>100000</v>
      </c>
      <c r="E98" s="435">
        <v>50000</v>
      </c>
      <c r="F98" s="435">
        <v>75000</v>
      </c>
      <c r="G98" s="11" t="s">
        <v>1250</v>
      </c>
      <c r="H98" s="10">
        <v>-12</v>
      </c>
      <c r="I98" s="435" t="s">
        <v>1185</v>
      </c>
      <c r="J98" s="435">
        <v>-120000</v>
      </c>
      <c r="K98" s="435">
        <v>-60000</v>
      </c>
      <c r="L98" s="435">
        <v>-90000</v>
      </c>
      <c r="M98" s="11" t="s">
        <v>1251</v>
      </c>
    </row>
    <row r="99" spans="3:13">
      <c r="I99" s="11"/>
    </row>
    <row r="100" spans="3:13">
      <c r="D100" s="437">
        <v>1200</v>
      </c>
      <c r="E100" s="437">
        <v>1800</v>
      </c>
      <c r="F100" s="437">
        <v>2200</v>
      </c>
      <c r="I100" s="11"/>
      <c r="J100" s="437">
        <v>700000</v>
      </c>
      <c r="K100" s="437">
        <v>200000</v>
      </c>
      <c r="L100" s="437">
        <v>350000</v>
      </c>
    </row>
    <row r="101" spans="3:13">
      <c r="C101" s="434" t="s">
        <v>1219</v>
      </c>
      <c r="D101" s="434" t="s">
        <v>457</v>
      </c>
      <c r="E101" s="435" t="s">
        <v>458</v>
      </c>
      <c r="F101" s="435" t="s">
        <v>459</v>
      </c>
      <c r="I101" s="434" t="s">
        <v>1226</v>
      </c>
      <c r="J101" s="434" t="s">
        <v>457</v>
      </c>
      <c r="K101" s="435" t="s">
        <v>458</v>
      </c>
      <c r="L101" s="435" t="s">
        <v>459</v>
      </c>
    </row>
    <row r="102" spans="3:13">
      <c r="C102" s="435">
        <v>125</v>
      </c>
      <c r="D102" s="435">
        <v>-137500</v>
      </c>
      <c r="E102" s="435">
        <v>-75000</v>
      </c>
      <c r="F102" s="435">
        <v>-112500</v>
      </c>
      <c r="H102" s="10">
        <v>12</v>
      </c>
      <c r="I102" s="435" t="s">
        <v>1186</v>
      </c>
      <c r="J102" s="435">
        <v>420000</v>
      </c>
      <c r="K102" s="435">
        <v>120000</v>
      </c>
      <c r="L102" s="435">
        <v>210000</v>
      </c>
    </row>
    <row r="103" spans="3:13">
      <c r="C103" s="435">
        <v>200</v>
      </c>
      <c r="D103" s="435">
        <v>-220000</v>
      </c>
      <c r="E103" s="435">
        <v>-120000</v>
      </c>
      <c r="F103" s="435">
        <v>-180000</v>
      </c>
      <c r="H103" s="10">
        <v>6</v>
      </c>
      <c r="I103" s="435" t="s">
        <v>582</v>
      </c>
      <c r="J103" s="435">
        <v>210000</v>
      </c>
      <c r="K103" s="435">
        <v>60000</v>
      </c>
      <c r="L103" s="435">
        <v>105000</v>
      </c>
    </row>
    <row r="104" spans="3:13">
      <c r="C104" s="435">
        <v>250</v>
      </c>
      <c r="D104" s="435">
        <v>0</v>
      </c>
      <c r="E104" s="435">
        <v>0</v>
      </c>
      <c r="F104" s="435">
        <v>0</v>
      </c>
      <c r="H104" s="10">
        <v>0</v>
      </c>
      <c r="I104" s="435" t="s">
        <v>584</v>
      </c>
      <c r="J104" s="435">
        <v>0</v>
      </c>
      <c r="K104" s="435">
        <v>0</v>
      </c>
      <c r="L104" s="435">
        <v>0</v>
      </c>
    </row>
    <row r="105" spans="3:13">
      <c r="C105" s="435">
        <v>300</v>
      </c>
      <c r="D105" s="435">
        <v>330000</v>
      </c>
      <c r="E105" s="435">
        <v>180000</v>
      </c>
      <c r="F105" s="435">
        <v>270000</v>
      </c>
      <c r="H105" s="10">
        <v>-6</v>
      </c>
      <c r="I105" s="435" t="s">
        <v>583</v>
      </c>
      <c r="J105" s="435">
        <v>-210000</v>
      </c>
      <c r="K105" s="435">
        <v>-60000</v>
      </c>
      <c r="L105" s="435">
        <v>-105000</v>
      </c>
    </row>
    <row r="106" spans="3:13">
      <c r="C106" s="435">
        <v>350</v>
      </c>
      <c r="D106" s="435">
        <v>385000</v>
      </c>
      <c r="E106" s="435">
        <v>210000</v>
      </c>
      <c r="F106" s="435">
        <v>315000</v>
      </c>
      <c r="G106" s="11" t="s">
        <v>1252</v>
      </c>
      <c r="H106" s="10">
        <v>-12</v>
      </c>
      <c r="I106" s="435" t="s">
        <v>1185</v>
      </c>
      <c r="J106" s="435">
        <v>-420000</v>
      </c>
      <c r="K106" s="435">
        <v>-120000</v>
      </c>
      <c r="L106" s="435">
        <v>-210000</v>
      </c>
      <c r="M106" s="11" t="s">
        <v>1253</v>
      </c>
    </row>
    <row r="107" spans="3:13">
      <c r="I107" s="11"/>
    </row>
    <row r="108" spans="3:13">
      <c r="D108" s="437">
        <v>15000</v>
      </c>
      <c r="E108" s="437">
        <v>9000</v>
      </c>
      <c r="F108" s="437">
        <v>12000</v>
      </c>
      <c r="I108" s="11"/>
      <c r="J108" s="437">
        <v>4500000</v>
      </c>
      <c r="K108" s="437">
        <v>2500000</v>
      </c>
      <c r="L108" s="437">
        <v>4000000</v>
      </c>
    </row>
    <row r="109" spans="3:13">
      <c r="C109" s="434" t="s">
        <v>1220</v>
      </c>
      <c r="D109" s="434" t="s">
        <v>457</v>
      </c>
      <c r="E109" s="435" t="s">
        <v>458</v>
      </c>
      <c r="F109" s="435" t="s">
        <v>459</v>
      </c>
      <c r="I109" s="434" t="s">
        <v>1225</v>
      </c>
      <c r="J109" s="434" t="s">
        <v>457</v>
      </c>
      <c r="K109" s="435" t="s">
        <v>458</v>
      </c>
      <c r="L109" s="435" t="s">
        <v>459</v>
      </c>
    </row>
    <row r="110" spans="3:13">
      <c r="C110" s="435">
        <v>750</v>
      </c>
      <c r="D110" s="435">
        <v>-562500</v>
      </c>
      <c r="E110" s="435">
        <v>-337500</v>
      </c>
      <c r="F110" s="435">
        <v>-450000</v>
      </c>
      <c r="H110" s="10">
        <v>12</v>
      </c>
      <c r="I110" s="435" t="s">
        <v>1186</v>
      </c>
      <c r="J110" s="435">
        <v>2700000</v>
      </c>
      <c r="K110" s="435">
        <v>1500000</v>
      </c>
      <c r="L110" s="435">
        <v>2400000</v>
      </c>
    </row>
    <row r="111" spans="3:13">
      <c r="C111" s="435">
        <v>1200</v>
      </c>
      <c r="D111" s="435">
        <v>-900000</v>
      </c>
      <c r="E111" s="435">
        <v>-540000</v>
      </c>
      <c r="F111" s="435">
        <v>-720000</v>
      </c>
      <c r="H111" s="10">
        <v>6</v>
      </c>
      <c r="I111" s="435" t="s">
        <v>582</v>
      </c>
      <c r="J111" s="435">
        <v>1350000</v>
      </c>
      <c r="K111" s="435">
        <v>750000</v>
      </c>
      <c r="L111" s="435">
        <v>1200000</v>
      </c>
    </row>
    <row r="112" spans="3:13">
      <c r="C112" s="435">
        <v>1500</v>
      </c>
      <c r="D112" s="435">
        <v>0</v>
      </c>
      <c r="E112" s="435">
        <v>0</v>
      </c>
      <c r="F112" s="435">
        <v>0</v>
      </c>
      <c r="H112" s="10">
        <v>0</v>
      </c>
      <c r="I112" s="435" t="s">
        <v>584</v>
      </c>
      <c r="J112" s="435">
        <v>0</v>
      </c>
      <c r="K112" s="435">
        <v>0</v>
      </c>
      <c r="L112" s="435">
        <v>0</v>
      </c>
    </row>
    <row r="113" spans="3:13">
      <c r="C113" s="435">
        <v>1750</v>
      </c>
      <c r="D113" s="435">
        <v>1312500</v>
      </c>
      <c r="E113" s="435">
        <v>787500</v>
      </c>
      <c r="F113" s="435">
        <v>1050000</v>
      </c>
      <c r="H113" s="10">
        <v>-6</v>
      </c>
      <c r="I113" s="435" t="s">
        <v>583</v>
      </c>
      <c r="J113" s="435">
        <v>-1350000</v>
      </c>
      <c r="K113" s="435">
        <v>-750000</v>
      </c>
      <c r="L113" s="435">
        <v>-1200000</v>
      </c>
    </row>
    <row r="114" spans="3:13">
      <c r="C114" s="435">
        <v>2000</v>
      </c>
      <c r="D114" s="435">
        <v>1500000</v>
      </c>
      <c r="E114" s="435">
        <v>900000</v>
      </c>
      <c r="F114" s="435">
        <v>1200000</v>
      </c>
      <c r="G114" s="11" t="s">
        <v>1254</v>
      </c>
      <c r="H114" s="10">
        <v>-12</v>
      </c>
      <c r="I114" s="435" t="s">
        <v>1185</v>
      </c>
      <c r="J114" s="435">
        <v>-2700000</v>
      </c>
      <c r="K114" s="435">
        <v>-1500000</v>
      </c>
      <c r="L114" s="435">
        <v>-2400000</v>
      </c>
      <c r="M114" s="11" t="s">
        <v>1255</v>
      </c>
    </row>
    <row r="117" spans="3:13">
      <c r="C117" s="434" t="s">
        <v>1256</v>
      </c>
      <c r="D117" s="434" t="s">
        <v>466</v>
      </c>
      <c r="E117" s="435" t="s">
        <v>467</v>
      </c>
      <c r="F117" s="575"/>
      <c r="I117" s="434" t="s">
        <v>1257</v>
      </c>
      <c r="J117" s="434" t="s">
        <v>457</v>
      </c>
      <c r="K117" s="434" t="s">
        <v>458</v>
      </c>
      <c r="L117" s="435" t="s">
        <v>459</v>
      </c>
    </row>
    <row r="118" spans="3:13">
      <c r="C118" s="434" t="s">
        <v>457</v>
      </c>
      <c r="D118" s="436">
        <v>220000</v>
      </c>
      <c r="E118" s="436">
        <v>1760000</v>
      </c>
      <c r="I118" s="434">
        <v>1</v>
      </c>
      <c r="J118" s="436">
        <v>0</v>
      </c>
      <c r="K118" s="436">
        <v>0</v>
      </c>
      <c r="L118" s="436">
        <v>0</v>
      </c>
    </row>
    <row r="119" spans="3:13">
      <c r="C119" s="434" t="s">
        <v>458</v>
      </c>
      <c r="D119" s="436">
        <v>88000</v>
      </c>
      <c r="E119" s="436">
        <v>880000</v>
      </c>
      <c r="I119" s="434">
        <v>2</v>
      </c>
      <c r="J119" s="438">
        <v>440000</v>
      </c>
      <c r="K119" s="438">
        <v>220000</v>
      </c>
      <c r="L119" s="438">
        <v>420000</v>
      </c>
      <c r="M119" s="11" t="s">
        <v>1258</v>
      </c>
    </row>
    <row r="120" spans="3:13">
      <c r="C120" s="434" t="s">
        <v>459</v>
      </c>
      <c r="D120" s="436">
        <v>132000</v>
      </c>
      <c r="E120" s="436">
        <v>1680000</v>
      </c>
      <c r="F120" s="11" t="s">
        <v>1259</v>
      </c>
      <c r="I120" s="440"/>
      <c r="J120" s="441"/>
      <c r="K120" s="441"/>
      <c r="L120" s="441"/>
    </row>
    <row r="122" spans="3:13">
      <c r="I122" s="434" t="s">
        <v>1260</v>
      </c>
      <c r="J122" s="434" t="s">
        <v>457</v>
      </c>
      <c r="K122" s="434" t="s">
        <v>458</v>
      </c>
      <c r="L122" s="435" t="s">
        <v>459</v>
      </c>
    </row>
    <row r="123" spans="3:13">
      <c r="C123" s="434" t="s">
        <v>1261</v>
      </c>
      <c r="D123" s="434" t="s">
        <v>466</v>
      </c>
      <c r="E123" s="435" t="s">
        <v>467</v>
      </c>
      <c r="I123" s="434" t="s">
        <v>536</v>
      </c>
      <c r="J123" s="436"/>
      <c r="K123" s="436"/>
      <c r="L123" s="436"/>
    </row>
    <row r="124" spans="3:13">
      <c r="C124" s="434" t="s">
        <v>457</v>
      </c>
      <c r="D124" s="436">
        <v>-275000</v>
      </c>
      <c r="E124" s="436">
        <v>-2200000</v>
      </c>
      <c r="I124" s="434" t="s">
        <v>537</v>
      </c>
      <c r="J124" s="436">
        <v>-1100000</v>
      </c>
      <c r="K124" s="436">
        <v>-550000</v>
      </c>
      <c r="L124" s="436">
        <v>-1050000</v>
      </c>
    </row>
    <row r="125" spans="3:13">
      <c r="C125" s="434" t="s">
        <v>458</v>
      </c>
      <c r="D125" s="436">
        <v>-110000</v>
      </c>
      <c r="E125" s="436">
        <v>-1100000</v>
      </c>
      <c r="M125" s="11" t="s">
        <v>1262</v>
      </c>
    </row>
    <row r="126" spans="3:13">
      <c r="C126" s="434" t="s">
        <v>459</v>
      </c>
      <c r="D126" s="436">
        <v>-165000</v>
      </c>
      <c r="E126" s="436">
        <v>-2100000</v>
      </c>
      <c r="F126" s="11" t="s">
        <v>1263</v>
      </c>
    </row>
    <row r="127" spans="3:13">
      <c r="I127" s="434" t="s">
        <v>1264</v>
      </c>
      <c r="J127" s="434" t="s">
        <v>457</v>
      </c>
      <c r="K127" s="434" t="s">
        <v>458</v>
      </c>
      <c r="L127" s="435" t="s">
        <v>459</v>
      </c>
    </row>
    <row r="128" spans="3:13">
      <c r="I128" s="434" t="s">
        <v>1176</v>
      </c>
      <c r="J128" s="436">
        <v>400000</v>
      </c>
      <c r="K128" s="436">
        <v>200000</v>
      </c>
      <c r="L128" s="436">
        <v>400000</v>
      </c>
    </row>
    <row r="129" spans="1:13">
      <c r="C129" s="434" t="s">
        <v>1265</v>
      </c>
      <c r="D129" s="434" t="s">
        <v>457</v>
      </c>
      <c r="E129" s="434" t="s">
        <v>458</v>
      </c>
      <c r="F129" s="435" t="s">
        <v>459</v>
      </c>
      <c r="I129" s="434" t="s">
        <v>1177</v>
      </c>
      <c r="J129" s="438">
        <v>0</v>
      </c>
      <c r="K129" s="438">
        <v>0</v>
      </c>
      <c r="L129" s="438">
        <v>0</v>
      </c>
    </row>
    <row r="130" spans="1:13">
      <c r="C130" s="434" t="s">
        <v>526</v>
      </c>
      <c r="D130" s="436"/>
      <c r="E130" s="436"/>
      <c r="F130" s="436"/>
      <c r="I130" s="434" t="s">
        <v>1178</v>
      </c>
      <c r="J130" s="436">
        <v>-400000</v>
      </c>
      <c r="K130" s="436">
        <v>-200000</v>
      </c>
      <c r="L130" s="436">
        <v>-400000</v>
      </c>
    </row>
    <row r="131" spans="1:13">
      <c r="C131" s="434" t="s">
        <v>527</v>
      </c>
      <c r="D131" s="438"/>
      <c r="E131" s="438"/>
      <c r="F131" s="438"/>
      <c r="M131" s="11" t="s">
        <v>1266</v>
      </c>
    </row>
    <row r="132" spans="1:13">
      <c r="C132" s="434" t="s">
        <v>528</v>
      </c>
      <c r="D132" s="436"/>
      <c r="E132" s="436"/>
      <c r="F132" s="436"/>
      <c r="G132" s="11" t="s">
        <v>1267</v>
      </c>
    </row>
    <row r="135" spans="1:13">
      <c r="C135" s="434" t="s">
        <v>1270</v>
      </c>
      <c r="D135" s="434" t="s">
        <v>457</v>
      </c>
      <c r="E135" s="434" t="s">
        <v>458</v>
      </c>
      <c r="F135" s="435" t="s">
        <v>459</v>
      </c>
    </row>
    <row r="136" spans="1:13">
      <c r="C136" s="434" t="s">
        <v>533</v>
      </c>
      <c r="D136" s="436">
        <v>0</v>
      </c>
      <c r="E136" s="436">
        <v>0</v>
      </c>
      <c r="F136" s="436">
        <v>0</v>
      </c>
    </row>
    <row r="137" spans="1:13">
      <c r="C137" s="434" t="s">
        <v>1511</v>
      </c>
      <c r="D137" s="436">
        <v>385000</v>
      </c>
      <c r="E137" s="436">
        <v>154000</v>
      </c>
      <c r="F137" s="436">
        <v>231000</v>
      </c>
    </row>
    <row r="138" spans="1:13">
      <c r="C138" s="439" t="s">
        <v>1512</v>
      </c>
      <c r="D138" s="436">
        <v>550000</v>
      </c>
      <c r="E138" s="436">
        <v>220000</v>
      </c>
      <c r="F138" s="436">
        <v>330000</v>
      </c>
      <c r="G138" s="11" t="s">
        <v>1268</v>
      </c>
    </row>
    <row r="141" spans="1:13" s="15" customFormat="1">
      <c r="A141" s="14" t="s">
        <v>544</v>
      </c>
      <c r="C141" s="14"/>
    </row>
    <row r="143" spans="1:13">
      <c r="C143" s="434" t="s">
        <v>1284</v>
      </c>
      <c r="D143" s="434" t="s">
        <v>540</v>
      </c>
      <c r="E143" s="435" t="s">
        <v>465</v>
      </c>
      <c r="F143" s="435" t="s">
        <v>466</v>
      </c>
      <c r="G143" s="435" t="s">
        <v>467</v>
      </c>
      <c r="I143" s="434" t="s">
        <v>1297</v>
      </c>
      <c r="J143" s="434" t="s">
        <v>1298</v>
      </c>
      <c r="K143" s="34"/>
    </row>
    <row r="144" spans="1:13">
      <c r="C144" s="434" t="s">
        <v>457</v>
      </c>
      <c r="D144" s="447">
        <v>0.25</v>
      </c>
      <c r="E144" s="447">
        <v>0.5</v>
      </c>
      <c r="F144" s="447">
        <v>0.5</v>
      </c>
      <c r="G144" s="447">
        <v>3.5</v>
      </c>
      <c r="I144" s="450">
        <v>0</v>
      </c>
      <c r="J144" s="447">
        <v>0</v>
      </c>
      <c r="K144" s="34"/>
    </row>
    <row r="145" spans="3:13">
      <c r="C145" s="434" t="s">
        <v>458</v>
      </c>
      <c r="D145" s="447">
        <v>0.25</v>
      </c>
      <c r="E145" s="447">
        <v>0.5</v>
      </c>
      <c r="F145" s="447">
        <v>1</v>
      </c>
      <c r="G145" s="447">
        <v>3.5</v>
      </c>
      <c r="I145" s="450">
        <v>2</v>
      </c>
      <c r="J145" s="447">
        <v>0</v>
      </c>
      <c r="K145" s="34"/>
    </row>
    <row r="146" spans="3:13">
      <c r="C146" s="434" t="s">
        <v>459</v>
      </c>
      <c r="D146" s="447">
        <v>0.25</v>
      </c>
      <c r="E146" s="447">
        <v>0.5</v>
      </c>
      <c r="F146" s="447">
        <v>1</v>
      </c>
      <c r="G146" s="447">
        <v>4.5</v>
      </c>
      <c r="H146" s="11" t="s">
        <v>1271</v>
      </c>
      <c r="I146" s="450">
        <v>5</v>
      </c>
      <c r="J146" s="447">
        <v>0</v>
      </c>
      <c r="K146" s="11" t="s">
        <v>1299</v>
      </c>
    </row>
    <row r="147" spans="3:13">
      <c r="J147" s="440"/>
      <c r="K147" s="34"/>
    </row>
    <row r="148" spans="3:13">
      <c r="C148" s="434" t="s">
        <v>587</v>
      </c>
      <c r="D148" s="434" t="s">
        <v>457</v>
      </c>
      <c r="E148" s="435" t="s">
        <v>458</v>
      </c>
      <c r="F148" s="435" t="s">
        <v>459</v>
      </c>
    </row>
    <row r="149" spans="3:13">
      <c r="C149" s="434" t="s">
        <v>589</v>
      </c>
      <c r="D149" s="448">
        <v>0.1</v>
      </c>
      <c r="E149" s="448">
        <v>0.1</v>
      </c>
      <c r="F149" s="448"/>
      <c r="G149" s="432"/>
    </row>
    <row r="150" spans="3:13">
      <c r="C150" s="434" t="s">
        <v>590</v>
      </c>
      <c r="D150" s="448">
        <v>0.05</v>
      </c>
      <c r="E150" s="448">
        <v>0.05</v>
      </c>
      <c r="F150" s="448">
        <v>0.05</v>
      </c>
      <c r="G150" s="432"/>
    </row>
    <row r="151" spans="3:13">
      <c r="C151" s="434" t="s">
        <v>591</v>
      </c>
      <c r="D151" s="448"/>
      <c r="E151" s="448"/>
      <c r="F151" s="448">
        <v>0.1</v>
      </c>
      <c r="G151" s="11" t="s">
        <v>1296</v>
      </c>
    </row>
    <row r="153" spans="3:13">
      <c r="D153" s="437">
        <v>5.0000000000000001E-3</v>
      </c>
      <c r="E153" s="437">
        <v>6.0000000000000001E-3</v>
      </c>
      <c r="F153" s="437">
        <v>7.0000000000000001E-3</v>
      </c>
      <c r="I153" s="11"/>
      <c r="J153" s="437"/>
      <c r="K153" s="437"/>
      <c r="L153" s="437"/>
    </row>
    <row r="154" spans="3:13">
      <c r="C154" s="434" t="s">
        <v>1218</v>
      </c>
      <c r="D154" s="434" t="s">
        <v>457</v>
      </c>
      <c r="E154" s="435" t="s">
        <v>458</v>
      </c>
      <c r="F154" s="435" t="s">
        <v>459</v>
      </c>
      <c r="I154" s="434" t="s">
        <v>1224</v>
      </c>
      <c r="J154" s="434" t="s">
        <v>457</v>
      </c>
      <c r="K154" s="435" t="s">
        <v>458</v>
      </c>
      <c r="L154" s="435" t="s">
        <v>459</v>
      </c>
    </row>
    <row r="155" spans="3:13">
      <c r="C155" s="435">
        <v>10</v>
      </c>
      <c r="D155" s="447">
        <v>-0.125</v>
      </c>
      <c r="E155" s="447">
        <v>-0.125</v>
      </c>
      <c r="F155" s="447">
        <v>-0.125</v>
      </c>
      <c r="H155" s="10">
        <v>12</v>
      </c>
      <c r="I155" s="435" t="s">
        <v>1186</v>
      </c>
      <c r="J155" s="435">
        <f>1/12*$H155</f>
        <v>1</v>
      </c>
      <c r="K155" s="435">
        <f t="shared" ref="K155:L159" si="18">1/12*$H155</f>
        <v>1</v>
      </c>
      <c r="L155" s="435">
        <f t="shared" si="18"/>
        <v>1</v>
      </c>
    </row>
    <row r="156" spans="3:13">
      <c r="C156" s="435">
        <v>25</v>
      </c>
      <c r="D156" s="447">
        <v>-0.05</v>
      </c>
      <c r="E156" s="447">
        <v>-0.05</v>
      </c>
      <c r="F156" s="447">
        <v>-0.05</v>
      </c>
      <c r="H156" s="10">
        <v>6</v>
      </c>
      <c r="I156" s="435" t="s">
        <v>582</v>
      </c>
      <c r="J156" s="435">
        <f t="shared" ref="J156:J159" si="19">1/12*$H156</f>
        <v>0.5</v>
      </c>
      <c r="K156" s="435">
        <f t="shared" si="18"/>
        <v>0.5</v>
      </c>
      <c r="L156" s="435">
        <f t="shared" si="18"/>
        <v>0.5</v>
      </c>
    </row>
    <row r="157" spans="3:13">
      <c r="C157" s="435">
        <v>50</v>
      </c>
      <c r="D157" s="435">
        <v>0</v>
      </c>
      <c r="E157" s="435">
        <v>0</v>
      </c>
      <c r="F157" s="435">
        <v>0</v>
      </c>
      <c r="H157" s="10">
        <v>0</v>
      </c>
      <c r="I157" s="435" t="s">
        <v>584</v>
      </c>
      <c r="J157" s="435">
        <f t="shared" si="19"/>
        <v>0</v>
      </c>
      <c r="K157" s="435">
        <f t="shared" si="18"/>
        <v>0</v>
      </c>
      <c r="L157" s="435">
        <f t="shared" si="18"/>
        <v>0</v>
      </c>
    </row>
    <row r="158" spans="3:13">
      <c r="C158" s="435">
        <v>75</v>
      </c>
      <c r="D158" s="447">
        <v>0.05</v>
      </c>
      <c r="E158" s="447">
        <v>0.05</v>
      </c>
      <c r="F158" s="447">
        <v>0.05</v>
      </c>
      <c r="H158" s="10">
        <v>-6</v>
      </c>
      <c r="I158" s="435" t="s">
        <v>583</v>
      </c>
      <c r="J158" s="435">
        <f t="shared" si="19"/>
        <v>-0.5</v>
      </c>
      <c r="K158" s="435">
        <f t="shared" si="18"/>
        <v>-0.5</v>
      </c>
      <c r="L158" s="435">
        <f t="shared" si="18"/>
        <v>-0.5</v>
      </c>
    </row>
    <row r="159" spans="3:13">
      <c r="C159" s="435">
        <v>100</v>
      </c>
      <c r="D159" s="447">
        <v>0.125</v>
      </c>
      <c r="E159" s="447">
        <v>0.125</v>
      </c>
      <c r="F159" s="447">
        <v>0.125</v>
      </c>
      <c r="G159" s="11" t="s">
        <v>1272</v>
      </c>
      <c r="H159" s="10">
        <v>-12</v>
      </c>
      <c r="I159" s="435" t="s">
        <v>1185</v>
      </c>
      <c r="J159" s="435">
        <f t="shared" si="19"/>
        <v>-1</v>
      </c>
      <c r="K159" s="435">
        <f t="shared" si="18"/>
        <v>-1</v>
      </c>
      <c r="L159" s="435">
        <f t="shared" si="18"/>
        <v>-1</v>
      </c>
      <c r="M159" s="11" t="s">
        <v>1273</v>
      </c>
    </row>
    <row r="160" spans="3:13">
      <c r="I160" s="11"/>
    </row>
    <row r="161" spans="3:13">
      <c r="D161" s="437">
        <v>2E-3</v>
      </c>
      <c r="E161" s="437">
        <v>3.0000000000000001E-3</v>
      </c>
      <c r="F161" s="437">
        <v>4.0000000000000001E-3</v>
      </c>
      <c r="I161" s="11"/>
      <c r="J161" s="437"/>
      <c r="K161" s="437"/>
      <c r="L161" s="437"/>
    </row>
    <row r="162" spans="3:13">
      <c r="C162" s="434" t="s">
        <v>1219</v>
      </c>
      <c r="D162" s="434" t="s">
        <v>457</v>
      </c>
      <c r="E162" s="435" t="s">
        <v>458</v>
      </c>
      <c r="F162" s="435" t="s">
        <v>459</v>
      </c>
      <c r="I162" s="434" t="s">
        <v>1226</v>
      </c>
      <c r="J162" s="434" t="s">
        <v>457</v>
      </c>
      <c r="K162" s="435" t="s">
        <v>458</v>
      </c>
      <c r="L162" s="435" t="s">
        <v>459</v>
      </c>
    </row>
    <row r="163" spans="3:13">
      <c r="C163" s="435">
        <v>125</v>
      </c>
      <c r="D163" s="435">
        <v>-0.125</v>
      </c>
      <c r="E163" s="435">
        <v>-0.25</v>
      </c>
      <c r="F163" s="435">
        <v>-0.25</v>
      </c>
      <c r="H163" s="10">
        <v>12</v>
      </c>
      <c r="I163" s="435" t="s">
        <v>1186</v>
      </c>
      <c r="J163" s="435">
        <f>1/12*$H163</f>
        <v>1</v>
      </c>
      <c r="K163" s="435">
        <f t="shared" ref="K163:L167" si="20">1/12*$H163</f>
        <v>1</v>
      </c>
      <c r="L163" s="435">
        <f t="shared" si="20"/>
        <v>1</v>
      </c>
    </row>
    <row r="164" spans="3:13">
      <c r="C164" s="435">
        <v>200</v>
      </c>
      <c r="D164" s="435">
        <v>-0.05</v>
      </c>
      <c r="E164" s="435">
        <v>-0.1</v>
      </c>
      <c r="F164" s="435">
        <v>-0.1</v>
      </c>
      <c r="H164" s="10">
        <v>6</v>
      </c>
      <c r="I164" s="435" t="s">
        <v>582</v>
      </c>
      <c r="J164" s="435">
        <f t="shared" ref="J164:J167" si="21">1/12*$H164</f>
        <v>0.5</v>
      </c>
      <c r="K164" s="435">
        <f t="shared" si="20"/>
        <v>0.5</v>
      </c>
      <c r="L164" s="435">
        <f t="shared" si="20"/>
        <v>0.5</v>
      </c>
    </row>
    <row r="165" spans="3:13">
      <c r="C165" s="435">
        <v>250</v>
      </c>
      <c r="D165" s="435">
        <v>0</v>
      </c>
      <c r="E165" s="435">
        <v>0</v>
      </c>
      <c r="F165" s="435">
        <v>0</v>
      </c>
      <c r="H165" s="10">
        <v>0</v>
      </c>
      <c r="I165" s="435" t="s">
        <v>584</v>
      </c>
      <c r="J165" s="435">
        <f t="shared" si="21"/>
        <v>0</v>
      </c>
      <c r="K165" s="435">
        <f t="shared" si="20"/>
        <v>0</v>
      </c>
      <c r="L165" s="435">
        <f t="shared" si="20"/>
        <v>0</v>
      </c>
    </row>
    <row r="166" spans="3:13">
      <c r="C166" s="435">
        <v>300</v>
      </c>
      <c r="D166" s="435">
        <v>0.05</v>
      </c>
      <c r="E166" s="435">
        <v>0.1</v>
      </c>
      <c r="F166" s="435">
        <v>0.1</v>
      </c>
      <c r="H166" s="10">
        <v>-6</v>
      </c>
      <c r="I166" s="435" t="s">
        <v>583</v>
      </c>
      <c r="J166" s="435">
        <f t="shared" si="21"/>
        <v>-0.5</v>
      </c>
      <c r="K166" s="435">
        <f t="shared" si="20"/>
        <v>-0.5</v>
      </c>
      <c r="L166" s="435">
        <f t="shared" si="20"/>
        <v>-0.5</v>
      </c>
    </row>
    <row r="167" spans="3:13">
      <c r="C167" s="435">
        <v>350</v>
      </c>
      <c r="D167" s="435">
        <v>0.125</v>
      </c>
      <c r="E167" s="435">
        <v>0.25</v>
      </c>
      <c r="F167" s="435">
        <v>0.25</v>
      </c>
      <c r="G167" s="11" t="s">
        <v>1274</v>
      </c>
      <c r="H167" s="10">
        <v>-12</v>
      </c>
      <c r="I167" s="435" t="s">
        <v>1185</v>
      </c>
      <c r="J167" s="435">
        <f t="shared" si="21"/>
        <v>-1</v>
      </c>
      <c r="K167" s="435">
        <f t="shared" si="20"/>
        <v>-1</v>
      </c>
      <c r="L167" s="435">
        <f t="shared" si="20"/>
        <v>-1</v>
      </c>
      <c r="M167" s="11" t="s">
        <v>1275</v>
      </c>
    </row>
    <row r="168" spans="3:13">
      <c r="I168" s="11"/>
    </row>
    <row r="169" spans="3:13">
      <c r="D169" s="437">
        <v>5.0000000000000001E-4</v>
      </c>
      <c r="E169" s="437">
        <v>8.0000000000000004E-4</v>
      </c>
      <c r="F169" s="437">
        <v>8.9999999999999998E-4</v>
      </c>
      <c r="I169" s="11"/>
      <c r="J169" s="437"/>
      <c r="K169" s="437"/>
      <c r="L169" s="437"/>
    </row>
    <row r="170" spans="3:13">
      <c r="C170" s="434" t="s">
        <v>1220</v>
      </c>
      <c r="D170" s="434" t="s">
        <v>457</v>
      </c>
      <c r="E170" s="435" t="s">
        <v>458</v>
      </c>
      <c r="F170" s="435" t="s">
        <v>459</v>
      </c>
      <c r="I170" s="434" t="s">
        <v>1225</v>
      </c>
      <c r="J170" s="434" t="s">
        <v>457</v>
      </c>
      <c r="K170" s="435" t="s">
        <v>458</v>
      </c>
      <c r="L170" s="435" t="s">
        <v>459</v>
      </c>
    </row>
    <row r="171" spans="3:13">
      <c r="C171" s="435">
        <v>750</v>
      </c>
      <c r="D171" s="435">
        <v>-0.875</v>
      </c>
      <c r="E171" s="435">
        <v>-0.875</v>
      </c>
      <c r="F171" s="435">
        <v>-1.125</v>
      </c>
      <c r="H171" s="10">
        <v>12</v>
      </c>
      <c r="I171" s="435" t="s">
        <v>1186</v>
      </c>
      <c r="J171" s="435">
        <f>1/12*$H171</f>
        <v>1</v>
      </c>
      <c r="K171" s="435">
        <f t="shared" ref="K171:L175" si="22">1/12*$H171</f>
        <v>1</v>
      </c>
      <c r="L171" s="435">
        <f t="shared" si="22"/>
        <v>1</v>
      </c>
    </row>
    <row r="172" spans="3:13">
      <c r="C172" s="435">
        <v>1200</v>
      </c>
      <c r="D172" s="435">
        <v>-0.35000000000000003</v>
      </c>
      <c r="E172" s="435">
        <v>-0.35000000000000003</v>
      </c>
      <c r="F172" s="435">
        <v>-0.45</v>
      </c>
      <c r="H172" s="10">
        <v>6</v>
      </c>
      <c r="I172" s="435" t="s">
        <v>582</v>
      </c>
      <c r="J172" s="435">
        <f t="shared" ref="J172:J175" si="23">1/12*$H172</f>
        <v>0.5</v>
      </c>
      <c r="K172" s="435">
        <f t="shared" si="22"/>
        <v>0.5</v>
      </c>
      <c r="L172" s="435">
        <f t="shared" si="22"/>
        <v>0.5</v>
      </c>
    </row>
    <row r="173" spans="3:13">
      <c r="C173" s="435">
        <v>1500</v>
      </c>
      <c r="D173" s="435">
        <v>0</v>
      </c>
      <c r="E173" s="435">
        <v>0</v>
      </c>
      <c r="F173" s="435">
        <v>0</v>
      </c>
      <c r="H173" s="10">
        <v>0</v>
      </c>
      <c r="I173" s="435" t="s">
        <v>584</v>
      </c>
      <c r="J173" s="435">
        <f t="shared" si="23"/>
        <v>0</v>
      </c>
      <c r="K173" s="435">
        <f t="shared" si="22"/>
        <v>0</v>
      </c>
      <c r="L173" s="435">
        <f t="shared" si="22"/>
        <v>0</v>
      </c>
    </row>
    <row r="174" spans="3:13">
      <c r="C174" s="435">
        <v>1750</v>
      </c>
      <c r="D174" s="435">
        <v>0.35000000000000003</v>
      </c>
      <c r="E174" s="435">
        <v>0.35000000000000003</v>
      </c>
      <c r="F174" s="435">
        <v>0.45</v>
      </c>
      <c r="H174" s="10">
        <v>-6</v>
      </c>
      <c r="I174" s="435" t="s">
        <v>583</v>
      </c>
      <c r="J174" s="435">
        <f t="shared" si="23"/>
        <v>-0.5</v>
      </c>
      <c r="K174" s="435">
        <f t="shared" si="22"/>
        <v>-0.5</v>
      </c>
      <c r="L174" s="435">
        <f t="shared" si="22"/>
        <v>-0.5</v>
      </c>
    </row>
    <row r="175" spans="3:13">
      <c r="C175" s="435">
        <v>2000</v>
      </c>
      <c r="D175" s="435">
        <v>0.875</v>
      </c>
      <c r="E175" s="435">
        <v>0.875</v>
      </c>
      <c r="F175" s="435">
        <v>1.125</v>
      </c>
      <c r="G175" s="11" t="s">
        <v>1276</v>
      </c>
      <c r="H175" s="10">
        <v>-12</v>
      </c>
      <c r="I175" s="435" t="s">
        <v>1185</v>
      </c>
      <c r="J175" s="435">
        <f t="shared" si="23"/>
        <v>-1</v>
      </c>
      <c r="K175" s="435">
        <f t="shared" si="22"/>
        <v>-1</v>
      </c>
      <c r="L175" s="435">
        <f t="shared" si="22"/>
        <v>-1</v>
      </c>
      <c r="M175" s="11" t="s">
        <v>1277</v>
      </c>
    </row>
    <row r="178" spans="3:14">
      <c r="C178" s="434" t="s">
        <v>1285</v>
      </c>
      <c r="D178" s="434" t="s">
        <v>466</v>
      </c>
      <c r="E178" s="435" t="s">
        <v>467</v>
      </c>
      <c r="I178" s="434" t="s">
        <v>1286</v>
      </c>
      <c r="J178" s="434" t="s">
        <v>457</v>
      </c>
      <c r="K178" s="434" t="s">
        <v>458</v>
      </c>
      <c r="L178" s="435" t="s">
        <v>459</v>
      </c>
    </row>
    <row r="179" spans="3:14">
      <c r="C179" s="434" t="s">
        <v>457</v>
      </c>
      <c r="D179" s="447">
        <v>0.25</v>
      </c>
      <c r="E179" s="447">
        <v>1.75</v>
      </c>
      <c r="I179" s="434">
        <v>1</v>
      </c>
      <c r="J179" s="436">
        <v>0</v>
      </c>
      <c r="K179" s="436">
        <v>0</v>
      </c>
      <c r="L179" s="436">
        <v>0</v>
      </c>
    </row>
    <row r="180" spans="3:14">
      <c r="C180" s="434" t="s">
        <v>458</v>
      </c>
      <c r="D180" s="447">
        <v>0.5</v>
      </c>
      <c r="E180" s="447">
        <v>1.75</v>
      </c>
      <c r="I180" s="434">
        <v>2</v>
      </c>
      <c r="J180" s="449">
        <v>0.17500000000000002</v>
      </c>
      <c r="K180" s="449">
        <v>0.17500000000000002</v>
      </c>
      <c r="L180" s="449">
        <v>0.22500000000000001</v>
      </c>
      <c r="M180" s="11" t="s">
        <v>1278</v>
      </c>
    </row>
    <row r="181" spans="3:14">
      <c r="C181" s="434" t="s">
        <v>459</v>
      </c>
      <c r="D181" s="447">
        <v>0.5</v>
      </c>
      <c r="E181" s="447">
        <v>2.25</v>
      </c>
      <c r="F181" s="11" t="s">
        <v>1279</v>
      </c>
      <c r="I181" s="440"/>
      <c r="J181" s="441"/>
      <c r="K181" s="441"/>
      <c r="L181" s="441"/>
    </row>
    <row r="182" spans="3:14">
      <c r="I182" s="434" t="s">
        <v>1292</v>
      </c>
      <c r="J182" s="434" t="s">
        <v>457</v>
      </c>
      <c r="K182" s="434" t="s">
        <v>458</v>
      </c>
      <c r="L182" s="435" t="s">
        <v>459</v>
      </c>
    </row>
    <row r="183" spans="3:14">
      <c r="I183" s="434">
        <v>1</v>
      </c>
      <c r="J183" s="436">
        <v>0</v>
      </c>
      <c r="K183" s="436">
        <v>0</v>
      </c>
      <c r="L183" s="436">
        <v>0</v>
      </c>
    </row>
    <row r="184" spans="3:14">
      <c r="C184" s="434" t="s">
        <v>1288</v>
      </c>
      <c r="D184" s="434" t="s">
        <v>466</v>
      </c>
      <c r="E184" s="435" t="s">
        <v>467</v>
      </c>
      <c r="I184" s="434">
        <v>2</v>
      </c>
      <c r="J184" s="449">
        <v>8.7500000000000008E-2</v>
      </c>
      <c r="K184" s="449">
        <v>8.7500000000000008E-2</v>
      </c>
      <c r="L184" s="449">
        <v>0.1125</v>
      </c>
      <c r="M184" s="11" t="s">
        <v>1293</v>
      </c>
    </row>
    <row r="185" spans="3:14">
      <c r="C185" s="434" t="s">
        <v>457</v>
      </c>
      <c r="D185" s="447">
        <v>-0.1</v>
      </c>
      <c r="E185" s="447">
        <v>-0.70000000000000007</v>
      </c>
    </row>
    <row r="186" spans="3:14">
      <c r="C186" s="434" t="s">
        <v>458</v>
      </c>
      <c r="D186" s="447">
        <v>-0.2</v>
      </c>
      <c r="E186" s="447">
        <v>-0.70000000000000007</v>
      </c>
    </row>
    <row r="187" spans="3:14">
      <c r="C187" s="434" t="s">
        <v>459</v>
      </c>
      <c r="D187" s="447">
        <v>-0.2</v>
      </c>
      <c r="E187" s="447">
        <v>-0.9</v>
      </c>
      <c r="F187" s="11" t="s">
        <v>1281</v>
      </c>
      <c r="I187" s="434" t="s">
        <v>1287</v>
      </c>
      <c r="J187" s="434" t="s">
        <v>457</v>
      </c>
      <c r="K187" s="434" t="s">
        <v>458</v>
      </c>
      <c r="L187" s="435" t="s">
        <v>459</v>
      </c>
    </row>
    <row r="188" spans="3:14">
      <c r="I188" s="434" t="s">
        <v>536</v>
      </c>
      <c r="J188" s="447"/>
      <c r="K188" s="447"/>
      <c r="L188" s="447"/>
    </row>
    <row r="189" spans="3:14">
      <c r="I189" s="434" t="s">
        <v>537</v>
      </c>
      <c r="J189" s="447">
        <v>-0.35000000000000003</v>
      </c>
      <c r="K189" s="447">
        <v>-0.35000000000000003</v>
      </c>
      <c r="L189" s="447">
        <v>-0.45</v>
      </c>
    </row>
    <row r="190" spans="3:14">
      <c r="C190" s="434" t="s">
        <v>1289</v>
      </c>
      <c r="D190" s="434" t="s">
        <v>457</v>
      </c>
      <c r="E190" s="434" t="s">
        <v>458</v>
      </c>
      <c r="F190" s="435" t="s">
        <v>459</v>
      </c>
      <c r="M190" s="11" t="s">
        <v>1280</v>
      </c>
    </row>
    <row r="191" spans="3:14">
      <c r="C191" s="434" t="s">
        <v>526</v>
      </c>
      <c r="D191" s="436"/>
      <c r="E191" s="436"/>
      <c r="F191" s="436"/>
      <c r="I191" s="440"/>
      <c r="J191" s="441"/>
      <c r="K191" s="441"/>
      <c r="L191" s="441"/>
      <c r="M191" s="34"/>
      <c r="N191" s="10">
        <v>0.1</v>
      </c>
    </row>
    <row r="192" spans="3:14">
      <c r="C192" s="434" t="s">
        <v>527</v>
      </c>
      <c r="D192" s="438"/>
      <c r="E192" s="438"/>
      <c r="F192" s="438"/>
      <c r="I192" s="434" t="s">
        <v>1454</v>
      </c>
      <c r="J192" s="434" t="s">
        <v>457</v>
      </c>
      <c r="K192" s="434" t="s">
        <v>458</v>
      </c>
      <c r="L192" s="435" t="s">
        <v>459</v>
      </c>
    </row>
    <row r="193" spans="1:13">
      <c r="C193" s="434" t="s">
        <v>528</v>
      </c>
      <c r="D193" s="436"/>
      <c r="E193" s="436"/>
      <c r="F193" s="436"/>
      <c r="G193" s="11" t="s">
        <v>1282</v>
      </c>
      <c r="I193" s="434" t="s">
        <v>1176</v>
      </c>
      <c r="J193" s="538">
        <v>0.1</v>
      </c>
      <c r="K193" s="538">
        <v>0.1</v>
      </c>
      <c r="L193" s="538">
        <v>0.1</v>
      </c>
    </row>
    <row r="194" spans="1:13">
      <c r="I194" s="434" t="s">
        <v>1177</v>
      </c>
      <c r="J194" s="438">
        <v>0</v>
      </c>
      <c r="K194" s="438">
        <v>0</v>
      </c>
      <c r="L194" s="438">
        <v>0</v>
      </c>
    </row>
    <row r="195" spans="1:13">
      <c r="I195" s="434" t="s">
        <v>1178</v>
      </c>
      <c r="J195" s="538">
        <v>0.1</v>
      </c>
      <c r="K195" s="538">
        <v>0.1</v>
      </c>
      <c r="L195" s="538">
        <v>0.1</v>
      </c>
    </row>
    <row r="196" spans="1:13">
      <c r="C196" s="434" t="s">
        <v>1290</v>
      </c>
      <c r="D196" s="434" t="s">
        <v>457</v>
      </c>
      <c r="E196" s="434" t="s">
        <v>458</v>
      </c>
      <c r="F196" s="435" t="s">
        <v>459</v>
      </c>
      <c r="M196" s="11" t="s">
        <v>1453</v>
      </c>
    </row>
    <row r="197" spans="1:13">
      <c r="C197" s="434" t="s">
        <v>533</v>
      </c>
      <c r="D197" s="447">
        <v>0</v>
      </c>
      <c r="E197" s="447">
        <v>0</v>
      </c>
      <c r="F197" s="447">
        <v>0</v>
      </c>
    </row>
    <row r="198" spans="1:13">
      <c r="C198" s="434" t="s">
        <v>1511</v>
      </c>
      <c r="D198" s="447">
        <v>0.375</v>
      </c>
      <c r="E198" s="447">
        <v>0.75</v>
      </c>
      <c r="F198" s="447">
        <v>0.75</v>
      </c>
    </row>
    <row r="199" spans="1:13">
      <c r="C199" s="439" t="s">
        <v>1512</v>
      </c>
      <c r="D199" s="447">
        <v>0.5</v>
      </c>
      <c r="E199" s="447">
        <v>1</v>
      </c>
      <c r="F199" s="447">
        <v>1</v>
      </c>
      <c r="G199" s="11" t="s">
        <v>1283</v>
      </c>
    </row>
    <row r="202" spans="1:13" s="15" customFormat="1">
      <c r="A202" s="14" t="s">
        <v>545</v>
      </c>
      <c r="C202" s="14"/>
    </row>
    <row r="204" spans="1:13">
      <c r="C204" s="434" t="s">
        <v>1324</v>
      </c>
      <c r="D204" s="434" t="s">
        <v>540</v>
      </c>
      <c r="E204" s="435" t="s">
        <v>465</v>
      </c>
      <c r="F204" s="435" t="s">
        <v>466</v>
      </c>
      <c r="G204" s="435" t="s">
        <v>467</v>
      </c>
    </row>
    <row r="205" spans="1:13">
      <c r="C205" s="434" t="s">
        <v>457</v>
      </c>
      <c r="D205" s="451">
        <v>0.9</v>
      </c>
      <c r="E205" s="451">
        <v>0.9</v>
      </c>
      <c r="F205" s="451">
        <v>0.35</v>
      </c>
      <c r="G205" s="451">
        <v>0.75</v>
      </c>
    </row>
    <row r="206" spans="1:13">
      <c r="C206" s="434" t="s">
        <v>458</v>
      </c>
      <c r="D206" s="451">
        <v>0.9</v>
      </c>
      <c r="E206" s="451">
        <v>0.9</v>
      </c>
      <c r="F206" s="451">
        <v>0.45</v>
      </c>
      <c r="G206" s="451">
        <v>0.8</v>
      </c>
    </row>
    <row r="207" spans="1:13">
      <c r="C207" s="434" t="s">
        <v>459</v>
      </c>
      <c r="D207" s="451">
        <v>0.75</v>
      </c>
      <c r="E207" s="451">
        <v>0.75</v>
      </c>
      <c r="F207" s="451">
        <v>0.4</v>
      </c>
      <c r="G207" s="451">
        <v>0.5</v>
      </c>
      <c r="H207" s="11" t="s">
        <v>1325</v>
      </c>
    </row>
    <row r="208" spans="1:13">
      <c r="C208" s="440"/>
      <c r="D208" s="455"/>
      <c r="E208" s="455"/>
      <c r="F208" s="455"/>
      <c r="G208" s="455"/>
      <c r="H208" s="11"/>
    </row>
    <row r="209" spans="3:12">
      <c r="C209" s="434" t="s">
        <v>1327</v>
      </c>
      <c r="D209" s="434" t="s">
        <v>540</v>
      </c>
      <c r="E209" s="435" t="s">
        <v>465</v>
      </c>
      <c r="F209" s="435" t="s">
        <v>466</v>
      </c>
      <c r="G209" s="435" t="s">
        <v>467</v>
      </c>
    </row>
    <row r="210" spans="3:12">
      <c r="C210" s="434" t="s">
        <v>457</v>
      </c>
      <c r="D210" s="451">
        <v>0.9</v>
      </c>
      <c r="E210" s="451">
        <v>0.9</v>
      </c>
      <c r="F210" s="451">
        <v>0.25</v>
      </c>
      <c r="G210" s="451">
        <v>0.5</v>
      </c>
    </row>
    <row r="211" spans="3:12">
      <c r="C211" s="434" t="s">
        <v>458</v>
      </c>
      <c r="D211" s="451">
        <v>0.9</v>
      </c>
      <c r="E211" s="451">
        <v>0.9</v>
      </c>
      <c r="F211" s="451">
        <v>0.4</v>
      </c>
      <c r="G211" s="451">
        <v>0.8</v>
      </c>
    </row>
    <row r="212" spans="3:12">
      <c r="C212" s="434" t="s">
        <v>459</v>
      </c>
      <c r="D212" s="451">
        <v>0.75</v>
      </c>
      <c r="E212" s="451">
        <v>0.75</v>
      </c>
      <c r="F212" s="451">
        <v>0.4</v>
      </c>
      <c r="G212" s="451">
        <v>0.45</v>
      </c>
      <c r="H212" s="11" t="s">
        <v>1326</v>
      </c>
    </row>
    <row r="213" spans="3:12">
      <c r="C213" s="440"/>
      <c r="D213" s="455"/>
      <c r="E213" s="455"/>
      <c r="F213" s="455"/>
      <c r="G213" s="455"/>
      <c r="H213" s="11"/>
    </row>
    <row r="214" spans="3:12">
      <c r="J214" s="440"/>
      <c r="K214" s="34"/>
    </row>
    <row r="215" spans="3:12">
      <c r="C215" s="434" t="s">
        <v>587</v>
      </c>
      <c r="D215" s="434" t="s">
        <v>457</v>
      </c>
      <c r="E215" s="435" t="s">
        <v>458</v>
      </c>
      <c r="F215" s="435" t="s">
        <v>459</v>
      </c>
      <c r="I215" s="434" t="s">
        <v>1297</v>
      </c>
      <c r="J215" s="434" t="s">
        <v>1298</v>
      </c>
      <c r="K215" s="34"/>
    </row>
    <row r="216" spans="3:12">
      <c r="C216" s="434" t="s">
        <v>589</v>
      </c>
      <c r="D216" s="451">
        <v>-0.02</v>
      </c>
      <c r="E216" s="451">
        <v>-0.02</v>
      </c>
      <c r="F216" s="451">
        <v>0</v>
      </c>
      <c r="G216" s="432"/>
      <c r="I216" s="450">
        <v>0</v>
      </c>
      <c r="J216" s="451">
        <v>0</v>
      </c>
      <c r="K216" s="34"/>
    </row>
    <row r="217" spans="3:12">
      <c r="C217" s="434" t="s">
        <v>590</v>
      </c>
      <c r="D217" s="451">
        <v>-0.01</v>
      </c>
      <c r="E217" s="451">
        <v>-0.01</v>
      </c>
      <c r="F217" s="451">
        <v>-0.01</v>
      </c>
      <c r="G217" s="432"/>
      <c r="I217" s="450">
        <v>2</v>
      </c>
      <c r="J217" s="451">
        <v>0.02</v>
      </c>
      <c r="K217" s="34"/>
    </row>
    <row r="218" spans="3:12">
      <c r="C218" s="434" t="s">
        <v>591</v>
      </c>
      <c r="D218" s="451">
        <v>0</v>
      </c>
      <c r="E218" s="451">
        <v>0</v>
      </c>
      <c r="F218" s="451">
        <v>-0.02</v>
      </c>
      <c r="G218" s="11" t="s">
        <v>1320</v>
      </c>
      <c r="I218" s="450">
        <v>5</v>
      </c>
      <c r="J218" s="451">
        <v>0.04</v>
      </c>
      <c r="K218" s="11" t="s">
        <v>1321</v>
      </c>
    </row>
    <row r="220" spans="3:12">
      <c r="D220" s="453">
        <v>5.9999999999999995E-4</v>
      </c>
      <c r="E220" s="453">
        <v>5.9999999999999995E-4</v>
      </c>
      <c r="F220" s="453">
        <v>8.0000000000000004E-4</v>
      </c>
      <c r="I220" s="11"/>
      <c r="J220" s="452">
        <v>4.0000000000000001E-3</v>
      </c>
      <c r="K220" s="452">
        <v>4.0000000000000001E-3</v>
      </c>
      <c r="L220" s="452">
        <v>6.0000000000000001E-3</v>
      </c>
    </row>
    <row r="221" spans="3:12">
      <c r="C221" s="434" t="s">
        <v>1218</v>
      </c>
      <c r="D221" s="434" t="s">
        <v>457</v>
      </c>
      <c r="E221" s="435" t="s">
        <v>458</v>
      </c>
      <c r="F221" s="435" t="s">
        <v>459</v>
      </c>
      <c r="I221" s="434" t="s">
        <v>1224</v>
      </c>
      <c r="J221" s="434" t="s">
        <v>457</v>
      </c>
      <c r="K221" s="435" t="s">
        <v>458</v>
      </c>
      <c r="L221" s="435" t="s">
        <v>459</v>
      </c>
    </row>
    <row r="222" spans="3:12">
      <c r="C222" s="435">
        <v>10</v>
      </c>
      <c r="D222" s="454">
        <f>(-1)*D$220*$C222</f>
        <v>-5.9999999999999993E-3</v>
      </c>
      <c r="E222" s="454">
        <f t="shared" ref="E222:F223" si="24">(-1)*E$220*$C222</f>
        <v>-5.9999999999999993E-3</v>
      </c>
      <c r="F222" s="454">
        <f t="shared" si="24"/>
        <v>-8.0000000000000002E-3</v>
      </c>
      <c r="H222" s="10">
        <v>12</v>
      </c>
      <c r="I222" s="435" t="s">
        <v>1186</v>
      </c>
      <c r="J222" s="451">
        <f>J$220*$H222</f>
        <v>4.8000000000000001E-2</v>
      </c>
      <c r="K222" s="451">
        <f>K$220*$H222</f>
        <v>4.8000000000000001E-2</v>
      </c>
      <c r="L222" s="451">
        <f>L$220*$H222</f>
        <v>7.2000000000000008E-2</v>
      </c>
    </row>
    <row r="223" spans="3:12">
      <c r="C223" s="435">
        <v>25</v>
      </c>
      <c r="D223" s="454">
        <f t="shared" ref="D223" si="25">(-1)*D$220*$C223</f>
        <v>-1.4999999999999999E-2</v>
      </c>
      <c r="E223" s="454">
        <f t="shared" si="24"/>
        <v>-1.4999999999999999E-2</v>
      </c>
      <c r="F223" s="454">
        <f t="shared" si="24"/>
        <v>-0.02</v>
      </c>
      <c r="H223" s="10">
        <v>6</v>
      </c>
      <c r="I223" s="435" t="s">
        <v>582</v>
      </c>
      <c r="J223" s="451">
        <f t="shared" ref="J223:L226" si="26">J$220*$H223</f>
        <v>2.4E-2</v>
      </c>
      <c r="K223" s="451">
        <f t="shared" si="26"/>
        <v>2.4E-2</v>
      </c>
      <c r="L223" s="451">
        <f t="shared" si="26"/>
        <v>3.6000000000000004E-2</v>
      </c>
    </row>
    <row r="224" spans="3:12">
      <c r="C224" s="435">
        <v>50</v>
      </c>
      <c r="D224" s="454">
        <v>0</v>
      </c>
      <c r="E224" s="454">
        <v>0</v>
      </c>
      <c r="F224" s="454">
        <v>0</v>
      </c>
      <c r="H224" s="10">
        <v>0</v>
      </c>
      <c r="I224" s="435" t="s">
        <v>584</v>
      </c>
      <c r="J224" s="451">
        <f t="shared" si="26"/>
        <v>0</v>
      </c>
      <c r="K224" s="451">
        <f t="shared" si="26"/>
        <v>0</v>
      </c>
      <c r="L224" s="451">
        <f t="shared" si="26"/>
        <v>0</v>
      </c>
    </row>
    <row r="225" spans="3:13">
      <c r="C225" s="435">
        <v>75</v>
      </c>
      <c r="D225" s="454">
        <f t="shared" ref="D225:F226" si="27">D$220*$C225</f>
        <v>4.4999999999999998E-2</v>
      </c>
      <c r="E225" s="454">
        <f t="shared" si="27"/>
        <v>4.4999999999999998E-2</v>
      </c>
      <c r="F225" s="454">
        <f t="shared" si="27"/>
        <v>6.0000000000000005E-2</v>
      </c>
      <c r="H225" s="10">
        <v>-6</v>
      </c>
      <c r="I225" s="435" t="s">
        <v>583</v>
      </c>
      <c r="J225" s="451">
        <f t="shared" si="26"/>
        <v>-2.4E-2</v>
      </c>
      <c r="K225" s="451">
        <f t="shared" si="26"/>
        <v>-2.4E-2</v>
      </c>
      <c r="L225" s="451">
        <f t="shared" si="26"/>
        <v>-3.6000000000000004E-2</v>
      </c>
    </row>
    <row r="226" spans="3:13">
      <c r="C226" s="435">
        <v>100</v>
      </c>
      <c r="D226" s="454">
        <f t="shared" si="27"/>
        <v>0.06</v>
      </c>
      <c r="E226" s="454">
        <f t="shared" si="27"/>
        <v>0.06</v>
      </c>
      <c r="F226" s="454">
        <f t="shared" si="27"/>
        <v>0.08</v>
      </c>
      <c r="G226" s="11" t="s">
        <v>1300</v>
      </c>
      <c r="H226" s="10">
        <v>-12</v>
      </c>
      <c r="I226" s="435" t="s">
        <v>1185</v>
      </c>
      <c r="J226" s="451">
        <f t="shared" si="26"/>
        <v>-4.8000000000000001E-2</v>
      </c>
      <c r="K226" s="451">
        <f t="shared" si="26"/>
        <v>-4.8000000000000001E-2</v>
      </c>
      <c r="L226" s="451">
        <f t="shared" si="26"/>
        <v>-7.2000000000000008E-2</v>
      </c>
      <c r="M226" s="11" t="s">
        <v>1301</v>
      </c>
    </row>
    <row r="227" spans="3:13">
      <c r="I227" s="11"/>
    </row>
    <row r="228" spans="3:13">
      <c r="D228" s="453"/>
      <c r="E228" s="453"/>
      <c r="F228" s="453"/>
      <c r="I228" s="11"/>
      <c r="J228" s="452">
        <v>4.0000000000000001E-3</v>
      </c>
      <c r="K228" s="452">
        <v>4.0000000000000001E-3</v>
      </c>
      <c r="L228" s="452">
        <v>6.0000000000000001E-3</v>
      </c>
    </row>
    <row r="229" spans="3:13">
      <c r="C229" s="434" t="s">
        <v>1219</v>
      </c>
      <c r="D229" s="434" t="s">
        <v>457</v>
      </c>
      <c r="E229" s="435" t="s">
        <v>458</v>
      </c>
      <c r="F229" s="435" t="s">
        <v>459</v>
      </c>
      <c r="I229" s="434" t="s">
        <v>1226</v>
      </c>
      <c r="J229" s="434" t="s">
        <v>457</v>
      </c>
      <c r="K229" s="435" t="s">
        <v>458</v>
      </c>
      <c r="L229" s="435" t="s">
        <v>459</v>
      </c>
    </row>
    <row r="230" spans="3:13">
      <c r="C230" s="435">
        <v>125</v>
      </c>
      <c r="D230" s="454">
        <v>-5.9999999999999993E-3</v>
      </c>
      <c r="E230" s="454">
        <v>-5.9999999999999993E-3</v>
      </c>
      <c r="F230" s="454">
        <v>-8.0000000000000002E-3</v>
      </c>
      <c r="H230" s="10">
        <v>12</v>
      </c>
      <c r="I230" s="435" t="s">
        <v>1186</v>
      </c>
      <c r="J230" s="451">
        <f>J$228*$H230</f>
        <v>4.8000000000000001E-2</v>
      </c>
      <c r="K230" s="451">
        <f>K$228*$H230</f>
        <v>4.8000000000000001E-2</v>
      </c>
      <c r="L230" s="451">
        <f>L$228*$H230</f>
        <v>7.2000000000000008E-2</v>
      </c>
    </row>
    <row r="231" spans="3:13">
      <c r="C231" s="435">
        <v>200</v>
      </c>
      <c r="D231" s="454">
        <v>-1.4999999999999999E-2</v>
      </c>
      <c r="E231" s="454">
        <v>-1.4999999999999999E-2</v>
      </c>
      <c r="F231" s="454">
        <v>-0.02</v>
      </c>
      <c r="H231" s="10">
        <v>6</v>
      </c>
      <c r="I231" s="435" t="s">
        <v>582</v>
      </c>
      <c r="J231" s="451">
        <f t="shared" ref="J231:L234" si="28">J$228*$H231</f>
        <v>2.4E-2</v>
      </c>
      <c r="K231" s="451">
        <f t="shared" si="28"/>
        <v>2.4E-2</v>
      </c>
      <c r="L231" s="451">
        <f t="shared" si="28"/>
        <v>3.6000000000000004E-2</v>
      </c>
    </row>
    <row r="232" spans="3:13">
      <c r="C232" s="435">
        <v>250</v>
      </c>
      <c r="D232" s="454">
        <v>0</v>
      </c>
      <c r="E232" s="454">
        <v>0</v>
      </c>
      <c r="F232" s="454">
        <v>0</v>
      </c>
      <c r="H232" s="10">
        <v>0</v>
      </c>
      <c r="I232" s="435" t="s">
        <v>584</v>
      </c>
      <c r="J232" s="451">
        <f t="shared" si="28"/>
        <v>0</v>
      </c>
      <c r="K232" s="451">
        <f t="shared" si="28"/>
        <v>0</v>
      </c>
      <c r="L232" s="451">
        <f t="shared" si="28"/>
        <v>0</v>
      </c>
    </row>
    <row r="233" spans="3:13">
      <c r="C233" s="435">
        <v>300</v>
      </c>
      <c r="D233" s="454">
        <v>4.4999999999999998E-2</v>
      </c>
      <c r="E233" s="454">
        <v>4.4999999999999998E-2</v>
      </c>
      <c r="F233" s="454">
        <v>6.0000000000000005E-2</v>
      </c>
      <c r="H233" s="10">
        <v>-6</v>
      </c>
      <c r="I233" s="435" t="s">
        <v>583</v>
      </c>
      <c r="J233" s="451">
        <f t="shared" si="28"/>
        <v>-2.4E-2</v>
      </c>
      <c r="K233" s="451">
        <f t="shared" si="28"/>
        <v>-2.4E-2</v>
      </c>
      <c r="L233" s="451">
        <f t="shared" si="28"/>
        <v>-3.6000000000000004E-2</v>
      </c>
    </row>
    <row r="234" spans="3:13">
      <c r="C234" s="435">
        <v>350</v>
      </c>
      <c r="D234" s="454">
        <v>0.06</v>
      </c>
      <c r="E234" s="454">
        <v>0.06</v>
      </c>
      <c r="F234" s="454">
        <v>0.08</v>
      </c>
      <c r="G234" s="11" t="s">
        <v>1302</v>
      </c>
      <c r="H234" s="10">
        <v>-12</v>
      </c>
      <c r="I234" s="435" t="s">
        <v>1185</v>
      </c>
      <c r="J234" s="451">
        <f t="shared" si="28"/>
        <v>-4.8000000000000001E-2</v>
      </c>
      <c r="K234" s="451">
        <f t="shared" si="28"/>
        <v>-4.8000000000000001E-2</v>
      </c>
      <c r="L234" s="451">
        <f t="shared" si="28"/>
        <v>-7.2000000000000008E-2</v>
      </c>
      <c r="M234" s="11" t="s">
        <v>1303</v>
      </c>
    </row>
    <row r="235" spans="3:13">
      <c r="I235" s="11"/>
    </row>
    <row r="236" spans="3:13">
      <c r="D236" s="453"/>
      <c r="E236" s="453"/>
      <c r="F236" s="453"/>
      <c r="I236" s="11"/>
      <c r="J236" s="452">
        <v>4.0000000000000001E-3</v>
      </c>
      <c r="K236" s="452">
        <v>4.0000000000000001E-3</v>
      </c>
      <c r="L236" s="452">
        <v>6.0000000000000001E-3</v>
      </c>
    </row>
    <row r="237" spans="3:13">
      <c r="C237" s="434" t="s">
        <v>1220</v>
      </c>
      <c r="D237" s="434" t="s">
        <v>457</v>
      </c>
      <c r="E237" s="435" t="s">
        <v>458</v>
      </c>
      <c r="F237" s="435" t="s">
        <v>459</v>
      </c>
      <c r="I237" s="434" t="s">
        <v>1225</v>
      </c>
      <c r="J237" s="434" t="s">
        <v>457</v>
      </c>
      <c r="K237" s="435" t="s">
        <v>458</v>
      </c>
      <c r="L237" s="435" t="s">
        <v>459</v>
      </c>
    </row>
    <row r="238" spans="3:13">
      <c r="C238" s="435">
        <v>750</v>
      </c>
      <c r="D238" s="454">
        <v>-5.9999999999999993E-3</v>
      </c>
      <c r="E238" s="454">
        <v>-5.9999999999999993E-3</v>
      </c>
      <c r="F238" s="454">
        <v>-8.0000000000000002E-3</v>
      </c>
      <c r="H238" s="10">
        <v>12</v>
      </c>
      <c r="I238" s="435" t="s">
        <v>1186</v>
      </c>
      <c r="J238" s="451">
        <f>J$236*$H238</f>
        <v>4.8000000000000001E-2</v>
      </c>
      <c r="K238" s="451">
        <f t="shared" ref="K238:L242" si="29">K$236*$H238</f>
        <v>4.8000000000000001E-2</v>
      </c>
      <c r="L238" s="451">
        <f t="shared" si="29"/>
        <v>7.2000000000000008E-2</v>
      </c>
    </row>
    <row r="239" spans="3:13">
      <c r="C239" s="435">
        <v>1200</v>
      </c>
      <c r="D239" s="454">
        <v>-1.4999999999999999E-2</v>
      </c>
      <c r="E239" s="454">
        <v>-1.4999999999999999E-2</v>
      </c>
      <c r="F239" s="454">
        <v>-0.02</v>
      </c>
      <c r="H239" s="10">
        <v>6</v>
      </c>
      <c r="I239" s="435" t="s">
        <v>582</v>
      </c>
      <c r="J239" s="451">
        <f t="shared" ref="J239:J242" si="30">J$236*$H239</f>
        <v>2.4E-2</v>
      </c>
      <c r="K239" s="451">
        <f t="shared" si="29"/>
        <v>2.4E-2</v>
      </c>
      <c r="L239" s="451">
        <f t="shared" si="29"/>
        <v>3.6000000000000004E-2</v>
      </c>
    </row>
    <row r="240" spans="3:13">
      <c r="C240" s="435">
        <v>1500</v>
      </c>
      <c r="D240" s="454">
        <v>0</v>
      </c>
      <c r="E240" s="454">
        <v>0</v>
      </c>
      <c r="F240" s="454">
        <v>0</v>
      </c>
      <c r="H240" s="10">
        <v>0</v>
      </c>
      <c r="I240" s="435" t="s">
        <v>584</v>
      </c>
      <c r="J240" s="451">
        <f t="shared" si="30"/>
        <v>0</v>
      </c>
      <c r="K240" s="451">
        <f t="shared" si="29"/>
        <v>0</v>
      </c>
      <c r="L240" s="451">
        <f t="shared" si="29"/>
        <v>0</v>
      </c>
    </row>
    <row r="241" spans="3:13">
      <c r="C241" s="435">
        <v>1750</v>
      </c>
      <c r="D241" s="454">
        <v>4.4999999999999998E-2</v>
      </c>
      <c r="E241" s="454">
        <v>4.4999999999999998E-2</v>
      </c>
      <c r="F241" s="454">
        <v>6.0000000000000005E-2</v>
      </c>
      <c r="H241" s="10">
        <v>-6</v>
      </c>
      <c r="I241" s="435" t="s">
        <v>583</v>
      </c>
      <c r="J241" s="451">
        <f t="shared" si="30"/>
        <v>-2.4E-2</v>
      </c>
      <c r="K241" s="451">
        <f t="shared" si="29"/>
        <v>-2.4E-2</v>
      </c>
      <c r="L241" s="451">
        <f t="shared" si="29"/>
        <v>-3.6000000000000004E-2</v>
      </c>
    </row>
    <row r="242" spans="3:13">
      <c r="C242" s="435">
        <v>2000</v>
      </c>
      <c r="D242" s="454">
        <v>0.06</v>
      </c>
      <c r="E242" s="454">
        <v>0.06</v>
      </c>
      <c r="F242" s="454">
        <v>0.08</v>
      </c>
      <c r="G242" s="11" t="s">
        <v>1304</v>
      </c>
      <c r="H242" s="10">
        <v>-12</v>
      </c>
      <c r="I242" s="435" t="s">
        <v>1185</v>
      </c>
      <c r="J242" s="451">
        <f t="shared" si="30"/>
        <v>-4.8000000000000001E-2</v>
      </c>
      <c r="K242" s="451">
        <f t="shared" si="29"/>
        <v>-4.8000000000000001E-2</v>
      </c>
      <c r="L242" s="451">
        <f t="shared" si="29"/>
        <v>-7.2000000000000008E-2</v>
      </c>
      <c r="M242" s="11" t="s">
        <v>1305</v>
      </c>
    </row>
    <row r="245" spans="3:13">
      <c r="C245" s="434" t="s">
        <v>1313</v>
      </c>
      <c r="D245" s="434" t="s">
        <v>466</v>
      </c>
      <c r="E245" s="435" t="s">
        <v>467</v>
      </c>
      <c r="I245" s="434" t="s">
        <v>1314</v>
      </c>
      <c r="J245" s="434" t="s">
        <v>457</v>
      </c>
      <c r="K245" s="434" t="s">
        <v>458</v>
      </c>
      <c r="L245" s="435" t="s">
        <v>459</v>
      </c>
    </row>
    <row r="246" spans="3:13">
      <c r="C246" s="434" t="s">
        <v>457</v>
      </c>
      <c r="D246" s="451">
        <v>-0.01</v>
      </c>
      <c r="E246" s="451">
        <v>-0.02</v>
      </c>
      <c r="I246" s="434">
        <v>1</v>
      </c>
      <c r="J246" s="451">
        <v>0</v>
      </c>
      <c r="K246" s="451">
        <v>0</v>
      </c>
      <c r="L246" s="451">
        <v>0</v>
      </c>
    </row>
    <row r="247" spans="3:13">
      <c r="C247" s="434" t="s">
        <v>458</v>
      </c>
      <c r="D247" s="451">
        <v>-0.01</v>
      </c>
      <c r="E247" s="451">
        <v>-0.02</v>
      </c>
      <c r="I247" s="434">
        <v>2</v>
      </c>
      <c r="J247" s="451">
        <v>0.05</v>
      </c>
      <c r="K247" s="451">
        <v>0.05</v>
      </c>
      <c r="L247" s="451">
        <v>0.05</v>
      </c>
      <c r="M247" s="11" t="s">
        <v>1306</v>
      </c>
    </row>
    <row r="248" spans="3:13">
      <c r="C248" s="434" t="s">
        <v>459</v>
      </c>
      <c r="D248" s="451">
        <v>-0.01</v>
      </c>
      <c r="E248" s="451">
        <v>-0.02</v>
      </c>
      <c r="F248" s="11" t="s">
        <v>1307</v>
      </c>
      <c r="I248" s="440"/>
      <c r="J248" s="441"/>
      <c r="K248" s="441"/>
      <c r="L248" s="441"/>
    </row>
    <row r="249" spans="3:13">
      <c r="I249" s="434" t="s">
        <v>1322</v>
      </c>
      <c r="J249" s="434" t="s">
        <v>457</v>
      </c>
      <c r="K249" s="434" t="s">
        <v>458</v>
      </c>
      <c r="L249" s="435" t="s">
        <v>459</v>
      </c>
    </row>
    <row r="250" spans="3:13">
      <c r="I250" s="434">
        <v>1</v>
      </c>
      <c r="J250" s="451">
        <v>0</v>
      </c>
      <c r="K250" s="451">
        <v>0</v>
      </c>
      <c r="L250" s="451">
        <v>0</v>
      </c>
    </row>
    <row r="251" spans="3:13">
      <c r="C251" s="434" t="s">
        <v>1316</v>
      </c>
      <c r="D251" s="434" t="s">
        <v>466</v>
      </c>
      <c r="E251" s="435" t="s">
        <v>467</v>
      </c>
      <c r="I251" s="434">
        <v>2</v>
      </c>
      <c r="J251" s="451">
        <v>0.05</v>
      </c>
      <c r="K251" s="451">
        <v>0.05</v>
      </c>
      <c r="L251" s="451">
        <v>0.05</v>
      </c>
      <c r="M251" s="11" t="s">
        <v>1323</v>
      </c>
    </row>
    <row r="252" spans="3:13">
      <c r="C252" s="434" t="s">
        <v>457</v>
      </c>
      <c r="D252" s="451">
        <v>-0.01</v>
      </c>
      <c r="E252" s="451">
        <v>-0.02</v>
      </c>
    </row>
    <row r="253" spans="3:13">
      <c r="C253" s="434" t="s">
        <v>458</v>
      </c>
      <c r="D253" s="451">
        <v>-0.01</v>
      </c>
      <c r="E253" s="451">
        <v>-0.02</v>
      </c>
      <c r="I253" s="434" t="s">
        <v>1315</v>
      </c>
      <c r="J253" s="434" t="s">
        <v>457</v>
      </c>
      <c r="K253" s="434" t="s">
        <v>458</v>
      </c>
      <c r="L253" s="435" t="s">
        <v>459</v>
      </c>
    </row>
    <row r="254" spans="3:13">
      <c r="C254" s="434" t="s">
        <v>459</v>
      </c>
      <c r="D254" s="451">
        <v>-0.01</v>
      </c>
      <c r="E254" s="451">
        <v>-0.02</v>
      </c>
      <c r="F254" s="11" t="s">
        <v>1309</v>
      </c>
      <c r="I254" s="434" t="s">
        <v>536</v>
      </c>
      <c r="J254" s="451">
        <v>0</v>
      </c>
      <c r="K254" s="451">
        <v>0</v>
      </c>
      <c r="L254" s="451">
        <v>0</v>
      </c>
    </row>
    <row r="255" spans="3:13">
      <c r="I255" s="434" t="s">
        <v>537</v>
      </c>
      <c r="J255" s="451">
        <v>-0.05</v>
      </c>
      <c r="K255" s="451">
        <v>-0.03</v>
      </c>
      <c r="L255" s="451">
        <v>-0.01</v>
      </c>
    </row>
    <row r="256" spans="3:13">
      <c r="M256" s="11" t="s">
        <v>1308</v>
      </c>
    </row>
    <row r="257" spans="1:13">
      <c r="C257" s="434" t="s">
        <v>1318</v>
      </c>
      <c r="D257" s="434" t="s">
        <v>457</v>
      </c>
      <c r="E257" s="434" t="s">
        <v>458</v>
      </c>
      <c r="F257" s="435" t="s">
        <v>459</v>
      </c>
    </row>
    <row r="258" spans="1:13">
      <c r="C258" s="434" t="s">
        <v>526</v>
      </c>
      <c r="D258" s="451">
        <v>0.03</v>
      </c>
      <c r="E258" s="451">
        <v>0.03</v>
      </c>
      <c r="F258" s="451">
        <v>0.03</v>
      </c>
      <c r="I258" s="434" t="s">
        <v>1317</v>
      </c>
      <c r="J258" s="434" t="s">
        <v>457</v>
      </c>
      <c r="K258" s="434" t="s">
        <v>458</v>
      </c>
      <c r="L258" s="435" t="s">
        <v>459</v>
      </c>
    </row>
    <row r="259" spans="1:13">
      <c r="C259" s="434" t="s">
        <v>527</v>
      </c>
      <c r="D259" s="451">
        <v>0.02</v>
      </c>
      <c r="E259" s="451">
        <v>0.02</v>
      </c>
      <c r="F259" s="451">
        <v>0.02</v>
      </c>
      <c r="I259" s="434" t="s">
        <v>1176</v>
      </c>
      <c r="J259" s="451">
        <v>0.05</v>
      </c>
      <c r="K259" s="451">
        <v>0.05</v>
      </c>
      <c r="L259" s="451">
        <v>0.05</v>
      </c>
    </row>
    <row r="260" spans="1:13">
      <c r="C260" s="434" t="s">
        <v>528</v>
      </c>
      <c r="D260" s="451">
        <v>0.01</v>
      </c>
      <c r="E260" s="451">
        <v>0.01</v>
      </c>
      <c r="F260" s="451">
        <v>0.01</v>
      </c>
      <c r="G260" s="11" t="s">
        <v>1311</v>
      </c>
      <c r="I260" s="434" t="s">
        <v>1177</v>
      </c>
      <c r="J260" s="451">
        <v>0</v>
      </c>
      <c r="K260" s="451">
        <v>0</v>
      </c>
      <c r="L260" s="451">
        <v>0</v>
      </c>
    </row>
    <row r="261" spans="1:13">
      <c r="I261" s="434" t="s">
        <v>1178</v>
      </c>
      <c r="J261" s="451">
        <v>-0.05</v>
      </c>
      <c r="K261" s="451">
        <v>-0.05</v>
      </c>
      <c r="L261" s="451">
        <v>-0.05</v>
      </c>
    </row>
    <row r="262" spans="1:13">
      <c r="M262" s="11" t="s">
        <v>1310</v>
      </c>
    </row>
    <row r="263" spans="1:13">
      <c r="C263" s="434" t="s">
        <v>1319</v>
      </c>
      <c r="D263" s="434" t="s">
        <v>457</v>
      </c>
      <c r="E263" s="434" t="s">
        <v>458</v>
      </c>
      <c r="F263" s="435" t="s">
        <v>459</v>
      </c>
    </row>
    <row r="264" spans="1:13">
      <c r="C264" s="434" t="s">
        <v>533</v>
      </c>
      <c r="D264" s="451">
        <v>0</v>
      </c>
      <c r="E264" s="451">
        <v>0</v>
      </c>
      <c r="F264" s="451">
        <v>0</v>
      </c>
    </row>
    <row r="265" spans="1:13">
      <c r="C265" s="434" t="s">
        <v>1511</v>
      </c>
      <c r="D265" s="451">
        <v>7.4999999999999997E-2</v>
      </c>
      <c r="E265" s="451">
        <v>0.13500000000000001</v>
      </c>
      <c r="F265" s="451">
        <v>0.03</v>
      </c>
    </row>
    <row r="266" spans="1:13">
      <c r="C266" s="439" t="s">
        <v>1512</v>
      </c>
      <c r="D266" s="451">
        <v>8.4000000000000005E-2</v>
      </c>
      <c r="E266" s="451">
        <v>0.15</v>
      </c>
      <c r="F266" s="451">
        <v>3.3000000000000002E-2</v>
      </c>
      <c r="G266" s="11" t="s">
        <v>1312</v>
      </c>
    </row>
    <row r="268" spans="1:13" s="15" customFormat="1">
      <c r="A268" s="14" t="s">
        <v>1331</v>
      </c>
      <c r="C268" s="14"/>
    </row>
    <row r="270" spans="1:13">
      <c r="C270" s="434" t="s">
        <v>1335</v>
      </c>
      <c r="D270" s="434" t="s">
        <v>470</v>
      </c>
      <c r="E270" s="435" t="s">
        <v>471</v>
      </c>
      <c r="F270" s="435" t="s">
        <v>472</v>
      </c>
      <c r="G270" s="435" t="s">
        <v>1332</v>
      </c>
    </row>
    <row r="271" spans="1:13">
      <c r="C271" s="434" t="s">
        <v>457</v>
      </c>
      <c r="D271" s="451">
        <v>0.05</v>
      </c>
      <c r="E271" s="451">
        <v>0.04</v>
      </c>
      <c r="F271" s="451">
        <v>0.04</v>
      </c>
      <c r="G271" s="451">
        <v>0.06</v>
      </c>
    </row>
    <row r="272" spans="1:13">
      <c r="C272" s="434" t="s">
        <v>458</v>
      </c>
      <c r="D272" s="451">
        <v>0.06</v>
      </c>
      <c r="E272" s="451">
        <v>0.05</v>
      </c>
      <c r="F272" s="451">
        <v>0.05</v>
      </c>
      <c r="G272" s="451">
        <v>0.08</v>
      </c>
    </row>
    <row r="273" spans="3:8">
      <c r="C273" s="434" t="s">
        <v>459</v>
      </c>
      <c r="D273" s="451">
        <v>0.08</v>
      </c>
      <c r="E273" s="451">
        <v>0.06</v>
      </c>
      <c r="F273" s="451">
        <v>0.06</v>
      </c>
      <c r="G273" s="451">
        <v>0.1</v>
      </c>
      <c r="H273" s="11" t="s">
        <v>1333</v>
      </c>
    </row>
    <row r="274" spans="3:8">
      <c r="C274" s="440"/>
      <c r="D274" s="455"/>
      <c r="E274" s="455"/>
      <c r="F274" s="455"/>
      <c r="G274" s="455"/>
      <c r="H274" s="11"/>
    </row>
    <row r="275" spans="3:8">
      <c r="C275" s="434" t="s">
        <v>1336</v>
      </c>
      <c r="D275" s="434" t="s">
        <v>470</v>
      </c>
      <c r="E275" s="435" t="s">
        <v>471</v>
      </c>
      <c r="F275" s="435" t="s">
        <v>472</v>
      </c>
      <c r="G275" s="435" t="s">
        <v>1332</v>
      </c>
    </row>
    <row r="276" spans="3:8">
      <c r="C276" s="434" t="s">
        <v>457</v>
      </c>
      <c r="D276" s="454">
        <v>5.0000000000000001E-3</v>
      </c>
      <c r="E276" s="454">
        <v>2.5000000000000001E-3</v>
      </c>
      <c r="F276" s="454">
        <v>2.5000000000000001E-3</v>
      </c>
      <c r="G276" s="454">
        <v>5.0000000000000001E-3</v>
      </c>
    </row>
    <row r="277" spans="3:8">
      <c r="C277" s="434" t="s">
        <v>458</v>
      </c>
      <c r="D277" s="454">
        <v>0.01</v>
      </c>
      <c r="E277" s="454">
        <v>5.0000000000000001E-3</v>
      </c>
      <c r="F277" s="454">
        <v>5.0000000000000001E-3</v>
      </c>
      <c r="G277" s="454">
        <v>0.01</v>
      </c>
    </row>
    <row r="278" spans="3:8">
      <c r="C278" s="434" t="s">
        <v>459</v>
      </c>
      <c r="D278" s="454">
        <v>1.4999999999999999E-2</v>
      </c>
      <c r="E278" s="454">
        <v>0.01</v>
      </c>
      <c r="F278" s="454">
        <v>0.01</v>
      </c>
      <c r="G278" s="454">
        <v>1.4999999999999999E-2</v>
      </c>
      <c r="H278" s="11" t="s">
        <v>1334</v>
      </c>
    </row>
    <row r="280" spans="3:8">
      <c r="C280" s="434" t="s">
        <v>1337</v>
      </c>
      <c r="D280" s="434" t="s">
        <v>470</v>
      </c>
      <c r="E280" s="435" t="s">
        <v>471</v>
      </c>
      <c r="F280" s="435" t="s">
        <v>472</v>
      </c>
      <c r="G280" s="435" t="s">
        <v>1332</v>
      </c>
    </row>
    <row r="281" spans="3:8">
      <c r="C281" s="434" t="s">
        <v>457</v>
      </c>
      <c r="D281" s="454">
        <v>5.0000000000000001E-3</v>
      </c>
      <c r="E281" s="454">
        <v>2.5000000000000001E-3</v>
      </c>
      <c r="F281" s="454">
        <v>2.5000000000000001E-3</v>
      </c>
      <c r="G281" s="454">
        <v>5.0000000000000001E-3</v>
      </c>
    </row>
    <row r="282" spans="3:8">
      <c r="C282" s="434" t="s">
        <v>458</v>
      </c>
      <c r="D282" s="454">
        <v>0.01</v>
      </c>
      <c r="E282" s="454">
        <v>5.0000000000000001E-3</v>
      </c>
      <c r="F282" s="454">
        <v>5.0000000000000001E-3</v>
      </c>
      <c r="G282" s="454">
        <v>0.01</v>
      </c>
    </row>
    <row r="283" spans="3:8">
      <c r="C283" s="434" t="s">
        <v>459</v>
      </c>
      <c r="D283" s="454">
        <v>1.4999999999999999E-2</v>
      </c>
      <c r="E283" s="454">
        <v>0.01</v>
      </c>
      <c r="F283" s="454">
        <v>0.01</v>
      </c>
      <c r="G283" s="454">
        <v>1.4999999999999999E-2</v>
      </c>
      <c r="H283" s="11" t="s">
        <v>1339</v>
      </c>
    </row>
    <row r="285" spans="3:8">
      <c r="C285" s="434" t="s">
        <v>1338</v>
      </c>
      <c r="D285" s="434" t="s">
        <v>470</v>
      </c>
      <c r="E285" s="435" t="s">
        <v>471</v>
      </c>
      <c r="F285" s="435" t="s">
        <v>472</v>
      </c>
      <c r="G285" s="435" t="s">
        <v>1332</v>
      </c>
    </row>
    <row r="286" spans="3:8">
      <c r="C286" s="434" t="s">
        <v>457</v>
      </c>
      <c r="D286" s="454">
        <v>5.0000000000000001E-3</v>
      </c>
      <c r="E286" s="454">
        <v>2.5000000000000001E-3</v>
      </c>
      <c r="F286" s="454">
        <v>2.5000000000000001E-3</v>
      </c>
      <c r="G286" s="454">
        <v>5.0000000000000001E-3</v>
      </c>
    </row>
    <row r="287" spans="3:8">
      <c r="C287" s="434" t="s">
        <v>458</v>
      </c>
      <c r="D287" s="454">
        <v>0.01</v>
      </c>
      <c r="E287" s="454">
        <v>5.0000000000000001E-3</v>
      </c>
      <c r="F287" s="454">
        <v>5.0000000000000001E-3</v>
      </c>
      <c r="G287" s="454">
        <v>0.01</v>
      </c>
    </row>
    <row r="288" spans="3:8">
      <c r="C288" s="434" t="s">
        <v>459</v>
      </c>
      <c r="D288" s="454">
        <v>1.4999999999999999E-2</v>
      </c>
      <c r="E288" s="454">
        <v>0.01</v>
      </c>
      <c r="F288" s="454">
        <v>0.01</v>
      </c>
      <c r="G288" s="454">
        <v>1.4999999999999999E-2</v>
      </c>
      <c r="H288" s="11" t="s">
        <v>1340</v>
      </c>
    </row>
    <row r="290" spans="1:8">
      <c r="C290" s="434" t="s">
        <v>1341</v>
      </c>
      <c r="D290" s="434" t="s">
        <v>470</v>
      </c>
      <c r="E290" s="435" t="s">
        <v>471</v>
      </c>
      <c r="F290" s="435" t="s">
        <v>472</v>
      </c>
      <c r="G290" s="435" t="s">
        <v>1332</v>
      </c>
    </row>
    <row r="291" spans="1:8">
      <c r="C291" s="434" t="s">
        <v>457</v>
      </c>
      <c r="D291" s="454">
        <v>5.0000000000000001E-3</v>
      </c>
      <c r="E291" s="454">
        <v>2.5000000000000001E-3</v>
      </c>
      <c r="F291" s="454">
        <v>2.5000000000000001E-3</v>
      </c>
      <c r="G291" s="454">
        <v>5.0000000000000001E-3</v>
      </c>
    </row>
    <row r="292" spans="1:8">
      <c r="C292" s="434" t="s">
        <v>458</v>
      </c>
      <c r="D292" s="454">
        <v>0.01</v>
      </c>
      <c r="E292" s="454">
        <v>5.0000000000000001E-3</v>
      </c>
      <c r="F292" s="454">
        <v>5.0000000000000001E-3</v>
      </c>
      <c r="G292" s="454">
        <v>0.01</v>
      </c>
    </row>
    <row r="293" spans="1:8">
      <c r="C293" s="434" t="s">
        <v>459</v>
      </c>
      <c r="D293" s="454">
        <v>1.4999999999999999E-2</v>
      </c>
      <c r="E293" s="454">
        <v>0.01</v>
      </c>
      <c r="F293" s="454">
        <v>0.01</v>
      </c>
      <c r="G293" s="454">
        <v>1.4999999999999999E-2</v>
      </c>
      <c r="H293" s="11" t="s">
        <v>1342</v>
      </c>
    </row>
    <row r="295" spans="1:8" s="15" customFormat="1">
      <c r="A295" s="14" t="s">
        <v>1343</v>
      </c>
      <c r="C295" s="14"/>
    </row>
    <row r="297" spans="1:8">
      <c r="C297" s="434" t="s">
        <v>1344</v>
      </c>
      <c r="D297" s="434" t="s">
        <v>470</v>
      </c>
      <c r="E297" s="435" t="s">
        <v>471</v>
      </c>
      <c r="F297" s="435" t="s">
        <v>472</v>
      </c>
      <c r="G297" s="435" t="s">
        <v>1332</v>
      </c>
    </row>
    <row r="298" spans="1:8">
      <c r="C298" s="434" t="s">
        <v>457</v>
      </c>
      <c r="D298" s="471">
        <v>0.2</v>
      </c>
      <c r="E298" s="471">
        <v>0.2</v>
      </c>
      <c r="F298" s="471">
        <v>0.1</v>
      </c>
      <c r="G298" s="471">
        <v>0.1</v>
      </c>
    </row>
    <row r="299" spans="1:8">
      <c r="C299" s="434" t="s">
        <v>458</v>
      </c>
      <c r="D299" s="471">
        <v>0.15</v>
      </c>
      <c r="E299" s="471">
        <v>0.15</v>
      </c>
      <c r="F299" s="471">
        <v>0.1</v>
      </c>
      <c r="G299" s="471">
        <v>0.1</v>
      </c>
    </row>
    <row r="300" spans="1:8">
      <c r="C300" s="434" t="s">
        <v>459</v>
      </c>
      <c r="D300" s="471">
        <v>0.1</v>
      </c>
      <c r="E300" s="471">
        <v>0.1</v>
      </c>
      <c r="F300" s="471">
        <v>0.05</v>
      </c>
      <c r="G300" s="471">
        <v>0.05</v>
      </c>
      <c r="H300" s="11" t="s">
        <v>1347</v>
      </c>
    </row>
    <row r="301" spans="1:8">
      <c r="C301" s="440"/>
      <c r="D301" s="455"/>
      <c r="E301" s="455"/>
      <c r="F301" s="455"/>
      <c r="G301" s="455"/>
      <c r="H301" s="11"/>
    </row>
    <row r="302" spans="1:8">
      <c r="C302" s="434" t="s">
        <v>1350</v>
      </c>
      <c r="D302" s="434" t="s">
        <v>470</v>
      </c>
      <c r="E302" s="435" t="s">
        <v>471</v>
      </c>
      <c r="F302" s="435" t="s">
        <v>472</v>
      </c>
      <c r="G302" s="435" t="s">
        <v>1332</v>
      </c>
    </row>
    <row r="303" spans="1:8">
      <c r="C303" s="434" t="s">
        <v>457</v>
      </c>
      <c r="D303" s="471">
        <v>0.01</v>
      </c>
      <c r="E303" s="471">
        <v>0.01</v>
      </c>
      <c r="F303" s="471">
        <v>0.02</v>
      </c>
      <c r="G303" s="471">
        <v>0.02</v>
      </c>
    </row>
    <row r="304" spans="1:8">
      <c r="C304" s="434" t="s">
        <v>458</v>
      </c>
      <c r="D304" s="471">
        <v>0.01</v>
      </c>
      <c r="E304" s="471">
        <v>0.01</v>
      </c>
      <c r="F304" s="471">
        <v>0.02</v>
      </c>
      <c r="G304" s="471">
        <v>0.02</v>
      </c>
    </row>
    <row r="305" spans="1:8">
      <c r="C305" s="434" t="s">
        <v>459</v>
      </c>
      <c r="D305" s="471">
        <v>0.01</v>
      </c>
      <c r="E305" s="471">
        <v>0.01</v>
      </c>
      <c r="F305" s="471">
        <v>0.02</v>
      </c>
      <c r="G305" s="471">
        <v>0.02</v>
      </c>
      <c r="H305" s="11" t="s">
        <v>1351</v>
      </c>
    </row>
    <row r="307" spans="1:8">
      <c r="C307" s="434" t="s">
        <v>1345</v>
      </c>
      <c r="D307" s="434" t="s">
        <v>470</v>
      </c>
      <c r="E307" s="435" t="s">
        <v>471</v>
      </c>
      <c r="F307" s="435" t="s">
        <v>472</v>
      </c>
      <c r="G307" s="435" t="s">
        <v>1332</v>
      </c>
    </row>
    <row r="308" spans="1:8">
      <c r="C308" s="434" t="s">
        <v>457</v>
      </c>
      <c r="D308" s="554">
        <v>1.4999999999999999E-2</v>
      </c>
      <c r="E308" s="554">
        <v>1.4999999999999999E-2</v>
      </c>
      <c r="F308" s="554">
        <v>2.5000000000000001E-2</v>
      </c>
      <c r="G308" s="554">
        <v>2.5000000000000001E-2</v>
      </c>
    </row>
    <row r="309" spans="1:8">
      <c r="C309" s="434" t="s">
        <v>458</v>
      </c>
      <c r="D309" s="554">
        <v>1.4999999999999999E-2</v>
      </c>
      <c r="E309" s="554">
        <v>1.4999999999999999E-2</v>
      </c>
      <c r="F309" s="554">
        <v>2.5000000000000001E-2</v>
      </c>
      <c r="G309" s="554">
        <v>2.5000000000000001E-2</v>
      </c>
    </row>
    <row r="310" spans="1:8">
      <c r="C310" s="434" t="s">
        <v>459</v>
      </c>
      <c r="D310" s="554">
        <v>1.4999999999999999E-2</v>
      </c>
      <c r="E310" s="554">
        <v>1.4999999999999999E-2</v>
      </c>
      <c r="F310" s="554">
        <v>2.5000000000000001E-2</v>
      </c>
      <c r="G310" s="554">
        <v>2.5000000000000001E-2</v>
      </c>
      <c r="H310" s="11" t="s">
        <v>1348</v>
      </c>
    </row>
    <row r="312" spans="1:8">
      <c r="C312" s="434" t="s">
        <v>1346</v>
      </c>
      <c r="D312" s="434" t="s">
        <v>470</v>
      </c>
      <c r="E312" s="435" t="s">
        <v>471</v>
      </c>
      <c r="F312" s="435" t="s">
        <v>472</v>
      </c>
      <c r="G312" s="435" t="s">
        <v>1332</v>
      </c>
    </row>
    <row r="313" spans="1:8">
      <c r="C313" s="434" t="s">
        <v>457</v>
      </c>
      <c r="D313" s="471">
        <v>0.01</v>
      </c>
      <c r="E313" s="471">
        <v>0.01</v>
      </c>
      <c r="F313" s="471">
        <v>0.02</v>
      </c>
      <c r="G313" s="471">
        <v>0.02</v>
      </c>
    </row>
    <row r="314" spans="1:8">
      <c r="C314" s="434" t="s">
        <v>458</v>
      </c>
      <c r="D314" s="471">
        <v>0.01</v>
      </c>
      <c r="E314" s="471">
        <v>0.01</v>
      </c>
      <c r="F314" s="471">
        <v>0.02</v>
      </c>
      <c r="G314" s="471">
        <v>0.02</v>
      </c>
    </row>
    <row r="315" spans="1:8">
      <c r="C315" s="434" t="s">
        <v>459</v>
      </c>
      <c r="D315" s="471">
        <v>0.01</v>
      </c>
      <c r="E315" s="471">
        <v>0.01</v>
      </c>
      <c r="F315" s="471">
        <v>0.02</v>
      </c>
      <c r="G315" s="471">
        <v>0.02</v>
      </c>
      <c r="H315" s="11" t="s">
        <v>1349</v>
      </c>
    </row>
    <row r="317" spans="1:8" s="15" customFormat="1">
      <c r="A317" s="14" t="s">
        <v>1352</v>
      </c>
      <c r="C317" s="14"/>
    </row>
    <row r="319" spans="1:8">
      <c r="C319" s="434" t="s">
        <v>1353</v>
      </c>
      <c r="D319" s="434" t="s">
        <v>470</v>
      </c>
      <c r="E319" s="435" t="s">
        <v>471</v>
      </c>
      <c r="F319" s="435" t="s">
        <v>472</v>
      </c>
      <c r="G319" s="435" t="s">
        <v>1332</v>
      </c>
    </row>
    <row r="320" spans="1:8">
      <c r="C320" s="434" t="s">
        <v>457</v>
      </c>
      <c r="D320" s="451">
        <v>0.7</v>
      </c>
      <c r="E320" s="451">
        <v>0.7</v>
      </c>
      <c r="F320" s="451">
        <v>0.7</v>
      </c>
      <c r="G320" s="451">
        <v>0.7</v>
      </c>
    </row>
    <row r="321" spans="1:8">
      <c r="C321" s="434" t="s">
        <v>458</v>
      </c>
      <c r="D321" s="451">
        <v>0.8</v>
      </c>
      <c r="E321" s="451">
        <v>0.8</v>
      </c>
      <c r="F321" s="451">
        <v>0.8</v>
      </c>
      <c r="G321" s="451">
        <v>0.8</v>
      </c>
    </row>
    <row r="322" spans="1:8">
      <c r="C322" s="434" t="s">
        <v>459</v>
      </c>
      <c r="D322" s="451">
        <v>0.9</v>
      </c>
      <c r="E322" s="451">
        <v>0.9</v>
      </c>
      <c r="F322" s="451">
        <v>0.9</v>
      </c>
      <c r="G322" s="451">
        <v>0.9</v>
      </c>
      <c r="H322" s="11" t="s">
        <v>1354</v>
      </c>
    </row>
    <row r="323" spans="1:8">
      <c r="C323" s="440"/>
      <c r="D323" s="455"/>
      <c r="E323" s="455"/>
      <c r="F323" s="455"/>
      <c r="G323" s="455"/>
      <c r="H323" s="11"/>
    </row>
    <row r="324" spans="1:8">
      <c r="C324" s="434" t="s">
        <v>1355</v>
      </c>
      <c r="D324" s="434" t="s">
        <v>470</v>
      </c>
      <c r="E324" s="435" t="s">
        <v>471</v>
      </c>
      <c r="F324" s="435" t="s">
        <v>472</v>
      </c>
      <c r="G324" s="435" t="s">
        <v>1332</v>
      </c>
    </row>
    <row r="325" spans="1:8">
      <c r="C325" s="434" t="s">
        <v>526</v>
      </c>
      <c r="D325" s="454">
        <v>0.05</v>
      </c>
      <c r="E325" s="454">
        <v>0.05</v>
      </c>
      <c r="F325" s="454">
        <v>0.05</v>
      </c>
      <c r="G325" s="454">
        <v>0.05</v>
      </c>
    </row>
    <row r="326" spans="1:8">
      <c r="C326" s="434" t="s">
        <v>527</v>
      </c>
      <c r="D326" s="471">
        <v>0</v>
      </c>
      <c r="E326" s="471">
        <v>0</v>
      </c>
      <c r="F326" s="471">
        <v>0</v>
      </c>
      <c r="G326" s="471">
        <v>0</v>
      </c>
    </row>
    <row r="327" spans="1:8">
      <c r="C327" s="434" t="s">
        <v>528</v>
      </c>
      <c r="D327" s="454">
        <v>-0.05</v>
      </c>
      <c r="E327" s="454">
        <v>-0.05</v>
      </c>
      <c r="F327" s="454">
        <v>-0.05</v>
      </c>
      <c r="G327" s="454">
        <v>-0.05</v>
      </c>
      <c r="H327" s="11" t="s">
        <v>1361</v>
      </c>
    </row>
    <row r="329" spans="1:8" s="15" customFormat="1">
      <c r="A329" s="14" t="s">
        <v>1466</v>
      </c>
      <c r="C329" s="14"/>
    </row>
    <row r="331" spans="1:8">
      <c r="C331" s="434" t="s">
        <v>1356</v>
      </c>
      <c r="D331" s="434" t="s">
        <v>470</v>
      </c>
      <c r="E331" s="435" t="s">
        <v>471</v>
      </c>
      <c r="F331" s="435" t="s">
        <v>472</v>
      </c>
      <c r="G331" s="435" t="s">
        <v>1332</v>
      </c>
    </row>
    <row r="332" spans="1:8">
      <c r="C332" s="434" t="s">
        <v>457</v>
      </c>
      <c r="D332" s="451">
        <v>0.1</v>
      </c>
      <c r="E332" s="451">
        <v>0.1</v>
      </c>
      <c r="F332" s="451">
        <v>0.1</v>
      </c>
      <c r="G332" s="451">
        <v>0.1</v>
      </c>
    </row>
    <row r="333" spans="1:8">
      <c r="C333" s="434" t="s">
        <v>458</v>
      </c>
      <c r="D333" s="451">
        <v>0.1</v>
      </c>
      <c r="E333" s="451">
        <v>0.1</v>
      </c>
      <c r="F333" s="451">
        <v>0.1</v>
      </c>
      <c r="G333" s="451">
        <v>0.1</v>
      </c>
    </row>
    <row r="334" spans="1:8">
      <c r="C334" s="434" t="s">
        <v>459</v>
      </c>
      <c r="D334" s="451">
        <v>0.1</v>
      </c>
      <c r="E334" s="451">
        <v>0.1</v>
      </c>
      <c r="F334" s="451">
        <v>0.1</v>
      </c>
      <c r="G334" s="451">
        <v>0.1</v>
      </c>
      <c r="H334" s="11" t="s">
        <v>1357</v>
      </c>
    </row>
    <row r="335" spans="1:8">
      <c r="C335" s="440"/>
      <c r="D335" s="455"/>
      <c r="E335" s="455"/>
      <c r="F335" s="455"/>
      <c r="G335" s="455"/>
      <c r="H335" s="11"/>
    </row>
    <row r="337" spans="1:8" s="15" customFormat="1">
      <c r="A337" s="14" t="s">
        <v>1358</v>
      </c>
      <c r="C337" s="14"/>
    </row>
    <row r="339" spans="1:8">
      <c r="C339" s="434" t="s">
        <v>1359</v>
      </c>
      <c r="D339" s="434" t="s">
        <v>470</v>
      </c>
      <c r="E339" s="435" t="s">
        <v>471</v>
      </c>
      <c r="F339" s="435" t="s">
        <v>472</v>
      </c>
      <c r="G339" s="435" t="s">
        <v>1332</v>
      </c>
    </row>
    <row r="340" spans="1:8">
      <c r="C340" s="434" t="s">
        <v>457</v>
      </c>
      <c r="D340" s="475">
        <f>10%*D357</f>
        <v>18.36</v>
      </c>
      <c r="E340" s="475">
        <v>18.36</v>
      </c>
      <c r="F340" s="475">
        <v>18.36</v>
      </c>
      <c r="G340" s="475">
        <v>18.36</v>
      </c>
    </row>
    <row r="341" spans="1:8">
      <c r="C341" s="434" t="s">
        <v>458</v>
      </c>
      <c r="D341" s="475">
        <f t="shared" ref="D341" si="31">10%*D358</f>
        <v>20.400000000000002</v>
      </c>
      <c r="E341" s="475">
        <v>20.400000000000002</v>
      </c>
      <c r="F341" s="475">
        <v>20.400000000000002</v>
      </c>
      <c r="G341" s="475">
        <v>20.400000000000002</v>
      </c>
    </row>
    <row r="342" spans="1:8">
      <c r="C342" s="434" t="s">
        <v>459</v>
      </c>
      <c r="D342" s="475">
        <f t="shared" ref="D342" si="32">10%*D359</f>
        <v>400</v>
      </c>
      <c r="E342" s="475">
        <v>400</v>
      </c>
      <c r="F342" s="475">
        <v>400</v>
      </c>
      <c r="G342" s="475">
        <v>400</v>
      </c>
      <c r="H342" s="11" t="s">
        <v>1362</v>
      </c>
    </row>
    <row r="343" spans="1:8">
      <c r="C343" s="440"/>
      <c r="D343" s="455"/>
      <c r="E343" s="455"/>
      <c r="F343" s="455"/>
      <c r="G343" s="455"/>
      <c r="H343" s="11"/>
    </row>
    <row r="344" spans="1:8">
      <c r="C344" s="434" t="s">
        <v>1360</v>
      </c>
      <c r="D344" s="434" t="s">
        <v>1490</v>
      </c>
      <c r="E344" s="435"/>
      <c r="F344" s="435"/>
      <c r="G344" s="435"/>
    </row>
    <row r="345" spans="1:8">
      <c r="C345" s="434" t="s">
        <v>526</v>
      </c>
      <c r="D345" s="556">
        <v>-0.2</v>
      </c>
      <c r="E345" s="475"/>
      <c r="F345" s="475"/>
      <c r="G345" s="475"/>
    </row>
    <row r="346" spans="1:8">
      <c r="C346" s="434" t="s">
        <v>527</v>
      </c>
      <c r="D346" s="556">
        <v>0</v>
      </c>
      <c r="E346" s="475"/>
      <c r="F346" s="475"/>
      <c r="G346" s="475"/>
    </row>
    <row r="347" spans="1:8">
      <c r="C347" s="434" t="s">
        <v>528</v>
      </c>
      <c r="D347" s="556">
        <v>0.2</v>
      </c>
      <c r="E347" s="475"/>
      <c r="F347" s="475"/>
      <c r="G347" s="475"/>
      <c r="H347" s="11" t="s">
        <v>1363</v>
      </c>
    </row>
    <row r="349" spans="1:8">
      <c r="C349" s="434" t="s">
        <v>587</v>
      </c>
      <c r="D349" s="434" t="s">
        <v>457</v>
      </c>
      <c r="E349" s="435" t="s">
        <v>458</v>
      </c>
      <c r="F349" s="435" t="s">
        <v>459</v>
      </c>
    </row>
    <row r="350" spans="1:8">
      <c r="C350" s="434" t="s">
        <v>589</v>
      </c>
      <c r="D350" s="475">
        <f>10%*D340</f>
        <v>1.8360000000000001</v>
      </c>
      <c r="E350" s="475">
        <f>10%*D341</f>
        <v>2.0400000000000005</v>
      </c>
      <c r="F350" s="475">
        <v>0</v>
      </c>
      <c r="G350" s="432"/>
    </row>
    <row r="351" spans="1:8">
      <c r="C351" s="434" t="s">
        <v>590</v>
      </c>
      <c r="D351" s="475">
        <f>5%*D340</f>
        <v>0.91800000000000004</v>
      </c>
      <c r="E351" s="475">
        <f>5%*D341</f>
        <v>1.0200000000000002</v>
      </c>
      <c r="F351" s="475">
        <f>5%*D342</f>
        <v>20</v>
      </c>
      <c r="G351" s="432"/>
    </row>
    <row r="352" spans="1:8">
      <c r="C352" s="434" t="s">
        <v>591</v>
      </c>
      <c r="D352" s="475">
        <v>0</v>
      </c>
      <c r="E352" s="475">
        <v>0</v>
      </c>
      <c r="F352" s="475">
        <f>10%*D342</f>
        <v>40</v>
      </c>
      <c r="G352" s="11" t="s">
        <v>1489</v>
      </c>
      <c r="H352" s="11"/>
    </row>
    <row r="354" spans="1:8" s="15" customFormat="1">
      <c r="A354" s="14" t="s">
        <v>1364</v>
      </c>
      <c r="C354" s="14"/>
    </row>
    <row r="356" spans="1:8">
      <c r="C356" s="434" t="s">
        <v>1369</v>
      </c>
      <c r="D356" s="434" t="s">
        <v>470</v>
      </c>
      <c r="E356" s="435" t="s">
        <v>471</v>
      </c>
      <c r="F356" s="435" t="s">
        <v>472</v>
      </c>
      <c r="G356" s="435" t="s">
        <v>1332</v>
      </c>
    </row>
    <row r="357" spans="1:8">
      <c r="C357" s="434" t="s">
        <v>457</v>
      </c>
      <c r="D357" s="475">
        <v>183.6</v>
      </c>
      <c r="E357" s="475">
        <v>225</v>
      </c>
      <c r="F357" s="475">
        <v>108</v>
      </c>
      <c r="G357" s="475">
        <v>810</v>
      </c>
    </row>
    <row r="358" spans="1:8">
      <c r="C358" s="434" t="s">
        <v>458</v>
      </c>
      <c r="D358" s="475">
        <f>17*12</f>
        <v>204</v>
      </c>
      <c r="E358" s="475">
        <v>250</v>
      </c>
      <c r="F358" s="475">
        <v>120</v>
      </c>
      <c r="G358" s="475">
        <f>75*12</f>
        <v>900</v>
      </c>
    </row>
    <row r="359" spans="1:8">
      <c r="C359" s="434" t="s">
        <v>459</v>
      </c>
      <c r="D359" s="475">
        <v>4000</v>
      </c>
      <c r="E359" s="475">
        <v>4800</v>
      </c>
      <c r="F359" s="475">
        <v>4800</v>
      </c>
      <c r="G359" s="475">
        <v>6000</v>
      </c>
      <c r="H359" s="11" t="s">
        <v>1365</v>
      </c>
    </row>
    <row r="360" spans="1:8">
      <c r="C360" s="440"/>
      <c r="D360" s="479"/>
      <c r="E360" s="479"/>
      <c r="F360" s="479"/>
      <c r="G360" s="479"/>
      <c r="H360" s="11"/>
    </row>
    <row r="361" spans="1:8">
      <c r="C361" s="434" t="s">
        <v>1373</v>
      </c>
      <c r="D361" s="480" t="s">
        <v>470</v>
      </c>
      <c r="E361" s="475" t="s">
        <v>471</v>
      </c>
      <c r="F361" s="475" t="s">
        <v>472</v>
      </c>
      <c r="G361" s="475" t="s">
        <v>1332</v>
      </c>
    </row>
    <row r="362" spans="1:8">
      <c r="C362" s="434" t="s">
        <v>526</v>
      </c>
      <c r="D362" s="451">
        <v>0.1</v>
      </c>
      <c r="E362" s="451">
        <v>0.1</v>
      </c>
      <c r="F362" s="451">
        <v>0.1</v>
      </c>
      <c r="G362" s="451">
        <v>0.1</v>
      </c>
    </row>
    <row r="363" spans="1:8">
      <c r="C363" s="434" t="s">
        <v>527</v>
      </c>
      <c r="D363" s="451">
        <v>0</v>
      </c>
      <c r="E363" s="451">
        <v>0</v>
      </c>
      <c r="F363" s="451">
        <v>0</v>
      </c>
      <c r="G363" s="451">
        <v>0</v>
      </c>
    </row>
    <row r="364" spans="1:8">
      <c r="C364" s="434" t="s">
        <v>528</v>
      </c>
      <c r="D364" s="451">
        <v>-0.1</v>
      </c>
      <c r="E364" s="451">
        <v>-0.1</v>
      </c>
      <c r="F364" s="451">
        <v>-0.1</v>
      </c>
      <c r="G364" s="451">
        <v>-0.1</v>
      </c>
      <c r="H364" s="11" t="s">
        <v>1374</v>
      </c>
    </row>
    <row r="365" spans="1:8">
      <c r="D365" s="481"/>
      <c r="E365" s="481"/>
      <c r="F365" s="481"/>
      <c r="G365" s="481"/>
    </row>
    <row r="366" spans="1:8">
      <c r="C366" s="434" t="s">
        <v>1370</v>
      </c>
      <c r="D366" s="480" t="s">
        <v>470</v>
      </c>
      <c r="E366" s="475" t="s">
        <v>471</v>
      </c>
      <c r="F366" s="475" t="s">
        <v>472</v>
      </c>
      <c r="G366" s="475" t="s">
        <v>1332</v>
      </c>
    </row>
    <row r="367" spans="1:8">
      <c r="C367" s="434" t="s">
        <v>457</v>
      </c>
      <c r="D367" s="451">
        <v>0.1</v>
      </c>
      <c r="E367" s="451">
        <v>0.1</v>
      </c>
      <c r="F367" s="451">
        <v>0.1</v>
      </c>
      <c r="G367" s="451">
        <v>0.1</v>
      </c>
    </row>
    <row r="368" spans="1:8">
      <c r="C368" s="434" t="s">
        <v>458</v>
      </c>
      <c r="D368" s="451">
        <v>0.1</v>
      </c>
      <c r="E368" s="451">
        <v>0.1</v>
      </c>
      <c r="F368" s="451">
        <v>0.1</v>
      </c>
      <c r="G368" s="451">
        <v>0.1</v>
      </c>
    </row>
    <row r="369" spans="1:8">
      <c r="C369" s="434" t="s">
        <v>459</v>
      </c>
      <c r="D369" s="451">
        <v>0.1</v>
      </c>
      <c r="E369" s="451">
        <v>0.1</v>
      </c>
      <c r="F369" s="451">
        <v>0.1</v>
      </c>
      <c r="G369" s="451">
        <v>0.1</v>
      </c>
      <c r="H369" s="11" t="s">
        <v>1366</v>
      </c>
    </row>
    <row r="370" spans="1:8">
      <c r="D370" s="481"/>
      <c r="E370" s="481"/>
      <c r="F370" s="481"/>
      <c r="G370" s="481"/>
    </row>
    <row r="371" spans="1:8">
      <c r="C371" s="434" t="s">
        <v>1371</v>
      </c>
      <c r="D371" s="480" t="s">
        <v>470</v>
      </c>
      <c r="E371" s="475" t="s">
        <v>471</v>
      </c>
      <c r="F371" s="475" t="s">
        <v>472</v>
      </c>
      <c r="G371" s="475" t="s">
        <v>1332</v>
      </c>
    </row>
    <row r="372" spans="1:8">
      <c r="C372" s="434" t="s">
        <v>457</v>
      </c>
      <c r="D372" s="451">
        <v>0.05</v>
      </c>
      <c r="E372" s="451">
        <v>0.05</v>
      </c>
      <c r="F372" s="451">
        <v>0.05</v>
      </c>
      <c r="G372" s="451">
        <v>0.05</v>
      </c>
    </row>
    <row r="373" spans="1:8">
      <c r="C373" s="434" t="s">
        <v>458</v>
      </c>
      <c r="D373" s="451">
        <v>0.05</v>
      </c>
      <c r="E373" s="451">
        <v>0.05</v>
      </c>
      <c r="F373" s="451">
        <v>0.05</v>
      </c>
      <c r="G373" s="451">
        <v>0.05</v>
      </c>
    </row>
    <row r="374" spans="1:8">
      <c r="C374" s="434" t="s">
        <v>459</v>
      </c>
      <c r="D374" s="451">
        <v>0.05</v>
      </c>
      <c r="E374" s="451">
        <v>0.05</v>
      </c>
      <c r="F374" s="451">
        <v>0.05</v>
      </c>
      <c r="G374" s="451">
        <v>0.05</v>
      </c>
      <c r="H374" s="11" t="s">
        <v>1367</v>
      </c>
    </row>
    <row r="375" spans="1:8">
      <c r="D375" s="481"/>
      <c r="E375" s="481"/>
      <c r="F375" s="481"/>
      <c r="G375" s="481"/>
    </row>
    <row r="376" spans="1:8">
      <c r="C376" s="434" t="s">
        <v>1372</v>
      </c>
      <c r="D376" s="480" t="s">
        <v>470</v>
      </c>
      <c r="E376" s="475" t="s">
        <v>471</v>
      </c>
      <c r="F376" s="475" t="s">
        <v>472</v>
      </c>
      <c r="G376" s="475" t="s">
        <v>1332</v>
      </c>
    </row>
    <row r="377" spans="1:8">
      <c r="C377" s="434" t="s">
        <v>457</v>
      </c>
      <c r="D377" s="451">
        <v>0.03</v>
      </c>
      <c r="E377" s="451">
        <v>0.03</v>
      </c>
      <c r="F377" s="451">
        <v>0.03</v>
      </c>
      <c r="G377" s="451">
        <v>0.03</v>
      </c>
    </row>
    <row r="378" spans="1:8">
      <c r="C378" s="434" t="s">
        <v>458</v>
      </c>
      <c r="D378" s="451">
        <v>0.03</v>
      </c>
      <c r="E378" s="451">
        <v>0.03</v>
      </c>
      <c r="F378" s="451">
        <v>0.03</v>
      </c>
      <c r="G378" s="451">
        <v>0.03</v>
      </c>
    </row>
    <row r="379" spans="1:8">
      <c r="C379" s="434" t="s">
        <v>459</v>
      </c>
      <c r="D379" s="451">
        <v>0.03</v>
      </c>
      <c r="E379" s="451">
        <v>0.03</v>
      </c>
      <c r="F379" s="451">
        <v>0.03</v>
      </c>
      <c r="G379" s="451">
        <v>0.03</v>
      </c>
      <c r="H379" s="11" t="s">
        <v>1368</v>
      </c>
    </row>
    <row r="380" spans="1:8">
      <c r="C380" s="440"/>
      <c r="D380" s="455"/>
      <c r="E380" s="455"/>
      <c r="F380" s="455"/>
      <c r="G380" s="455"/>
      <c r="H380" s="11"/>
    </row>
    <row r="381" spans="1:8" s="15" customFormat="1">
      <c r="A381" s="14" t="s">
        <v>327</v>
      </c>
      <c r="C381" s="14"/>
    </row>
    <row r="384" spans="1:8">
      <c r="C384" s="434" t="s">
        <v>1493</v>
      </c>
      <c r="D384" s="480" t="s">
        <v>1494</v>
      </c>
    </row>
    <row r="385" spans="3:5">
      <c r="C385" s="434" t="s">
        <v>457</v>
      </c>
      <c r="D385" s="451">
        <v>0.1</v>
      </c>
    </row>
    <row r="386" spans="3:5">
      <c r="C386" s="434" t="s">
        <v>458</v>
      </c>
      <c r="D386" s="451">
        <v>0.1</v>
      </c>
    </row>
    <row r="387" spans="3:5">
      <c r="C387" s="434" t="s">
        <v>459</v>
      </c>
      <c r="D387" s="451">
        <v>0.5</v>
      </c>
      <c r="E387" s="11" t="s">
        <v>1495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/>
  </sheetPr>
  <dimension ref="A1:M80"/>
  <sheetViews>
    <sheetView topLeftCell="A46" workbookViewId="0">
      <selection activeCell="H57" sqref="H57"/>
    </sheetView>
  </sheetViews>
  <sheetFormatPr defaultRowHeight="14.25"/>
  <cols>
    <col min="2" max="2" width="11" customWidth="1"/>
    <col min="3" max="11" width="8.3984375" customWidth="1"/>
    <col min="13" max="13" width="12.69921875" customWidth="1"/>
  </cols>
  <sheetData>
    <row r="1" spans="1:11" s="404" customFormat="1">
      <c r="A1" s="404" t="s">
        <v>1189</v>
      </c>
    </row>
    <row r="2" spans="1:11" s="405" customFormat="1">
      <c r="A2" s="405" t="s">
        <v>1188</v>
      </c>
    </row>
    <row r="4" spans="1:11">
      <c r="A4" t="s">
        <v>1190</v>
      </c>
      <c r="B4" t="s">
        <v>1193</v>
      </c>
    </row>
    <row r="5" spans="1:11">
      <c r="A5" t="s">
        <v>470</v>
      </c>
      <c r="B5" s="535">
        <f>MAX(Fin!D20:N20)</f>
        <v>10195820.909980277</v>
      </c>
    </row>
    <row r="6" spans="1:11">
      <c r="A6" t="s">
        <v>471</v>
      </c>
      <c r="B6" s="535">
        <f>MAX(Fin!D43:N43)</f>
        <v>0</v>
      </c>
    </row>
    <row r="7" spans="1:11">
      <c r="A7" t="s">
        <v>472</v>
      </c>
      <c r="B7" s="535">
        <f>MAX(Fin!D66:N66)</f>
        <v>0</v>
      </c>
    </row>
    <row r="8" spans="1:11">
      <c r="A8" t="s">
        <v>473</v>
      </c>
      <c r="B8" s="535">
        <f>MAX(Fin!D89:N89)</f>
        <v>0</v>
      </c>
    </row>
    <row r="10" spans="1:11">
      <c r="B10" s="516">
        <f>B17</f>
        <v>2021.325</v>
      </c>
      <c r="C10" s="516">
        <f t="shared" ref="C10:K10" si="0">C17</f>
        <v>2022.325</v>
      </c>
      <c r="D10" s="516">
        <f t="shared" si="0"/>
        <v>2023.325</v>
      </c>
      <c r="E10" s="516">
        <f t="shared" si="0"/>
        <v>2024.325</v>
      </c>
      <c r="F10" s="516">
        <f t="shared" si="0"/>
        <v>2025.325</v>
      </c>
      <c r="G10" s="516">
        <f t="shared" si="0"/>
        <v>2026.325</v>
      </c>
      <c r="H10" s="516">
        <f t="shared" si="0"/>
        <v>2027.325</v>
      </c>
      <c r="I10" s="516">
        <f t="shared" si="0"/>
        <v>2028.325</v>
      </c>
      <c r="J10" s="516">
        <f t="shared" si="0"/>
        <v>2029.325</v>
      </c>
      <c r="K10" s="516">
        <f t="shared" si="0"/>
        <v>2030.325</v>
      </c>
    </row>
    <row r="11" spans="1:11">
      <c r="A11" t="s">
        <v>470</v>
      </c>
      <c r="B11" s="536">
        <f>Fin!E20</f>
        <v>5172830.2164289132</v>
      </c>
      <c r="C11" s="536">
        <f>Fin!F20</f>
        <v>7580481.6524092536</v>
      </c>
      <c r="D11" s="536">
        <f>Fin!G20</f>
        <v>9084355.6243331432</v>
      </c>
      <c r="E11" s="536">
        <f>Fin!H20</f>
        <v>9844775.7533901464</v>
      </c>
      <c r="F11" s="536">
        <f>Fin!I20</f>
        <v>10145529.463960664</v>
      </c>
      <c r="G11" s="536">
        <f>Fin!J20</f>
        <v>10195820.909980277</v>
      </c>
      <c r="H11" s="536">
        <f>Fin!K20</f>
        <v>10118333.21277835</v>
      </c>
      <c r="I11" s="536">
        <f>Fin!L20</f>
        <v>9978503.2839428596</v>
      </c>
      <c r="J11" s="536">
        <f>Fin!M20</f>
        <v>9809721.0081130583</v>
      </c>
      <c r="K11" s="536">
        <f>Fin!N20</f>
        <v>4814324.1043416495</v>
      </c>
    </row>
    <row r="12" spans="1:11">
      <c r="A12" t="s">
        <v>471</v>
      </c>
      <c r="B12" s="536">
        <f>Fin!E43</f>
        <v>0</v>
      </c>
      <c r="C12" s="536">
        <f>Fin!F43</f>
        <v>0</v>
      </c>
      <c r="D12" s="536">
        <f>Fin!G43</f>
        <v>0</v>
      </c>
      <c r="E12" s="536">
        <f>Fin!H43</f>
        <v>0</v>
      </c>
      <c r="F12" s="536">
        <f>Fin!I43</f>
        <v>0</v>
      </c>
      <c r="G12" s="536">
        <f>Fin!J43</f>
        <v>0</v>
      </c>
      <c r="H12" s="536">
        <f>Fin!K43</f>
        <v>0</v>
      </c>
      <c r="I12" s="536">
        <f>Fin!L43</f>
        <v>0</v>
      </c>
      <c r="J12" s="536">
        <f>Fin!M43</f>
        <v>0</v>
      </c>
      <c r="K12" s="536">
        <f>Fin!N43</f>
        <v>0</v>
      </c>
    </row>
    <row r="13" spans="1:11">
      <c r="A13" t="s">
        <v>472</v>
      </c>
      <c r="B13" s="536">
        <f>Fin!E66</f>
        <v>0</v>
      </c>
      <c r="C13" s="536">
        <f>Fin!F66</f>
        <v>0</v>
      </c>
      <c r="D13" s="536">
        <f>Fin!G66</f>
        <v>0</v>
      </c>
      <c r="E13" s="536">
        <f>Fin!H66</f>
        <v>0</v>
      </c>
      <c r="F13" s="536">
        <f>Fin!I66</f>
        <v>0</v>
      </c>
      <c r="G13" s="536">
        <f>Fin!J66</f>
        <v>0</v>
      </c>
      <c r="H13" s="536">
        <f>Fin!K66</f>
        <v>0</v>
      </c>
      <c r="I13" s="536">
        <f>Fin!L66</f>
        <v>0</v>
      </c>
      <c r="J13" s="536">
        <f>Fin!M66</f>
        <v>0</v>
      </c>
      <c r="K13" s="536">
        <f>Fin!N66</f>
        <v>0</v>
      </c>
    </row>
    <row r="14" spans="1:11">
      <c r="A14" t="s">
        <v>473</v>
      </c>
      <c r="B14" s="536">
        <f>Fin!E89</f>
        <v>0</v>
      </c>
      <c r="C14" s="536">
        <f>Fin!F89</f>
        <v>0</v>
      </c>
      <c r="D14" s="536">
        <f>Fin!G89</f>
        <v>0</v>
      </c>
      <c r="E14" s="536">
        <f>Fin!H89</f>
        <v>0</v>
      </c>
      <c r="F14" s="536">
        <f>Fin!I89</f>
        <v>0</v>
      </c>
      <c r="G14" s="536">
        <f>Fin!J89</f>
        <v>0</v>
      </c>
      <c r="H14" s="536">
        <f>Fin!K89</f>
        <v>0</v>
      </c>
      <c r="I14" s="536">
        <f>Fin!L89</f>
        <v>0</v>
      </c>
      <c r="J14" s="536">
        <f>Fin!M89</f>
        <v>0</v>
      </c>
      <c r="K14" s="536">
        <f>Fin!N89</f>
        <v>0</v>
      </c>
    </row>
    <row r="16" spans="1:11">
      <c r="A16" t="s">
        <v>1206</v>
      </c>
    </row>
    <row r="17" spans="1:13">
      <c r="B17" s="516">
        <f>Fin!E98</f>
        <v>2021.325</v>
      </c>
      <c r="C17" s="516">
        <f>Fin!F98</f>
        <v>2022.325</v>
      </c>
      <c r="D17" s="516">
        <f>Fin!G98</f>
        <v>2023.325</v>
      </c>
      <c r="E17" s="516">
        <f>Fin!H98</f>
        <v>2024.325</v>
      </c>
      <c r="F17" s="516">
        <f>Fin!I98</f>
        <v>2025.325</v>
      </c>
      <c r="G17" s="516">
        <f>Fin!J98</f>
        <v>2026.325</v>
      </c>
      <c r="H17" s="516">
        <f>Fin!K98</f>
        <v>2027.325</v>
      </c>
      <c r="I17" s="516">
        <f>Fin!L98</f>
        <v>2028.325</v>
      </c>
      <c r="J17" s="516">
        <f>Fin!M98</f>
        <v>2029.325</v>
      </c>
      <c r="K17" s="516">
        <f>Fin!N98</f>
        <v>2030.325</v>
      </c>
    </row>
    <row r="18" spans="1:13">
      <c r="A18" t="s">
        <v>1386</v>
      </c>
      <c r="B18" s="536">
        <f>SUM(B11:B14)</f>
        <v>5172830.2164289132</v>
      </c>
      <c r="C18" s="536">
        <f t="shared" ref="C18:K18" si="1">SUM(C11:C14)</f>
        <v>7580481.6524092536</v>
      </c>
      <c r="D18" s="536">
        <f t="shared" si="1"/>
        <v>9084355.6243331432</v>
      </c>
      <c r="E18" s="536">
        <f t="shared" si="1"/>
        <v>9844775.7533901464</v>
      </c>
      <c r="F18" s="536">
        <f t="shared" si="1"/>
        <v>10145529.463960664</v>
      </c>
      <c r="G18" s="536">
        <f t="shared" si="1"/>
        <v>10195820.909980277</v>
      </c>
      <c r="H18" s="536">
        <f t="shared" si="1"/>
        <v>10118333.21277835</v>
      </c>
      <c r="I18" s="536">
        <f t="shared" si="1"/>
        <v>9978503.2839428596</v>
      </c>
      <c r="J18" s="536">
        <f t="shared" si="1"/>
        <v>9809721.0081130583</v>
      </c>
      <c r="K18" s="536">
        <f t="shared" si="1"/>
        <v>4814324.1043416495</v>
      </c>
      <c r="M18" s="537"/>
    </row>
    <row r="19" spans="1:13">
      <c r="A19" t="s">
        <v>267</v>
      </c>
      <c r="B19" s="536">
        <f>(-1)*Fin!E105</f>
        <v>-2299035.6517461836</v>
      </c>
      <c r="C19" s="536">
        <f>(-1)*Fin!F105</f>
        <v>-3437860.1598227904</v>
      </c>
      <c r="D19" s="536">
        <f>(-1)*Fin!G105</f>
        <v>-4203968.5428909911</v>
      </c>
      <c r="E19" s="536">
        <f>(-1)*Fin!H105</f>
        <v>-4648845.1775999162</v>
      </c>
      <c r="F19" s="536">
        <f>(-1)*Fin!I105</f>
        <v>-4888638.1834827634</v>
      </c>
      <c r="G19" s="536">
        <f>(-1)*Fin!J105</f>
        <v>-5013133.8675172227</v>
      </c>
      <c r="H19" s="536">
        <f>(-1)*Fin!K105</f>
        <v>-5076565.6290579503</v>
      </c>
      <c r="I19" s="536">
        <f>(-1)*Fin!L105</f>
        <v>-5108581.8566272482</v>
      </c>
      <c r="J19" s="536">
        <f>(-1)*Fin!M105</f>
        <v>-5124665.609437298</v>
      </c>
      <c r="K19" s="536">
        <f>(-1)*Fin!N105</f>
        <v>-2566363.2325235675</v>
      </c>
    </row>
    <row r="20" spans="1:13">
      <c r="A20" t="s">
        <v>1197</v>
      </c>
      <c r="B20" s="536">
        <f>(-1)*Fin!E116</f>
        <v>-51728.302164289133</v>
      </c>
      <c r="C20" s="536">
        <f>(-1)*Fin!F116</f>
        <v>-75804.816524092545</v>
      </c>
      <c r="D20" s="536">
        <f>(-1)*Fin!G116</f>
        <v>-90843.556243331434</v>
      </c>
      <c r="E20" s="536">
        <f>(-1)*Fin!H116</f>
        <v>-98447.757533901473</v>
      </c>
      <c r="F20" s="536">
        <f>(-1)*Fin!I116</f>
        <v>-101455.29463960664</v>
      </c>
      <c r="G20" s="536">
        <f>(-1)*Fin!J116</f>
        <v>-101958.20909980277</v>
      </c>
      <c r="H20" s="536">
        <f>(-1)*Fin!K116</f>
        <v>-101183.33212778351</v>
      </c>
      <c r="I20" s="536">
        <f>(-1)*Fin!L116</f>
        <v>-99785.032839428604</v>
      </c>
      <c r="J20" s="536">
        <f>(-1)*Fin!M116</f>
        <v>-98097.210081130586</v>
      </c>
      <c r="K20" s="536">
        <f>(-1)*Fin!N116</f>
        <v>-48143.241043416492</v>
      </c>
    </row>
    <row r="21" spans="1:13">
      <c r="A21" t="s">
        <v>1398</v>
      </c>
      <c r="B21" s="536">
        <f>((-1)*Fin!E109)-Fin!E111</f>
        <v>-258641.51082144567</v>
      </c>
      <c r="C21" s="536">
        <f>((-1)*Fin!F109)-Fin!F111</f>
        <v>-379024.08262046269</v>
      </c>
      <c r="D21" s="536">
        <f>((-1)*Fin!G109)-Fin!G111</f>
        <v>-454217.7812166572</v>
      </c>
      <c r="E21" s="536">
        <f>((-1)*Fin!H109)-Fin!H111</f>
        <v>-492238.78766950732</v>
      </c>
      <c r="F21" s="536">
        <f>((-1)*Fin!I109)-Fin!I111</f>
        <v>-507276.47319803323</v>
      </c>
      <c r="G21" s="536">
        <f>((-1)*Fin!J109)-Fin!J111</f>
        <v>-509791.04549901385</v>
      </c>
      <c r="H21" s="536">
        <f>((-1)*Fin!K109)-Fin!K111</f>
        <v>-505916.66063891753</v>
      </c>
      <c r="I21" s="536">
        <f>((-1)*Fin!L109)-Fin!L111</f>
        <v>-498925.16419714299</v>
      </c>
      <c r="J21" s="536">
        <f>((-1)*Fin!M109)-Fin!M111</f>
        <v>-490486.05040565296</v>
      </c>
      <c r="K21" s="536">
        <f>((-1)*Fin!N109)-Fin!N111</f>
        <v>-240716.20521708249</v>
      </c>
    </row>
    <row r="22" spans="1:13">
      <c r="A22" t="s">
        <v>1205</v>
      </c>
      <c r="B22" s="536">
        <f>Fin!E121</f>
        <v>1538054.8510181967</v>
      </c>
      <c r="C22" s="536">
        <f>Fin!F121</f>
        <v>2212675.5560651449</v>
      </c>
      <c r="D22" s="536">
        <f>Fin!G121</f>
        <v>2601195.446389298</v>
      </c>
      <c r="E22" s="536">
        <f>Fin!H121</f>
        <v>2763146.4183520926</v>
      </c>
      <c r="F22" s="536">
        <f>Fin!I121</f>
        <v>2788895.7075841567</v>
      </c>
      <c r="G22" s="536">
        <f>Fin!J121</f>
        <v>2742562.6727185422</v>
      </c>
      <c r="H22" s="536">
        <f>Fin!K121</f>
        <v>2660800.5545722195</v>
      </c>
      <c r="I22" s="536">
        <f>Fin!L121</f>
        <v>2562726.7381674238</v>
      </c>
      <c r="J22" s="536">
        <f>Fin!M121</f>
        <v>2457883.2829133859</v>
      </c>
      <c r="K22" s="536">
        <f>Fin!N121</f>
        <v>1175460.8553345497</v>
      </c>
    </row>
    <row r="25" spans="1:13" s="405" customFormat="1">
      <c r="A25" s="405" t="s">
        <v>1191</v>
      </c>
    </row>
    <row r="27" spans="1:13">
      <c r="A27" t="s">
        <v>1190</v>
      </c>
      <c r="B27" t="s">
        <v>1193</v>
      </c>
    </row>
    <row r="28" spans="1:13">
      <c r="A28" t="s">
        <v>470</v>
      </c>
      <c r="B28" s="535">
        <f>MAX(Fin!D157:N157)</f>
        <v>10195820.909980277</v>
      </c>
    </row>
    <row r="29" spans="1:13">
      <c r="A29" t="s">
        <v>471</v>
      </c>
      <c r="B29" s="535">
        <f>MAX(Fin!D178:N178)</f>
        <v>0</v>
      </c>
    </row>
    <row r="30" spans="1:13">
      <c r="A30" t="s">
        <v>472</v>
      </c>
      <c r="B30" s="535">
        <f>MAX(Fin!D199:N199)</f>
        <v>0</v>
      </c>
    </row>
    <row r="31" spans="1:13">
      <c r="A31" t="s">
        <v>473</v>
      </c>
      <c r="B31" s="535">
        <f>MAX(Fin!D220:N220)</f>
        <v>0</v>
      </c>
    </row>
    <row r="33" spans="1:11">
      <c r="B33" s="516">
        <f>B40</f>
        <v>2021.325</v>
      </c>
      <c r="C33" s="516">
        <f t="shared" ref="C33:K33" si="2">C40</f>
        <v>2022.325</v>
      </c>
      <c r="D33" s="516">
        <f t="shared" si="2"/>
        <v>2023.325</v>
      </c>
      <c r="E33" s="516">
        <f t="shared" si="2"/>
        <v>2024.325</v>
      </c>
      <c r="F33" s="516">
        <f t="shared" si="2"/>
        <v>2025.325</v>
      </c>
      <c r="G33" s="516">
        <f t="shared" si="2"/>
        <v>2026.325</v>
      </c>
      <c r="H33" s="516">
        <f t="shared" si="2"/>
        <v>2027.325</v>
      </c>
      <c r="I33" s="516">
        <f t="shared" si="2"/>
        <v>2028.325</v>
      </c>
      <c r="J33" s="516">
        <f t="shared" si="2"/>
        <v>2029.325</v>
      </c>
      <c r="K33" s="516">
        <f t="shared" si="2"/>
        <v>2030.325</v>
      </c>
    </row>
    <row r="34" spans="1:11">
      <c r="A34" t="s">
        <v>470</v>
      </c>
      <c r="B34" s="536">
        <f>Fin!E157</f>
        <v>5172830.2164289132</v>
      </c>
      <c r="C34" s="536">
        <f>Fin!F157</f>
        <v>7580481.6524092536</v>
      </c>
      <c r="D34" s="536">
        <f>Fin!G157</f>
        <v>9084355.6243331432</v>
      </c>
      <c r="E34" s="536">
        <f>Fin!H157</f>
        <v>9844775.7533901464</v>
      </c>
      <c r="F34" s="536">
        <f>Fin!I157</f>
        <v>10145529.463960664</v>
      </c>
      <c r="G34" s="536">
        <f>Fin!J157</f>
        <v>10195820.909980277</v>
      </c>
      <c r="H34" s="536">
        <f>Fin!K157</f>
        <v>10118333.21277835</v>
      </c>
      <c r="I34" s="536">
        <f>Fin!L157</f>
        <v>9978503.2839428596</v>
      </c>
      <c r="J34" s="536">
        <f>Fin!M157</f>
        <v>9809721.0081130583</v>
      </c>
      <c r="K34" s="536">
        <f>Fin!N157</f>
        <v>4814324.1043416495</v>
      </c>
    </row>
    <row r="35" spans="1:11">
      <c r="A35" t="s">
        <v>471</v>
      </c>
      <c r="B35" s="536">
        <f>Fin!E178</f>
        <v>0</v>
      </c>
      <c r="C35" s="536">
        <f>Fin!F178</f>
        <v>0</v>
      </c>
      <c r="D35" s="536">
        <f>Fin!G178</f>
        <v>0</v>
      </c>
      <c r="E35" s="536">
        <f>Fin!H178</f>
        <v>0</v>
      </c>
      <c r="F35" s="536">
        <f>Fin!I178</f>
        <v>0</v>
      </c>
      <c r="G35" s="536">
        <f>Fin!J178</f>
        <v>0</v>
      </c>
      <c r="H35" s="536">
        <f>Fin!K178</f>
        <v>0</v>
      </c>
      <c r="I35" s="536">
        <f>Fin!L178</f>
        <v>0</v>
      </c>
      <c r="J35" s="536">
        <f>Fin!M178</f>
        <v>0</v>
      </c>
      <c r="K35" s="536">
        <f>Fin!N178</f>
        <v>0</v>
      </c>
    </row>
    <row r="36" spans="1:11">
      <c r="A36" t="s">
        <v>472</v>
      </c>
      <c r="B36" s="536">
        <f>Fin!E199</f>
        <v>0</v>
      </c>
      <c r="C36" s="536">
        <f>Fin!F199</f>
        <v>0</v>
      </c>
      <c r="D36" s="536">
        <f>Fin!G199</f>
        <v>0</v>
      </c>
      <c r="E36" s="536">
        <f>Fin!H199</f>
        <v>0</v>
      </c>
      <c r="F36" s="536">
        <f>Fin!I199</f>
        <v>0</v>
      </c>
      <c r="G36" s="536">
        <f>Fin!J199</f>
        <v>0</v>
      </c>
      <c r="H36" s="536">
        <f>Fin!K199</f>
        <v>0</v>
      </c>
      <c r="I36" s="536">
        <f>Fin!L199</f>
        <v>0</v>
      </c>
      <c r="J36" s="536">
        <f>Fin!M199</f>
        <v>0</v>
      </c>
      <c r="K36" s="536">
        <f>Fin!N199</f>
        <v>0</v>
      </c>
    </row>
    <row r="37" spans="1:11">
      <c r="A37" t="s">
        <v>473</v>
      </c>
      <c r="B37" s="536">
        <f>Fin!E220</f>
        <v>0</v>
      </c>
      <c r="C37" s="536">
        <f>Fin!F220</f>
        <v>0</v>
      </c>
      <c r="D37" s="536">
        <f>Fin!G220</f>
        <v>0</v>
      </c>
      <c r="E37" s="536">
        <f>Fin!H220</f>
        <v>0</v>
      </c>
      <c r="F37" s="536">
        <f>Fin!I220</f>
        <v>0</v>
      </c>
      <c r="G37" s="536">
        <f>Fin!J220</f>
        <v>0</v>
      </c>
      <c r="H37" s="536">
        <f>Fin!K220</f>
        <v>0</v>
      </c>
      <c r="I37" s="536">
        <f>Fin!L220</f>
        <v>0</v>
      </c>
      <c r="J37" s="536">
        <f>Fin!M220</f>
        <v>0</v>
      </c>
      <c r="K37" s="536">
        <f>Fin!N220</f>
        <v>0</v>
      </c>
    </row>
    <row r="39" spans="1:11">
      <c r="A39" t="s">
        <v>1206</v>
      </c>
    </row>
    <row r="40" spans="1:11">
      <c r="B40" s="516">
        <f>Fin!E229</f>
        <v>2021.325</v>
      </c>
      <c r="C40" s="516">
        <f>Fin!F229</f>
        <v>2022.325</v>
      </c>
      <c r="D40" s="516">
        <f>Fin!G229</f>
        <v>2023.325</v>
      </c>
      <c r="E40" s="516">
        <f>Fin!H229</f>
        <v>2024.325</v>
      </c>
      <c r="F40" s="516">
        <f>Fin!I229</f>
        <v>2025.325</v>
      </c>
      <c r="G40" s="516">
        <f>Fin!J229</f>
        <v>2026.325</v>
      </c>
      <c r="H40" s="516">
        <f>Fin!K229</f>
        <v>2027.325</v>
      </c>
      <c r="I40" s="516">
        <f>Fin!L229</f>
        <v>2028.325</v>
      </c>
      <c r="J40" s="516">
        <f>Fin!M229</f>
        <v>2029.325</v>
      </c>
      <c r="K40" s="516">
        <f>Fin!N229</f>
        <v>2030.325</v>
      </c>
    </row>
    <row r="41" spans="1:11">
      <c r="A41" t="s">
        <v>1194</v>
      </c>
      <c r="B41" s="536">
        <f>Fin!E234</f>
        <v>5172830.2164289132</v>
      </c>
      <c r="C41" s="536">
        <f>Fin!F234</f>
        <v>7580481.6524092536</v>
      </c>
      <c r="D41" s="536">
        <f>Fin!G234</f>
        <v>9084355.6243331432</v>
      </c>
      <c r="E41" s="536">
        <f>Fin!H234</f>
        <v>9844775.7533901464</v>
      </c>
      <c r="F41" s="536">
        <f>Fin!I234</f>
        <v>10145529.463960664</v>
      </c>
      <c r="G41" s="536">
        <f>Fin!J234</f>
        <v>10195820.909980277</v>
      </c>
      <c r="H41" s="536">
        <f>Fin!K234</f>
        <v>10118333.21277835</v>
      </c>
      <c r="I41" s="536">
        <f>Fin!L234</f>
        <v>9978503.2839428596</v>
      </c>
      <c r="J41" s="536">
        <f>Fin!M234</f>
        <v>9809721.0081130583</v>
      </c>
      <c r="K41" s="536">
        <f>Fin!N234</f>
        <v>4814324.1043416495</v>
      </c>
    </row>
    <row r="42" spans="1:11">
      <c r="A42" t="s">
        <v>267</v>
      </c>
      <c r="B42" s="536">
        <f>(-1)*Fin!E236</f>
        <v>-2299035.6517461836</v>
      </c>
      <c r="C42" s="536">
        <f>(-1)*Fin!F236</f>
        <v>-3437860.1598227904</v>
      </c>
      <c r="D42" s="536">
        <f>(-1)*Fin!G236</f>
        <v>-4203968.5428909911</v>
      </c>
      <c r="E42" s="536">
        <f>(-1)*Fin!H236</f>
        <v>-4648845.1775999162</v>
      </c>
      <c r="F42" s="536">
        <f>(-1)*Fin!I236</f>
        <v>-4888638.1834827634</v>
      </c>
      <c r="G42" s="536">
        <f>(-1)*Fin!J236</f>
        <v>-5013133.8675172227</v>
      </c>
      <c r="H42" s="536">
        <f>(-1)*Fin!K236</f>
        <v>-5076565.6290579503</v>
      </c>
      <c r="I42" s="536">
        <f>(-1)*Fin!L236</f>
        <v>-5108581.8566272482</v>
      </c>
      <c r="J42" s="536">
        <f>(-1)*Fin!M236</f>
        <v>-5124665.609437298</v>
      </c>
      <c r="K42" s="536">
        <f>(-1)*Fin!N236</f>
        <v>-2566363.2325235675</v>
      </c>
    </row>
    <row r="43" spans="1:11">
      <c r="A43" t="s">
        <v>1197</v>
      </c>
      <c r="B43" s="536">
        <f>(-1)*Fin!E247</f>
        <v>-51728.302164289133</v>
      </c>
      <c r="C43" s="536">
        <f>(-1)*Fin!F247</f>
        <v>-75804.816524092545</v>
      </c>
      <c r="D43" s="536">
        <f>(-1)*Fin!G247</f>
        <v>-90843.556243331434</v>
      </c>
      <c r="E43" s="536">
        <f>(-1)*Fin!H247</f>
        <v>-98447.757533901473</v>
      </c>
      <c r="F43" s="536">
        <f>(-1)*Fin!I247</f>
        <v>-101455.29463960664</v>
      </c>
      <c r="G43" s="536">
        <f>(-1)*Fin!J247</f>
        <v>-101958.20909980277</v>
      </c>
      <c r="H43" s="536">
        <f>(-1)*Fin!K247</f>
        <v>-101183.33212778351</v>
      </c>
      <c r="I43" s="536">
        <f>(-1)*Fin!L247</f>
        <v>-99785.032839428604</v>
      </c>
      <c r="J43" s="536">
        <f>(-1)*Fin!M247</f>
        <v>-98097.210081130586</v>
      </c>
      <c r="K43" s="536">
        <f>(-1)*Fin!N247</f>
        <v>-48143.241043416492</v>
      </c>
    </row>
    <row r="44" spans="1:11">
      <c r="A44" t="s">
        <v>1398</v>
      </c>
      <c r="B44" s="536">
        <f>((-1*Fin!E240))-Fin!E242</f>
        <v>-258641.51082144567</v>
      </c>
      <c r="C44" s="536">
        <f>((-1*Fin!F240))-Fin!F242</f>
        <v>-379024.08262046269</v>
      </c>
      <c r="D44" s="536">
        <f>((-1*Fin!G240))-Fin!G242</f>
        <v>-454217.7812166572</v>
      </c>
      <c r="E44" s="536">
        <f>((-1*Fin!H240))-Fin!H242</f>
        <v>-492238.78766950732</v>
      </c>
      <c r="F44" s="536">
        <f>((-1*Fin!I240))-Fin!I242</f>
        <v>-507276.47319803323</v>
      </c>
      <c r="G44" s="536">
        <f>((-1*Fin!J240))-Fin!J242</f>
        <v>-509791.04549901385</v>
      </c>
      <c r="H44" s="536">
        <f>((-1*Fin!K240))-Fin!K242</f>
        <v>-505916.66063891753</v>
      </c>
      <c r="I44" s="536">
        <f>((-1*Fin!L240))-Fin!L242</f>
        <v>-498925.16419714299</v>
      </c>
      <c r="J44" s="536">
        <f>((-1*Fin!M240))-Fin!M242</f>
        <v>-490486.05040565296</v>
      </c>
      <c r="K44" s="536">
        <f>((-1*Fin!N240))-Fin!N242</f>
        <v>-240716.20521708249</v>
      </c>
    </row>
    <row r="45" spans="1:11">
      <c r="A45" t="s">
        <v>1205</v>
      </c>
      <c r="B45" s="536">
        <f>Fin!E252</f>
        <v>1538054.8510181967</v>
      </c>
      <c r="C45" s="536">
        <f>Fin!F252</f>
        <v>2212675.5560651449</v>
      </c>
      <c r="D45" s="536">
        <f>Fin!G252</f>
        <v>2601195.446389298</v>
      </c>
      <c r="E45" s="536">
        <f>Fin!H252</f>
        <v>2763146.4183520926</v>
      </c>
      <c r="F45" s="536">
        <f>Fin!I252</f>
        <v>2788895.7075841567</v>
      </c>
      <c r="G45" s="536">
        <f>Fin!J252</f>
        <v>2742562.6727185422</v>
      </c>
      <c r="H45" s="536">
        <f>Fin!K252</f>
        <v>2660800.5545722195</v>
      </c>
      <c r="I45" s="536">
        <f>Fin!L252</f>
        <v>2562726.7381674238</v>
      </c>
      <c r="J45" s="536">
        <f>Fin!M252</f>
        <v>2457883.2829133859</v>
      </c>
      <c r="K45" s="536">
        <f>Fin!N252</f>
        <v>1175460.8553345497</v>
      </c>
    </row>
    <row r="48" spans="1:11" s="405" customFormat="1">
      <c r="A48" s="405" t="s">
        <v>1192</v>
      </c>
    </row>
    <row r="50" spans="1:11">
      <c r="A50" t="s">
        <v>1190</v>
      </c>
      <c r="B50" t="s">
        <v>1193</v>
      </c>
    </row>
    <row r="51" spans="1:11">
      <c r="A51" t="s">
        <v>470</v>
      </c>
      <c r="B51" s="535">
        <f>MAX(Fin!D288:N288)</f>
        <v>10195820.909980277</v>
      </c>
    </row>
    <row r="52" spans="1:11">
      <c r="A52" t="s">
        <v>471</v>
      </c>
      <c r="B52" s="535">
        <f>MAX(Fin!D309:N309)</f>
        <v>0</v>
      </c>
    </row>
    <row r="53" spans="1:11">
      <c r="A53" t="s">
        <v>472</v>
      </c>
      <c r="B53" s="535">
        <f>MAX(Fin!D330:N330)</f>
        <v>0</v>
      </c>
    </row>
    <row r="54" spans="1:11">
      <c r="A54" t="s">
        <v>473</v>
      </c>
      <c r="B54" s="535">
        <f>MAX(Fin!D351:N351)</f>
        <v>0</v>
      </c>
    </row>
    <row r="56" spans="1:11">
      <c r="A56" t="s">
        <v>1204</v>
      </c>
    </row>
    <row r="57" spans="1:11">
      <c r="B57" s="516">
        <f>B64</f>
        <v>2021.325</v>
      </c>
      <c r="C57" s="516">
        <f t="shared" ref="C57:K57" si="3">C64</f>
        <v>2022.325</v>
      </c>
      <c r="D57" s="516">
        <f t="shared" si="3"/>
        <v>2023.325</v>
      </c>
      <c r="E57" s="516">
        <f t="shared" si="3"/>
        <v>2024.325</v>
      </c>
      <c r="F57" s="516">
        <f t="shared" si="3"/>
        <v>2025.325</v>
      </c>
      <c r="G57" s="516">
        <f t="shared" si="3"/>
        <v>2026.325</v>
      </c>
      <c r="H57" s="516">
        <f t="shared" si="3"/>
        <v>2027.325</v>
      </c>
      <c r="I57" s="516">
        <f t="shared" si="3"/>
        <v>2028.325</v>
      </c>
      <c r="J57" s="516">
        <f t="shared" si="3"/>
        <v>2029.325</v>
      </c>
      <c r="K57" s="516">
        <f t="shared" si="3"/>
        <v>2030.325</v>
      </c>
    </row>
    <row r="58" spans="1:11">
      <c r="A58" t="s">
        <v>470</v>
      </c>
      <c r="B58" s="536">
        <f>Fin!E288</f>
        <v>5172830.2164289132</v>
      </c>
      <c r="C58" s="536">
        <f>Fin!F288</f>
        <v>7580481.6524092536</v>
      </c>
      <c r="D58" s="536">
        <f>Fin!G288</f>
        <v>9084355.6243331432</v>
      </c>
      <c r="E58" s="536">
        <f>Fin!H288</f>
        <v>9844775.7533901464</v>
      </c>
      <c r="F58" s="536">
        <f>Fin!I288</f>
        <v>10145529.463960664</v>
      </c>
      <c r="G58" s="536">
        <f>Fin!J288</f>
        <v>10195820.909980277</v>
      </c>
      <c r="H58" s="536">
        <f>Fin!K288</f>
        <v>10118333.21277835</v>
      </c>
      <c r="I58" s="536">
        <f>Fin!L288</f>
        <v>9978503.2839428596</v>
      </c>
      <c r="J58" s="536">
        <f>Fin!M288</f>
        <v>9809721.0081130583</v>
      </c>
      <c r="K58" s="536">
        <f>Fin!N288</f>
        <v>4814324.1043416495</v>
      </c>
    </row>
    <row r="59" spans="1:11">
      <c r="A59" t="s">
        <v>471</v>
      </c>
      <c r="B59" s="536">
        <f>Fin!E309</f>
        <v>0</v>
      </c>
      <c r="C59" s="536">
        <f>Fin!F309</f>
        <v>0</v>
      </c>
      <c r="D59" s="536">
        <f>Fin!G309</f>
        <v>0</v>
      </c>
      <c r="E59" s="536">
        <f>Fin!H309</f>
        <v>0</v>
      </c>
      <c r="F59" s="536">
        <f>Fin!I309</f>
        <v>0</v>
      </c>
      <c r="G59" s="536">
        <f>Fin!J309</f>
        <v>0</v>
      </c>
      <c r="H59" s="536">
        <f>Fin!K309</f>
        <v>0</v>
      </c>
      <c r="I59" s="536">
        <f>Fin!L309</f>
        <v>0</v>
      </c>
      <c r="J59" s="536">
        <f>Fin!M309</f>
        <v>0</v>
      </c>
      <c r="K59" s="536">
        <f>Fin!N309</f>
        <v>0</v>
      </c>
    </row>
    <row r="60" spans="1:11">
      <c r="A60" t="s">
        <v>472</v>
      </c>
      <c r="B60" s="536">
        <f>Fin!E330</f>
        <v>0</v>
      </c>
      <c r="C60" s="536">
        <f>Fin!F330</f>
        <v>0</v>
      </c>
      <c r="D60" s="536">
        <f>Fin!G330</f>
        <v>0</v>
      </c>
      <c r="E60" s="536">
        <f>Fin!H330</f>
        <v>0</v>
      </c>
      <c r="F60" s="536">
        <f>Fin!I330</f>
        <v>0</v>
      </c>
      <c r="G60" s="536">
        <f>Fin!J330</f>
        <v>0</v>
      </c>
      <c r="H60" s="536">
        <f>Fin!K330</f>
        <v>0</v>
      </c>
      <c r="I60" s="536">
        <f>Fin!L330</f>
        <v>0</v>
      </c>
      <c r="J60" s="536">
        <f>Fin!M330</f>
        <v>0</v>
      </c>
      <c r="K60" s="536">
        <f>Fin!N330</f>
        <v>0</v>
      </c>
    </row>
    <row r="61" spans="1:11">
      <c r="A61" t="s">
        <v>473</v>
      </c>
      <c r="B61" s="536">
        <f>Fin!E351</f>
        <v>0</v>
      </c>
      <c r="C61" s="536">
        <f>Fin!F351</f>
        <v>0</v>
      </c>
      <c r="D61" s="536">
        <f>Fin!G351</f>
        <v>0</v>
      </c>
      <c r="E61" s="536">
        <f>Fin!H351</f>
        <v>0</v>
      </c>
      <c r="F61" s="536">
        <f>Fin!I351</f>
        <v>0</v>
      </c>
      <c r="G61" s="536">
        <f>Fin!J351</f>
        <v>0</v>
      </c>
      <c r="H61" s="536">
        <f>Fin!K351</f>
        <v>0</v>
      </c>
      <c r="I61" s="536">
        <f>Fin!L351</f>
        <v>0</v>
      </c>
      <c r="J61" s="536">
        <f>Fin!M351</f>
        <v>0</v>
      </c>
      <c r="K61" s="536">
        <f>Fin!N351</f>
        <v>0</v>
      </c>
    </row>
    <row r="63" spans="1:11">
      <c r="A63" t="s">
        <v>1206</v>
      </c>
    </row>
    <row r="64" spans="1:11">
      <c r="B64" s="516">
        <f>Fin!E360</f>
        <v>2021.325</v>
      </c>
      <c r="C64" s="516">
        <f>Fin!F360</f>
        <v>2022.325</v>
      </c>
      <c r="D64" s="516">
        <f>Fin!G360</f>
        <v>2023.325</v>
      </c>
      <c r="E64" s="516">
        <f>Fin!H360</f>
        <v>2024.325</v>
      </c>
      <c r="F64" s="516">
        <f>Fin!I360</f>
        <v>2025.325</v>
      </c>
      <c r="G64" s="516">
        <f>Fin!J360</f>
        <v>2026.325</v>
      </c>
      <c r="H64" s="516">
        <f>Fin!K360</f>
        <v>2027.325</v>
      </c>
      <c r="I64" s="516">
        <f>Fin!L360</f>
        <v>2028.325</v>
      </c>
      <c r="J64" s="516">
        <f>Fin!M360</f>
        <v>2029.325</v>
      </c>
      <c r="K64" s="516">
        <f>Fin!N360</f>
        <v>2030.325</v>
      </c>
    </row>
    <row r="65" spans="1:11">
      <c r="A65" t="s">
        <v>1194</v>
      </c>
      <c r="B65" s="536">
        <f>SUM(B58:B61)</f>
        <v>5172830.2164289132</v>
      </c>
      <c r="C65" s="536">
        <f t="shared" ref="C65:K65" si="4">SUM(C58:C61)</f>
        <v>7580481.6524092536</v>
      </c>
      <c r="D65" s="536">
        <f t="shared" si="4"/>
        <v>9084355.6243331432</v>
      </c>
      <c r="E65" s="536">
        <f t="shared" si="4"/>
        <v>9844775.7533901464</v>
      </c>
      <c r="F65" s="536">
        <f t="shared" si="4"/>
        <v>10145529.463960664</v>
      </c>
      <c r="G65" s="536">
        <f t="shared" si="4"/>
        <v>10195820.909980277</v>
      </c>
      <c r="H65" s="536">
        <f t="shared" si="4"/>
        <v>10118333.21277835</v>
      </c>
      <c r="I65" s="536">
        <f t="shared" si="4"/>
        <v>9978503.2839428596</v>
      </c>
      <c r="J65" s="536">
        <f t="shared" si="4"/>
        <v>9809721.0081130583</v>
      </c>
      <c r="K65" s="536">
        <f t="shared" si="4"/>
        <v>4814324.1043416495</v>
      </c>
    </row>
    <row r="66" spans="1:11">
      <c r="A66" t="s">
        <v>267</v>
      </c>
      <c r="B66" s="536">
        <f>(-1)*Fin!E367</f>
        <v>-2299035.6517461836</v>
      </c>
      <c r="C66" s="536">
        <f>(-1)*Fin!F367</f>
        <v>-3437860.1598227904</v>
      </c>
      <c r="D66" s="536">
        <f>(-1)*Fin!G367</f>
        <v>-4203968.5428909911</v>
      </c>
      <c r="E66" s="536">
        <f>(-1)*Fin!H367</f>
        <v>-4648845.1775999162</v>
      </c>
      <c r="F66" s="536">
        <f>(-1)*Fin!I367</f>
        <v>-4888638.1834827634</v>
      </c>
      <c r="G66" s="536">
        <f>(-1)*Fin!J367</f>
        <v>-5013133.8675172227</v>
      </c>
      <c r="H66" s="536">
        <f>(-1)*Fin!K367</f>
        <v>-5076565.6290579503</v>
      </c>
      <c r="I66" s="536">
        <f>(-1)*Fin!L367</f>
        <v>-5108581.8566272482</v>
      </c>
      <c r="J66" s="536">
        <f>(-1)*Fin!M367</f>
        <v>-5124665.609437298</v>
      </c>
      <c r="K66" s="536">
        <f>(-1)*Fin!N367</f>
        <v>-2566363.2325235675</v>
      </c>
    </row>
    <row r="67" spans="1:11">
      <c r="A67" t="s">
        <v>1197</v>
      </c>
      <c r="B67" s="536">
        <f>(-1)*Fin!E378</f>
        <v>-51728.302164289133</v>
      </c>
      <c r="C67" s="536">
        <f>(-1)*Fin!F378</f>
        <v>-75804.816524092545</v>
      </c>
      <c r="D67" s="536">
        <f>(-1)*Fin!G378</f>
        <v>-90843.556243331434</v>
      </c>
      <c r="E67" s="536">
        <f>(-1)*Fin!H378</f>
        <v>-98447.757533901473</v>
      </c>
      <c r="F67" s="536">
        <f>(-1)*Fin!I378</f>
        <v>-101455.29463960664</v>
      </c>
      <c r="G67" s="536">
        <f>(-1)*Fin!J378</f>
        <v>-101958.20909980277</v>
      </c>
      <c r="H67" s="536">
        <f>(-1)*Fin!K378</f>
        <v>-101183.33212778351</v>
      </c>
      <c r="I67" s="536">
        <f>(-1)*Fin!L378</f>
        <v>-99785.032839428604</v>
      </c>
      <c r="J67" s="536">
        <f>(-1)*Fin!M378</f>
        <v>-98097.210081130586</v>
      </c>
      <c r="K67" s="536">
        <f>(-1)*Fin!N378</f>
        <v>-48143.241043416492</v>
      </c>
    </row>
    <row r="68" spans="1:11">
      <c r="A68" t="s">
        <v>1398</v>
      </c>
      <c r="B68" s="536">
        <f>((-1)*Fin!E371)-Fin!E373</f>
        <v>-258641.51082144567</v>
      </c>
      <c r="C68" s="536">
        <f>((-1)*Fin!F371)-Fin!F373</f>
        <v>-379024.08262046269</v>
      </c>
      <c r="D68" s="536">
        <f>((-1)*Fin!G371)-Fin!G373</f>
        <v>-454217.7812166572</v>
      </c>
      <c r="E68" s="536">
        <f>((-1)*Fin!H371)-Fin!H373</f>
        <v>-492238.78766950732</v>
      </c>
      <c r="F68" s="536">
        <f>((-1)*Fin!I371)-Fin!I373</f>
        <v>-507276.47319803323</v>
      </c>
      <c r="G68" s="536">
        <f>((-1)*Fin!J371)-Fin!J373</f>
        <v>-509791.04549901385</v>
      </c>
      <c r="H68" s="536">
        <f>((-1)*Fin!K371)-Fin!K373</f>
        <v>-505916.66063891753</v>
      </c>
      <c r="I68" s="536">
        <f>((-1)*Fin!L371)-Fin!L373</f>
        <v>-498925.16419714299</v>
      </c>
      <c r="J68" s="536">
        <f>((-1)*Fin!M371)-Fin!M373</f>
        <v>-490486.05040565296</v>
      </c>
      <c r="K68" s="536">
        <f>((-1)*Fin!N371)-Fin!N373</f>
        <v>-240716.20521708249</v>
      </c>
    </row>
    <row r="69" spans="1:11">
      <c r="A69" t="s">
        <v>1205</v>
      </c>
      <c r="B69" s="536">
        <f>Fin!E383</f>
        <v>1538054.8510181967</v>
      </c>
      <c r="C69" s="536">
        <f>Fin!F383</f>
        <v>2212675.5560651449</v>
      </c>
      <c r="D69" s="536">
        <f>Fin!G383</f>
        <v>2601195.446389298</v>
      </c>
      <c r="E69" s="536">
        <f>Fin!H383</f>
        <v>2763146.4183520926</v>
      </c>
      <c r="F69" s="536">
        <f>Fin!I383</f>
        <v>2788895.7075841567</v>
      </c>
      <c r="G69" s="536">
        <f>Fin!J383</f>
        <v>2742562.6727185422</v>
      </c>
      <c r="H69" s="536">
        <f>Fin!K383</f>
        <v>2660800.5545722195</v>
      </c>
      <c r="I69" s="536">
        <f>Fin!L383</f>
        <v>2562726.7381674238</v>
      </c>
      <c r="J69" s="536">
        <f>Fin!M383</f>
        <v>2457883.2829133859</v>
      </c>
      <c r="K69" s="536">
        <f>Fin!N383</f>
        <v>1175460.8553345497</v>
      </c>
    </row>
    <row r="71" spans="1:11" s="1" customFormat="1">
      <c r="A71" s="1" t="s">
        <v>1213</v>
      </c>
    </row>
    <row r="73" spans="1:11">
      <c r="B73" t="s">
        <v>509</v>
      </c>
      <c r="C73" t="s">
        <v>510</v>
      </c>
      <c r="D73" t="s">
        <v>511</v>
      </c>
    </row>
    <row r="74" spans="1:11">
      <c r="A74" t="s">
        <v>490</v>
      </c>
      <c r="B74" s="536">
        <f>finScenario1EPV</f>
        <v>-63487171.701017223</v>
      </c>
      <c r="C74" s="536">
        <f>finScenario2EPV</f>
        <v>-63487171.701017223</v>
      </c>
      <c r="D74" s="536">
        <f>finScenario3EPV</f>
        <v>-63487171.701017223</v>
      </c>
    </row>
    <row r="76" spans="1:11">
      <c r="A76" t="s">
        <v>1214</v>
      </c>
    </row>
    <row r="77" spans="1:11">
      <c r="B77">
        <v>1</v>
      </c>
      <c r="C77">
        <v>2</v>
      </c>
      <c r="D77">
        <v>3</v>
      </c>
      <c r="E77">
        <v>4</v>
      </c>
      <c r="F77">
        <v>5</v>
      </c>
      <c r="G77">
        <v>6</v>
      </c>
      <c r="H77">
        <v>7</v>
      </c>
      <c r="I77">
        <v>8</v>
      </c>
      <c r="J77">
        <v>9</v>
      </c>
      <c r="K77">
        <v>10</v>
      </c>
    </row>
    <row r="78" spans="1:11">
      <c r="A78" t="s">
        <v>509</v>
      </c>
      <c r="B78" s="536">
        <f>Fin!E128</f>
        <v>330713.49721277523</v>
      </c>
      <c r="C78" s="536">
        <f>Fin!F128</f>
        <v>448840.42914573377</v>
      </c>
      <c r="D78" s="536">
        <f>Fin!G128</f>
        <v>497784.47842230863</v>
      </c>
      <c r="E78" s="536">
        <f>Fin!H128</f>
        <v>498845.89061465545</v>
      </c>
      <c r="F78" s="536">
        <f>Fin!I128</f>
        <v>474994.85869163211</v>
      </c>
      <c r="G78" s="536">
        <f>Fin!J128</f>
        <v>440663.75469049328</v>
      </c>
      <c r="H78" s="536">
        <f>Fin!K128</f>
        <v>403326.93576274364</v>
      </c>
      <c r="I78" s="536">
        <f>Fin!L128</f>
        <v>366472.45652915706</v>
      </c>
      <c r="J78" s="536">
        <f>Fin!M128</f>
        <v>331584.65924688638</v>
      </c>
      <c r="K78" s="536">
        <f>Fin!N128</f>
        <v>149601.33866639048</v>
      </c>
    </row>
    <row r="79" spans="1:11">
      <c r="A79" t="s">
        <v>510</v>
      </c>
      <c r="B79" s="536">
        <f>Fin!E259</f>
        <v>330713.49721277523</v>
      </c>
      <c r="C79" s="536">
        <f>Fin!F259</f>
        <v>448840.42914573377</v>
      </c>
      <c r="D79" s="536">
        <f>Fin!G259</f>
        <v>497784.47842230863</v>
      </c>
      <c r="E79" s="536">
        <f>Fin!H259</f>
        <v>498845.89061465545</v>
      </c>
      <c r="F79" s="536">
        <f>Fin!I259</f>
        <v>474994.85869163211</v>
      </c>
      <c r="G79" s="536">
        <f>Fin!J259</f>
        <v>440663.75469049328</v>
      </c>
      <c r="H79" s="536">
        <f>Fin!K259</f>
        <v>403326.93576274364</v>
      </c>
      <c r="I79" s="536">
        <f>Fin!L259</f>
        <v>366472.45652915706</v>
      </c>
      <c r="J79" s="536">
        <f>Fin!M259</f>
        <v>331584.65924688638</v>
      </c>
      <c r="K79" s="536">
        <f>Fin!N259</f>
        <v>149601.33866639048</v>
      </c>
    </row>
    <row r="80" spans="1:11">
      <c r="A80" t="s">
        <v>511</v>
      </c>
      <c r="B80" s="536">
        <f>Fin!E390</f>
        <v>330713.49721277523</v>
      </c>
      <c r="C80" s="536">
        <f>Fin!F390</f>
        <v>448840.42914573377</v>
      </c>
      <c r="D80" s="536">
        <f>Fin!G390</f>
        <v>497784.47842230863</v>
      </c>
      <c r="E80" s="536">
        <f>Fin!H390</f>
        <v>498845.89061465545</v>
      </c>
      <c r="F80" s="536">
        <f>Fin!I390</f>
        <v>474994.85869163211</v>
      </c>
      <c r="G80" s="536">
        <f>Fin!J390</f>
        <v>440663.75469049328</v>
      </c>
      <c r="H80" s="536">
        <f>Fin!K390</f>
        <v>403326.93576274364</v>
      </c>
      <c r="I80" s="536">
        <f>Fin!L390</f>
        <v>366472.45652915706</v>
      </c>
      <c r="J80" s="536">
        <f>Fin!M390</f>
        <v>331584.65924688638</v>
      </c>
      <c r="K80" s="536">
        <f>Fin!N390</f>
        <v>149601.33866639048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1864</vt:i4>
      </vt:variant>
    </vt:vector>
  </HeadingPairs>
  <TitlesOfParts>
    <vt:vector size="1889" baseType="lpstr">
      <vt:lpstr>Instructions</vt:lpstr>
      <vt:lpstr>Controls</vt:lpstr>
      <vt:lpstr>PopUp</vt:lpstr>
      <vt:lpstr>ClearAdj</vt:lpstr>
      <vt:lpstr>Dashboard</vt:lpstr>
      <vt:lpstr>DecErrorMessage</vt:lpstr>
      <vt:lpstr>SIs</vt:lpstr>
      <vt:lpstr>tlIntro</vt:lpstr>
      <vt:lpstr>tlPlan</vt:lpstr>
      <vt:lpstr>tlScenario1</vt:lpstr>
      <vt:lpstr>tlScenario2</vt:lpstr>
      <vt:lpstr>tlScenario3</vt:lpstr>
      <vt:lpstr>tlReport</vt:lpstr>
      <vt:lpstr>tlAction</vt:lpstr>
      <vt:lpstr>tlSIs</vt:lpstr>
      <vt:lpstr>Dec</vt:lpstr>
      <vt:lpstr>Calc</vt:lpstr>
      <vt:lpstr>Fin</vt:lpstr>
      <vt:lpstr>Cbal</vt:lpstr>
      <vt:lpstr>Obal</vt:lpstr>
      <vt:lpstr>param</vt:lpstr>
      <vt:lpstr>adj</vt:lpstr>
      <vt:lpstr>Glossary</vt:lpstr>
      <vt:lpstr>Data</vt:lpstr>
      <vt:lpstr>Graphs</vt:lpstr>
      <vt:lpstr>_6_months</vt:lpstr>
      <vt:lpstr>adj_CostCode</vt:lpstr>
      <vt:lpstr>adj_FTECode</vt:lpstr>
      <vt:lpstr>adj_IndexTeam</vt:lpstr>
      <vt:lpstr>calcAcquisitionTracker</vt:lpstr>
      <vt:lpstr>calcDBTriggerMetric1</vt:lpstr>
      <vt:lpstr>calcDBTriggerMetric2</vt:lpstr>
      <vt:lpstr>calcDBTriggerMetric3</vt:lpstr>
      <vt:lpstr>calcDBTriggerMetric4</vt:lpstr>
      <vt:lpstr>calcDBTriggerMetric5</vt:lpstr>
      <vt:lpstr>calcDBTriggerMetric6</vt:lpstr>
      <vt:lpstr>calcDBTriggerMetric7</vt:lpstr>
      <vt:lpstr>calcMatchFunc</vt:lpstr>
      <vt:lpstr>calcScenario1AverageCOGS</vt:lpstr>
      <vt:lpstr>calcScenario1AverageCompliance</vt:lpstr>
      <vt:lpstr>calcScenario1AverageDiscount</vt:lpstr>
      <vt:lpstr>calcScenario1AveragePenetration</vt:lpstr>
      <vt:lpstr>calcScenario1AveragePrice</vt:lpstr>
      <vt:lpstr>calcScenario1AverageSnM</vt:lpstr>
      <vt:lpstr>calcScenario1FTECostTrigger</vt:lpstr>
      <vt:lpstr>calcScenario1MultinationalTrialTrigger</vt:lpstr>
      <vt:lpstr>calcScenario1NumberofRegionsEntered</vt:lpstr>
      <vt:lpstr>calcScenario1Ph1FTECost</vt:lpstr>
      <vt:lpstr>calcScenario1Ph1PTS</vt:lpstr>
      <vt:lpstr>calcScenario1Ph1RnDCost</vt:lpstr>
      <vt:lpstr>calcScenario1Ph1TimeReq</vt:lpstr>
      <vt:lpstr>calcScenario1Ph2FTECost</vt:lpstr>
      <vt:lpstr>calcScenario1Ph2PTS</vt:lpstr>
      <vt:lpstr>calcScenario1Ph2RnDCost</vt:lpstr>
      <vt:lpstr>calcScenario1Ph2TimeReq</vt:lpstr>
      <vt:lpstr>calcScenario1Ph3FTECost</vt:lpstr>
      <vt:lpstr>calcScenario1Ph3PTS</vt:lpstr>
      <vt:lpstr>calcScenario1Ph3RnDCost</vt:lpstr>
      <vt:lpstr>calcScenario1Ph3TimeReq</vt:lpstr>
      <vt:lpstr>calcScenario1Reg1COGS</vt:lpstr>
      <vt:lpstr>calcScenario1Reg1Compliance</vt:lpstr>
      <vt:lpstr>calcScenario1Reg1Discount</vt:lpstr>
      <vt:lpstr>calcScenario1Reg1Penetration</vt:lpstr>
      <vt:lpstr>calcScenario1Reg1Price</vt:lpstr>
      <vt:lpstr>calcScenario1Reg1SnM</vt:lpstr>
      <vt:lpstr>calcScenario1Reg2COGS</vt:lpstr>
      <vt:lpstr>calcScenario1Reg2Compliance</vt:lpstr>
      <vt:lpstr>calcScenario1Reg2Discount</vt:lpstr>
      <vt:lpstr>calcScenario1Reg2Penetration</vt:lpstr>
      <vt:lpstr>calcScenario1Reg2Price</vt:lpstr>
      <vt:lpstr>calcScenario1Reg2SnM</vt:lpstr>
      <vt:lpstr>calcScenario1Reg3COGS</vt:lpstr>
      <vt:lpstr>calcScenario1Reg3Compliance</vt:lpstr>
      <vt:lpstr>calcScenario1Reg3Discount</vt:lpstr>
      <vt:lpstr>calcScenario1Reg3Penetration</vt:lpstr>
      <vt:lpstr>calcScenario1Reg3Price</vt:lpstr>
      <vt:lpstr>calcScenario1Reg3SnM</vt:lpstr>
      <vt:lpstr>calcScenario1Reg4COGS</vt:lpstr>
      <vt:lpstr>calcScenario1Reg4Compliance</vt:lpstr>
      <vt:lpstr>calcScenario1Reg4Discount</vt:lpstr>
      <vt:lpstr>calcScenario1Reg4Penetration</vt:lpstr>
      <vt:lpstr>calcScenario1Reg4Price</vt:lpstr>
      <vt:lpstr>calcScenario1Reg4SnM</vt:lpstr>
      <vt:lpstr>calcScenario1RegulatorySuccess</vt:lpstr>
      <vt:lpstr>calcScenario1ResearchFTECost</vt:lpstr>
      <vt:lpstr>calcScenario1ResearchPTS</vt:lpstr>
      <vt:lpstr>calcScenario1ResearchRnDCost</vt:lpstr>
      <vt:lpstr>calcScenario1ResearchTimeReq</vt:lpstr>
      <vt:lpstr>calcScenario1TotFTECost</vt:lpstr>
      <vt:lpstr>calcScenario1TotPOS</vt:lpstr>
      <vt:lpstr>calcScenario1TotRnDCost</vt:lpstr>
      <vt:lpstr>calcScenario1TotTimeReq</vt:lpstr>
      <vt:lpstr>calcScenario1TrialDurationPh1Trigger</vt:lpstr>
      <vt:lpstr>calcScenario1TrialDurationPh2Trigger</vt:lpstr>
      <vt:lpstr>calcScenario1TrialDurationPh3Trigger</vt:lpstr>
      <vt:lpstr>calcScenario2AverageCOGS</vt:lpstr>
      <vt:lpstr>calcScenario2AverageCompliance</vt:lpstr>
      <vt:lpstr>calcScenario2AverageDiscount</vt:lpstr>
      <vt:lpstr>calcScenario2AveragePenetration</vt:lpstr>
      <vt:lpstr>calcScenario2AveragePrice</vt:lpstr>
      <vt:lpstr>calcScenario2AverageSnM</vt:lpstr>
      <vt:lpstr>calcScenario2FTECostTrigger</vt:lpstr>
      <vt:lpstr>calcScenario2MultinationalTrialTrigger</vt:lpstr>
      <vt:lpstr>calcScenario2NumberofRegionsEntered</vt:lpstr>
      <vt:lpstr>calcScenario2Ph1FTECost</vt:lpstr>
      <vt:lpstr>calcScenario2Ph1PTS</vt:lpstr>
      <vt:lpstr>calcScenario2Ph1RnDCost</vt:lpstr>
      <vt:lpstr>calcScenario2Ph1TimeReq</vt:lpstr>
      <vt:lpstr>calcScenario2Ph2FTECost</vt:lpstr>
      <vt:lpstr>calcScenario2Ph2PTS</vt:lpstr>
      <vt:lpstr>calcScenario2Ph2RnDCost</vt:lpstr>
      <vt:lpstr>calcScenario2Ph2TimeReq</vt:lpstr>
      <vt:lpstr>calcScenario2Ph3FTECost</vt:lpstr>
      <vt:lpstr>calcScenario2Ph3PTS</vt:lpstr>
      <vt:lpstr>calcScenario2Ph3RnDCost</vt:lpstr>
      <vt:lpstr>calcScenario2Ph3TimeReq</vt:lpstr>
      <vt:lpstr>calcScenario2Reg1COGS</vt:lpstr>
      <vt:lpstr>calcScenario2Reg1Compliance</vt:lpstr>
      <vt:lpstr>calcScenario2Reg1Discount</vt:lpstr>
      <vt:lpstr>calcScenario2Reg1Penetration</vt:lpstr>
      <vt:lpstr>calcScenario2Reg1Price</vt:lpstr>
      <vt:lpstr>calcScenario2Reg1SnM</vt:lpstr>
      <vt:lpstr>calcScenario2Reg2COGS</vt:lpstr>
      <vt:lpstr>calcScenario2Reg2Compliance</vt:lpstr>
      <vt:lpstr>calcScenario2Reg2Discount</vt:lpstr>
      <vt:lpstr>calcScenario2Reg2Penetration</vt:lpstr>
      <vt:lpstr>calcScenario2Reg2Price</vt:lpstr>
      <vt:lpstr>calcScenario2Reg2SnM</vt:lpstr>
      <vt:lpstr>calcScenario2Reg3COGS</vt:lpstr>
      <vt:lpstr>calcScenario2Reg3Compliance</vt:lpstr>
      <vt:lpstr>calcScenario2Reg3Discount</vt:lpstr>
      <vt:lpstr>calcScenario2Reg3Penetration</vt:lpstr>
      <vt:lpstr>calcScenario2Reg3Price</vt:lpstr>
      <vt:lpstr>calcScenario2Reg3SnM</vt:lpstr>
      <vt:lpstr>calcScenario2Reg4COGS</vt:lpstr>
      <vt:lpstr>calcScenario2Reg4Compliance</vt:lpstr>
      <vt:lpstr>calcScenario2Reg4Discount</vt:lpstr>
      <vt:lpstr>calcScenario2Reg4Penetration</vt:lpstr>
      <vt:lpstr>calcScenario2Reg4Price</vt:lpstr>
      <vt:lpstr>calcScenario2Reg4SnM</vt:lpstr>
      <vt:lpstr>calcScenario2RegulatorySuccess</vt:lpstr>
      <vt:lpstr>calcScenario2ResearchFTECost</vt:lpstr>
      <vt:lpstr>calcScenario2ResearchPTS</vt:lpstr>
      <vt:lpstr>calcScenario2ResearchRnDCost</vt:lpstr>
      <vt:lpstr>calcScenario2ResearchTimeReq</vt:lpstr>
      <vt:lpstr>calcScenario2TotFTECost</vt:lpstr>
      <vt:lpstr>calcScenario2TotPOS</vt:lpstr>
      <vt:lpstr>calcScenario2TotRnDCost</vt:lpstr>
      <vt:lpstr>calcScenario2TotTimeReq</vt:lpstr>
      <vt:lpstr>calcScenario2TrialDurationPh1Trigger</vt:lpstr>
      <vt:lpstr>calcScenario2TrialDurationPh2Trigger</vt:lpstr>
      <vt:lpstr>calcScenario2TrialDurationPh3Trigger</vt:lpstr>
      <vt:lpstr>calcScenario3AverageCOGS</vt:lpstr>
      <vt:lpstr>calcScenario3AverageCompliance</vt:lpstr>
      <vt:lpstr>calcScenario3AverageDiscount</vt:lpstr>
      <vt:lpstr>calcScenario3AveragePenetration</vt:lpstr>
      <vt:lpstr>calcScenario3AveragePrice</vt:lpstr>
      <vt:lpstr>calcScenario3AverageSnM</vt:lpstr>
      <vt:lpstr>calcScenario3FTECostTrigger</vt:lpstr>
      <vt:lpstr>calcScenario3MultinationalTrialTrigger</vt:lpstr>
      <vt:lpstr>calcScenario3NumberofRegionsEntered</vt:lpstr>
      <vt:lpstr>calcScenario3Ph1FTECost</vt:lpstr>
      <vt:lpstr>calcScenario3Ph1PTS</vt:lpstr>
      <vt:lpstr>calcScenario3Ph1RnDCost</vt:lpstr>
      <vt:lpstr>calcScenario3Ph1TimeReq</vt:lpstr>
      <vt:lpstr>calcScenario3Ph2FTECost</vt:lpstr>
      <vt:lpstr>calcScenario3Ph2PTS</vt:lpstr>
      <vt:lpstr>calcScenario3Ph2RnDCost</vt:lpstr>
      <vt:lpstr>calcScenario3Ph2TimeReq</vt:lpstr>
      <vt:lpstr>calcScenario3Ph3FTECost</vt:lpstr>
      <vt:lpstr>calcScenario3Ph3PTS</vt:lpstr>
      <vt:lpstr>calcScenario3Ph3RnDCost</vt:lpstr>
      <vt:lpstr>calcScenario3Ph3TimeReq</vt:lpstr>
      <vt:lpstr>calcScenario3Reg1COGS</vt:lpstr>
      <vt:lpstr>calcScenario3Reg1Compliance</vt:lpstr>
      <vt:lpstr>calcScenario3Reg1Discount</vt:lpstr>
      <vt:lpstr>calcScenario3Reg1Penetration</vt:lpstr>
      <vt:lpstr>calcScenario3Reg1Price</vt:lpstr>
      <vt:lpstr>calcScenario3Reg1SnM</vt:lpstr>
      <vt:lpstr>calcScenario3Reg2COGS</vt:lpstr>
      <vt:lpstr>calcScenario3Reg2Compliance</vt:lpstr>
      <vt:lpstr>calcScenario3Reg2Discount</vt:lpstr>
      <vt:lpstr>calcScenario3Reg2Penetration</vt:lpstr>
      <vt:lpstr>calcScenario3Reg2Price</vt:lpstr>
      <vt:lpstr>calcScenario3Reg2SnM</vt:lpstr>
      <vt:lpstr>calcScenario3Reg3COGS</vt:lpstr>
      <vt:lpstr>calcScenario3Reg3Compliance</vt:lpstr>
      <vt:lpstr>calcScenario3Reg3Discount</vt:lpstr>
      <vt:lpstr>calcScenario3Reg3Penetration</vt:lpstr>
      <vt:lpstr>calcScenario3Reg3Price</vt:lpstr>
      <vt:lpstr>calcScenario3Reg3SnM</vt:lpstr>
      <vt:lpstr>calcScenario3Reg4COGS</vt:lpstr>
      <vt:lpstr>calcScenario3Reg4Compliance</vt:lpstr>
      <vt:lpstr>calcScenario3Reg4Discount</vt:lpstr>
      <vt:lpstr>calcScenario3Reg4Penetration</vt:lpstr>
      <vt:lpstr>calcScenario3Reg4Price</vt:lpstr>
      <vt:lpstr>calcScenario3Reg4SnM</vt:lpstr>
      <vt:lpstr>calcScenario3RegulatorySuccess</vt:lpstr>
      <vt:lpstr>calcScenario3ResearchFTECost</vt:lpstr>
      <vt:lpstr>calcScenario3ResearchPTS</vt:lpstr>
      <vt:lpstr>calcScenario3ResearchRnDCost</vt:lpstr>
      <vt:lpstr>calcScenario3ResearchTimeReq</vt:lpstr>
      <vt:lpstr>calcScenario3TotFTECost</vt:lpstr>
      <vt:lpstr>calcScenario3TotPOS</vt:lpstr>
      <vt:lpstr>calcScenario3TotRnDCost</vt:lpstr>
      <vt:lpstr>calcScenario3TotTimeReq</vt:lpstr>
      <vt:lpstr>calcScenario3TrialDurationPh1Trigger</vt:lpstr>
      <vt:lpstr>calcScenario3TrialDurationPh2Trigger</vt:lpstr>
      <vt:lpstr>calcScenario3TrialDurationPh3Trigger</vt:lpstr>
      <vt:lpstr>cbal_Paste</vt:lpstr>
      <vt:lpstr>cbalSI1CodeR1</vt:lpstr>
      <vt:lpstr>cbalSI1CodeR2</vt:lpstr>
      <vt:lpstr>cbalSI1CodeR3</vt:lpstr>
      <vt:lpstr>cbalSI2CodeR1</vt:lpstr>
      <vt:lpstr>cbalSI2CodeR2</vt:lpstr>
      <vt:lpstr>cbalSI2CodeR3</vt:lpstr>
      <vt:lpstr>cbalSI3CodeR1</vt:lpstr>
      <vt:lpstr>cbalSI3CodeR2</vt:lpstr>
      <vt:lpstr>cbalSI3CodeR3</vt:lpstr>
      <vt:lpstr>cbalSI4CodeR1</vt:lpstr>
      <vt:lpstr>cbalSI4CodeR2</vt:lpstr>
      <vt:lpstr>cbalSI4CodeR3</vt:lpstr>
      <vt:lpstr>cbalSI5CodeR1</vt:lpstr>
      <vt:lpstr>cbalSI5CodeR2</vt:lpstr>
      <vt:lpstr>cbalSI5CodeR3</vt:lpstr>
      <vt:lpstr>ClearAdjRange1</vt:lpstr>
      <vt:lpstr>ClearAdjRange10</vt:lpstr>
      <vt:lpstr>ClearAdjRange11</vt:lpstr>
      <vt:lpstr>ClearAdjRange12</vt:lpstr>
      <vt:lpstr>ClearAdjRange13</vt:lpstr>
      <vt:lpstr>ClearAdjRange14</vt:lpstr>
      <vt:lpstr>ClearAdjRange15</vt:lpstr>
      <vt:lpstr>ClearAdjRange16</vt:lpstr>
      <vt:lpstr>ClearAdjRange17</vt:lpstr>
      <vt:lpstr>ClearAdjRange18</vt:lpstr>
      <vt:lpstr>ClearAdjRange19</vt:lpstr>
      <vt:lpstr>ClearAdjRange2</vt:lpstr>
      <vt:lpstr>ClearAdjRange20</vt:lpstr>
      <vt:lpstr>ClearAdjRange21</vt:lpstr>
      <vt:lpstr>ClearAdjRange22</vt:lpstr>
      <vt:lpstr>ClearAdjRange23</vt:lpstr>
      <vt:lpstr>ClearAdjRange24</vt:lpstr>
      <vt:lpstr>ClearAdjRange25</vt:lpstr>
      <vt:lpstr>ClearAdjRange3</vt:lpstr>
      <vt:lpstr>ClearAdjRange4</vt:lpstr>
      <vt:lpstr>ClearAdjRange5</vt:lpstr>
      <vt:lpstr>ClearAdjRange6</vt:lpstr>
      <vt:lpstr>ClearAdjRange7</vt:lpstr>
      <vt:lpstr>ClearAdjRange8</vt:lpstr>
      <vt:lpstr>ClearAdjRange9</vt:lpstr>
      <vt:lpstr>cnstComma</vt:lpstr>
      <vt:lpstr>cnstDoubleQuote</vt:lpstr>
      <vt:lpstr>cnstMillion</vt:lpstr>
      <vt:lpstr>cnstSingleQuote</vt:lpstr>
      <vt:lpstr>core_FilePrefix</vt:lpstr>
      <vt:lpstr>datalist123</vt:lpstr>
      <vt:lpstr>datalistAcquire</vt:lpstr>
      <vt:lpstr>datalistAcquisition</vt:lpstr>
      <vt:lpstr>datalistAdmin</vt:lpstr>
      <vt:lpstr>datalistBiomarkers</vt:lpstr>
      <vt:lpstr>datalistComparator</vt:lpstr>
      <vt:lpstr>datalistDurationPh1</vt:lpstr>
      <vt:lpstr>datalistDurationPh2</vt:lpstr>
      <vt:lpstr>datalistDurationPh3</vt:lpstr>
      <vt:lpstr>datalistFormulation</vt:lpstr>
      <vt:lpstr>datalistFranchise</vt:lpstr>
      <vt:lpstr>datalistGlobalTrials</vt:lpstr>
      <vt:lpstr>datalistIndication</vt:lpstr>
      <vt:lpstr>datalistLMH</vt:lpstr>
      <vt:lpstr>datalistMetrics</vt:lpstr>
      <vt:lpstr>datalistSizePh1</vt:lpstr>
      <vt:lpstr>datalistSizePh2</vt:lpstr>
      <vt:lpstr>datalistSizePh3</vt:lpstr>
      <vt:lpstr>datalistTrueFalse</vt:lpstr>
      <vt:lpstr>datalistYesNo</vt:lpstr>
      <vt:lpstr>dataTableAcquisitionTracker</vt:lpstr>
      <vt:lpstr>datatableAddBiomarkerPTS</vt:lpstr>
      <vt:lpstr>datatableAddBiomarkerTTM</vt:lpstr>
      <vt:lpstr>datatableAddIndFTECost</vt:lpstr>
      <vt:lpstr>datatableAddIndicationSnM</vt:lpstr>
      <vt:lpstr>datatableAddIndPTS</vt:lpstr>
      <vt:lpstr>datatableAddIndRnDCost</vt:lpstr>
      <vt:lpstr>datatableAddIndTTM</vt:lpstr>
      <vt:lpstr>datatableBaselineCOGS</vt:lpstr>
      <vt:lpstr>datatableBaselineCompliance</vt:lpstr>
      <vt:lpstr>datatableBaselineDiscount</vt:lpstr>
      <vt:lpstr>datatableBaselinePenetration</vt:lpstr>
      <vt:lpstr>datatableBaselinePrice</vt:lpstr>
      <vt:lpstr>datatableBaselineSnM</vt:lpstr>
      <vt:lpstr>datatableComparatorFTECost</vt:lpstr>
      <vt:lpstr>datatableComparatorPTS</vt:lpstr>
      <vt:lpstr>datatableComparatorRnDCost</vt:lpstr>
      <vt:lpstr>datatableComparatorTTM</vt:lpstr>
      <vt:lpstr>datatableDosageCOGS</vt:lpstr>
      <vt:lpstr>datatableDosageCompliance</vt:lpstr>
      <vt:lpstr>datatableDosageFTECost</vt:lpstr>
      <vt:lpstr>datatableDosagePrice</vt:lpstr>
      <vt:lpstr>datatableDosagePTS</vt:lpstr>
      <vt:lpstr>datatableDosageRnDCost</vt:lpstr>
      <vt:lpstr>datatableDosageTTM</vt:lpstr>
      <vt:lpstr>datatableDurationPh1FTECost</vt:lpstr>
      <vt:lpstr>datatableDurationPh1PTS</vt:lpstr>
      <vt:lpstr>datatableDurationPh1RnDCost</vt:lpstr>
      <vt:lpstr>datatableDurationPh1TTM</vt:lpstr>
      <vt:lpstr>datatableDurationPh2FTECost</vt:lpstr>
      <vt:lpstr>datatableDurationPh2PTS</vt:lpstr>
      <vt:lpstr>datatableDurationPh2RnDCost</vt:lpstr>
      <vt:lpstr>datatableDurationPh2TTM</vt:lpstr>
      <vt:lpstr>datatableDurationPh3FTECost</vt:lpstr>
      <vt:lpstr>datatableDurationPh3PTS</vt:lpstr>
      <vt:lpstr>datatableDurationPh3RnDCost</vt:lpstr>
      <vt:lpstr>datatableDurationPh3TTM</vt:lpstr>
      <vt:lpstr>datatableFormulationAdminDefault</vt:lpstr>
      <vt:lpstr>datatableFormulationCOGS</vt:lpstr>
      <vt:lpstr>datatableFormulationCost</vt:lpstr>
      <vt:lpstr>datatableFormulationFTECost</vt:lpstr>
      <vt:lpstr>datatableFormulationPTS</vt:lpstr>
      <vt:lpstr>datatableFormulationTTM</vt:lpstr>
      <vt:lpstr>datatableFranchiseFTECost</vt:lpstr>
      <vt:lpstr>datatableFranchiseRnDCost</vt:lpstr>
      <vt:lpstr>datatableFranchiseTTM</vt:lpstr>
      <vt:lpstr>datatableGlobalTrialsFTECost</vt:lpstr>
      <vt:lpstr>datatableGlobalTrialsPTS</vt:lpstr>
      <vt:lpstr>datatableGlobalTrialsRnDCost</vt:lpstr>
      <vt:lpstr>datatableGlobalTrialsTTM</vt:lpstr>
      <vt:lpstr>datatableLOEDropOff</vt:lpstr>
      <vt:lpstr>datatableMAFTECost</vt:lpstr>
      <vt:lpstr>datatableMAPenetration</vt:lpstr>
      <vt:lpstr>datatableMAPrice</vt:lpstr>
      <vt:lpstr>datatableMAPTS</vt:lpstr>
      <vt:lpstr>datatableMARnDCost</vt:lpstr>
      <vt:lpstr>datatableMASnM</vt:lpstr>
      <vt:lpstr>datatableMATTM</vt:lpstr>
      <vt:lpstr>datatableP2bTrialsFTECost</vt:lpstr>
      <vt:lpstr>datatableP2bTrialsPTS</vt:lpstr>
      <vt:lpstr>datatableP2bTrialsRnDCost</vt:lpstr>
      <vt:lpstr>datatableP2bTrialsTTM</vt:lpstr>
      <vt:lpstr>datatablePrimaryEPFTECost</vt:lpstr>
      <vt:lpstr>datatablePrimaryEPPenetration</vt:lpstr>
      <vt:lpstr>datatablePrimaryEPPrice</vt:lpstr>
      <vt:lpstr>datatablePrimaryEPPTS</vt:lpstr>
      <vt:lpstr>datatablePrimaryEPRnDCost</vt:lpstr>
      <vt:lpstr>datatablePrimaryEPSnM</vt:lpstr>
      <vt:lpstr>datatablePrimaryEPTTM</vt:lpstr>
      <vt:lpstr>datatableReg12PTS</vt:lpstr>
      <vt:lpstr>datatableReg34PTS</vt:lpstr>
      <vt:lpstr>datatableSecondaryEPPenetration</vt:lpstr>
      <vt:lpstr>datatableSecondaryEPPrice</vt:lpstr>
      <vt:lpstr>datatableSecondaryEPPTS</vt:lpstr>
      <vt:lpstr>datatableSecondaryEPSnM</vt:lpstr>
      <vt:lpstr>datatableSecondaryEPTTM</vt:lpstr>
      <vt:lpstr>datatableSizePh1FTECost</vt:lpstr>
      <vt:lpstr>datatableSizePh1PTS</vt:lpstr>
      <vt:lpstr>datatableSizePh1RnDCost</vt:lpstr>
      <vt:lpstr>datatableSizePh1TTM</vt:lpstr>
      <vt:lpstr>datatableSizePh2FTECost</vt:lpstr>
      <vt:lpstr>datatableSizePh2PTS</vt:lpstr>
      <vt:lpstr>datatableSizePh2RnDCost</vt:lpstr>
      <vt:lpstr>datatableSizePh2TTM</vt:lpstr>
      <vt:lpstr>datatableSizePh3FTECost</vt:lpstr>
      <vt:lpstr>datatableSizePh3PTS</vt:lpstr>
      <vt:lpstr>datatableSizePh3RnDCost</vt:lpstr>
      <vt:lpstr>datatableSizePh3TTM</vt:lpstr>
      <vt:lpstr>DB_ArrayDash1Names</vt:lpstr>
      <vt:lpstr>DB_ArrayDash1Values</vt:lpstr>
      <vt:lpstr>DB_ArrayDash2Names</vt:lpstr>
      <vt:lpstr>DB_ArrayDash2Values</vt:lpstr>
      <vt:lpstr>DB_ArrayDash3Names</vt:lpstr>
      <vt:lpstr>DB_ArrayDash3Values</vt:lpstr>
      <vt:lpstr>DB_ArrayDash4Names</vt:lpstr>
      <vt:lpstr>DB_ArrayDash4Values</vt:lpstr>
      <vt:lpstr>DB_ArrayDash5Names</vt:lpstr>
      <vt:lpstr>DB_ArrayDash5Values</vt:lpstr>
      <vt:lpstr>DB_Dashboard1</vt:lpstr>
      <vt:lpstr>DB_Dashboard2</vt:lpstr>
      <vt:lpstr>DB_Dashboard3</vt:lpstr>
      <vt:lpstr>DB_Dashboard4</vt:lpstr>
      <vt:lpstr>DB_Dashboard5</vt:lpstr>
      <vt:lpstr>DB_LargeWhiteSpace</vt:lpstr>
      <vt:lpstr>DB_LargeWhiteSpaceLength</vt:lpstr>
      <vt:lpstr>DB_SubWhiteSpace</vt:lpstr>
      <vt:lpstr>DB_SubWhiteSpaceLength</vt:lpstr>
      <vt:lpstr>DB_WhiteSpace</vt:lpstr>
      <vt:lpstr>DB_WhiteSpaceLength</vt:lpstr>
      <vt:lpstr>dec_End</vt:lpstr>
      <vt:lpstr>dec_ErrorCheck</vt:lpstr>
      <vt:lpstr>dec_ErrorMessage</vt:lpstr>
      <vt:lpstr>dec_FormulaReset</vt:lpstr>
      <vt:lpstr>dec_LineBreak</vt:lpstr>
      <vt:lpstr>dec_Names</vt:lpstr>
      <vt:lpstr>dec_Paste</vt:lpstr>
      <vt:lpstr>dec_PasteY1</vt:lpstr>
      <vt:lpstr>dec_PasteY2</vt:lpstr>
      <vt:lpstr>dec_PasteY3</vt:lpstr>
      <vt:lpstr>dec_Round</vt:lpstr>
      <vt:lpstr>dec_TeamName</vt:lpstr>
      <vt:lpstr>dec_TeamNumber</vt:lpstr>
      <vt:lpstr>dec_ToolInputPrefix</vt:lpstr>
      <vt:lpstr>dec_ToolReset</vt:lpstr>
      <vt:lpstr>dec_ToolResetR0</vt:lpstr>
      <vt:lpstr>dec_ToolResetValues</vt:lpstr>
      <vt:lpstr>decActionAccountable1</vt:lpstr>
      <vt:lpstr>decActionAccountable2</vt:lpstr>
      <vt:lpstr>decActionAccountable3</vt:lpstr>
      <vt:lpstr>decActionAccountable4</vt:lpstr>
      <vt:lpstr>decActionAccountable5</vt:lpstr>
      <vt:lpstr>decActionAsExpected1</vt:lpstr>
      <vt:lpstr>decActionAsExpected2</vt:lpstr>
      <vt:lpstr>decActionAsExpected3</vt:lpstr>
      <vt:lpstr>decActionAsExpected4</vt:lpstr>
      <vt:lpstr>decActionAsExpected5</vt:lpstr>
      <vt:lpstr>decActionAsExpected6</vt:lpstr>
      <vt:lpstr>decActionAsExpectedInsight1</vt:lpstr>
      <vt:lpstr>decActionAsExpectedInsight2</vt:lpstr>
      <vt:lpstr>decActionAsExpectedInsight3</vt:lpstr>
      <vt:lpstr>decActionAsExpectedInsight4</vt:lpstr>
      <vt:lpstr>decActionAsExpectedInsight5</vt:lpstr>
      <vt:lpstr>decActionAsExpectedInsight6</vt:lpstr>
      <vt:lpstr>decActionCommitment1</vt:lpstr>
      <vt:lpstr>decActionCommitment2</vt:lpstr>
      <vt:lpstr>decActionCommitment3</vt:lpstr>
      <vt:lpstr>decActionCommitment4</vt:lpstr>
      <vt:lpstr>decActionCommitment5</vt:lpstr>
      <vt:lpstr>decActionCompletionDate1</vt:lpstr>
      <vt:lpstr>decActionCompletionDate2</vt:lpstr>
      <vt:lpstr>decActionCompletionDate3</vt:lpstr>
      <vt:lpstr>decActionCompletionDate4</vt:lpstr>
      <vt:lpstr>decActionCompletionDate5</vt:lpstr>
      <vt:lpstr>decActionOutcome1</vt:lpstr>
      <vt:lpstr>decActionOutcome2</vt:lpstr>
      <vt:lpstr>decActionOutcome3</vt:lpstr>
      <vt:lpstr>decActionOutcome4</vt:lpstr>
      <vt:lpstr>decActionOutcome5</vt:lpstr>
      <vt:lpstr>decPlanCurrentStage</vt:lpstr>
      <vt:lpstr>decPlanDiseaseArea</vt:lpstr>
      <vt:lpstr>decPlanDrugAdministration</vt:lpstr>
      <vt:lpstr>decPlanFormulation</vt:lpstr>
      <vt:lpstr>decPlanInLicenseCost</vt:lpstr>
      <vt:lpstr>decPlanInLicenseStage</vt:lpstr>
      <vt:lpstr>decPlanLOEDate</vt:lpstr>
      <vt:lpstr>decPlanProjectName</vt:lpstr>
      <vt:lpstr>decPlanProjectStartDate</vt:lpstr>
      <vt:lpstr>decPlanQ1Metric1</vt:lpstr>
      <vt:lpstr>decPlanQ1Metric2</vt:lpstr>
      <vt:lpstr>decPlanQ1Metric3</vt:lpstr>
      <vt:lpstr>decPlanQ1Notes</vt:lpstr>
      <vt:lpstr>decPlanQ2Notes</vt:lpstr>
      <vt:lpstr>decPlanQ3Notes</vt:lpstr>
      <vt:lpstr>decPlanQ4Assumption1</vt:lpstr>
      <vt:lpstr>decPlanQ4Assumption2</vt:lpstr>
      <vt:lpstr>decPlanQ4Assumption3</vt:lpstr>
      <vt:lpstr>decPlanQ4Notes</vt:lpstr>
      <vt:lpstr>decPlanQ5</vt:lpstr>
      <vt:lpstr>decPlanQ6</vt:lpstr>
      <vt:lpstr>decPlanTargetIndication</vt:lpstr>
      <vt:lpstr>decPlanTargetLaunchDate</vt:lpstr>
      <vt:lpstr>decRound</vt:lpstr>
      <vt:lpstr>decScenario1AddBiomarker</vt:lpstr>
      <vt:lpstr>decScenario1AddIndication</vt:lpstr>
      <vt:lpstr>decScenario1Administration</vt:lpstr>
      <vt:lpstr>decScenario1COGS</vt:lpstr>
      <vt:lpstr>decScenario1Comparator</vt:lpstr>
      <vt:lpstr>decScenario1Compliance</vt:lpstr>
      <vt:lpstr>decScenario1DDFrequency</vt:lpstr>
      <vt:lpstr>decScenario1DiscountRate</vt:lpstr>
      <vt:lpstr>decScenario1EnterRegion1</vt:lpstr>
      <vt:lpstr>decScenario1EnterRegion2</vt:lpstr>
      <vt:lpstr>decScenario1EnterRegion3</vt:lpstr>
      <vt:lpstr>decScenario1EnterRegion4</vt:lpstr>
      <vt:lpstr>decScenario1EPVRate</vt:lpstr>
      <vt:lpstr>decScenario1MAEffort</vt:lpstr>
      <vt:lpstr>decScenario1MNTrialsPh2</vt:lpstr>
      <vt:lpstr>decScenario1MNTrialsPh3</vt:lpstr>
      <vt:lpstr>decScenario1NPVRate</vt:lpstr>
      <vt:lpstr>decScenario1ObservationPh1</vt:lpstr>
      <vt:lpstr>decScenario1ObservationPh2</vt:lpstr>
      <vt:lpstr>decScenario1ObservationPh3</vt:lpstr>
      <vt:lpstr>decScenario1PatPopRegion1</vt:lpstr>
      <vt:lpstr>decScenario1PatPopRegion2</vt:lpstr>
      <vt:lpstr>decScenario1PatPopRegion3</vt:lpstr>
      <vt:lpstr>decScenario1PatPopRegion4</vt:lpstr>
      <vt:lpstr>decScenario1PeakMSRegion1</vt:lpstr>
      <vt:lpstr>decScenario1PeakMSRegion2</vt:lpstr>
      <vt:lpstr>decScenario1PeakMSRegion3</vt:lpstr>
      <vt:lpstr>decScenario1PeakMSRegion4</vt:lpstr>
      <vt:lpstr>decScenario1Penetration</vt:lpstr>
      <vt:lpstr>decScenario1Ph1FTECost</vt:lpstr>
      <vt:lpstr>decScenario1Ph1PTS</vt:lpstr>
      <vt:lpstr>decScenario1Ph1RnDCost</vt:lpstr>
      <vt:lpstr>decScenario1Ph1TimeReq</vt:lpstr>
      <vt:lpstr>decScenario1Ph2bStudy</vt:lpstr>
      <vt:lpstr>decScenario1Ph2FTECost</vt:lpstr>
      <vt:lpstr>decScenario1Ph2PTS</vt:lpstr>
      <vt:lpstr>decScenario1Ph2RnDCost</vt:lpstr>
      <vt:lpstr>decScenario1Ph2TimeReq</vt:lpstr>
      <vt:lpstr>decScenario1Ph3FTECost</vt:lpstr>
      <vt:lpstr>decScenario1Ph3PTS</vt:lpstr>
      <vt:lpstr>decScenario1Ph3RnDCost</vt:lpstr>
      <vt:lpstr>decScenario1Ph3TimeReq</vt:lpstr>
      <vt:lpstr>decScenario1PriceRegion1</vt:lpstr>
      <vt:lpstr>decScenario1PriceRegion2</vt:lpstr>
      <vt:lpstr>decScenario1PriceRegion3</vt:lpstr>
      <vt:lpstr>decScenario1PriceRegion4</vt:lpstr>
      <vt:lpstr>decScenario1PrimaryEndpoint</vt:lpstr>
      <vt:lpstr>decScenario1Region1SnM</vt:lpstr>
      <vt:lpstr>decScenario1Region2SnM</vt:lpstr>
      <vt:lpstr>decScenario1Region3SnM</vt:lpstr>
      <vt:lpstr>decScenario1Region4SnM</vt:lpstr>
      <vt:lpstr>decScenario1RegulatorySuccess</vt:lpstr>
      <vt:lpstr>decScenario1ResearchFTECost</vt:lpstr>
      <vt:lpstr>decScenario1ResearchPTS</vt:lpstr>
      <vt:lpstr>decScenario1ResearchRnDCost</vt:lpstr>
      <vt:lpstr>decScenario1ResearchTimeReq</vt:lpstr>
      <vt:lpstr>decScenario1Royalty</vt:lpstr>
      <vt:lpstr>decScenario1SecondaryEndpoint</vt:lpstr>
      <vt:lpstr>decScenario1TrialSizePh1</vt:lpstr>
      <vt:lpstr>decScenario1TrialSizePh2</vt:lpstr>
      <vt:lpstr>decScenario1TrialSizePh3</vt:lpstr>
      <vt:lpstr>decScenario2AddBiomarker</vt:lpstr>
      <vt:lpstr>decScenario2AddIndication</vt:lpstr>
      <vt:lpstr>decScenario2Administration</vt:lpstr>
      <vt:lpstr>decScenario2COGS</vt:lpstr>
      <vt:lpstr>decScenario2Comparator</vt:lpstr>
      <vt:lpstr>decScenario2Compliance</vt:lpstr>
      <vt:lpstr>decScenario2DDFrequency</vt:lpstr>
      <vt:lpstr>decScenario2DiscountRate</vt:lpstr>
      <vt:lpstr>decScenario2EnterRegion1</vt:lpstr>
      <vt:lpstr>decScenario2EnterRegion2</vt:lpstr>
      <vt:lpstr>decScenario2EnterRegion3</vt:lpstr>
      <vt:lpstr>decScenario2EnterRegion4</vt:lpstr>
      <vt:lpstr>decScenario2EPVRate</vt:lpstr>
      <vt:lpstr>decScenario2MAEffort</vt:lpstr>
      <vt:lpstr>decScenario2MNTrialsPh2</vt:lpstr>
      <vt:lpstr>decScenario2MNTrialsPh3</vt:lpstr>
      <vt:lpstr>decScenario2NPVRate</vt:lpstr>
      <vt:lpstr>decScenario2ObservationPh1</vt:lpstr>
      <vt:lpstr>decScenario2ObservationPh2</vt:lpstr>
      <vt:lpstr>decScenario2ObservationPh3</vt:lpstr>
      <vt:lpstr>decScenario2PatPopRegion1</vt:lpstr>
      <vt:lpstr>decScenario2PatPopRegion2</vt:lpstr>
      <vt:lpstr>decScenario2PatPopRegion3</vt:lpstr>
      <vt:lpstr>decScenario2PatPopRegion4</vt:lpstr>
      <vt:lpstr>decScenario2PeakMSRegion1</vt:lpstr>
      <vt:lpstr>decScenario2PeakMSRegion2</vt:lpstr>
      <vt:lpstr>decScenario2PeakMSRegion3</vt:lpstr>
      <vt:lpstr>decScenario2PeakMSRegion4</vt:lpstr>
      <vt:lpstr>decScenario2Penetration</vt:lpstr>
      <vt:lpstr>decScenario2Ph1FTECost</vt:lpstr>
      <vt:lpstr>decScenario2Ph1PTS</vt:lpstr>
      <vt:lpstr>decScenario2Ph1RnDCost</vt:lpstr>
      <vt:lpstr>decScenario2Ph1TimeReq</vt:lpstr>
      <vt:lpstr>decScenario2Ph2bStudy</vt:lpstr>
      <vt:lpstr>decScenario2Ph2FTECost</vt:lpstr>
      <vt:lpstr>decScenario2Ph2PTS</vt:lpstr>
      <vt:lpstr>decScenario2Ph2RnDCost</vt:lpstr>
      <vt:lpstr>decScenario2Ph2TimeReq</vt:lpstr>
      <vt:lpstr>decScenario2Ph3FTECost</vt:lpstr>
      <vt:lpstr>decScenario2Ph3PTS</vt:lpstr>
      <vt:lpstr>decScenario2Ph3RnDCost</vt:lpstr>
      <vt:lpstr>decScenario2Ph3TimeReq</vt:lpstr>
      <vt:lpstr>decScenario2PriceRegion1</vt:lpstr>
      <vt:lpstr>decScenario2PriceRegion2</vt:lpstr>
      <vt:lpstr>decScenario2PriceRegion3</vt:lpstr>
      <vt:lpstr>decScenario2PriceRegion4</vt:lpstr>
      <vt:lpstr>decScenario2PrimaryEndpoint</vt:lpstr>
      <vt:lpstr>decScenario2Region1SnM</vt:lpstr>
      <vt:lpstr>decScenario2Region2SnM</vt:lpstr>
      <vt:lpstr>decScenario2Region3SnM</vt:lpstr>
      <vt:lpstr>decScenario2Region4SnM</vt:lpstr>
      <vt:lpstr>decScenario2RegulatorySuccess</vt:lpstr>
      <vt:lpstr>decScenario2ResearchFTECost</vt:lpstr>
      <vt:lpstr>decScenario2ResearchPTS</vt:lpstr>
      <vt:lpstr>decScenario2ResearchRnDCost</vt:lpstr>
      <vt:lpstr>decScenario2ResearchTimeReq</vt:lpstr>
      <vt:lpstr>decScenario2Royalty</vt:lpstr>
      <vt:lpstr>decScenario2SecondaryEndpoint</vt:lpstr>
      <vt:lpstr>decScenario2TrialSizePh1</vt:lpstr>
      <vt:lpstr>decScenario2TrialSizePh2</vt:lpstr>
      <vt:lpstr>decScenario2TrialSizePh3</vt:lpstr>
      <vt:lpstr>decScenario3AddBiomarker</vt:lpstr>
      <vt:lpstr>decScenario3AddIndication</vt:lpstr>
      <vt:lpstr>decScenario3Administration</vt:lpstr>
      <vt:lpstr>decScenario3COGS</vt:lpstr>
      <vt:lpstr>decScenario3Comparator</vt:lpstr>
      <vt:lpstr>decScenario3Compliance</vt:lpstr>
      <vt:lpstr>decScenario3DDFrequency</vt:lpstr>
      <vt:lpstr>decScenario3DiscountRate</vt:lpstr>
      <vt:lpstr>decScenario3EnterRegion1</vt:lpstr>
      <vt:lpstr>decScenario3EnterRegion2</vt:lpstr>
      <vt:lpstr>decScenario3EnterRegion3</vt:lpstr>
      <vt:lpstr>decScenario3EnterRegion4</vt:lpstr>
      <vt:lpstr>decScenario3EPVRate</vt:lpstr>
      <vt:lpstr>decScenario3MAEffort</vt:lpstr>
      <vt:lpstr>decScenario3MNTrialsPh2</vt:lpstr>
      <vt:lpstr>decScenario3MNTrialsPh3</vt:lpstr>
      <vt:lpstr>decScenario3NPVRate</vt:lpstr>
      <vt:lpstr>decScenario3ObservationPh1</vt:lpstr>
      <vt:lpstr>decScenario3ObservationPh2</vt:lpstr>
      <vt:lpstr>decScenario3ObservationPh3</vt:lpstr>
      <vt:lpstr>decScenario3PatPopRegion1</vt:lpstr>
      <vt:lpstr>decScenario3PatPopRegion2</vt:lpstr>
      <vt:lpstr>decScenario3PatPopRegion3</vt:lpstr>
      <vt:lpstr>decScenario3PatPopRegion4</vt:lpstr>
      <vt:lpstr>decScenario3PeakMSRegion1</vt:lpstr>
      <vt:lpstr>decScenario3PeakMSRegion2</vt:lpstr>
      <vt:lpstr>decScenario3PeakMSRegion3</vt:lpstr>
      <vt:lpstr>decScenario3PeakMSRegion4</vt:lpstr>
      <vt:lpstr>decScenario3Penetration</vt:lpstr>
      <vt:lpstr>decScenario3Ph1FTECost</vt:lpstr>
      <vt:lpstr>decScenario3Ph1PTS</vt:lpstr>
      <vt:lpstr>decScenario3Ph1RnDCost</vt:lpstr>
      <vt:lpstr>decScenario3Ph1TimeReq</vt:lpstr>
      <vt:lpstr>decScenario3Ph2bStudy</vt:lpstr>
      <vt:lpstr>decScenario3Ph2FTECost</vt:lpstr>
      <vt:lpstr>decScenario3Ph2PTS</vt:lpstr>
      <vt:lpstr>decScenario3Ph2RnDCost</vt:lpstr>
      <vt:lpstr>decScenario3Ph2TimeReq</vt:lpstr>
      <vt:lpstr>decScenario3Ph3FTECost</vt:lpstr>
      <vt:lpstr>decScenario3Ph3PTS</vt:lpstr>
      <vt:lpstr>decScenario3Ph3RnDCost</vt:lpstr>
      <vt:lpstr>decScenario3Ph3TimeReq</vt:lpstr>
      <vt:lpstr>decScenario3PriceRegion1</vt:lpstr>
      <vt:lpstr>decScenario3PriceRegion2</vt:lpstr>
      <vt:lpstr>decScenario3PriceRegion3</vt:lpstr>
      <vt:lpstr>decScenario3PriceRegion4</vt:lpstr>
      <vt:lpstr>decScenario3PrimaryEndpoint</vt:lpstr>
      <vt:lpstr>decScenario3Region1SnM</vt:lpstr>
      <vt:lpstr>decScenario3Region2SnM</vt:lpstr>
      <vt:lpstr>decScenario3Region3SnM</vt:lpstr>
      <vt:lpstr>decScenario3Region4SnM</vt:lpstr>
      <vt:lpstr>decScenario3RegulatorySuccess</vt:lpstr>
      <vt:lpstr>decScenario3ResearchFTECost</vt:lpstr>
      <vt:lpstr>decScenario3ResearchPTS</vt:lpstr>
      <vt:lpstr>decScenario3ResearchRnDCost</vt:lpstr>
      <vt:lpstr>decScenario3ResearchTimeReq</vt:lpstr>
      <vt:lpstr>decScenario3Royalty</vt:lpstr>
      <vt:lpstr>decScenario3SecondaryEndpoint</vt:lpstr>
      <vt:lpstr>decScenario3TrialSizePh1</vt:lpstr>
      <vt:lpstr>decScenario3TrialSizePh2</vt:lpstr>
      <vt:lpstr>decScenario3TrialSizePh3</vt:lpstr>
      <vt:lpstr>decSI01</vt:lpstr>
      <vt:lpstr>decSI02</vt:lpstr>
      <vt:lpstr>decSI03</vt:lpstr>
      <vt:lpstr>decSI04</vt:lpstr>
      <vt:lpstr>decSI05</vt:lpstr>
      <vt:lpstr>decTeamName</vt:lpstr>
      <vt:lpstr>decTeamNumber</vt:lpstr>
      <vt:lpstr>feedback_FeedbackFileName</vt:lpstr>
      <vt:lpstr>feedback_FeedbackSheetName</vt:lpstr>
      <vt:lpstr>feedback_TimeSeriesFeedbackSheetName</vt:lpstr>
      <vt:lpstr>finScenario1Breakeven</vt:lpstr>
      <vt:lpstr>finScenario1EPV</vt:lpstr>
      <vt:lpstr>finScenario1InLicenseCost</vt:lpstr>
      <vt:lpstr>finScenario1IRR</vt:lpstr>
      <vt:lpstr>finScenario1LaunchDate</vt:lpstr>
      <vt:lpstr>finScenario1NPV</vt:lpstr>
      <vt:lpstr>finScenario1PeakSales</vt:lpstr>
      <vt:lpstr>finScenario1POS</vt:lpstr>
      <vt:lpstr>finScenario1RnDCost</vt:lpstr>
      <vt:lpstr>finScenario1ROI</vt:lpstr>
      <vt:lpstr>finScenario1Yr1MS</vt:lpstr>
      <vt:lpstr>finScenario2Breakeven</vt:lpstr>
      <vt:lpstr>finScenario2EPV</vt:lpstr>
      <vt:lpstr>finScenario2InLicenseCost</vt:lpstr>
      <vt:lpstr>finScenario2IRR</vt:lpstr>
      <vt:lpstr>finScenario2LaunchDate</vt:lpstr>
      <vt:lpstr>finScenario2NPV</vt:lpstr>
      <vt:lpstr>finScenario2PeakSales</vt:lpstr>
      <vt:lpstr>finScenario2POS</vt:lpstr>
      <vt:lpstr>finScenario2RnDCost</vt:lpstr>
      <vt:lpstr>finScenario2ROI</vt:lpstr>
      <vt:lpstr>finScenario2Yr1MS</vt:lpstr>
      <vt:lpstr>finScenario3Breakeven</vt:lpstr>
      <vt:lpstr>finScenario3EPV</vt:lpstr>
      <vt:lpstr>finScenario3InLicenseCost</vt:lpstr>
      <vt:lpstr>finScenario3IRR</vt:lpstr>
      <vt:lpstr>finScenario3LaunchDate</vt:lpstr>
      <vt:lpstr>finScenario3NPV</vt:lpstr>
      <vt:lpstr>finScenario3PeakSales</vt:lpstr>
      <vt:lpstr>finScenario3POS</vt:lpstr>
      <vt:lpstr>finScenario3RnDCost</vt:lpstr>
      <vt:lpstr>finScenario3ROI</vt:lpstr>
      <vt:lpstr>finScenario3Yr1MS</vt:lpstr>
      <vt:lpstr>glossary_Language</vt:lpstr>
      <vt:lpstr>HideRows</vt:lpstr>
      <vt:lpstr>hood_OnHoodCloseGoTo</vt:lpstr>
      <vt:lpstr>hood_ToolPrefix</vt:lpstr>
      <vt:lpstr>nmCOGS</vt:lpstr>
      <vt:lpstr>nmForecast</vt:lpstr>
      <vt:lpstr>nmGrossMargin</vt:lpstr>
      <vt:lpstr>nmGrossProfit</vt:lpstr>
      <vt:lpstr>nmInitiatives</vt:lpstr>
      <vt:lpstr>nmMarketing</vt:lpstr>
      <vt:lpstr>nmMillion</vt:lpstr>
      <vt:lpstr>nmPrice</vt:lpstr>
      <vt:lpstr>nmProd1</vt:lpstr>
      <vt:lpstr>nmProd1Seg1</vt:lpstr>
      <vt:lpstr>nmProd1Seg2</vt:lpstr>
      <vt:lpstr>nmProd1Seg3</vt:lpstr>
      <vt:lpstr>nmProgramSubtitle</vt:lpstr>
      <vt:lpstr>nmProgramTitle</vt:lpstr>
      <vt:lpstr>nmRevenue</vt:lpstr>
      <vt:lpstr>nmRound</vt:lpstr>
      <vt:lpstr>nmTeamName</vt:lpstr>
      <vt:lpstr>nmTeamNumber</vt:lpstr>
      <vt:lpstr>obal_End</vt:lpstr>
      <vt:lpstr>obal_Paste</vt:lpstr>
      <vt:lpstr>obal_ResetR0</vt:lpstr>
      <vt:lpstr>obalSI1CodeR1</vt:lpstr>
      <vt:lpstr>obalSI1CodeR2</vt:lpstr>
      <vt:lpstr>obalSI1CodeR3</vt:lpstr>
      <vt:lpstr>obalSI2CodeR1</vt:lpstr>
      <vt:lpstr>obalSI2CodeR2</vt:lpstr>
      <vt:lpstr>obalSI2CodeR3</vt:lpstr>
      <vt:lpstr>obalSI3CodeR1</vt:lpstr>
      <vt:lpstr>obalSI3CodeR2</vt:lpstr>
      <vt:lpstr>obalSI3CodeR3</vt:lpstr>
      <vt:lpstr>obalSI4CodeR1</vt:lpstr>
      <vt:lpstr>obalSI4CodeR2</vt:lpstr>
      <vt:lpstr>obalSI4CodeR3</vt:lpstr>
      <vt:lpstr>obalSI5CodeR1</vt:lpstr>
      <vt:lpstr>obalSI5CodeR2</vt:lpstr>
      <vt:lpstr>obalSI5CodeR3</vt:lpstr>
      <vt:lpstr>tlScenario1!Screen</vt:lpstr>
      <vt:lpstr>tlScenario2!Screen</vt:lpstr>
      <vt:lpstr>tlScenario3!Screen</vt:lpstr>
      <vt:lpstr>tlSIs!Screen</vt:lpstr>
      <vt:lpstr>Screen</vt:lpstr>
      <vt:lpstr>SI_AvailableCount</vt:lpstr>
      <vt:lpstr>SI_AvailableProgramDropDown</vt:lpstr>
      <vt:lpstr>SI_Code</vt:lpstr>
      <vt:lpstr>SI_currentRound</vt:lpstr>
      <vt:lpstr>SI_DisplayedName</vt:lpstr>
      <vt:lpstr>SI_Index</vt:lpstr>
      <vt:lpstr>SI_Name</vt:lpstr>
      <vt:lpstr>SI_selectedSeparator</vt:lpstr>
      <vt:lpstr>SI_TotalAvailable</vt:lpstr>
      <vt:lpstr>SI_WorksheetName</vt:lpstr>
      <vt:lpstr>sim_OnResetGoTo</vt:lpstr>
      <vt:lpstr>tlInputActionAccountable1</vt:lpstr>
      <vt:lpstr>tlInputActionAccountable2</vt:lpstr>
      <vt:lpstr>tlInputActionAccountable3</vt:lpstr>
      <vt:lpstr>tlInputActionAccountable4</vt:lpstr>
      <vt:lpstr>tlInputActionAccountable5</vt:lpstr>
      <vt:lpstr>tlInputActionAsExpected1</vt:lpstr>
      <vt:lpstr>tlInputActionAsExpected2</vt:lpstr>
      <vt:lpstr>tlInputActionAsExpected3</vt:lpstr>
      <vt:lpstr>tlInputActionAsExpected4</vt:lpstr>
      <vt:lpstr>tlInputActionAsExpected5</vt:lpstr>
      <vt:lpstr>tlInputActionAsExpected6</vt:lpstr>
      <vt:lpstr>tlInputActionAsExpectedInsight1</vt:lpstr>
      <vt:lpstr>tlInputActionAsExpectedInsight2</vt:lpstr>
      <vt:lpstr>tlInputActionAsExpectedInsight3</vt:lpstr>
      <vt:lpstr>tlInputActionAsExpectedInsight4</vt:lpstr>
      <vt:lpstr>tlInputActionAsExpectedInsight5</vt:lpstr>
      <vt:lpstr>tlInputActionAsExpectedInsight6</vt:lpstr>
      <vt:lpstr>tlInputActionCommitment1</vt:lpstr>
      <vt:lpstr>tlInputActionCommitment2</vt:lpstr>
      <vt:lpstr>tlInputActionCommitment3</vt:lpstr>
      <vt:lpstr>tlInputActionCommitment4</vt:lpstr>
      <vt:lpstr>tlInputActionCommitment5</vt:lpstr>
      <vt:lpstr>tlInputActionCompletionDate1</vt:lpstr>
      <vt:lpstr>tlInputActionCompletionDate2</vt:lpstr>
      <vt:lpstr>tlInputActionCompletionDate3</vt:lpstr>
      <vt:lpstr>tlInputActionCompletionDate4</vt:lpstr>
      <vt:lpstr>tlInputActionCompletionDate5</vt:lpstr>
      <vt:lpstr>tlInputActionOutcome1</vt:lpstr>
      <vt:lpstr>tlInputActionOutcome2</vt:lpstr>
      <vt:lpstr>tlInputActionOutcome3</vt:lpstr>
      <vt:lpstr>tlInputActionOutcome4</vt:lpstr>
      <vt:lpstr>tlInputActionOutcome5</vt:lpstr>
      <vt:lpstr>tlInputPlanCurrentStage</vt:lpstr>
      <vt:lpstr>tlInputPlanDiseaseArea</vt:lpstr>
      <vt:lpstr>tlInputPlanDrugAdministration</vt:lpstr>
      <vt:lpstr>tlInputPlanFormulation</vt:lpstr>
      <vt:lpstr>tlInputPlanInLicenseCost</vt:lpstr>
      <vt:lpstr>tlInputPlanInLicenseStage</vt:lpstr>
      <vt:lpstr>tlInputPlanLOEDate</vt:lpstr>
      <vt:lpstr>tlInputPlanNotes1</vt:lpstr>
      <vt:lpstr>tlInputPlanProjectName</vt:lpstr>
      <vt:lpstr>tlInputPlanProjectStartDate</vt:lpstr>
      <vt:lpstr>tlInputPlanQ1Metric1</vt:lpstr>
      <vt:lpstr>tlInputPlanQ1Metric2</vt:lpstr>
      <vt:lpstr>tlInputPlanQ1Metric3</vt:lpstr>
      <vt:lpstr>tlInputPlanQ1Notes</vt:lpstr>
      <vt:lpstr>tlInputPlanQ2Notes</vt:lpstr>
      <vt:lpstr>tlInputPlanQ3Notes</vt:lpstr>
      <vt:lpstr>tlInputPlanQ4Assumption1</vt:lpstr>
      <vt:lpstr>tlInputPlanQ4Assumption2</vt:lpstr>
      <vt:lpstr>tlInputPlanQ4Assumption3</vt:lpstr>
      <vt:lpstr>tlInputPlanQ4Notes</vt:lpstr>
      <vt:lpstr>tlInputPlanQ5</vt:lpstr>
      <vt:lpstr>tlInputPlanQ6</vt:lpstr>
      <vt:lpstr>tlInputPlanTargetIndication</vt:lpstr>
      <vt:lpstr>tlInputPlanTargetLaunchDate</vt:lpstr>
      <vt:lpstr>tlInputScenario1AddBiomarker</vt:lpstr>
      <vt:lpstr>tlInputScenario1AddIndication</vt:lpstr>
      <vt:lpstr>tlInputScenario1Administration</vt:lpstr>
      <vt:lpstr>tlInputScenario1COGS</vt:lpstr>
      <vt:lpstr>tlInputScenario1Comparator</vt:lpstr>
      <vt:lpstr>tlInputScenario1Compliance</vt:lpstr>
      <vt:lpstr>tlInputScenario1DDFrequency</vt:lpstr>
      <vt:lpstr>tlInputScenario1DiscountRate</vt:lpstr>
      <vt:lpstr>tlInputScenario1EnterRegion1</vt:lpstr>
      <vt:lpstr>tlInputScenario1EnterRegion2</vt:lpstr>
      <vt:lpstr>tlInputScenario1EnterRegion3</vt:lpstr>
      <vt:lpstr>tlInputScenario1EnterRegion4</vt:lpstr>
      <vt:lpstr>tlInputScenario1EPVRate</vt:lpstr>
      <vt:lpstr>tlInputScenario1MAEffort</vt:lpstr>
      <vt:lpstr>tlInputScenario1MNTrialsPh2</vt:lpstr>
      <vt:lpstr>tlInputScenario1MNTrialsPh3</vt:lpstr>
      <vt:lpstr>tlInputScenario1Notes1</vt:lpstr>
      <vt:lpstr>tlInputScenario1Notes2</vt:lpstr>
      <vt:lpstr>tlInputScenario1Notes3</vt:lpstr>
      <vt:lpstr>tlInputScenario1NPVRate</vt:lpstr>
      <vt:lpstr>tlInputScenario1ObservationPh1</vt:lpstr>
      <vt:lpstr>tlInputScenario1ObservationPh2</vt:lpstr>
      <vt:lpstr>tlInputScenario1ObservationPh3</vt:lpstr>
      <vt:lpstr>tlInputScenario1PatPopRegion1</vt:lpstr>
      <vt:lpstr>tlInputScenario1PatPopRegion2</vt:lpstr>
      <vt:lpstr>tlInputScenario1PatPopRegion3</vt:lpstr>
      <vt:lpstr>tlInputScenario1PatPopRegion4</vt:lpstr>
      <vt:lpstr>tlInputScenario1PeakMSRegion1</vt:lpstr>
      <vt:lpstr>tlInputScenario1PeakMSRegion2</vt:lpstr>
      <vt:lpstr>tlInputScenario1PeakMSRegion3</vt:lpstr>
      <vt:lpstr>tlInputScenario1PeakMSRegion4</vt:lpstr>
      <vt:lpstr>tlInputScenario1Penetration</vt:lpstr>
      <vt:lpstr>tlInputScenario1Ph1FTECost</vt:lpstr>
      <vt:lpstr>tlInputScenario1Ph1PTS</vt:lpstr>
      <vt:lpstr>tlInputScenario1Ph1RnDCost</vt:lpstr>
      <vt:lpstr>tlInputScenario1Ph1TimeReq</vt:lpstr>
      <vt:lpstr>tlInputScenario1Ph2bStudy</vt:lpstr>
      <vt:lpstr>tlInputScenario1Ph2FTECost</vt:lpstr>
      <vt:lpstr>tlInputScenario1Ph2PTS</vt:lpstr>
      <vt:lpstr>tlInputScenario1Ph2RnDCost</vt:lpstr>
      <vt:lpstr>tlInputScenario1Ph2TimeReq</vt:lpstr>
      <vt:lpstr>tlInputScenario1Ph3FTECost</vt:lpstr>
      <vt:lpstr>tlInputScenario1Ph3PTS</vt:lpstr>
      <vt:lpstr>tlInputScenario1Ph3RnDCost</vt:lpstr>
      <vt:lpstr>tlInputScenario1Ph3TimeReq</vt:lpstr>
      <vt:lpstr>tlInputScenario1PriceRegion1</vt:lpstr>
      <vt:lpstr>tlInputScenario1PriceRegion2</vt:lpstr>
      <vt:lpstr>tlInputScenario1PriceRegion3</vt:lpstr>
      <vt:lpstr>tlInputScenario1PriceRegion4</vt:lpstr>
      <vt:lpstr>tlInputScenario1PrimaryEndpoint</vt:lpstr>
      <vt:lpstr>tlInputScenario1Region1SnM</vt:lpstr>
      <vt:lpstr>tlInputScenario1Region2SnM</vt:lpstr>
      <vt:lpstr>tlInputScenario1Region3SnM</vt:lpstr>
      <vt:lpstr>tlInputScenario1Region4SnM</vt:lpstr>
      <vt:lpstr>tlInputScenario1RegulatorySuccess</vt:lpstr>
      <vt:lpstr>tlInputScenario1ResearchFTECost</vt:lpstr>
      <vt:lpstr>tlInputScenario1ResearchPTS</vt:lpstr>
      <vt:lpstr>tlInputScenario1ResearchRnDCost</vt:lpstr>
      <vt:lpstr>tlInputScenario1ResearchTimeReq</vt:lpstr>
      <vt:lpstr>tlInputScenario1Royalty</vt:lpstr>
      <vt:lpstr>tlInputScenario1SecondaryEndpoint</vt:lpstr>
      <vt:lpstr>tlInputScenario1TrialSizePh1</vt:lpstr>
      <vt:lpstr>tlInputScenario1TrialSizePh2</vt:lpstr>
      <vt:lpstr>tlInputScenario1TrialSizePh3</vt:lpstr>
      <vt:lpstr>tlInputScenario2AddBiomarker</vt:lpstr>
      <vt:lpstr>tlInputScenario2AddIndication</vt:lpstr>
      <vt:lpstr>tlInputScenario2Administration</vt:lpstr>
      <vt:lpstr>tlInputScenario2COGS</vt:lpstr>
      <vt:lpstr>tlInputScenario2Comparator</vt:lpstr>
      <vt:lpstr>tlInputScenario2Compliance</vt:lpstr>
      <vt:lpstr>tlInputScenario2DDFrequency</vt:lpstr>
      <vt:lpstr>tlInputScenario2DiscountRate</vt:lpstr>
      <vt:lpstr>tlInputScenario2EnterRegion1</vt:lpstr>
      <vt:lpstr>tlInputScenario2EnterRegion2</vt:lpstr>
      <vt:lpstr>tlInputScenario2EnterRegion3</vt:lpstr>
      <vt:lpstr>tlInputScenario2EnterRegion4</vt:lpstr>
      <vt:lpstr>tlInputScenario2EPVRate</vt:lpstr>
      <vt:lpstr>tlInputScenario2MAEffort</vt:lpstr>
      <vt:lpstr>tlInputScenario2MNTrialsPh2</vt:lpstr>
      <vt:lpstr>tlInputScenario2MNTrialsPh3</vt:lpstr>
      <vt:lpstr>tlInputScenario2Notes1</vt:lpstr>
      <vt:lpstr>tlInputScenario2Notes2</vt:lpstr>
      <vt:lpstr>tlInputScenario2Notes3</vt:lpstr>
      <vt:lpstr>tlInputScenario2NPVRate</vt:lpstr>
      <vt:lpstr>tlInputScenario2ObservationPh1</vt:lpstr>
      <vt:lpstr>tlInputScenario2ObservationPh2</vt:lpstr>
      <vt:lpstr>tlInputScenario2ObservationPh3</vt:lpstr>
      <vt:lpstr>tlInputScenario2PatPopRegion1</vt:lpstr>
      <vt:lpstr>tlInputScenario2PatPopRegion2</vt:lpstr>
      <vt:lpstr>tlInputScenario2PatPopRegion3</vt:lpstr>
      <vt:lpstr>tlInputScenario2PatPopRegion4</vt:lpstr>
      <vt:lpstr>tlInputScenario2PeakMSRegion1</vt:lpstr>
      <vt:lpstr>tlInputScenario2PeakMSRegion2</vt:lpstr>
      <vt:lpstr>tlInputScenario2PeakMSRegion3</vt:lpstr>
      <vt:lpstr>tlInputScenario2PeakMSRegion4</vt:lpstr>
      <vt:lpstr>tlInputScenario2Penetration</vt:lpstr>
      <vt:lpstr>tlInputScenario2Ph1FTECost</vt:lpstr>
      <vt:lpstr>tlInputScenario2Ph1PTS</vt:lpstr>
      <vt:lpstr>tlInputScenario2Ph1RnDCost</vt:lpstr>
      <vt:lpstr>tlInputScenario2Ph1TimeReq</vt:lpstr>
      <vt:lpstr>tlInputScenario2Ph2bStudy</vt:lpstr>
      <vt:lpstr>tlInputScenario2Ph2FTECost</vt:lpstr>
      <vt:lpstr>tlInputScenario2Ph2PTS</vt:lpstr>
      <vt:lpstr>tlInputScenario2Ph2RnDCost</vt:lpstr>
      <vt:lpstr>tlInputScenario2Ph2TimeReq</vt:lpstr>
      <vt:lpstr>tlInputScenario2Ph3FTECost</vt:lpstr>
      <vt:lpstr>tlInputScenario2Ph3PTS</vt:lpstr>
      <vt:lpstr>tlInputScenario2Ph3RnDCost</vt:lpstr>
      <vt:lpstr>tlInputScenario2Ph3TimeReq</vt:lpstr>
      <vt:lpstr>tlInputScenario2PriceRegion1</vt:lpstr>
      <vt:lpstr>tlInputScenario2PriceRegion2</vt:lpstr>
      <vt:lpstr>tlInputScenario2PriceRegion3</vt:lpstr>
      <vt:lpstr>tlInputScenario2PriceRegion4</vt:lpstr>
      <vt:lpstr>tlInputScenario2PrimaryEndpoint</vt:lpstr>
      <vt:lpstr>tlInputScenario2Region1SnM</vt:lpstr>
      <vt:lpstr>tlInputScenario2Region2SnM</vt:lpstr>
      <vt:lpstr>tlInputScenario2Region3SnM</vt:lpstr>
      <vt:lpstr>tlInputScenario2Region4SnM</vt:lpstr>
      <vt:lpstr>tlInputScenario2RegulatorySuccess</vt:lpstr>
      <vt:lpstr>tlInputScenario2ResearchFTECost</vt:lpstr>
      <vt:lpstr>tlInputScenario2ResearchPTS</vt:lpstr>
      <vt:lpstr>tlInputScenario2ResearchRnDCost</vt:lpstr>
      <vt:lpstr>tlInputScenario2ResearchTimeReq</vt:lpstr>
      <vt:lpstr>tlInputScenario2Royalty</vt:lpstr>
      <vt:lpstr>tlInputScenario2SecondaryEndpoint</vt:lpstr>
      <vt:lpstr>tlInputScenario2TrialSizePh1</vt:lpstr>
      <vt:lpstr>tlInputScenario2TrialSizePh2</vt:lpstr>
      <vt:lpstr>tlInputScenario2TrialSizePh3</vt:lpstr>
      <vt:lpstr>tlInputScenario3AddBiomarker</vt:lpstr>
      <vt:lpstr>tlInputScenario3AddIndication</vt:lpstr>
      <vt:lpstr>tlInputScenario3Administration</vt:lpstr>
      <vt:lpstr>tlInputScenario3COGS</vt:lpstr>
      <vt:lpstr>tlInputScenario3Comparator</vt:lpstr>
      <vt:lpstr>tlInputScenario3Compliance</vt:lpstr>
      <vt:lpstr>tlInputScenario3DDFrequency</vt:lpstr>
      <vt:lpstr>tlInputScenario3DiscountRate</vt:lpstr>
      <vt:lpstr>tlInputScenario3EnterRegion1</vt:lpstr>
      <vt:lpstr>tlInputScenario3EnterRegion2</vt:lpstr>
      <vt:lpstr>tlInputScenario3EnterRegion3</vt:lpstr>
      <vt:lpstr>tlInputScenario3EnterRegion4</vt:lpstr>
      <vt:lpstr>tlInputScenario3EPVRate</vt:lpstr>
      <vt:lpstr>tlInputScenario3MAEffort</vt:lpstr>
      <vt:lpstr>tlInputScenario3MNTrialsPh2</vt:lpstr>
      <vt:lpstr>tlInputScenario3MNTrialsPh3</vt:lpstr>
      <vt:lpstr>tlInputScenario3Notes1</vt:lpstr>
      <vt:lpstr>tlInputScenario3Notes2</vt:lpstr>
      <vt:lpstr>tlInputScenario3Notes3</vt:lpstr>
      <vt:lpstr>tlInputScenario3NPVRate</vt:lpstr>
      <vt:lpstr>tlInputScenario3ObservationPh1</vt:lpstr>
      <vt:lpstr>tlInputScenario3ObservationPh2</vt:lpstr>
      <vt:lpstr>tlInputScenario3ObservationPh3</vt:lpstr>
      <vt:lpstr>tlInputScenario3PatPopRegion1</vt:lpstr>
      <vt:lpstr>tlInputScenario3PatPopRegion2</vt:lpstr>
      <vt:lpstr>tlInputScenario3PatPopRegion3</vt:lpstr>
      <vt:lpstr>tlInputScenario3PatPopRegion4</vt:lpstr>
      <vt:lpstr>tlInputScenario3PeakMSRegion1</vt:lpstr>
      <vt:lpstr>tlInputScenario3PeakMSRegion2</vt:lpstr>
      <vt:lpstr>tlInputScenario3PeakMSRegion3</vt:lpstr>
      <vt:lpstr>tlInputScenario3PeakMSRegion4</vt:lpstr>
      <vt:lpstr>tlInputScenario3Penetration</vt:lpstr>
      <vt:lpstr>tlInputScenario3Ph1FTECost</vt:lpstr>
      <vt:lpstr>tlInputScenario3Ph1PTS</vt:lpstr>
      <vt:lpstr>tlInputScenario3Ph1RnDCost</vt:lpstr>
      <vt:lpstr>tlInputScenario3Ph1TimeReq</vt:lpstr>
      <vt:lpstr>tlInputScenario3Ph2bStudy</vt:lpstr>
      <vt:lpstr>tlInputScenario3Ph2FTECost</vt:lpstr>
      <vt:lpstr>tlInputScenario3Ph2PTS</vt:lpstr>
      <vt:lpstr>tlInputScenario3Ph2RnDCost</vt:lpstr>
      <vt:lpstr>tlInputScenario3Ph2TimeReq</vt:lpstr>
      <vt:lpstr>tlInputScenario3Ph3FTECost</vt:lpstr>
      <vt:lpstr>tlInputScenario3Ph3PTS</vt:lpstr>
      <vt:lpstr>tlInputScenario3Ph3RnDCost</vt:lpstr>
      <vt:lpstr>tlInputScenario3Ph3TimeReq</vt:lpstr>
      <vt:lpstr>tlInputScenario3PriceRegion1</vt:lpstr>
      <vt:lpstr>tlInputScenario3PriceRegion2</vt:lpstr>
      <vt:lpstr>tlInputScenario3PriceRegion3</vt:lpstr>
      <vt:lpstr>tlInputScenario3PriceRegion4</vt:lpstr>
      <vt:lpstr>tlInputScenario3PrimaryEndpoint</vt:lpstr>
      <vt:lpstr>tlInputScenario3Region1SnM</vt:lpstr>
      <vt:lpstr>tlInputScenario3Region2SnM</vt:lpstr>
      <vt:lpstr>tlInputScenario3Region3SnM</vt:lpstr>
      <vt:lpstr>tlInputScenario3Region4SnM</vt:lpstr>
      <vt:lpstr>tlInputScenario3RegulatorySuccess</vt:lpstr>
      <vt:lpstr>tlInputScenario3ResearchFTECost</vt:lpstr>
      <vt:lpstr>tlInputScenario3ResearchPTS</vt:lpstr>
      <vt:lpstr>tlInputScenario3ResearchRnDCost</vt:lpstr>
      <vt:lpstr>tlInputScenario3ResearchTimeReq</vt:lpstr>
      <vt:lpstr>tlInputScenario3Royalty</vt:lpstr>
      <vt:lpstr>tlInputScenario3SecondaryEndpoint</vt:lpstr>
      <vt:lpstr>tlInputScenario3TrialSizePh1</vt:lpstr>
      <vt:lpstr>tlInputScenario3TrialSizePh2</vt:lpstr>
      <vt:lpstr>tlInputScenario3TrialSizePh3</vt:lpstr>
      <vt:lpstr>tlOutputActionQ1Metric1</vt:lpstr>
      <vt:lpstr>tlOutputActionQ1Metric2</vt:lpstr>
      <vt:lpstr>tlOutputActionQ1Metric3</vt:lpstr>
      <vt:lpstr>tlOutputActionQ4Assumption1</vt:lpstr>
      <vt:lpstr>tlOutputActionQ4Assumption2</vt:lpstr>
      <vt:lpstr>tlOutputActionQ4Assumption3</vt:lpstr>
      <vt:lpstr>tlOutputDBScenario1ConditionMetric1</vt:lpstr>
      <vt:lpstr>tlOutputDBScenario1ConditionMetric2</vt:lpstr>
      <vt:lpstr>tlOutputDBScenario1ConditionMetric3</vt:lpstr>
      <vt:lpstr>tlOutputDBScenario1ConditionMetric4</vt:lpstr>
      <vt:lpstr>tlOutputDBScenario1ConditionMetric5</vt:lpstr>
      <vt:lpstr>tlOutputDBScenario1ConditionMetric6</vt:lpstr>
      <vt:lpstr>tlOutputDBScenario1ConditionMetric7</vt:lpstr>
      <vt:lpstr>tlOutputDBScenario1Metric1</vt:lpstr>
      <vt:lpstr>tlOutputDBScenario1Metric2</vt:lpstr>
      <vt:lpstr>tlOutputDBScenario1Metric3</vt:lpstr>
      <vt:lpstr>tlOutputDBScenario1Metric4</vt:lpstr>
      <vt:lpstr>tlOutputDBScenario1Metric5</vt:lpstr>
      <vt:lpstr>tlOutputDBScenario1Metric6</vt:lpstr>
      <vt:lpstr>tlOutputDBScenario1Metric7</vt:lpstr>
      <vt:lpstr>tlOutputDBScenario2ConditionMetric1</vt:lpstr>
      <vt:lpstr>tlOutputDBScenario2ConditionMetric2</vt:lpstr>
      <vt:lpstr>tlOutputDBScenario2ConditionMetric3</vt:lpstr>
      <vt:lpstr>tlOutputDBScenario2ConditionMetric4</vt:lpstr>
      <vt:lpstr>tlOutputDBScenario2ConditionMetric5</vt:lpstr>
      <vt:lpstr>tlOutputDBScenario2ConditionMetric6</vt:lpstr>
      <vt:lpstr>tlOutputDBScenario2ConditionMetric7</vt:lpstr>
      <vt:lpstr>tlOutputDBScenario2Metric1</vt:lpstr>
      <vt:lpstr>tlOutputDBScenario2Metric2</vt:lpstr>
      <vt:lpstr>tlOutputDBScenario2Metric3</vt:lpstr>
      <vt:lpstr>tlOutputDBScenario2Metric4</vt:lpstr>
      <vt:lpstr>tlOutputDBScenario2Metric5</vt:lpstr>
      <vt:lpstr>tlOutputDBScenario2Metric6</vt:lpstr>
      <vt:lpstr>tlOutputDBScenario2Metric7</vt:lpstr>
      <vt:lpstr>tlOutputDBScenario3ConditionMetric1</vt:lpstr>
      <vt:lpstr>tlOutputDBScenario3ConditionMetric2</vt:lpstr>
      <vt:lpstr>tlOutputDBScenario3ConditionMetric3</vt:lpstr>
      <vt:lpstr>tlOutputDBScenario3ConditionMetric4</vt:lpstr>
      <vt:lpstr>tlOutputDBScenario3ConditionMetric5</vt:lpstr>
      <vt:lpstr>tlOutputDBScenario3ConditionMetric6</vt:lpstr>
      <vt:lpstr>tlOutputDBScenario3ConditionMetric7</vt:lpstr>
      <vt:lpstr>tlOutputDBScenario3Metric1</vt:lpstr>
      <vt:lpstr>tlOutputDBScenario3Metric2</vt:lpstr>
      <vt:lpstr>tlOutputDBScenario3Metric3</vt:lpstr>
      <vt:lpstr>tlOutputDBScenario3Metric4</vt:lpstr>
      <vt:lpstr>tlOutputDBScenario3Metric5</vt:lpstr>
      <vt:lpstr>tlOutputDBScenario3Metric6</vt:lpstr>
      <vt:lpstr>tlOutputDBScenario3Metric7</vt:lpstr>
      <vt:lpstr>tlOutputGraphsScenario1COGSTotYr1</vt:lpstr>
      <vt:lpstr>tlOutputGraphsScenario1COGSTotYr10</vt:lpstr>
      <vt:lpstr>tlOutputGraphsScenario1COGSTotYr2</vt:lpstr>
      <vt:lpstr>tlOutputGraphsScenario1COGSTotYr3</vt:lpstr>
      <vt:lpstr>tlOutputGraphsScenario1COGSTotYr4</vt:lpstr>
      <vt:lpstr>tlOutputGraphsScenario1COGSTotYr5</vt:lpstr>
      <vt:lpstr>tlOutputGraphsScenario1COGSTotYr6</vt:lpstr>
      <vt:lpstr>tlOutputGraphsScenario1COGSTotYr7</vt:lpstr>
      <vt:lpstr>tlOutputGraphsScenario1COGSTotYr8</vt:lpstr>
      <vt:lpstr>tlOutputGraphsScenario1COGSTotYr9</vt:lpstr>
      <vt:lpstr>tlOutputGraphsScenario1DCFYr1</vt:lpstr>
      <vt:lpstr>tlOutputGraphsScenario1DCFYr10</vt:lpstr>
      <vt:lpstr>tlOutputGraphsScenario1DCFYr2</vt:lpstr>
      <vt:lpstr>tlOutputGraphsScenario1DCFYr3</vt:lpstr>
      <vt:lpstr>tlOutputGraphsScenario1DCFYr4</vt:lpstr>
      <vt:lpstr>tlOutputGraphsScenario1DCFYr5</vt:lpstr>
      <vt:lpstr>tlOutputGraphsScenario1DCFYr6</vt:lpstr>
      <vt:lpstr>tlOutputGraphsScenario1DCFYr7</vt:lpstr>
      <vt:lpstr>tlOutputGraphsScenario1DCFYr8</vt:lpstr>
      <vt:lpstr>tlOutputGraphsScenario1DCFYr9</vt:lpstr>
      <vt:lpstr>tlOutputGraphsScenario1EPV</vt:lpstr>
      <vt:lpstr>tlOutputGraphsScenario1OMTotYr1</vt:lpstr>
      <vt:lpstr>tlOutputGraphsScenario1OMTotYr10</vt:lpstr>
      <vt:lpstr>tlOutputGraphsScenario1OMTotYr2</vt:lpstr>
      <vt:lpstr>tlOutputGraphsScenario1OMTotYr3</vt:lpstr>
      <vt:lpstr>tlOutputGraphsScenario1OMTotYr4</vt:lpstr>
      <vt:lpstr>tlOutputGraphsScenario1OMTotYr5</vt:lpstr>
      <vt:lpstr>tlOutputGraphsScenario1OMTotYr6</vt:lpstr>
      <vt:lpstr>tlOutputGraphsScenario1OMTotYr7</vt:lpstr>
      <vt:lpstr>tlOutputGraphsScenario1OMTotYr8</vt:lpstr>
      <vt:lpstr>tlOutputGraphsScenario1OMTotYr9</vt:lpstr>
      <vt:lpstr>tlOutputGraphsScenario1PeakSalesReg1</vt:lpstr>
      <vt:lpstr>tlOutputGraphsScenario1PeakSalesReg2</vt:lpstr>
      <vt:lpstr>tlOutputGraphsScenario1PeakSalesReg3</vt:lpstr>
      <vt:lpstr>tlOutputGraphsScenario1PeakSalesReg4</vt:lpstr>
      <vt:lpstr>tlOutputGraphsScenario1RnDTotYr1</vt:lpstr>
      <vt:lpstr>tlOutputGraphsScenario1RnDTotYr10</vt:lpstr>
      <vt:lpstr>tlOutputGraphsScenario1RnDTotYr2</vt:lpstr>
      <vt:lpstr>tlOutputGraphsScenario1RnDTotYr3</vt:lpstr>
      <vt:lpstr>tlOutputGraphsScenario1RnDTotYr4</vt:lpstr>
      <vt:lpstr>tlOutputGraphsScenario1RnDTotYr5</vt:lpstr>
      <vt:lpstr>tlOutputGraphsScenario1RnDTotYr6</vt:lpstr>
      <vt:lpstr>tlOutputGraphsScenario1RnDTotYr7</vt:lpstr>
      <vt:lpstr>tlOutputGraphsScenario1RnDTotYr8</vt:lpstr>
      <vt:lpstr>tlOutputGraphsScenario1RnDTotYr9</vt:lpstr>
      <vt:lpstr>tlOutputGraphsScenario1SalesReg1Yr1</vt:lpstr>
      <vt:lpstr>tlOutputGraphsScenario1SalesReg1Yr10</vt:lpstr>
      <vt:lpstr>tlOutputGraphsScenario1SalesReg1Yr2</vt:lpstr>
      <vt:lpstr>tlOutputGraphsScenario1SalesReg1Yr3</vt:lpstr>
      <vt:lpstr>tlOutputGraphsScenario1SalesReg1Yr4</vt:lpstr>
      <vt:lpstr>tlOutputGraphsScenario1SalesReg1Yr5</vt:lpstr>
      <vt:lpstr>tlOutputGraphsScenario1SalesReg1Yr6</vt:lpstr>
      <vt:lpstr>tlOutputGraphsScenario1SalesReg1Yr7</vt:lpstr>
      <vt:lpstr>tlOutputGraphsScenario1SalesReg1Yr8</vt:lpstr>
      <vt:lpstr>tlOutputGraphsScenario1SalesReg1Yr9</vt:lpstr>
      <vt:lpstr>tlOutputGraphsScenario1SalesReg2Yr1</vt:lpstr>
      <vt:lpstr>tlOutputGraphsScenario1SalesReg2Yr10</vt:lpstr>
      <vt:lpstr>tlOutputGraphsScenario1SalesReg2Yr2</vt:lpstr>
      <vt:lpstr>tlOutputGraphsScenario1SalesReg2Yr3</vt:lpstr>
      <vt:lpstr>tlOutputGraphsScenario1SalesReg2Yr4</vt:lpstr>
      <vt:lpstr>tlOutputGraphsScenario1SalesReg2Yr5</vt:lpstr>
      <vt:lpstr>tlOutputGraphsScenario1SalesReg2Yr6</vt:lpstr>
      <vt:lpstr>tlOutputGraphsScenario1SalesReg2Yr7</vt:lpstr>
      <vt:lpstr>tlOutputGraphsScenario1SalesReg2Yr8</vt:lpstr>
      <vt:lpstr>tlOutputGraphsScenario1SalesReg2Yr9</vt:lpstr>
      <vt:lpstr>tlOutputGraphsScenario1SalesReg3Yr1</vt:lpstr>
      <vt:lpstr>tlOutputGraphsScenario1SalesReg3Yr10</vt:lpstr>
      <vt:lpstr>tlOutputGraphsScenario1SalesReg3Yr2</vt:lpstr>
      <vt:lpstr>tlOutputGraphsScenario1SalesReg3Yr3</vt:lpstr>
      <vt:lpstr>tlOutputGraphsScenario1SalesReg3Yr4</vt:lpstr>
      <vt:lpstr>tlOutputGraphsScenario1SalesReg3Yr5</vt:lpstr>
      <vt:lpstr>tlOutputGraphsScenario1SalesReg3Yr6</vt:lpstr>
      <vt:lpstr>tlOutputGraphsScenario1SalesReg3Yr7</vt:lpstr>
      <vt:lpstr>tlOutputGraphsScenario1SalesReg3Yr8</vt:lpstr>
      <vt:lpstr>tlOutputGraphsScenario1SalesReg3Yr9</vt:lpstr>
      <vt:lpstr>tlOutputGraphsScenario1SalesReg4Yr1</vt:lpstr>
      <vt:lpstr>tlOutputGraphsScenario1SalesReg4Yr10</vt:lpstr>
      <vt:lpstr>tlOutputGraphsScenario1SalesReg4Yr2</vt:lpstr>
      <vt:lpstr>tlOutputGraphsScenario1SalesReg4Yr3</vt:lpstr>
      <vt:lpstr>tlOutputGraphsScenario1SalesReg4Yr4</vt:lpstr>
      <vt:lpstr>tlOutputGraphsScenario1SalesReg4Yr5</vt:lpstr>
      <vt:lpstr>tlOutputGraphsScenario1SalesReg4Yr6</vt:lpstr>
      <vt:lpstr>tlOutputGraphsScenario1SalesReg4Yr7</vt:lpstr>
      <vt:lpstr>tlOutputGraphsScenario1SalesReg4Yr8</vt:lpstr>
      <vt:lpstr>tlOutputGraphsScenario1SalesReg4Yr9</vt:lpstr>
      <vt:lpstr>tlOutputGraphsScenario1SalesTotYr1</vt:lpstr>
      <vt:lpstr>tlOutputGraphsScenario1SalesTotYr10</vt:lpstr>
      <vt:lpstr>tlOutputGraphsScenario1SalesTotYr2</vt:lpstr>
      <vt:lpstr>tlOutputGraphsScenario1SalesTotYr3</vt:lpstr>
      <vt:lpstr>tlOutputGraphsScenario1SalesTotYr4</vt:lpstr>
      <vt:lpstr>tlOutputGraphsScenario1SalesTotYr5</vt:lpstr>
      <vt:lpstr>tlOutputGraphsScenario1SalesTotYr6</vt:lpstr>
      <vt:lpstr>tlOutputGraphsScenario1SalesTotYr7</vt:lpstr>
      <vt:lpstr>tlOutputGraphsScenario1SalesTotYr8</vt:lpstr>
      <vt:lpstr>tlOutputGraphsScenario1SalesTotYr9</vt:lpstr>
      <vt:lpstr>tlOutputGraphsScenario1SnMTotYr1</vt:lpstr>
      <vt:lpstr>tlOutputGraphsScenario1SnMTotYr10</vt:lpstr>
      <vt:lpstr>tlOutputGraphsScenario1SnMTotYr2</vt:lpstr>
      <vt:lpstr>tlOutputGraphsScenario1SnMTotYr3</vt:lpstr>
      <vt:lpstr>tlOutputGraphsScenario1SnMTotYr4</vt:lpstr>
      <vt:lpstr>tlOutputGraphsScenario1SnMTotYr5</vt:lpstr>
      <vt:lpstr>tlOutputGraphsScenario1SnMTotYr6</vt:lpstr>
      <vt:lpstr>tlOutputGraphsScenario1SnMTotYr7</vt:lpstr>
      <vt:lpstr>tlOutputGraphsScenario1SnMTotYr8</vt:lpstr>
      <vt:lpstr>tlOutputGraphsScenario1SnMTotYr9</vt:lpstr>
      <vt:lpstr>tlOutputGraphsScenario2COGSTotYr1</vt:lpstr>
      <vt:lpstr>tlOutputGraphsScenario2COGSTotYr10</vt:lpstr>
      <vt:lpstr>tlOutputGraphsScenario2COGSTotYr2</vt:lpstr>
      <vt:lpstr>tlOutputGraphsScenario2COGSTotYr3</vt:lpstr>
      <vt:lpstr>tlOutputGraphsScenario2COGSTotYr4</vt:lpstr>
      <vt:lpstr>tlOutputGraphsScenario2COGSTotYr5</vt:lpstr>
      <vt:lpstr>tlOutputGraphsScenario2COGSTotYr6</vt:lpstr>
      <vt:lpstr>tlOutputGraphsScenario2COGSTotYr7</vt:lpstr>
      <vt:lpstr>tlOutputGraphsScenario2COGSTotYr8</vt:lpstr>
      <vt:lpstr>tlOutputGraphsScenario2COGSTotYr9</vt:lpstr>
      <vt:lpstr>tlOutputGraphsScenario2DCFYr1</vt:lpstr>
      <vt:lpstr>tlOutputGraphsScenario2DCFYr10</vt:lpstr>
      <vt:lpstr>tlOutputGraphsScenario2DCFYr2</vt:lpstr>
      <vt:lpstr>tlOutputGraphsScenario2DCFYr3</vt:lpstr>
      <vt:lpstr>tlOutputGraphsScenario2DCFYr4</vt:lpstr>
      <vt:lpstr>tlOutputGraphsScenario2DCFYr5</vt:lpstr>
      <vt:lpstr>tlOutputGraphsScenario2DCFYr6</vt:lpstr>
      <vt:lpstr>tlOutputGraphsScenario2DCFYr7</vt:lpstr>
      <vt:lpstr>tlOutputGraphsScenario2DCFYr8</vt:lpstr>
      <vt:lpstr>tlOutputGraphsScenario2DCFYr9</vt:lpstr>
      <vt:lpstr>tlOutputGraphsScenario2EPV</vt:lpstr>
      <vt:lpstr>tlOutputGraphsScenario2OMTotYr1</vt:lpstr>
      <vt:lpstr>tlOutputGraphsScenario2OMTotYr10</vt:lpstr>
      <vt:lpstr>tlOutputGraphsScenario2OMTotYr2</vt:lpstr>
      <vt:lpstr>tlOutputGraphsScenario2OMTotYr3</vt:lpstr>
      <vt:lpstr>tlOutputGraphsScenario2OMTotYr4</vt:lpstr>
      <vt:lpstr>tlOutputGraphsScenario2OMTotYr5</vt:lpstr>
      <vt:lpstr>tlOutputGraphsScenario2OMTotYr6</vt:lpstr>
      <vt:lpstr>tlOutputGraphsScenario2OMTotYr7</vt:lpstr>
      <vt:lpstr>tlOutputGraphsScenario2OMTotYr8</vt:lpstr>
      <vt:lpstr>tlOutputGraphsScenario2OMTotYr9</vt:lpstr>
      <vt:lpstr>tlOutputGraphsScenario2PeakSalesReg1</vt:lpstr>
      <vt:lpstr>tlOutputGraphsScenario2PeakSalesReg2</vt:lpstr>
      <vt:lpstr>tlOutputGraphsScenario2PeakSalesReg3</vt:lpstr>
      <vt:lpstr>tlOutputGraphsScenario2PeakSalesReg4</vt:lpstr>
      <vt:lpstr>tlOutputGraphsScenario2RnDTotYr1</vt:lpstr>
      <vt:lpstr>tlOutputGraphsScenario2RnDTotYr10</vt:lpstr>
      <vt:lpstr>tlOutputGraphsScenario2RnDTotYr2</vt:lpstr>
      <vt:lpstr>tlOutputGraphsScenario2RnDTotYr3</vt:lpstr>
      <vt:lpstr>tlOutputGraphsScenario2RnDTotYr4</vt:lpstr>
      <vt:lpstr>tlOutputGraphsScenario2RnDTotYr5</vt:lpstr>
      <vt:lpstr>tlOutputGraphsScenario2RnDTotYr6</vt:lpstr>
      <vt:lpstr>tlOutputGraphsScenario2RnDTotYr7</vt:lpstr>
      <vt:lpstr>tlOutputGraphsScenario2RnDTotYr8</vt:lpstr>
      <vt:lpstr>tlOutputGraphsScenario2RnDTotYr9</vt:lpstr>
      <vt:lpstr>tlOutputGraphsScenario2SalesReg1Yr1</vt:lpstr>
      <vt:lpstr>tlOutputGraphsScenario2SalesReg1Yr10</vt:lpstr>
      <vt:lpstr>tlOutputGraphsScenario2SalesReg1Yr2</vt:lpstr>
      <vt:lpstr>tlOutputGraphsScenario2SalesReg1Yr3</vt:lpstr>
      <vt:lpstr>tlOutputGraphsScenario2SalesReg1Yr4</vt:lpstr>
      <vt:lpstr>tlOutputGraphsScenario2SalesReg1Yr5</vt:lpstr>
      <vt:lpstr>tlOutputGraphsScenario2SalesReg1Yr6</vt:lpstr>
      <vt:lpstr>tlOutputGraphsScenario2SalesReg1Yr7</vt:lpstr>
      <vt:lpstr>tlOutputGraphsScenario2SalesReg1Yr8</vt:lpstr>
      <vt:lpstr>tlOutputGraphsScenario2SalesReg1Yr9</vt:lpstr>
      <vt:lpstr>tlOutputGraphsScenario2SalesReg2Yr1</vt:lpstr>
      <vt:lpstr>tlOutputGraphsScenario2SalesReg2Yr10</vt:lpstr>
      <vt:lpstr>tlOutputGraphsScenario2SalesReg2Yr2</vt:lpstr>
      <vt:lpstr>tlOutputGraphsScenario2SalesReg2Yr3</vt:lpstr>
      <vt:lpstr>tlOutputGraphsScenario2SalesReg2Yr4</vt:lpstr>
      <vt:lpstr>tlOutputGraphsScenario2SalesReg2Yr5</vt:lpstr>
      <vt:lpstr>tlOutputGraphsScenario2SalesReg2Yr6</vt:lpstr>
      <vt:lpstr>tlOutputGraphsScenario2SalesReg2Yr7</vt:lpstr>
      <vt:lpstr>tlOutputGraphsScenario2SalesReg2Yr8</vt:lpstr>
      <vt:lpstr>tlOutputGraphsScenario2SalesReg2Yr9</vt:lpstr>
      <vt:lpstr>tlOutputGraphsScenario2SalesReg3Yr1</vt:lpstr>
      <vt:lpstr>tlOutputGraphsScenario2SalesReg3Yr10</vt:lpstr>
      <vt:lpstr>tlOutputGraphsScenario2SalesReg3Yr2</vt:lpstr>
      <vt:lpstr>tlOutputGraphsScenario2SalesReg3Yr3</vt:lpstr>
      <vt:lpstr>tlOutputGraphsScenario2SalesReg3Yr4</vt:lpstr>
      <vt:lpstr>tlOutputGraphsScenario2SalesReg3Yr5</vt:lpstr>
      <vt:lpstr>tlOutputGraphsScenario2SalesReg3Yr6</vt:lpstr>
      <vt:lpstr>tlOutputGraphsScenario2SalesReg3Yr7</vt:lpstr>
      <vt:lpstr>tlOutputGraphsScenario2SalesReg3Yr8</vt:lpstr>
      <vt:lpstr>tlOutputGraphsScenario2SalesReg3Yr9</vt:lpstr>
      <vt:lpstr>tlOutputGraphsScenario2SalesReg4Yr1</vt:lpstr>
      <vt:lpstr>tlOutputGraphsScenario2SalesReg4Yr10</vt:lpstr>
      <vt:lpstr>tlOutputGraphsScenario2SalesReg4Yr2</vt:lpstr>
      <vt:lpstr>tlOutputGraphsScenario2SalesReg4Yr3</vt:lpstr>
      <vt:lpstr>tlOutputGraphsScenario2SalesReg4Yr4</vt:lpstr>
      <vt:lpstr>tlOutputGraphsScenario2SalesReg4Yr5</vt:lpstr>
      <vt:lpstr>tlOutputGraphsScenario2SalesReg4Yr6</vt:lpstr>
      <vt:lpstr>tlOutputGraphsScenario2SalesReg4Yr7</vt:lpstr>
      <vt:lpstr>tlOutputGraphsScenario2SalesReg4Yr8</vt:lpstr>
      <vt:lpstr>tlOutputGraphsScenario2SalesReg4Yr9</vt:lpstr>
      <vt:lpstr>tlOutputGraphsScenario2SalesTotYr1</vt:lpstr>
      <vt:lpstr>tlOutputGraphsScenario2SalesTotYr10</vt:lpstr>
      <vt:lpstr>tlOutputGraphsScenario2SalesTotYr2</vt:lpstr>
      <vt:lpstr>tlOutputGraphsScenario2SalesTotYr3</vt:lpstr>
      <vt:lpstr>tlOutputGraphsScenario2SalesTotYr4</vt:lpstr>
      <vt:lpstr>tlOutputGraphsScenario2SalesTotYr5</vt:lpstr>
      <vt:lpstr>tlOutputGraphsScenario2SalesTotYr6</vt:lpstr>
      <vt:lpstr>tlOutputGraphsScenario2SalesTotYr7</vt:lpstr>
      <vt:lpstr>tlOutputGraphsScenario2SalesTotYr8</vt:lpstr>
      <vt:lpstr>tlOutputGraphsScenario2SalesTotYr9</vt:lpstr>
      <vt:lpstr>tlOutputGraphsScenario2SnMTotYr1</vt:lpstr>
      <vt:lpstr>tlOutputGraphsScenario2SnMTotYr10</vt:lpstr>
      <vt:lpstr>tlOutputGraphsScenario2SnMTotYr2</vt:lpstr>
      <vt:lpstr>tlOutputGraphsScenario2SnMTotYr3</vt:lpstr>
      <vt:lpstr>tlOutputGraphsScenario2SnMTotYr4</vt:lpstr>
      <vt:lpstr>tlOutputGraphsScenario2SnMTotYr5</vt:lpstr>
      <vt:lpstr>tlOutputGraphsScenario2SnMTotYr6</vt:lpstr>
      <vt:lpstr>tlOutputGraphsScenario2SnMTotYr7</vt:lpstr>
      <vt:lpstr>tlOutputGraphsScenario2SnMTotYr8</vt:lpstr>
      <vt:lpstr>tlOutputGraphsScenario2SnMTotYr9</vt:lpstr>
      <vt:lpstr>tlOutputGraphsScenario3COGSTotYr1</vt:lpstr>
      <vt:lpstr>tlOutputGraphsScenario3COGSTotYr10</vt:lpstr>
      <vt:lpstr>tlOutputGraphsScenario3COGSTotYr2</vt:lpstr>
      <vt:lpstr>tlOutputGraphsScenario3COGSTotYr3</vt:lpstr>
      <vt:lpstr>tlOutputGraphsScenario3COGSTotYr4</vt:lpstr>
      <vt:lpstr>tlOutputGraphsScenario3COGSTotYr5</vt:lpstr>
      <vt:lpstr>tlOutputGraphsScenario3COGSTotYr6</vt:lpstr>
      <vt:lpstr>tlOutputGraphsScenario3COGSTotYr7</vt:lpstr>
      <vt:lpstr>tlOutputGraphsScenario3COGSTotYr8</vt:lpstr>
      <vt:lpstr>tlOutputGraphsScenario3COGSTotYr9</vt:lpstr>
      <vt:lpstr>tlOutputGraphsScenario3DCFYr1</vt:lpstr>
      <vt:lpstr>tlOutputGraphsScenario3DCFYr10</vt:lpstr>
      <vt:lpstr>tlOutputGraphsScenario3DCFYr2</vt:lpstr>
      <vt:lpstr>tlOutputGraphsScenario3DCFYr3</vt:lpstr>
      <vt:lpstr>tlOutputGraphsScenario3DCFYr4</vt:lpstr>
      <vt:lpstr>tlOutputGraphsScenario3DCFYr5</vt:lpstr>
      <vt:lpstr>tlOutputGraphsScenario3DCFYr6</vt:lpstr>
      <vt:lpstr>tlOutputGraphsScenario3DCFYr7</vt:lpstr>
      <vt:lpstr>tlOutputGraphsScenario3DCFYr8</vt:lpstr>
      <vt:lpstr>tlOutputGraphsScenario3DCFYr9</vt:lpstr>
      <vt:lpstr>tlOutputGraphsScenario3EPV</vt:lpstr>
      <vt:lpstr>tlOutputGraphsScenario3OMTotYr1</vt:lpstr>
      <vt:lpstr>tlOutputGraphsScenario3OMTotYr10</vt:lpstr>
      <vt:lpstr>tlOutputGraphsScenario3OMTotYr2</vt:lpstr>
      <vt:lpstr>tlOutputGraphsScenario3OMTotYr3</vt:lpstr>
      <vt:lpstr>tlOutputGraphsScenario3OMTotYr4</vt:lpstr>
      <vt:lpstr>tlOutputGraphsScenario3OMTotYr5</vt:lpstr>
      <vt:lpstr>tlOutputGraphsScenario3OMTotYr6</vt:lpstr>
      <vt:lpstr>tlOutputGraphsScenario3OMTotYr7</vt:lpstr>
      <vt:lpstr>tlOutputGraphsScenario3OMTotYr8</vt:lpstr>
      <vt:lpstr>tlOutputGraphsScenario3OMTotYr9</vt:lpstr>
      <vt:lpstr>tlOutputGraphsScenario3PeakSalesReg1</vt:lpstr>
      <vt:lpstr>tlOutputGraphsScenario3PeakSalesReg2</vt:lpstr>
      <vt:lpstr>tlOutputGraphsScenario3PeakSalesReg3</vt:lpstr>
      <vt:lpstr>tlOutputGraphsScenario3PeakSalesReg4</vt:lpstr>
      <vt:lpstr>tlOutputGraphsScenario3RnDTotYr1</vt:lpstr>
      <vt:lpstr>tlOutputGraphsScenario3RnDTotYr10</vt:lpstr>
      <vt:lpstr>tlOutputGraphsScenario3RnDTotYr2</vt:lpstr>
      <vt:lpstr>tlOutputGraphsScenario3RnDTotYr3</vt:lpstr>
      <vt:lpstr>tlOutputGraphsScenario3RnDTotYr4</vt:lpstr>
      <vt:lpstr>tlOutputGraphsScenario3RnDTotYr5</vt:lpstr>
      <vt:lpstr>tlOutputGraphsScenario3RnDTotYr6</vt:lpstr>
      <vt:lpstr>tlOutputGraphsScenario3RnDTotYr7</vt:lpstr>
      <vt:lpstr>tlOutputGraphsScenario3RnDTotYr8</vt:lpstr>
      <vt:lpstr>tlOutputGraphsScenario3RnDTotYr9</vt:lpstr>
      <vt:lpstr>tlOutputGraphsScenario3SalesReg1Yr1</vt:lpstr>
      <vt:lpstr>tlOutputGraphsScenario3SalesReg1Yr10</vt:lpstr>
      <vt:lpstr>tlOutputGraphsScenario3SalesReg1Yr2</vt:lpstr>
      <vt:lpstr>tlOutputGraphsScenario3SalesReg1Yr3</vt:lpstr>
      <vt:lpstr>tlOutputGraphsScenario3SalesReg1Yr4</vt:lpstr>
      <vt:lpstr>tlOutputGraphsScenario3SalesReg1Yr5</vt:lpstr>
      <vt:lpstr>tlOutputGraphsScenario3SalesReg1Yr6</vt:lpstr>
      <vt:lpstr>tlOutputGraphsScenario3SalesReg1Yr7</vt:lpstr>
      <vt:lpstr>tlOutputGraphsScenario3SalesReg1Yr8</vt:lpstr>
      <vt:lpstr>tlOutputGraphsScenario3SalesReg1Yr9</vt:lpstr>
      <vt:lpstr>tlOutputGraphsScenario3SalesReg2Yr1</vt:lpstr>
      <vt:lpstr>tlOutputGraphsScenario3SalesReg2Yr10</vt:lpstr>
      <vt:lpstr>tlOutputGraphsScenario3SalesReg2Yr2</vt:lpstr>
      <vt:lpstr>tlOutputGraphsScenario3SalesReg2Yr3</vt:lpstr>
      <vt:lpstr>tlOutputGraphsScenario3SalesReg2Yr4</vt:lpstr>
      <vt:lpstr>tlOutputGraphsScenario3SalesReg2Yr5</vt:lpstr>
      <vt:lpstr>tlOutputGraphsScenario3SalesReg2Yr6</vt:lpstr>
      <vt:lpstr>tlOutputGraphsScenario3SalesReg2Yr7</vt:lpstr>
      <vt:lpstr>tlOutputGraphsScenario3SalesReg2Yr8</vt:lpstr>
      <vt:lpstr>tlOutputGraphsScenario3SalesReg2Yr9</vt:lpstr>
      <vt:lpstr>tlOutputGraphsScenario3SalesReg3Yr1</vt:lpstr>
      <vt:lpstr>tlOutputGraphsScenario3SalesReg3Yr10</vt:lpstr>
      <vt:lpstr>tlOutputGraphsScenario3SalesReg3Yr2</vt:lpstr>
      <vt:lpstr>tlOutputGraphsScenario3SalesReg3Yr3</vt:lpstr>
      <vt:lpstr>tlOutputGraphsScenario3SalesReg3Yr4</vt:lpstr>
      <vt:lpstr>tlOutputGraphsScenario3SalesReg3Yr5</vt:lpstr>
      <vt:lpstr>tlOutputGraphsScenario3SalesReg3Yr6</vt:lpstr>
      <vt:lpstr>tlOutputGraphsScenario3SalesReg3Yr7</vt:lpstr>
      <vt:lpstr>tlOutputGraphsScenario3SalesReg3Yr8</vt:lpstr>
      <vt:lpstr>tlOutputGraphsScenario3SalesReg3Yr9</vt:lpstr>
      <vt:lpstr>tlOutputGraphsScenario3SalesReg4Yr1</vt:lpstr>
      <vt:lpstr>tlOutputGraphsScenario3SalesReg4Yr10</vt:lpstr>
      <vt:lpstr>tlOutputGraphsScenario3SalesReg4Yr2</vt:lpstr>
      <vt:lpstr>tlOutputGraphsScenario3SalesReg4Yr3</vt:lpstr>
      <vt:lpstr>tlOutputGraphsScenario3SalesReg4Yr4</vt:lpstr>
      <vt:lpstr>tlOutputGraphsScenario3SalesReg4Yr5</vt:lpstr>
      <vt:lpstr>tlOutputGraphsScenario3SalesReg4Yr6</vt:lpstr>
      <vt:lpstr>tlOutputGraphsScenario3SalesReg4Yr7</vt:lpstr>
      <vt:lpstr>tlOutputGraphsScenario3SalesReg4Yr8</vt:lpstr>
      <vt:lpstr>tlOutputGraphsScenario3SalesReg4Yr9</vt:lpstr>
      <vt:lpstr>tlOutputGraphsScenario3SalesTotYr1</vt:lpstr>
      <vt:lpstr>tlOutputGraphsScenario3SalesTotYr10</vt:lpstr>
      <vt:lpstr>tlOutputGraphsScenario3SalesTotYr2</vt:lpstr>
      <vt:lpstr>tlOutputGraphsScenario3SalesTotYr3</vt:lpstr>
      <vt:lpstr>tlOutputGraphsScenario3SalesTotYr4</vt:lpstr>
      <vt:lpstr>tlOutputGraphsScenario3SalesTotYr5</vt:lpstr>
      <vt:lpstr>tlOutputGraphsScenario3SalesTotYr6</vt:lpstr>
      <vt:lpstr>tlOutputGraphsScenario3SalesTotYr7</vt:lpstr>
      <vt:lpstr>tlOutputGraphsScenario3SalesTotYr8</vt:lpstr>
      <vt:lpstr>tlOutputGraphsScenario3SalesTotYr9</vt:lpstr>
      <vt:lpstr>tlOutputGraphsScenario3SnMTotYr1</vt:lpstr>
      <vt:lpstr>tlOutputGraphsScenario3SnMTotYr10</vt:lpstr>
      <vt:lpstr>tlOutputGraphsScenario3SnMTotYr2</vt:lpstr>
      <vt:lpstr>tlOutputGraphsScenario3SnMTotYr3</vt:lpstr>
      <vt:lpstr>tlOutputGraphsScenario3SnMTotYr4</vt:lpstr>
      <vt:lpstr>tlOutputGraphsScenario3SnMTotYr5</vt:lpstr>
      <vt:lpstr>tlOutputGraphsScenario3SnMTotYr6</vt:lpstr>
      <vt:lpstr>tlOutputGraphsScenario3SnMTotYr7</vt:lpstr>
      <vt:lpstr>tlOutputGraphsScenario3SnMTotYr8</vt:lpstr>
      <vt:lpstr>tlOutputGraphsScenario3SnMTotYr9</vt:lpstr>
      <vt:lpstr>tlOutputPlanCurrentStage</vt:lpstr>
      <vt:lpstr>tlOutputPlanDiseaseArea</vt:lpstr>
      <vt:lpstr>tlOutputPlanDrugAdministration</vt:lpstr>
      <vt:lpstr>tlOutputPlanFormulation</vt:lpstr>
      <vt:lpstr>tlOutputPlanInLicenseCost</vt:lpstr>
      <vt:lpstr>tlOutputPlanInLicenseStage</vt:lpstr>
      <vt:lpstr>tlOutputPlanLOEDate</vt:lpstr>
      <vt:lpstr>tlOutputPlanProjectName</vt:lpstr>
      <vt:lpstr>tlOutputPlanProjectStartDate</vt:lpstr>
      <vt:lpstr>tlOutputPlanTargetIndication</vt:lpstr>
      <vt:lpstr>tlOutputPlanTargetLaunchDate</vt:lpstr>
      <vt:lpstr>tlOutputReportCurrentStage</vt:lpstr>
      <vt:lpstr>tlOutputReportDiseaseArea</vt:lpstr>
      <vt:lpstr>tlOutputReportDrugAdministration</vt:lpstr>
      <vt:lpstr>tlOutputReportFormulation</vt:lpstr>
      <vt:lpstr>tlOutputReportInLicenseCost</vt:lpstr>
      <vt:lpstr>tlOutputReportInLicenseStage</vt:lpstr>
      <vt:lpstr>tlOutputReportKPIScenario1Breakeven</vt:lpstr>
      <vt:lpstr>tlOutputReportKPIScenario1EPV</vt:lpstr>
      <vt:lpstr>tlOutputReportKPIScenario1IRR</vt:lpstr>
      <vt:lpstr>tlOutputReportKPIScenario1LaunchDate</vt:lpstr>
      <vt:lpstr>tlOutputReportKPIScenario1NPV</vt:lpstr>
      <vt:lpstr>tlOutputReportKPIScenario1PeakSales</vt:lpstr>
      <vt:lpstr>tlOutputReportKPIScenario1POS</vt:lpstr>
      <vt:lpstr>tlOutputReportKPIScenario1RnDCost</vt:lpstr>
      <vt:lpstr>tlOutputReportKPIScenario1ROI</vt:lpstr>
      <vt:lpstr>tlOutputReportKPIScenario2Breakeven</vt:lpstr>
      <vt:lpstr>tlOutputReportKPIScenario2EPV</vt:lpstr>
      <vt:lpstr>tlOutputReportKPIScenario2IRR</vt:lpstr>
      <vt:lpstr>tlOutputReportKPIScenario2LaunchDate</vt:lpstr>
      <vt:lpstr>tlOutputReportKPIScenario2NPV</vt:lpstr>
      <vt:lpstr>tlOutputReportKPIScenario2PeakSales</vt:lpstr>
      <vt:lpstr>tlOutputReportKPIScenario2POS</vt:lpstr>
      <vt:lpstr>tlOutputReportKPIScenario2RnDCost</vt:lpstr>
      <vt:lpstr>tlOutputReportKPIScenario2ROI</vt:lpstr>
      <vt:lpstr>tlOutputReportKPIScenario3Breakeven</vt:lpstr>
      <vt:lpstr>tlOutputReportKPIScenario3EPV</vt:lpstr>
      <vt:lpstr>tlOutputReportKPIScenario3IRR</vt:lpstr>
      <vt:lpstr>tlOutputReportKPIScenario3LaunchDate</vt:lpstr>
      <vt:lpstr>tlOutputReportKPIScenario3NPV</vt:lpstr>
      <vt:lpstr>tlOutputReportKPIScenario3PeakSales</vt:lpstr>
      <vt:lpstr>tlOutputReportKPIScenario3POS</vt:lpstr>
      <vt:lpstr>tlOutputReportKPIScenario3RnDCost</vt:lpstr>
      <vt:lpstr>tlOutputReportKPIScenario3ROI</vt:lpstr>
      <vt:lpstr>tlOutputReportLOEDate</vt:lpstr>
      <vt:lpstr>tlOutputReportProjectName</vt:lpstr>
      <vt:lpstr>tlOutputReportProjectStartDate</vt:lpstr>
      <vt:lpstr>tlOutputReportSummaryScenario1Breakeven</vt:lpstr>
      <vt:lpstr>tlOutputReportSummaryScenario1COGS0</vt:lpstr>
      <vt:lpstr>tlOutputReportSummaryScenario1COGS1</vt:lpstr>
      <vt:lpstr>tlOutputReportSummaryScenario1COGS10</vt:lpstr>
      <vt:lpstr>tlOutputReportSummaryScenario1COGS2</vt:lpstr>
      <vt:lpstr>tlOutputReportSummaryScenario1COGS3</vt:lpstr>
      <vt:lpstr>tlOutputReportSummaryScenario1COGS4</vt:lpstr>
      <vt:lpstr>tlOutputReportSummaryScenario1COGS5</vt:lpstr>
      <vt:lpstr>tlOutputReportSummaryScenario1COGS6</vt:lpstr>
      <vt:lpstr>tlOutputReportSummaryScenario1COGS7</vt:lpstr>
      <vt:lpstr>tlOutputReportSummaryScenario1COGS8</vt:lpstr>
      <vt:lpstr>tlOutputReportSummaryScenario1COGS9</vt:lpstr>
      <vt:lpstr>tlOutputReportSummaryScenario1DCF0</vt:lpstr>
      <vt:lpstr>tlOutputReportSummaryScenario1DCF1</vt:lpstr>
      <vt:lpstr>tlOutputReportSummaryScenario1DCF10</vt:lpstr>
      <vt:lpstr>tlOutputReportSummaryScenario1DCF2</vt:lpstr>
      <vt:lpstr>tlOutputReportSummaryScenario1DCF3</vt:lpstr>
      <vt:lpstr>tlOutputReportSummaryScenario1DCF4</vt:lpstr>
      <vt:lpstr>tlOutputReportSummaryScenario1DCF5</vt:lpstr>
      <vt:lpstr>tlOutputReportSummaryScenario1DCF6</vt:lpstr>
      <vt:lpstr>tlOutputReportSummaryScenario1DCF7</vt:lpstr>
      <vt:lpstr>tlOutputReportSummaryScenario1DCF8</vt:lpstr>
      <vt:lpstr>tlOutputReportSummaryScenario1DCF9</vt:lpstr>
      <vt:lpstr>tlOutputReportSummaryScenario1EPV</vt:lpstr>
      <vt:lpstr>tlOutputReportSummaryScenario1GM0</vt:lpstr>
      <vt:lpstr>tlOutputReportSummaryScenario1GM1</vt:lpstr>
      <vt:lpstr>tlOutputReportSummaryScenario1GM10</vt:lpstr>
      <vt:lpstr>tlOutputReportSummaryScenario1GM2</vt:lpstr>
      <vt:lpstr>tlOutputReportSummaryScenario1GM3</vt:lpstr>
      <vt:lpstr>tlOutputReportSummaryScenario1GM4</vt:lpstr>
      <vt:lpstr>tlOutputReportSummaryScenario1GM5</vt:lpstr>
      <vt:lpstr>tlOutputReportSummaryScenario1GM6</vt:lpstr>
      <vt:lpstr>tlOutputReportSummaryScenario1GM7</vt:lpstr>
      <vt:lpstr>tlOutputReportSummaryScenario1GM8</vt:lpstr>
      <vt:lpstr>tlOutputReportSummaryScenario1GM9</vt:lpstr>
      <vt:lpstr>tlOutputReportSummaryScenario1IRR</vt:lpstr>
      <vt:lpstr>tlOutputReportSummaryScenario1LaunchDate</vt:lpstr>
      <vt:lpstr>tlOutputReportSummaryScenario1LaunchYear1</vt:lpstr>
      <vt:lpstr>tlOutputReportSummaryScenario1LaunchYear10</vt:lpstr>
      <vt:lpstr>tlOutputReportSummaryScenario1LaunchYear2</vt:lpstr>
      <vt:lpstr>tlOutputReportSummaryScenario1LaunchYear3</vt:lpstr>
      <vt:lpstr>tlOutputReportSummaryScenario1LaunchYear4</vt:lpstr>
      <vt:lpstr>tlOutputReportSummaryScenario1LaunchYear5</vt:lpstr>
      <vt:lpstr>tlOutputReportSummaryScenario1LaunchYear6</vt:lpstr>
      <vt:lpstr>tlOutputReportSummaryScenario1LaunchYear7</vt:lpstr>
      <vt:lpstr>tlOutputReportSummaryScenario1LaunchYear8</vt:lpstr>
      <vt:lpstr>tlOutputReportSummaryScenario1LaunchYear9</vt:lpstr>
      <vt:lpstr>tlOutputReportSummaryScenario1NPV</vt:lpstr>
      <vt:lpstr>tlOutputReportSummaryScenario1OCF0</vt:lpstr>
      <vt:lpstr>tlOutputReportSummaryScenario1OCF1</vt:lpstr>
      <vt:lpstr>tlOutputReportSummaryScenario1OCF10</vt:lpstr>
      <vt:lpstr>tlOutputReportSummaryScenario1OCF2</vt:lpstr>
      <vt:lpstr>tlOutputReportSummaryScenario1OCF3</vt:lpstr>
      <vt:lpstr>tlOutputReportSummaryScenario1OCF4</vt:lpstr>
      <vt:lpstr>tlOutputReportSummaryScenario1OCF5</vt:lpstr>
      <vt:lpstr>tlOutputReportSummaryScenario1OCF6</vt:lpstr>
      <vt:lpstr>tlOutputReportSummaryScenario1OCF7</vt:lpstr>
      <vt:lpstr>tlOutputReportSummaryScenario1OCF8</vt:lpstr>
      <vt:lpstr>tlOutputReportSummaryScenario1OCF9</vt:lpstr>
      <vt:lpstr>tlOutputReportSummaryScenario1OM0</vt:lpstr>
      <vt:lpstr>tlOutputReportSummaryScenario1OM1</vt:lpstr>
      <vt:lpstr>tlOutputReportSummaryScenario1OM10</vt:lpstr>
      <vt:lpstr>tlOutputReportSummaryScenario1OM2</vt:lpstr>
      <vt:lpstr>tlOutputReportSummaryScenario1OM3</vt:lpstr>
      <vt:lpstr>tlOutputReportSummaryScenario1OM4</vt:lpstr>
      <vt:lpstr>tlOutputReportSummaryScenario1OM5</vt:lpstr>
      <vt:lpstr>tlOutputReportSummaryScenario1OM6</vt:lpstr>
      <vt:lpstr>tlOutputReportSummaryScenario1OM7</vt:lpstr>
      <vt:lpstr>tlOutputReportSummaryScenario1OM8</vt:lpstr>
      <vt:lpstr>tlOutputReportSummaryScenario1OM9</vt:lpstr>
      <vt:lpstr>tlOutputReportSummaryScenario1PeakSales</vt:lpstr>
      <vt:lpstr>tlOutputReportSummaryScenario1POS</vt:lpstr>
      <vt:lpstr>tlOutputReportSummaryScenario1RnD0</vt:lpstr>
      <vt:lpstr>tlOutputReportSummaryScenario1RnD1</vt:lpstr>
      <vt:lpstr>tlOutputReportSummaryScenario1RnD10</vt:lpstr>
      <vt:lpstr>tlOutputReportSummaryScenario1RnD2</vt:lpstr>
      <vt:lpstr>tlOutputReportSummaryScenario1RnD3</vt:lpstr>
      <vt:lpstr>tlOutputReportSummaryScenario1RnD4</vt:lpstr>
      <vt:lpstr>tlOutputReportSummaryScenario1RnD5</vt:lpstr>
      <vt:lpstr>tlOutputReportSummaryScenario1RnD6</vt:lpstr>
      <vt:lpstr>tlOutputReportSummaryScenario1RnD7</vt:lpstr>
      <vt:lpstr>tlOutputReportSummaryScenario1RnD8</vt:lpstr>
      <vt:lpstr>tlOutputReportSummaryScenario1RnD9</vt:lpstr>
      <vt:lpstr>tlOutputReportSummaryScenario1RnDCost</vt:lpstr>
      <vt:lpstr>tlOutputReportSummaryScenario1ROI</vt:lpstr>
      <vt:lpstr>tlOutputReportSummaryScenario1Royalty0</vt:lpstr>
      <vt:lpstr>tlOutputReportSummaryScenario1Royalty1</vt:lpstr>
      <vt:lpstr>tlOutputReportSummaryScenario1Royalty10</vt:lpstr>
      <vt:lpstr>tlOutputReportSummaryScenario1Royalty2</vt:lpstr>
      <vt:lpstr>tlOutputReportSummaryScenario1Royalty3</vt:lpstr>
      <vt:lpstr>tlOutputReportSummaryScenario1Royalty4</vt:lpstr>
      <vt:lpstr>tlOutputReportSummaryScenario1Royalty5</vt:lpstr>
      <vt:lpstr>tlOutputReportSummaryScenario1Royalty6</vt:lpstr>
      <vt:lpstr>tlOutputReportSummaryScenario1Royalty7</vt:lpstr>
      <vt:lpstr>tlOutputReportSummaryScenario1Royalty8</vt:lpstr>
      <vt:lpstr>tlOutputReportSummaryScenario1Royalty9</vt:lpstr>
      <vt:lpstr>tlOutputReportSummaryScenario1Sales0</vt:lpstr>
      <vt:lpstr>tlOutputReportSummaryScenario1Sales1</vt:lpstr>
      <vt:lpstr>tlOutputReportSummaryScenario1Sales10</vt:lpstr>
      <vt:lpstr>tlOutputReportSummaryScenario1Sales2</vt:lpstr>
      <vt:lpstr>tlOutputReportSummaryScenario1Sales3</vt:lpstr>
      <vt:lpstr>tlOutputReportSummaryScenario1Sales4</vt:lpstr>
      <vt:lpstr>tlOutputReportSummaryScenario1Sales5</vt:lpstr>
      <vt:lpstr>tlOutputReportSummaryScenario1Sales6</vt:lpstr>
      <vt:lpstr>tlOutputReportSummaryScenario1Sales7</vt:lpstr>
      <vt:lpstr>tlOutputReportSummaryScenario1Sales8</vt:lpstr>
      <vt:lpstr>tlOutputReportSummaryScenario1Sales9</vt:lpstr>
      <vt:lpstr>tlOutputReportSummaryScenario1SnM0</vt:lpstr>
      <vt:lpstr>tlOutputReportSummaryScenario1SnM1</vt:lpstr>
      <vt:lpstr>tlOutputReportSummaryScenario1SnM10</vt:lpstr>
      <vt:lpstr>tlOutputReportSummaryScenario1SnM2</vt:lpstr>
      <vt:lpstr>tlOutputReportSummaryScenario1SnM3</vt:lpstr>
      <vt:lpstr>tlOutputReportSummaryScenario1SnM4</vt:lpstr>
      <vt:lpstr>tlOutputReportSummaryScenario1SnM5</vt:lpstr>
      <vt:lpstr>tlOutputReportSummaryScenario1SnM6</vt:lpstr>
      <vt:lpstr>tlOutputReportSummaryScenario1SnM7</vt:lpstr>
      <vt:lpstr>tlOutputReportSummaryScenario1SnM8</vt:lpstr>
      <vt:lpstr>tlOutputReportSummaryScenario1SnM9</vt:lpstr>
      <vt:lpstr>tlOutputReportSummaryScenario2Breakeven</vt:lpstr>
      <vt:lpstr>tlOutputReportSummaryScenario2COGS0</vt:lpstr>
      <vt:lpstr>tlOutputReportSummaryScenario2COGS1</vt:lpstr>
      <vt:lpstr>tlOutputReportSummaryScenario2COGS10</vt:lpstr>
      <vt:lpstr>tlOutputReportSummaryScenario2COGS2</vt:lpstr>
      <vt:lpstr>tlOutputReportSummaryScenario2COGS3</vt:lpstr>
      <vt:lpstr>tlOutputReportSummaryScenario2COGS4</vt:lpstr>
      <vt:lpstr>tlOutputReportSummaryScenario2COGS5</vt:lpstr>
      <vt:lpstr>tlOutputReportSummaryScenario2COGS6</vt:lpstr>
      <vt:lpstr>tlOutputReportSummaryScenario2COGS7</vt:lpstr>
      <vt:lpstr>tlOutputReportSummaryScenario2COGS8</vt:lpstr>
      <vt:lpstr>tlOutputReportSummaryScenario2COGS9</vt:lpstr>
      <vt:lpstr>tlOutputReportSummaryScenario2DCF0</vt:lpstr>
      <vt:lpstr>tlOutputReportSummaryScenario2DCF1</vt:lpstr>
      <vt:lpstr>tlOutputReportSummaryScenario2DCF10</vt:lpstr>
      <vt:lpstr>tlOutputReportSummaryScenario2DCF2</vt:lpstr>
      <vt:lpstr>tlOutputReportSummaryScenario2DCF3</vt:lpstr>
      <vt:lpstr>tlOutputReportSummaryScenario2DCF4</vt:lpstr>
      <vt:lpstr>tlOutputReportSummaryScenario2DCF5</vt:lpstr>
      <vt:lpstr>tlOutputReportSummaryScenario2DCF6</vt:lpstr>
      <vt:lpstr>tlOutputReportSummaryScenario2DCF7</vt:lpstr>
      <vt:lpstr>tlOutputReportSummaryScenario2DCF8</vt:lpstr>
      <vt:lpstr>tlOutputReportSummaryScenario2DCF9</vt:lpstr>
      <vt:lpstr>tlOutputReportSummaryScenario2EPV</vt:lpstr>
      <vt:lpstr>tlOutputReportSummaryScenario2GM0</vt:lpstr>
      <vt:lpstr>tlOutputReportSummaryScenario2GM1</vt:lpstr>
      <vt:lpstr>tlOutputReportSummaryScenario2GM10</vt:lpstr>
      <vt:lpstr>tlOutputReportSummaryScenario2GM2</vt:lpstr>
      <vt:lpstr>tlOutputReportSummaryScenario2GM3</vt:lpstr>
      <vt:lpstr>tlOutputReportSummaryScenario2GM4</vt:lpstr>
      <vt:lpstr>tlOutputReportSummaryScenario2GM5</vt:lpstr>
      <vt:lpstr>tlOutputReportSummaryScenario2GM6</vt:lpstr>
      <vt:lpstr>tlOutputReportSummaryScenario2GM7</vt:lpstr>
      <vt:lpstr>tlOutputReportSummaryScenario2GM8</vt:lpstr>
      <vt:lpstr>tlOutputReportSummaryScenario2GM9</vt:lpstr>
      <vt:lpstr>tlOutputReportSummaryScenario2IRR</vt:lpstr>
      <vt:lpstr>tlOutputReportSummaryScenario2LaunchDate</vt:lpstr>
      <vt:lpstr>tlOutputReportSummaryScenario2LaunchYear1</vt:lpstr>
      <vt:lpstr>tlOutputReportSummaryScenario2LaunchYear10</vt:lpstr>
      <vt:lpstr>tlOutputReportSummaryScenario2LaunchYear2</vt:lpstr>
      <vt:lpstr>tlOutputReportSummaryScenario2LaunchYear3</vt:lpstr>
      <vt:lpstr>tlOutputReportSummaryScenario2LaunchYear4</vt:lpstr>
      <vt:lpstr>tlOutputReportSummaryScenario2LaunchYear5</vt:lpstr>
      <vt:lpstr>tlOutputReportSummaryScenario2LaunchYear6</vt:lpstr>
      <vt:lpstr>tlOutputReportSummaryScenario2LaunchYear7</vt:lpstr>
      <vt:lpstr>tlOutputReportSummaryScenario2LaunchYear8</vt:lpstr>
      <vt:lpstr>tlOutputReportSummaryScenario2LaunchYear9</vt:lpstr>
      <vt:lpstr>tlOutputReportSummaryScenario2NPV</vt:lpstr>
      <vt:lpstr>tlOutputReportSummaryScenario2OCF0</vt:lpstr>
      <vt:lpstr>tlOutputReportSummaryScenario2OCF1</vt:lpstr>
      <vt:lpstr>tlOutputReportSummaryScenario2OCF10</vt:lpstr>
      <vt:lpstr>tlOutputReportSummaryScenario2OCF2</vt:lpstr>
      <vt:lpstr>tlOutputReportSummaryScenario2OCF3</vt:lpstr>
      <vt:lpstr>tlOutputReportSummaryScenario2OCF4</vt:lpstr>
      <vt:lpstr>tlOutputReportSummaryScenario2OCF5</vt:lpstr>
      <vt:lpstr>tlOutputReportSummaryScenario2OCF6</vt:lpstr>
      <vt:lpstr>tlOutputReportSummaryScenario2OCF7</vt:lpstr>
      <vt:lpstr>tlOutputReportSummaryScenario2OCF8</vt:lpstr>
      <vt:lpstr>tlOutputReportSummaryScenario2OCF9</vt:lpstr>
      <vt:lpstr>tlOutputReportSummaryScenario2OM0</vt:lpstr>
      <vt:lpstr>tlOutputReportSummaryScenario2OM1</vt:lpstr>
      <vt:lpstr>tlOutputReportSummaryScenario2OM10</vt:lpstr>
      <vt:lpstr>tlOutputReportSummaryScenario2OM2</vt:lpstr>
      <vt:lpstr>tlOutputReportSummaryScenario2OM3</vt:lpstr>
      <vt:lpstr>tlOutputReportSummaryScenario2OM4</vt:lpstr>
      <vt:lpstr>tlOutputReportSummaryScenario2OM5</vt:lpstr>
      <vt:lpstr>tlOutputReportSummaryScenario2OM6</vt:lpstr>
      <vt:lpstr>tlOutputReportSummaryScenario2OM7</vt:lpstr>
      <vt:lpstr>tlOutputReportSummaryScenario2OM8</vt:lpstr>
      <vt:lpstr>tlOutputReportSummaryScenario2OM9</vt:lpstr>
      <vt:lpstr>tlOutputReportSummaryScenario2PeakSales</vt:lpstr>
      <vt:lpstr>tlOutputReportSummaryScenario2POS</vt:lpstr>
      <vt:lpstr>tlOutputReportSummaryScenario2RnD0</vt:lpstr>
      <vt:lpstr>tlOutputReportSummaryScenario2RnD1</vt:lpstr>
      <vt:lpstr>tlOutputReportSummaryScenario2RnD10</vt:lpstr>
      <vt:lpstr>tlOutputReportSummaryScenario2RnD2</vt:lpstr>
      <vt:lpstr>tlOutputReportSummaryScenario2RnD3</vt:lpstr>
      <vt:lpstr>tlOutputReportSummaryScenario2RnD4</vt:lpstr>
      <vt:lpstr>tlOutputReportSummaryScenario2RnD5</vt:lpstr>
      <vt:lpstr>tlOutputReportSummaryScenario2RnD6</vt:lpstr>
      <vt:lpstr>tlOutputReportSummaryScenario2RnD7</vt:lpstr>
      <vt:lpstr>tlOutputReportSummaryScenario2RnD8</vt:lpstr>
      <vt:lpstr>tlOutputReportSummaryScenario2RnD9</vt:lpstr>
      <vt:lpstr>tlOutputReportSummaryScenario2RnDCost</vt:lpstr>
      <vt:lpstr>tlOutputReportSummaryScenario2ROI</vt:lpstr>
      <vt:lpstr>tlOutputReportSummaryScenario2Royalty0</vt:lpstr>
      <vt:lpstr>tlOutputReportSummaryScenario2Royalty1</vt:lpstr>
      <vt:lpstr>tlOutputReportSummaryScenario2Royalty10</vt:lpstr>
      <vt:lpstr>tlOutputReportSummaryScenario2Royalty2</vt:lpstr>
      <vt:lpstr>tlOutputReportSummaryScenario2Royalty3</vt:lpstr>
      <vt:lpstr>tlOutputReportSummaryScenario2Royalty4</vt:lpstr>
      <vt:lpstr>tlOutputReportSummaryScenario2Royalty5</vt:lpstr>
      <vt:lpstr>tlOutputReportSummaryScenario2Royalty6</vt:lpstr>
      <vt:lpstr>tlOutputReportSummaryScenario2Royalty7</vt:lpstr>
      <vt:lpstr>tlOutputReportSummaryScenario2Royalty8</vt:lpstr>
      <vt:lpstr>tlOutputReportSummaryScenario2Royalty9</vt:lpstr>
      <vt:lpstr>tlOutputReportSummaryScenario2Sales0</vt:lpstr>
      <vt:lpstr>tlOutputReportSummaryScenario2Sales1</vt:lpstr>
      <vt:lpstr>tlOutputReportSummaryScenario2Sales10</vt:lpstr>
      <vt:lpstr>tlOutputReportSummaryScenario2Sales2</vt:lpstr>
      <vt:lpstr>tlOutputReportSummaryScenario2Sales3</vt:lpstr>
      <vt:lpstr>tlOutputReportSummaryScenario2Sales4</vt:lpstr>
      <vt:lpstr>tlOutputReportSummaryScenario2Sales5</vt:lpstr>
      <vt:lpstr>tlOutputReportSummaryScenario2Sales6</vt:lpstr>
      <vt:lpstr>tlOutputReportSummaryScenario2Sales7</vt:lpstr>
      <vt:lpstr>tlOutputReportSummaryScenario2Sales8</vt:lpstr>
      <vt:lpstr>tlOutputReportSummaryScenario2Sales9</vt:lpstr>
      <vt:lpstr>tlOutputReportSummaryScenario2SnM0</vt:lpstr>
      <vt:lpstr>tlOutputReportSummaryScenario2SnM1</vt:lpstr>
      <vt:lpstr>tlOutputReportSummaryScenario2SnM10</vt:lpstr>
      <vt:lpstr>tlOutputReportSummaryScenario2SnM2</vt:lpstr>
      <vt:lpstr>tlOutputReportSummaryScenario2SnM3</vt:lpstr>
      <vt:lpstr>tlOutputReportSummaryScenario2SnM4</vt:lpstr>
      <vt:lpstr>tlOutputReportSummaryScenario2SnM5</vt:lpstr>
      <vt:lpstr>tlOutputReportSummaryScenario2SnM6</vt:lpstr>
      <vt:lpstr>tlOutputReportSummaryScenario2SnM7</vt:lpstr>
      <vt:lpstr>tlOutputReportSummaryScenario2SnM8</vt:lpstr>
      <vt:lpstr>tlOutputReportSummaryScenario2SnM9</vt:lpstr>
      <vt:lpstr>tlOutputReportSummaryScenario3Breakeven</vt:lpstr>
      <vt:lpstr>tlOutputReportSummaryScenario3COGS0</vt:lpstr>
      <vt:lpstr>tlOutputReportSummaryScenario3COGS1</vt:lpstr>
      <vt:lpstr>tlOutputReportSummaryScenario3COGS10</vt:lpstr>
      <vt:lpstr>tlOutputReportSummaryScenario3COGS2</vt:lpstr>
      <vt:lpstr>tlOutputReportSummaryScenario3COGS3</vt:lpstr>
      <vt:lpstr>tlOutputReportSummaryScenario3COGS4</vt:lpstr>
      <vt:lpstr>tlOutputReportSummaryScenario3COGS5</vt:lpstr>
      <vt:lpstr>tlOutputReportSummaryScenario3COGS6</vt:lpstr>
      <vt:lpstr>tlOutputReportSummaryScenario3COGS7</vt:lpstr>
      <vt:lpstr>tlOutputReportSummaryScenario3COGS8</vt:lpstr>
      <vt:lpstr>tlOutputReportSummaryScenario3COGS9</vt:lpstr>
      <vt:lpstr>tlOutputReportSummaryScenario3DCF0</vt:lpstr>
      <vt:lpstr>tlOutputReportSummaryScenario3DCF1</vt:lpstr>
      <vt:lpstr>tlOutputReportSummaryScenario3DCF10</vt:lpstr>
      <vt:lpstr>tlOutputReportSummaryScenario3DCF2</vt:lpstr>
      <vt:lpstr>tlOutputReportSummaryScenario3DCF3</vt:lpstr>
      <vt:lpstr>tlOutputReportSummaryScenario3DCF4</vt:lpstr>
      <vt:lpstr>tlOutputReportSummaryScenario3DCF5</vt:lpstr>
      <vt:lpstr>tlOutputReportSummaryScenario3DCF6</vt:lpstr>
      <vt:lpstr>tlOutputReportSummaryScenario3DCF7</vt:lpstr>
      <vt:lpstr>tlOutputReportSummaryScenario3DCF8</vt:lpstr>
      <vt:lpstr>tlOutputReportSummaryScenario3DCF9</vt:lpstr>
      <vt:lpstr>tlOutputReportSummaryScenario3EPV</vt:lpstr>
      <vt:lpstr>tlOutputReportSummaryScenario3GM0</vt:lpstr>
      <vt:lpstr>tlOutputReportSummaryScenario3GM1</vt:lpstr>
      <vt:lpstr>tlOutputReportSummaryScenario3GM10</vt:lpstr>
      <vt:lpstr>tlOutputReportSummaryScenario3GM2</vt:lpstr>
      <vt:lpstr>tlOutputReportSummaryScenario3GM3</vt:lpstr>
      <vt:lpstr>tlOutputReportSummaryScenario3GM4</vt:lpstr>
      <vt:lpstr>tlOutputReportSummaryScenario3GM5</vt:lpstr>
      <vt:lpstr>tlOutputReportSummaryScenario3GM6</vt:lpstr>
      <vt:lpstr>tlOutputReportSummaryScenario3GM7</vt:lpstr>
      <vt:lpstr>tlOutputReportSummaryScenario3GM8</vt:lpstr>
      <vt:lpstr>tlOutputReportSummaryScenario3GM9</vt:lpstr>
      <vt:lpstr>tlOutputReportSummaryScenario3IRR</vt:lpstr>
      <vt:lpstr>tlOutputReportSummaryScenario3LaunchDate</vt:lpstr>
      <vt:lpstr>tlOutputReportSummaryScenario3LaunchYear1</vt:lpstr>
      <vt:lpstr>tlOutputReportSummaryScenario3LaunchYear10</vt:lpstr>
      <vt:lpstr>tlOutputReportSummaryScenario3LaunchYear2</vt:lpstr>
      <vt:lpstr>tlOutputReportSummaryScenario3LaunchYear3</vt:lpstr>
      <vt:lpstr>tlOutputReportSummaryScenario3LaunchYear4</vt:lpstr>
      <vt:lpstr>tlOutputReportSummaryScenario3LaunchYear5</vt:lpstr>
      <vt:lpstr>tlOutputReportSummaryScenario3LaunchYear6</vt:lpstr>
      <vt:lpstr>tlOutputReportSummaryScenario3LaunchYear7</vt:lpstr>
      <vt:lpstr>tlOutputReportSummaryScenario3LaunchYear8</vt:lpstr>
      <vt:lpstr>tlOutputReportSummaryScenario3LaunchYear9</vt:lpstr>
      <vt:lpstr>tlOutputReportSummaryScenario3NPV</vt:lpstr>
      <vt:lpstr>tlOutputReportSummaryScenario3OCF0</vt:lpstr>
      <vt:lpstr>tlOutputReportSummaryScenario3OCF1</vt:lpstr>
      <vt:lpstr>tlOutputReportSummaryScenario3OCF10</vt:lpstr>
      <vt:lpstr>tlOutputReportSummaryScenario3OCF2</vt:lpstr>
      <vt:lpstr>tlOutputReportSummaryScenario3OCF3</vt:lpstr>
      <vt:lpstr>tlOutputReportSummaryScenario3OCF4</vt:lpstr>
      <vt:lpstr>tlOutputReportSummaryScenario3OCF5</vt:lpstr>
      <vt:lpstr>tlOutputReportSummaryScenario3OCF6</vt:lpstr>
      <vt:lpstr>tlOutputReportSummaryScenario3OCF7</vt:lpstr>
      <vt:lpstr>tlOutputReportSummaryScenario3OCF8</vt:lpstr>
      <vt:lpstr>tlOutputReportSummaryScenario3OCF9</vt:lpstr>
      <vt:lpstr>tlOutputReportSummaryScenario3OM0</vt:lpstr>
      <vt:lpstr>tlOutputReportSummaryScenario3OM1</vt:lpstr>
      <vt:lpstr>tlOutputReportSummaryScenario3OM10</vt:lpstr>
      <vt:lpstr>tlOutputReportSummaryScenario3OM2</vt:lpstr>
      <vt:lpstr>tlOutputReportSummaryScenario3OM3</vt:lpstr>
      <vt:lpstr>tlOutputReportSummaryScenario3OM4</vt:lpstr>
      <vt:lpstr>tlOutputReportSummaryScenario3OM5</vt:lpstr>
      <vt:lpstr>tlOutputReportSummaryScenario3OM6</vt:lpstr>
      <vt:lpstr>tlOutputReportSummaryScenario3OM7</vt:lpstr>
      <vt:lpstr>tlOutputReportSummaryScenario3OM8</vt:lpstr>
      <vt:lpstr>tlOutputReportSummaryScenario3OM9</vt:lpstr>
      <vt:lpstr>tlOutputReportSummaryScenario3PeakSales</vt:lpstr>
      <vt:lpstr>tlOutputReportSummaryScenario3POS</vt:lpstr>
      <vt:lpstr>tlOutputReportSummaryScenario3RnD0</vt:lpstr>
      <vt:lpstr>tlOutputReportSummaryScenario3RnD1</vt:lpstr>
      <vt:lpstr>tlOutputReportSummaryScenario3RnD10</vt:lpstr>
      <vt:lpstr>tlOutputReportSummaryScenario3RnD2</vt:lpstr>
      <vt:lpstr>tlOutputReportSummaryScenario3RnD3</vt:lpstr>
      <vt:lpstr>tlOutputReportSummaryScenario3RnD4</vt:lpstr>
      <vt:lpstr>tlOutputReportSummaryScenario3RnD5</vt:lpstr>
      <vt:lpstr>tlOutputReportSummaryScenario3RnD6</vt:lpstr>
      <vt:lpstr>tlOutputReportSummaryScenario3RnD7</vt:lpstr>
      <vt:lpstr>tlOutputReportSummaryScenario3RnD8</vt:lpstr>
      <vt:lpstr>tlOutputReportSummaryScenario3RnD9</vt:lpstr>
      <vt:lpstr>tlOutputReportSummaryScenario3RnDCost</vt:lpstr>
      <vt:lpstr>tlOutputReportSummaryScenario3ROI</vt:lpstr>
      <vt:lpstr>tlOutputReportSummaryScenario3Royalty0</vt:lpstr>
      <vt:lpstr>tlOutputReportSummaryScenario3Royalty1</vt:lpstr>
      <vt:lpstr>tlOutputReportSummaryScenario3Royalty10</vt:lpstr>
      <vt:lpstr>tlOutputReportSummaryScenario3Royalty2</vt:lpstr>
      <vt:lpstr>tlOutputReportSummaryScenario3Royalty3</vt:lpstr>
      <vt:lpstr>tlOutputReportSummaryScenario3Royalty4</vt:lpstr>
      <vt:lpstr>tlOutputReportSummaryScenario3Royalty5</vt:lpstr>
      <vt:lpstr>tlOutputReportSummaryScenario3Royalty6</vt:lpstr>
      <vt:lpstr>tlOutputReportSummaryScenario3Royalty7</vt:lpstr>
      <vt:lpstr>tlOutputReportSummaryScenario3Royalty8</vt:lpstr>
      <vt:lpstr>tlOutputReportSummaryScenario3Royalty9</vt:lpstr>
      <vt:lpstr>tlOutputReportSummaryScenario3Sales0</vt:lpstr>
      <vt:lpstr>tlOutputReportSummaryScenario3Sales1</vt:lpstr>
      <vt:lpstr>tlOutputReportSummaryScenario3Sales10</vt:lpstr>
      <vt:lpstr>tlOutputReportSummaryScenario3Sales2</vt:lpstr>
      <vt:lpstr>tlOutputReportSummaryScenario3Sales3</vt:lpstr>
      <vt:lpstr>tlOutputReportSummaryScenario3Sales4</vt:lpstr>
      <vt:lpstr>tlOutputReportSummaryScenario3Sales5</vt:lpstr>
      <vt:lpstr>tlOutputReportSummaryScenario3Sales6</vt:lpstr>
      <vt:lpstr>tlOutputReportSummaryScenario3Sales7</vt:lpstr>
      <vt:lpstr>tlOutputReportSummaryScenario3Sales8</vt:lpstr>
      <vt:lpstr>tlOutputReportSummaryScenario3Sales9</vt:lpstr>
      <vt:lpstr>tlOutputReportSummaryScenario3SnM0</vt:lpstr>
      <vt:lpstr>tlOutputReportSummaryScenario3SnM1</vt:lpstr>
      <vt:lpstr>tlOutputReportSummaryScenario3SnM10</vt:lpstr>
      <vt:lpstr>tlOutputReportSummaryScenario3SnM2</vt:lpstr>
      <vt:lpstr>tlOutputReportSummaryScenario3SnM3</vt:lpstr>
      <vt:lpstr>tlOutputReportSummaryScenario3SnM4</vt:lpstr>
      <vt:lpstr>tlOutputReportSummaryScenario3SnM5</vt:lpstr>
      <vt:lpstr>tlOutputReportSummaryScenario3SnM6</vt:lpstr>
      <vt:lpstr>tlOutputReportSummaryScenario3SnM7</vt:lpstr>
      <vt:lpstr>tlOutputReportSummaryScenario3SnM8</vt:lpstr>
      <vt:lpstr>tlOutputReportSummaryScenario3SnM9</vt:lpstr>
      <vt:lpstr>tlOutputReportTargetIndication</vt:lpstr>
      <vt:lpstr>tlOutputReportTargetLaunchDate</vt:lpstr>
      <vt:lpstr>tlOutputScenario1Breakeven</vt:lpstr>
      <vt:lpstr>tlOutputScenario1COGS</vt:lpstr>
      <vt:lpstr>tlOutputScenario1Compliance</vt:lpstr>
      <vt:lpstr>tlOutputScenario1CumPOS</vt:lpstr>
      <vt:lpstr>tlOutputScenario1Dashboard</vt:lpstr>
      <vt:lpstr>tlOutputScenario1DiscountRate</vt:lpstr>
      <vt:lpstr>tlOutputScenario1EPV</vt:lpstr>
      <vt:lpstr>tlOutputScenario1LaunchDate</vt:lpstr>
      <vt:lpstr>tlOutputScenario1NPV</vt:lpstr>
      <vt:lpstr>tlOutputScenario1Penetration</vt:lpstr>
      <vt:lpstr>tlOutputScenario1Ph1FTECost</vt:lpstr>
      <vt:lpstr>tlOutputScenario1Ph1PTS</vt:lpstr>
      <vt:lpstr>tlOutputScenario1Ph1RnDCost</vt:lpstr>
      <vt:lpstr>tlOutputScenario1Ph1TimeReq</vt:lpstr>
      <vt:lpstr>tlOutputScenario1Ph2FTECost</vt:lpstr>
      <vt:lpstr>tlOutputScenario1Ph2PTS</vt:lpstr>
      <vt:lpstr>tlOutputScenario1Ph2RnDCost</vt:lpstr>
      <vt:lpstr>tlOutputScenario1Ph2TimeReq</vt:lpstr>
      <vt:lpstr>tlOutputScenario1Ph3FTECost</vt:lpstr>
      <vt:lpstr>tlOutputScenario1Ph3PTS</vt:lpstr>
      <vt:lpstr>tlOutputScenario1Ph3RnDCost</vt:lpstr>
      <vt:lpstr>tlOutputScenario1Ph3TimeReq</vt:lpstr>
      <vt:lpstr>tlOutputScenario1PriceRegion1</vt:lpstr>
      <vt:lpstr>tlOutputScenario1PriceRegion2</vt:lpstr>
      <vt:lpstr>tlOutputScenario1PriceRegion3</vt:lpstr>
      <vt:lpstr>tlOutputScenario1PriceRegion4</vt:lpstr>
      <vt:lpstr>tlOutputScenario1ProjectName</vt:lpstr>
      <vt:lpstr>tlOutputScenario1Region1SnM</vt:lpstr>
      <vt:lpstr>tlOutputScenario1Region2SnM</vt:lpstr>
      <vt:lpstr>tlOutputScenario1Region3SnM</vt:lpstr>
      <vt:lpstr>tlOutputScenario1Region4SnM</vt:lpstr>
      <vt:lpstr>tlOutputScenario1ResearchFTECost</vt:lpstr>
      <vt:lpstr>tlOutputScenario1ResearchPTS</vt:lpstr>
      <vt:lpstr>tlOutputScenario1ResearchRnDCost</vt:lpstr>
      <vt:lpstr>tlOutputScenario1ResearchTimeReq</vt:lpstr>
      <vt:lpstr>tlOutputScenario1ROI</vt:lpstr>
      <vt:lpstr>tlOutputScenario1TotFTEExp</vt:lpstr>
      <vt:lpstr>tlOutputScenario1TotRnDCost</vt:lpstr>
      <vt:lpstr>tlOutputScenario2Breakeven</vt:lpstr>
      <vt:lpstr>tlOutputScenario2COGS</vt:lpstr>
      <vt:lpstr>tlOutputScenario2Compliance</vt:lpstr>
      <vt:lpstr>tlOutputScenario2CumPOS</vt:lpstr>
      <vt:lpstr>tlOutputScenario2Dashboard</vt:lpstr>
      <vt:lpstr>tlOutputScenario2DiscountRate</vt:lpstr>
      <vt:lpstr>tlOutputScenario2EPV</vt:lpstr>
      <vt:lpstr>tlOutputScenario2LaunchDate</vt:lpstr>
      <vt:lpstr>tlOutputScenario2NPV</vt:lpstr>
      <vt:lpstr>tlOutputScenario2Penetration</vt:lpstr>
      <vt:lpstr>tlOutputScenario2Ph1FTECost</vt:lpstr>
      <vt:lpstr>tlOutputScenario2Ph1PTS</vt:lpstr>
      <vt:lpstr>tlOutputScenario2Ph1RnDCost</vt:lpstr>
      <vt:lpstr>tlOutputScenario2Ph1TimeReq</vt:lpstr>
      <vt:lpstr>tlOutputScenario2Ph2FTECost</vt:lpstr>
      <vt:lpstr>tlOutputScenario2Ph2PTS</vt:lpstr>
      <vt:lpstr>tlOutputScenario2Ph2RnDCost</vt:lpstr>
      <vt:lpstr>tlOutputScenario2Ph2TimeReq</vt:lpstr>
      <vt:lpstr>tlOutputScenario2Ph3FTECost</vt:lpstr>
      <vt:lpstr>tlOutputScenario2Ph3PTS</vt:lpstr>
      <vt:lpstr>tlOutputScenario2Ph3RnDCost</vt:lpstr>
      <vt:lpstr>tlOutputScenario2Ph3TimeReq</vt:lpstr>
      <vt:lpstr>tlOutputScenario2PriceRegion1</vt:lpstr>
      <vt:lpstr>tlOutputScenario2PriceRegion2</vt:lpstr>
      <vt:lpstr>tlOutputScenario2PriceRegion3</vt:lpstr>
      <vt:lpstr>tlOutputScenario2PriceRegion4</vt:lpstr>
      <vt:lpstr>tlOutputScenario2ProjectName</vt:lpstr>
      <vt:lpstr>tlOutputScenario2Region1SnM</vt:lpstr>
      <vt:lpstr>tlOutputScenario2Region2SnM</vt:lpstr>
      <vt:lpstr>tlOutputScenario2Region3SnM</vt:lpstr>
      <vt:lpstr>tlOutputScenario2Region4SnM</vt:lpstr>
      <vt:lpstr>tlOutputScenario2ResearchFTECost</vt:lpstr>
      <vt:lpstr>tlOutputScenario2ResearchPTS</vt:lpstr>
      <vt:lpstr>tlOutputScenario2ResearchRnDCost</vt:lpstr>
      <vt:lpstr>tlOutputScenario2ResearchTimeReq</vt:lpstr>
      <vt:lpstr>tlOutputScenario2ROI</vt:lpstr>
      <vt:lpstr>tlOutputScenario2TotFTEExp</vt:lpstr>
      <vt:lpstr>tlOutputScenario2TotRnDCost</vt:lpstr>
      <vt:lpstr>tlOutputScenario3Breakeven</vt:lpstr>
      <vt:lpstr>tlOutputScenario3COGS</vt:lpstr>
      <vt:lpstr>tlOutputScenario3Compliance</vt:lpstr>
      <vt:lpstr>tlOutputScenario3CumPOS</vt:lpstr>
      <vt:lpstr>tlOutputScenario3Dashboard</vt:lpstr>
      <vt:lpstr>tlOutputScenario3DiscountRate</vt:lpstr>
      <vt:lpstr>tlOutputScenario3EPV</vt:lpstr>
      <vt:lpstr>tlOutputScenario3LaunchDate</vt:lpstr>
      <vt:lpstr>tlOutputScenario3NPV</vt:lpstr>
      <vt:lpstr>tlOutputScenario3Penetration</vt:lpstr>
      <vt:lpstr>tlOutputScenario3Ph1FTECost</vt:lpstr>
      <vt:lpstr>tlOutputScenario3Ph1PTS</vt:lpstr>
      <vt:lpstr>tlOutputScenario3Ph1RnDCost</vt:lpstr>
      <vt:lpstr>tlOutputScenario3Ph1TimeReq</vt:lpstr>
      <vt:lpstr>tlOutputScenario3Ph2FTECost</vt:lpstr>
      <vt:lpstr>tlOutputScenario3Ph2PTS</vt:lpstr>
      <vt:lpstr>tlOutputScenario3Ph2RnDCost</vt:lpstr>
      <vt:lpstr>tlOutputScenario3Ph2TimeReq</vt:lpstr>
      <vt:lpstr>tlOutputScenario3Ph3FTECost</vt:lpstr>
      <vt:lpstr>tlOutputScenario3Ph3PTS</vt:lpstr>
      <vt:lpstr>tlOutputScenario3Ph3RnDCost</vt:lpstr>
      <vt:lpstr>tlOutputScenario3Ph3TimeReq</vt:lpstr>
      <vt:lpstr>tlOutputScenario3PriceRegion1</vt:lpstr>
      <vt:lpstr>tlOutputScenario3PriceRegion2</vt:lpstr>
      <vt:lpstr>tlOutputScenario3PriceRegion3</vt:lpstr>
      <vt:lpstr>tlOutputScenario3PriceRegion4</vt:lpstr>
      <vt:lpstr>tlOutputScenario3ProjectName</vt:lpstr>
      <vt:lpstr>tlOutputScenario3Region1SnM</vt:lpstr>
      <vt:lpstr>tlOutputScenario3Region2SnM</vt:lpstr>
      <vt:lpstr>tlOutputScenario3Region3SnM</vt:lpstr>
      <vt:lpstr>tlOutputScenario3Region4SnM</vt:lpstr>
      <vt:lpstr>tlOutputScenario3ResearchFTECost</vt:lpstr>
      <vt:lpstr>tlOutputScenario3ResearchPTS</vt:lpstr>
      <vt:lpstr>tlOutputScenario3ResearchRnDCost</vt:lpstr>
      <vt:lpstr>tlOutputScenario3ResearchTimeReq</vt:lpstr>
      <vt:lpstr>tlOutputScenario3ROI</vt:lpstr>
      <vt:lpstr>tlOutputScenario3TotFTEExp</vt:lpstr>
      <vt:lpstr>tlOutputScenario3TotRnDCost</vt:lpstr>
      <vt:lpstr>tlOutputTest1</vt:lpstr>
      <vt:lpstr>tlSI01</vt:lpstr>
      <vt:lpstr>tlSI02</vt:lpstr>
      <vt:lpstr>tlSI03</vt:lpstr>
      <vt:lpstr>tlSI04</vt:lpstr>
      <vt:lpstr>tlSI05</vt:lpstr>
      <vt:lpstr>tlTeamName</vt:lpstr>
      <vt:lpstr>tlTeamNumber</vt:lpstr>
      <vt:lpstr>vbaPopupMenu1ItemNumber</vt:lpstr>
      <vt:lpstr>vbaPopupMenu1ListFaceID</vt:lpstr>
      <vt:lpstr>vbaPopupMenu1ListLevel</vt:lpstr>
      <vt:lpstr>vbaPopupMenu1ListMacro</vt:lpstr>
      <vt:lpstr>vbaPopupMenu1ListTitle</vt:lpstr>
      <vt:lpstr>vbaPopupMenu1Lvl1ItemNumber</vt:lpstr>
      <vt:lpstr>vbaPopupMenu1Lvl2ItemNumber</vt:lpstr>
      <vt:lpstr>vbaPopupMenuActive</vt:lpstr>
      <vt:lpstr>vbaPopupMenuName</vt:lpstr>
      <vt:lpstr>xxIndexTeam</vt:lpstr>
      <vt:lpstr>xxNumOfTeams</vt:lpstr>
      <vt:lpstr>xxRound</vt:lpstr>
      <vt:lpstr>xxSim0Tool1</vt:lpstr>
      <vt:lpstr>xxToolPrefix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BTS London IT</dc:creator>
  <cp:lastModifiedBy>Dev Shangari</cp:lastModifiedBy>
  <dcterms:created xsi:type="dcterms:W3CDTF">2014-12-08T07:15:00Z</dcterms:created>
  <dcterms:modified xsi:type="dcterms:W3CDTF">2017-03-21T10:25:01Z</dcterms:modified>
</cp:coreProperties>
</file>